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xr:revisionPtr revIDLastSave="0" documentId="13_ncr:1_{E8956E59-5F5B-924D-80E0-89B153DAAE6C}" xr6:coauthVersionLast="47" xr6:coauthVersionMax="47" xr10:uidLastSave="{00000000-0000-0000-0000-000000000000}"/>
  <bookViews>
    <workbookView xWindow="1080" yWindow="9840" windowWidth="29040" windowHeight="15840" tabRatio="758" activeTab="1" xr2:uid="{00000000-000D-0000-FFFF-FFFF00000000}"/>
  </bookViews>
  <sheets>
    <sheet name="Information" sheetId="1" r:id="rId1"/>
    <sheet name="Tables" sheetId="14" r:id="rId2"/>
    <sheet name="Income and Housing Data" sheetId="31" r:id="rId3"/>
    <sheet name="Population and Diversity Data" sheetId="27" r:id="rId4"/>
    <sheet name="Eversource&gt;&gt;" sheetId="19" r:id="rId5"/>
    <sheet name="ES Energy Burden" sheetId="34" r:id="rId6"/>
    <sheet name="CLM From Eversource" sheetId="15" r:id="rId7"/>
    <sheet name="ESSmallLoadPivot" sheetId="37" r:id="rId8"/>
    <sheet name="2.) Small Load" sheetId="16" r:id="rId9"/>
    <sheet name="3.) Large Load" sheetId="17" r:id="rId10"/>
    <sheet name="HES Report ES" sheetId="18" r:id="rId11"/>
    <sheet name="ES shutoff" sheetId="39" r:id="rId12"/>
    <sheet name="UI &gt;&gt;&gt;" sheetId="20" r:id="rId13"/>
    <sheet name="CLM from UI" sheetId="22" r:id="rId14"/>
    <sheet name="UI EnergyBurden" sheetId="35" r:id="rId15"/>
    <sheet name="Small Load" sheetId="23" r:id="rId16"/>
    <sheet name="Large Load" sheetId="24" r:id="rId17"/>
    <sheet name="HES Report UI" sheetId="25" r:id="rId18"/>
    <sheet name="Shutoff Data" sheetId="38" r:id="rId19"/>
    <sheet name="Calculation Sheets &gt;&gt;&gt;" sheetId="30" r:id="rId20"/>
    <sheet name="Housing Cost Calc" sheetId="12" r:id="rId21"/>
    <sheet name="Income Percentile Calc" sheetId="11" r:id="rId22"/>
    <sheet name="Energy Burden Calc" sheetId="28" r:id="rId23"/>
    <sheet name="Income and Housing Calcs" sheetId="7" r:id="rId24"/>
  </sheets>
  <externalReferences>
    <externalReference r:id="rId25"/>
    <externalReference r:id="rId26"/>
  </externalReferences>
  <definedNames>
    <definedName name="ID" localSheetId="8" hidden="1">"75715458-62f3-44d1-8b95-673da8f693ee"</definedName>
    <definedName name="ID" localSheetId="9" hidden="1">"84590f97-c9ba-4dca-bd4c-d56a3f7bfc07"</definedName>
    <definedName name="ID" localSheetId="10" hidden="1">"ae609d80-b602-47f0-b8ad-f29df5cdb3d7"</definedName>
    <definedName name="_xlnm.Print_Area" localSheetId="8">'2.) Small Load'!$A$1:$O$941</definedName>
    <definedName name="_xlnm.Print_Area" localSheetId="9">'3.) Large Load'!$A$1:$O$238</definedName>
    <definedName name="_xlnm.Print_Area" localSheetId="10">'HES Report ES'!$A$1:$O$941</definedName>
    <definedName name="_xlnm.Print_Titles" localSheetId="8">'2.) Small Load'!$1:$5</definedName>
    <definedName name="_xlnm.Print_Titles" localSheetId="9">'3.) Large Load'!$1:$5</definedName>
    <definedName name="_xlnm.Print_Titles" localSheetId="10">'HES Report ES'!$1:$5</definedName>
  </definedNames>
  <calcPr calcId="191028"/>
  <pivotCaches>
    <pivotCache cacheId="3" r:id="rId2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3" i="14" l="1"/>
  <c r="V32" i="14"/>
  <c r="V31" i="14"/>
  <c r="E21" i="14"/>
  <c r="F21" i="14"/>
  <c r="E23" i="14"/>
  <c r="F23" i="14"/>
  <c r="T16" i="14"/>
  <c r="N339" i="25"/>
  <c r="M339" i="25"/>
  <c r="L339" i="25"/>
  <c r="J339" i="25"/>
  <c r="I339" i="25"/>
  <c r="H339" i="25"/>
  <c r="G339" i="25"/>
  <c r="E339" i="25"/>
  <c r="D339" i="25"/>
  <c r="O338" i="25"/>
  <c r="O337" i="25"/>
  <c r="K337" i="25"/>
  <c r="F337" i="25"/>
  <c r="O336" i="25"/>
  <c r="K336" i="25"/>
  <c r="F336" i="25"/>
  <c r="O335" i="25"/>
  <c r="K335" i="25"/>
  <c r="F335" i="25"/>
  <c r="O334" i="25"/>
  <c r="K334" i="25"/>
  <c r="F334" i="25"/>
  <c r="O333" i="25"/>
  <c r="K333" i="25"/>
  <c r="F333" i="25"/>
  <c r="O332" i="25"/>
  <c r="K332" i="25"/>
  <c r="F332" i="25"/>
  <c r="O331" i="25"/>
  <c r="K331" i="25"/>
  <c r="F331" i="25"/>
  <c r="O330" i="25"/>
  <c r="K330" i="25"/>
  <c r="F330" i="25"/>
  <c r="O329" i="25"/>
  <c r="K329" i="25"/>
  <c r="F329" i="25"/>
  <c r="O328" i="25"/>
  <c r="K328" i="25"/>
  <c r="F328" i="25"/>
  <c r="O327" i="25"/>
  <c r="K327" i="25"/>
  <c r="F327" i="25"/>
  <c r="O326" i="25"/>
  <c r="K326" i="25"/>
  <c r="F326" i="25"/>
  <c r="O325" i="25"/>
  <c r="K325" i="25"/>
  <c r="F325" i="25"/>
  <c r="O324" i="25"/>
  <c r="K324" i="25"/>
  <c r="F324" i="25"/>
  <c r="O323" i="25"/>
  <c r="K323" i="25"/>
  <c r="F323" i="25"/>
  <c r="O322" i="25"/>
  <c r="K322" i="25"/>
  <c r="F322" i="25"/>
  <c r="O321" i="25"/>
  <c r="K321" i="25"/>
  <c r="F321" i="25"/>
  <c r="O320" i="25"/>
  <c r="K320" i="25"/>
  <c r="F320" i="25"/>
  <c r="O319" i="25"/>
  <c r="K319" i="25"/>
  <c r="F319" i="25"/>
  <c r="O318" i="25"/>
  <c r="K318" i="25"/>
  <c r="F318" i="25"/>
  <c r="O317" i="25"/>
  <c r="K317" i="25"/>
  <c r="F317" i="25"/>
  <c r="O316" i="25"/>
  <c r="K316" i="25"/>
  <c r="F316" i="25"/>
  <c r="O315" i="25"/>
  <c r="K315" i="25"/>
  <c r="F315" i="25"/>
  <c r="O314" i="25"/>
  <c r="K314" i="25"/>
  <c r="F314" i="25"/>
  <c r="O313" i="25"/>
  <c r="K313" i="25"/>
  <c r="F313" i="25"/>
  <c r="O312" i="25"/>
  <c r="K312" i="25"/>
  <c r="F312" i="25"/>
  <c r="O311" i="25"/>
  <c r="K311" i="25"/>
  <c r="F311" i="25"/>
  <c r="O310" i="25"/>
  <c r="K310" i="25"/>
  <c r="F310" i="25"/>
  <c r="O309" i="25"/>
  <c r="K309" i="25"/>
  <c r="F309" i="25"/>
  <c r="O308" i="25"/>
  <c r="K308" i="25"/>
  <c r="F308" i="25"/>
  <c r="O307" i="25"/>
  <c r="K307" i="25"/>
  <c r="F307" i="25"/>
  <c r="O306" i="25"/>
  <c r="K306" i="25"/>
  <c r="F306" i="25"/>
  <c r="O305" i="25"/>
  <c r="K305" i="25"/>
  <c r="F305" i="25"/>
  <c r="O304" i="25"/>
  <c r="K304" i="25"/>
  <c r="F304" i="25"/>
  <c r="O303" i="25"/>
  <c r="K303" i="25"/>
  <c r="F303" i="25"/>
  <c r="O302" i="25"/>
  <c r="K302" i="25"/>
  <c r="F302" i="25"/>
  <c r="O301" i="25"/>
  <c r="K301" i="25"/>
  <c r="F301" i="25"/>
  <c r="O300" i="25"/>
  <c r="K300" i="25"/>
  <c r="F300" i="25"/>
  <c r="O299" i="25"/>
  <c r="K299" i="25"/>
  <c r="F299" i="25"/>
  <c r="O298" i="25"/>
  <c r="K298" i="25"/>
  <c r="F298" i="25"/>
  <c r="O297" i="25"/>
  <c r="K297" i="25"/>
  <c r="F297" i="25"/>
  <c r="O296" i="25"/>
  <c r="K296" i="25"/>
  <c r="F296" i="25"/>
  <c r="O295" i="25"/>
  <c r="K295" i="25"/>
  <c r="F295" i="25"/>
  <c r="O294" i="25"/>
  <c r="K294" i="25"/>
  <c r="F294" i="25"/>
  <c r="O293" i="25"/>
  <c r="K293" i="25"/>
  <c r="F293" i="25"/>
  <c r="O292" i="25"/>
  <c r="K292" i="25"/>
  <c r="F292" i="25"/>
  <c r="O291" i="25"/>
  <c r="K291" i="25"/>
  <c r="F291" i="25"/>
  <c r="O290" i="25"/>
  <c r="K290" i="25"/>
  <c r="F290" i="25"/>
  <c r="O289" i="25"/>
  <c r="K289" i="25"/>
  <c r="F289" i="25"/>
  <c r="O288" i="25"/>
  <c r="K288" i="25"/>
  <c r="F288" i="25"/>
  <c r="O287" i="25"/>
  <c r="K287" i="25"/>
  <c r="F287" i="25"/>
  <c r="O286" i="25"/>
  <c r="K286" i="25"/>
  <c r="F286" i="25"/>
  <c r="O285" i="25"/>
  <c r="K285" i="25"/>
  <c r="F285" i="25"/>
  <c r="O284" i="25"/>
  <c r="K284" i="25"/>
  <c r="F284" i="25"/>
  <c r="O283" i="25"/>
  <c r="K283" i="25"/>
  <c r="F283" i="25"/>
  <c r="O282" i="25"/>
  <c r="K282" i="25"/>
  <c r="F282" i="25"/>
  <c r="O281" i="25"/>
  <c r="K281" i="25"/>
  <c r="F281" i="25"/>
  <c r="O280" i="25"/>
  <c r="K280" i="25"/>
  <c r="F280" i="25"/>
  <c r="O279" i="25"/>
  <c r="K279" i="25"/>
  <c r="F279" i="25"/>
  <c r="O278" i="25"/>
  <c r="K278" i="25"/>
  <c r="F278" i="25"/>
  <c r="O277" i="25"/>
  <c r="K277" i="25"/>
  <c r="F277" i="25"/>
  <c r="O276" i="25"/>
  <c r="K276" i="25"/>
  <c r="F276" i="25"/>
  <c r="O275" i="25"/>
  <c r="K275" i="25"/>
  <c r="F275" i="25"/>
  <c r="O274" i="25"/>
  <c r="K274" i="25"/>
  <c r="F274" i="25"/>
  <c r="O273" i="25"/>
  <c r="K273" i="25"/>
  <c r="F273" i="25"/>
  <c r="O272" i="25"/>
  <c r="K272" i="25"/>
  <c r="F272" i="25"/>
  <c r="O271" i="25"/>
  <c r="K271" i="25"/>
  <c r="F271" i="25"/>
  <c r="O270" i="25"/>
  <c r="K270" i="25"/>
  <c r="F270" i="25"/>
  <c r="O269" i="25"/>
  <c r="K269" i="25"/>
  <c r="F269" i="25"/>
  <c r="O268" i="25"/>
  <c r="K268" i="25"/>
  <c r="F268" i="25"/>
  <c r="O267" i="25"/>
  <c r="K267" i="25"/>
  <c r="F267" i="25"/>
  <c r="O266" i="25"/>
  <c r="K266" i="25"/>
  <c r="F266" i="25"/>
  <c r="O265" i="25"/>
  <c r="K265" i="25"/>
  <c r="F265" i="25"/>
  <c r="O264" i="25"/>
  <c r="K264" i="25"/>
  <c r="F264" i="25"/>
  <c r="O263" i="25"/>
  <c r="K263" i="25"/>
  <c r="F263" i="25"/>
  <c r="O262" i="25"/>
  <c r="K262" i="25"/>
  <c r="F262" i="25"/>
  <c r="O261" i="25"/>
  <c r="K261" i="25"/>
  <c r="F261" i="25"/>
  <c r="O260" i="25"/>
  <c r="K260" i="25"/>
  <c r="F260" i="25"/>
  <c r="O259" i="25"/>
  <c r="K259" i="25"/>
  <c r="F259" i="25"/>
  <c r="O258" i="25"/>
  <c r="K258" i="25"/>
  <c r="F258" i="25"/>
  <c r="O257" i="25"/>
  <c r="K257" i="25"/>
  <c r="F257" i="25"/>
  <c r="O256" i="25"/>
  <c r="K256" i="25"/>
  <c r="F256" i="25"/>
  <c r="O255" i="25"/>
  <c r="K255" i="25"/>
  <c r="F255" i="25"/>
  <c r="O254" i="25"/>
  <c r="K254" i="25"/>
  <c r="F254" i="25"/>
  <c r="O253" i="25"/>
  <c r="K253" i="25"/>
  <c r="F253" i="25"/>
  <c r="O252" i="25"/>
  <c r="K252" i="25"/>
  <c r="F252" i="25"/>
  <c r="O251" i="25"/>
  <c r="K251" i="25"/>
  <c r="F251" i="25"/>
  <c r="O250" i="25"/>
  <c r="K250" i="25"/>
  <c r="F250" i="25"/>
  <c r="O249" i="25"/>
  <c r="K249" i="25"/>
  <c r="F249" i="25"/>
  <c r="O248" i="25"/>
  <c r="K248" i="25"/>
  <c r="F248" i="25"/>
  <c r="O247" i="25"/>
  <c r="K247" i="25"/>
  <c r="F247" i="25"/>
  <c r="O246" i="25"/>
  <c r="K246" i="25"/>
  <c r="F246" i="25"/>
  <c r="O245" i="25"/>
  <c r="K245" i="25"/>
  <c r="F245" i="25"/>
  <c r="O244" i="25"/>
  <c r="K244" i="25"/>
  <c r="F244" i="25"/>
  <c r="O243" i="25"/>
  <c r="K243" i="25"/>
  <c r="F243" i="25"/>
  <c r="O242" i="25"/>
  <c r="K242" i="25"/>
  <c r="F242" i="25"/>
  <c r="O241" i="25"/>
  <c r="K241" i="25"/>
  <c r="F241" i="25"/>
  <c r="O240" i="25"/>
  <c r="K240" i="25"/>
  <c r="F240" i="25"/>
  <c r="O239" i="25"/>
  <c r="K239" i="25"/>
  <c r="F239" i="25"/>
  <c r="O238" i="25"/>
  <c r="K238" i="25"/>
  <c r="F238" i="25"/>
  <c r="O237" i="25"/>
  <c r="K237" i="25"/>
  <c r="F237" i="25"/>
  <c r="O236" i="25"/>
  <c r="K236" i="25"/>
  <c r="F236" i="25"/>
  <c r="O235" i="25"/>
  <c r="K235" i="25"/>
  <c r="F235" i="25"/>
  <c r="O234" i="25"/>
  <c r="K234" i="25"/>
  <c r="F234" i="25"/>
  <c r="O233" i="25"/>
  <c r="K233" i="25"/>
  <c r="F233" i="25"/>
  <c r="O232" i="25"/>
  <c r="K232" i="25"/>
  <c r="F232" i="25"/>
  <c r="O231" i="25"/>
  <c r="K231" i="25"/>
  <c r="F231" i="25"/>
  <c r="O230" i="25"/>
  <c r="K230" i="25"/>
  <c r="F230" i="25"/>
  <c r="O229" i="25"/>
  <c r="K229" i="25"/>
  <c r="F229" i="25"/>
  <c r="O228" i="25"/>
  <c r="K228" i="25"/>
  <c r="F228" i="25"/>
  <c r="O227" i="25"/>
  <c r="K227" i="25"/>
  <c r="F227" i="25"/>
  <c r="O226" i="25"/>
  <c r="K226" i="25"/>
  <c r="F226" i="25"/>
  <c r="O225" i="25"/>
  <c r="K225" i="25"/>
  <c r="F225" i="25"/>
  <c r="O224" i="25"/>
  <c r="K224" i="25"/>
  <c r="F224" i="25"/>
  <c r="O223" i="25"/>
  <c r="K223" i="25"/>
  <c r="F223" i="25"/>
  <c r="O222" i="25"/>
  <c r="K222" i="25"/>
  <c r="F222" i="25"/>
  <c r="O221" i="25"/>
  <c r="K221" i="25"/>
  <c r="F221" i="25"/>
  <c r="O220" i="25"/>
  <c r="K220" i="25"/>
  <c r="F220" i="25"/>
  <c r="O219" i="25"/>
  <c r="K219" i="25"/>
  <c r="F219" i="25"/>
  <c r="O218" i="25"/>
  <c r="K218" i="25"/>
  <c r="F218" i="25"/>
  <c r="O217" i="25"/>
  <c r="K217" i="25"/>
  <c r="F217" i="25"/>
  <c r="O216" i="25"/>
  <c r="K216" i="25"/>
  <c r="F216" i="25"/>
  <c r="O215" i="25"/>
  <c r="K215" i="25"/>
  <c r="F215" i="25"/>
  <c r="O214" i="25"/>
  <c r="K214" i="25"/>
  <c r="F214" i="25"/>
  <c r="O213" i="25"/>
  <c r="K213" i="25"/>
  <c r="F213" i="25"/>
  <c r="O212" i="25"/>
  <c r="K212" i="25"/>
  <c r="F212" i="25"/>
  <c r="O211" i="25"/>
  <c r="K211" i="25"/>
  <c r="F211" i="25"/>
  <c r="O210" i="25"/>
  <c r="K210" i="25"/>
  <c r="F210" i="25"/>
  <c r="O209" i="25"/>
  <c r="K209" i="25"/>
  <c r="F209" i="25"/>
  <c r="O208" i="25"/>
  <c r="K208" i="25"/>
  <c r="F208" i="25"/>
  <c r="O207" i="25"/>
  <c r="K207" i="25"/>
  <c r="F207" i="25"/>
  <c r="O206" i="25"/>
  <c r="K206" i="25"/>
  <c r="F206" i="25"/>
  <c r="O205" i="25"/>
  <c r="K205" i="25"/>
  <c r="F205" i="25"/>
  <c r="O204" i="25"/>
  <c r="K204" i="25"/>
  <c r="F204" i="25"/>
  <c r="O203" i="25"/>
  <c r="K203" i="25"/>
  <c r="F203" i="25"/>
  <c r="O202" i="25"/>
  <c r="K202" i="25"/>
  <c r="F202" i="25"/>
  <c r="O201" i="25"/>
  <c r="K201" i="25"/>
  <c r="F201" i="25"/>
  <c r="O200" i="25"/>
  <c r="K200" i="25"/>
  <c r="F200" i="25"/>
  <c r="O199" i="25"/>
  <c r="K199" i="25"/>
  <c r="F199" i="25"/>
  <c r="O198" i="25"/>
  <c r="K198" i="25"/>
  <c r="F198" i="25"/>
  <c r="O197" i="25"/>
  <c r="K197" i="25"/>
  <c r="F197" i="25"/>
  <c r="O196" i="25"/>
  <c r="K196" i="25"/>
  <c r="F196" i="25"/>
  <c r="O195" i="25"/>
  <c r="K195" i="25"/>
  <c r="F195" i="25"/>
  <c r="O194" i="25"/>
  <c r="K194" i="25"/>
  <c r="F194" i="25"/>
  <c r="O193" i="25"/>
  <c r="K193" i="25"/>
  <c r="F193" i="25"/>
  <c r="O192" i="25"/>
  <c r="K192" i="25"/>
  <c r="F192" i="25"/>
  <c r="O191" i="25"/>
  <c r="K191" i="25"/>
  <c r="F191" i="25"/>
  <c r="O190" i="25"/>
  <c r="K190" i="25"/>
  <c r="F190" i="25"/>
  <c r="O189" i="25"/>
  <c r="K189" i="25"/>
  <c r="F189" i="25"/>
  <c r="O188" i="25"/>
  <c r="K188" i="25"/>
  <c r="F188" i="25"/>
  <c r="O187" i="25"/>
  <c r="K187" i="25"/>
  <c r="F187" i="25"/>
  <c r="O186" i="25"/>
  <c r="K186" i="25"/>
  <c r="F186" i="25"/>
  <c r="O185" i="25"/>
  <c r="K185" i="25"/>
  <c r="F185" i="25"/>
  <c r="O184" i="25"/>
  <c r="K184" i="25"/>
  <c r="F184" i="25"/>
  <c r="O183" i="25"/>
  <c r="K183" i="25"/>
  <c r="F183" i="25"/>
  <c r="O182" i="25"/>
  <c r="K182" i="25"/>
  <c r="F182" i="25"/>
  <c r="O181" i="25"/>
  <c r="K181" i="25"/>
  <c r="F181" i="25"/>
  <c r="O180" i="25"/>
  <c r="K180" i="25"/>
  <c r="F180" i="25"/>
  <c r="O179" i="25"/>
  <c r="K179" i="25"/>
  <c r="F179" i="25"/>
  <c r="O178" i="25"/>
  <c r="K178" i="25"/>
  <c r="F178" i="25"/>
  <c r="O177" i="25"/>
  <c r="K177" i="25"/>
  <c r="F177" i="25"/>
  <c r="O176" i="25"/>
  <c r="K176" i="25"/>
  <c r="F176" i="25"/>
  <c r="O175" i="25"/>
  <c r="K175" i="25"/>
  <c r="F175" i="25"/>
  <c r="O174" i="25"/>
  <c r="K174" i="25"/>
  <c r="F174" i="25"/>
  <c r="O173" i="25"/>
  <c r="K173" i="25"/>
  <c r="F173" i="25"/>
  <c r="O172" i="25"/>
  <c r="K172" i="25"/>
  <c r="F172" i="25"/>
  <c r="O171" i="25"/>
  <c r="K171" i="25"/>
  <c r="F171" i="25"/>
  <c r="O170" i="25"/>
  <c r="K170" i="25"/>
  <c r="F170" i="25"/>
  <c r="O169" i="25"/>
  <c r="K169" i="25"/>
  <c r="F169" i="25"/>
  <c r="O168" i="25"/>
  <c r="K168" i="25"/>
  <c r="F168" i="25"/>
  <c r="O167" i="25"/>
  <c r="K167" i="25"/>
  <c r="F167" i="25"/>
  <c r="O166" i="25"/>
  <c r="K166" i="25"/>
  <c r="F166" i="25"/>
  <c r="O165" i="25"/>
  <c r="K165" i="25"/>
  <c r="F165" i="25"/>
  <c r="O164" i="25"/>
  <c r="K164" i="25"/>
  <c r="F164" i="25"/>
  <c r="O163" i="25"/>
  <c r="K163" i="25"/>
  <c r="F163" i="25"/>
  <c r="O162" i="25"/>
  <c r="K162" i="25"/>
  <c r="F162" i="25"/>
  <c r="O161" i="25"/>
  <c r="K161" i="25"/>
  <c r="F161" i="25"/>
  <c r="O160" i="25"/>
  <c r="K160" i="25"/>
  <c r="F160" i="25"/>
  <c r="O159" i="25"/>
  <c r="K159" i="25"/>
  <c r="F159" i="25"/>
  <c r="O158" i="25"/>
  <c r="K158" i="25"/>
  <c r="F158" i="25"/>
  <c r="O157" i="25"/>
  <c r="K157" i="25"/>
  <c r="F157" i="25"/>
  <c r="O156" i="25"/>
  <c r="K156" i="25"/>
  <c r="F156" i="25"/>
  <c r="O155" i="25"/>
  <c r="K155" i="25"/>
  <c r="F155" i="25"/>
  <c r="O154" i="25"/>
  <c r="K154" i="25"/>
  <c r="F154" i="25"/>
  <c r="O153" i="25"/>
  <c r="K153" i="25"/>
  <c r="F153" i="25"/>
  <c r="O152" i="25"/>
  <c r="K152" i="25"/>
  <c r="F152" i="25"/>
  <c r="O151" i="25"/>
  <c r="K151" i="25"/>
  <c r="F151" i="25"/>
  <c r="O150" i="25"/>
  <c r="K150" i="25"/>
  <c r="F150" i="25"/>
  <c r="O149" i="25"/>
  <c r="K149" i="25"/>
  <c r="F149" i="25"/>
  <c r="O148" i="25"/>
  <c r="K148" i="25"/>
  <c r="F148" i="25"/>
  <c r="O147" i="25"/>
  <c r="K147" i="25"/>
  <c r="F147" i="25"/>
  <c r="O146" i="25"/>
  <c r="K146" i="25"/>
  <c r="F146" i="25"/>
  <c r="O145" i="25"/>
  <c r="K145" i="25"/>
  <c r="F145" i="25"/>
  <c r="O144" i="25"/>
  <c r="K144" i="25"/>
  <c r="F144" i="25"/>
  <c r="O143" i="25"/>
  <c r="K143" i="25"/>
  <c r="F143" i="25"/>
  <c r="O142" i="25"/>
  <c r="K142" i="25"/>
  <c r="F142" i="25"/>
  <c r="O141" i="25"/>
  <c r="K141" i="25"/>
  <c r="F141" i="25"/>
  <c r="O140" i="25"/>
  <c r="K140" i="25"/>
  <c r="F140" i="25"/>
  <c r="O139" i="25"/>
  <c r="K139" i="25"/>
  <c r="F139" i="25"/>
  <c r="O138" i="25"/>
  <c r="K138" i="25"/>
  <c r="F138" i="25"/>
  <c r="O137" i="25"/>
  <c r="K137" i="25"/>
  <c r="F137" i="25"/>
  <c r="O136" i="25"/>
  <c r="K136" i="25"/>
  <c r="F136" i="25"/>
  <c r="O135" i="25"/>
  <c r="K135" i="25"/>
  <c r="F135" i="25"/>
  <c r="O134" i="25"/>
  <c r="K134" i="25"/>
  <c r="F134" i="25"/>
  <c r="O133" i="25"/>
  <c r="K133" i="25"/>
  <c r="F133" i="25"/>
  <c r="O132" i="25"/>
  <c r="K132" i="25"/>
  <c r="F132" i="25"/>
  <c r="O131" i="25"/>
  <c r="K131" i="25"/>
  <c r="F131" i="25"/>
  <c r="O130" i="25"/>
  <c r="K130" i="25"/>
  <c r="F130" i="25"/>
  <c r="O129" i="25"/>
  <c r="K129" i="25"/>
  <c r="F129" i="25"/>
  <c r="O128" i="25"/>
  <c r="K128" i="25"/>
  <c r="F128" i="25"/>
  <c r="O127" i="25"/>
  <c r="K127" i="25"/>
  <c r="F127" i="25"/>
  <c r="O126" i="25"/>
  <c r="K126" i="25"/>
  <c r="F126" i="25"/>
  <c r="O125" i="25"/>
  <c r="K125" i="25"/>
  <c r="F125" i="25"/>
  <c r="O124" i="25"/>
  <c r="K124" i="25"/>
  <c r="F124" i="25"/>
  <c r="O123" i="25"/>
  <c r="K123" i="25"/>
  <c r="F123" i="25"/>
  <c r="O122" i="25"/>
  <c r="K122" i="25"/>
  <c r="F122" i="25"/>
  <c r="O121" i="25"/>
  <c r="K121" i="25"/>
  <c r="F121" i="25"/>
  <c r="O120" i="25"/>
  <c r="K120" i="25"/>
  <c r="F120" i="25"/>
  <c r="O119" i="25"/>
  <c r="K119" i="25"/>
  <c r="F119" i="25"/>
  <c r="O118" i="25"/>
  <c r="K118" i="25"/>
  <c r="F118" i="25"/>
  <c r="O117" i="25"/>
  <c r="K117" i="25"/>
  <c r="F117" i="25"/>
  <c r="O116" i="25"/>
  <c r="K116" i="25"/>
  <c r="F116" i="25"/>
  <c r="O115" i="25"/>
  <c r="K115" i="25"/>
  <c r="F115" i="25"/>
  <c r="O114" i="25"/>
  <c r="K114" i="25"/>
  <c r="F114" i="25"/>
  <c r="O113" i="25"/>
  <c r="K113" i="25"/>
  <c r="F113" i="25"/>
  <c r="O112" i="25"/>
  <c r="K112" i="25"/>
  <c r="F112" i="25"/>
  <c r="O111" i="25"/>
  <c r="K111" i="25"/>
  <c r="F111" i="25"/>
  <c r="O110" i="25"/>
  <c r="K110" i="25"/>
  <c r="F110" i="25"/>
  <c r="O109" i="25"/>
  <c r="K109" i="25"/>
  <c r="F109" i="25"/>
  <c r="O108" i="25"/>
  <c r="K108" i="25"/>
  <c r="F108" i="25"/>
  <c r="O107" i="25"/>
  <c r="K107" i="25"/>
  <c r="F107" i="25"/>
  <c r="O106" i="25"/>
  <c r="K106" i="25"/>
  <c r="F106" i="25"/>
  <c r="O105" i="25"/>
  <c r="K105" i="25"/>
  <c r="F105" i="25"/>
  <c r="O104" i="25"/>
  <c r="K104" i="25"/>
  <c r="F104" i="25"/>
  <c r="O103" i="25"/>
  <c r="K103" i="25"/>
  <c r="F103" i="25"/>
  <c r="O102" i="25"/>
  <c r="K102" i="25"/>
  <c r="F102" i="25"/>
  <c r="O101" i="25"/>
  <c r="K101" i="25"/>
  <c r="F101" i="25"/>
  <c r="O100" i="25"/>
  <c r="K100" i="25"/>
  <c r="F100" i="25"/>
  <c r="O99" i="25"/>
  <c r="K99" i="25"/>
  <c r="F99" i="25"/>
  <c r="O98" i="25"/>
  <c r="K98" i="25"/>
  <c r="F98" i="25"/>
  <c r="O97" i="25"/>
  <c r="K97" i="25"/>
  <c r="F97" i="25"/>
  <c r="O96" i="25"/>
  <c r="K96" i="25"/>
  <c r="F96" i="25"/>
  <c r="O95" i="25"/>
  <c r="K95" i="25"/>
  <c r="F95" i="25"/>
  <c r="O94" i="25"/>
  <c r="K94" i="25"/>
  <c r="F94" i="25"/>
  <c r="O93" i="25"/>
  <c r="K93" i="25"/>
  <c r="F93" i="25"/>
  <c r="O92" i="25"/>
  <c r="K92" i="25"/>
  <c r="F92" i="25"/>
  <c r="O91" i="25"/>
  <c r="K91" i="25"/>
  <c r="F91" i="25"/>
  <c r="O90" i="25"/>
  <c r="K90" i="25"/>
  <c r="F90" i="25"/>
  <c r="O89" i="25"/>
  <c r="K89" i="25"/>
  <c r="F89" i="25"/>
  <c r="O88" i="25"/>
  <c r="K88" i="25"/>
  <c r="F88" i="25"/>
  <c r="O87" i="25"/>
  <c r="K87" i="25"/>
  <c r="F87" i="25"/>
  <c r="O86" i="25"/>
  <c r="K86" i="25"/>
  <c r="F86" i="25"/>
  <c r="O85" i="25"/>
  <c r="K85" i="25"/>
  <c r="F85" i="25"/>
  <c r="O84" i="25"/>
  <c r="K84" i="25"/>
  <c r="F84" i="25"/>
  <c r="O83" i="25"/>
  <c r="K83" i="25"/>
  <c r="F83" i="25"/>
  <c r="O82" i="25"/>
  <c r="K82" i="25"/>
  <c r="F82" i="25"/>
  <c r="O81" i="25"/>
  <c r="K81" i="25"/>
  <c r="F81" i="25"/>
  <c r="O80" i="25"/>
  <c r="K80" i="25"/>
  <c r="F80" i="25"/>
  <c r="O79" i="25"/>
  <c r="K79" i="25"/>
  <c r="F79" i="25"/>
  <c r="O78" i="25"/>
  <c r="K78" i="25"/>
  <c r="F78" i="25"/>
  <c r="O77" i="25"/>
  <c r="K77" i="25"/>
  <c r="F77" i="25"/>
  <c r="O76" i="25"/>
  <c r="K76" i="25"/>
  <c r="F76" i="25"/>
  <c r="O75" i="25"/>
  <c r="K75" i="25"/>
  <c r="F75" i="25"/>
  <c r="O74" i="25"/>
  <c r="K74" i="25"/>
  <c r="F74" i="25"/>
  <c r="O73" i="25"/>
  <c r="K73" i="25"/>
  <c r="F73" i="25"/>
  <c r="O72" i="25"/>
  <c r="K72" i="25"/>
  <c r="F72" i="25"/>
  <c r="O71" i="25"/>
  <c r="K71" i="25"/>
  <c r="F71" i="25"/>
  <c r="O70" i="25"/>
  <c r="K70" i="25"/>
  <c r="F70" i="25"/>
  <c r="O69" i="25"/>
  <c r="K69" i="25"/>
  <c r="F69" i="25"/>
  <c r="O68" i="25"/>
  <c r="K68" i="25"/>
  <c r="F68" i="25"/>
  <c r="O67" i="25"/>
  <c r="K67" i="25"/>
  <c r="F67" i="25"/>
  <c r="O66" i="25"/>
  <c r="K66" i="25"/>
  <c r="F66" i="25"/>
  <c r="O65" i="25"/>
  <c r="K65" i="25"/>
  <c r="F65" i="25"/>
  <c r="O64" i="25"/>
  <c r="K64" i="25"/>
  <c r="F64" i="25"/>
  <c r="O63" i="25"/>
  <c r="K63" i="25"/>
  <c r="F63" i="25"/>
  <c r="O62" i="25"/>
  <c r="K62" i="25"/>
  <c r="F62" i="25"/>
  <c r="O61" i="25"/>
  <c r="K61" i="25"/>
  <c r="F61" i="25"/>
  <c r="O60" i="25"/>
  <c r="K60" i="25"/>
  <c r="F60" i="25"/>
  <c r="O59" i="25"/>
  <c r="K59" i="25"/>
  <c r="F59" i="25"/>
  <c r="O58" i="25"/>
  <c r="K58" i="25"/>
  <c r="F58" i="25"/>
  <c r="O57" i="25"/>
  <c r="K57" i="25"/>
  <c r="F57" i="25"/>
  <c r="O56" i="25"/>
  <c r="K56" i="25"/>
  <c r="F56" i="25"/>
  <c r="O55" i="25"/>
  <c r="K55" i="25"/>
  <c r="F55" i="25"/>
  <c r="O54" i="25"/>
  <c r="K54" i="25"/>
  <c r="F54" i="25"/>
  <c r="O53" i="25"/>
  <c r="K53" i="25"/>
  <c r="F53" i="25"/>
  <c r="O52" i="25"/>
  <c r="K52" i="25"/>
  <c r="F52" i="25"/>
  <c r="O51" i="25"/>
  <c r="K51" i="25"/>
  <c r="F51" i="25"/>
  <c r="O50" i="25"/>
  <c r="K50" i="25"/>
  <c r="F50" i="25"/>
  <c r="O49" i="25"/>
  <c r="K49" i="25"/>
  <c r="F49" i="25"/>
  <c r="O48" i="25"/>
  <c r="K48" i="25"/>
  <c r="F48" i="25"/>
  <c r="O47" i="25"/>
  <c r="K47" i="25"/>
  <c r="F47" i="25"/>
  <c r="O46" i="25"/>
  <c r="K46" i="25"/>
  <c r="F46" i="25"/>
  <c r="O45" i="25"/>
  <c r="K45" i="25"/>
  <c r="F45" i="25"/>
  <c r="O44" i="25"/>
  <c r="K44" i="25"/>
  <c r="F44" i="25"/>
  <c r="O43" i="25"/>
  <c r="K43" i="25"/>
  <c r="F43" i="25"/>
  <c r="O42" i="25"/>
  <c r="K42" i="25"/>
  <c r="F42" i="25"/>
  <c r="O41" i="25"/>
  <c r="K41" i="25"/>
  <c r="F41" i="25"/>
  <c r="O40" i="25"/>
  <c r="K40" i="25"/>
  <c r="F40" i="25"/>
  <c r="O39" i="25"/>
  <c r="K39" i="25"/>
  <c r="F39" i="25"/>
  <c r="O38" i="25"/>
  <c r="K38" i="25"/>
  <c r="F38" i="25"/>
  <c r="O37" i="25"/>
  <c r="K37" i="25"/>
  <c r="F37" i="25"/>
  <c r="O36" i="25"/>
  <c r="K36" i="25"/>
  <c r="F36" i="25"/>
  <c r="O35" i="25"/>
  <c r="K35" i="25"/>
  <c r="F35" i="25"/>
  <c r="O34" i="25"/>
  <c r="K34" i="25"/>
  <c r="F34" i="25"/>
  <c r="O33" i="25"/>
  <c r="K33" i="25"/>
  <c r="F33" i="25"/>
  <c r="O32" i="25"/>
  <c r="K32" i="25"/>
  <c r="F32" i="25"/>
  <c r="O31" i="25"/>
  <c r="K31" i="25"/>
  <c r="F31" i="25"/>
  <c r="O30" i="25"/>
  <c r="K30" i="25"/>
  <c r="F30" i="25"/>
  <c r="O29" i="25"/>
  <c r="K29" i="25"/>
  <c r="F29" i="25"/>
  <c r="O28" i="25"/>
  <c r="K28" i="25"/>
  <c r="F28" i="25"/>
  <c r="O27" i="25"/>
  <c r="K27" i="25"/>
  <c r="F27" i="25"/>
  <c r="O26" i="25"/>
  <c r="K26" i="25"/>
  <c r="F26" i="25"/>
  <c r="O25" i="25"/>
  <c r="K25" i="25"/>
  <c r="F25" i="25"/>
  <c r="O24" i="25"/>
  <c r="K24" i="25"/>
  <c r="F24" i="25"/>
  <c r="O23" i="25"/>
  <c r="K23" i="25"/>
  <c r="F23" i="25"/>
  <c r="O22" i="25"/>
  <c r="K22" i="25"/>
  <c r="F22" i="25"/>
  <c r="O21" i="25"/>
  <c r="K21" i="25"/>
  <c r="F21" i="25"/>
  <c r="O20" i="25"/>
  <c r="K20" i="25"/>
  <c r="F20" i="25"/>
  <c r="O19" i="25"/>
  <c r="K19" i="25"/>
  <c r="F19" i="25"/>
  <c r="O18" i="25"/>
  <c r="K18" i="25"/>
  <c r="F18" i="25"/>
  <c r="O17" i="25"/>
  <c r="K17" i="25"/>
  <c r="F17" i="25"/>
  <c r="O16" i="25"/>
  <c r="K16" i="25"/>
  <c r="F16" i="25"/>
  <c r="O15" i="25"/>
  <c r="K15" i="25"/>
  <c r="F15" i="25"/>
  <c r="O14" i="25"/>
  <c r="K14" i="25"/>
  <c r="F14" i="25"/>
  <c r="O13" i="25"/>
  <c r="K13" i="25"/>
  <c r="F13" i="25"/>
  <c r="O12" i="25"/>
  <c r="K12" i="25"/>
  <c r="F12" i="25"/>
  <c r="O11" i="25"/>
  <c r="K11" i="25"/>
  <c r="F11" i="25"/>
  <c r="O10" i="25"/>
  <c r="K10" i="25"/>
  <c r="F10" i="25"/>
  <c r="O9" i="25"/>
  <c r="K9" i="25"/>
  <c r="F9" i="25"/>
  <c r="O8" i="25"/>
  <c r="K8" i="25"/>
  <c r="F8" i="25"/>
  <c r="O7" i="25"/>
  <c r="K7" i="25"/>
  <c r="F7" i="25"/>
  <c r="O6" i="25"/>
  <c r="O339" i="25" s="1"/>
  <c r="K6" i="25"/>
  <c r="K339" i="25" s="1"/>
  <c r="F6" i="25"/>
  <c r="F339" i="25" s="1"/>
  <c r="O181" i="24"/>
  <c r="N181" i="24"/>
  <c r="M181" i="24"/>
  <c r="L181" i="24"/>
  <c r="K181" i="24"/>
  <c r="J181" i="24"/>
  <c r="I181" i="24"/>
  <c r="H181" i="24"/>
  <c r="G181" i="24"/>
  <c r="D181" i="24"/>
  <c r="O180" i="24"/>
  <c r="M180" i="24"/>
  <c r="K180" i="24"/>
  <c r="I180" i="24"/>
  <c r="G180" i="24"/>
  <c r="E180" i="24"/>
  <c r="O179" i="24"/>
  <c r="M179" i="24"/>
  <c r="K179" i="24"/>
  <c r="I179" i="24"/>
  <c r="G179" i="24"/>
  <c r="F179" i="24"/>
  <c r="E179" i="24"/>
  <c r="D179" i="24"/>
  <c r="O178" i="24"/>
  <c r="M178" i="24"/>
  <c r="K178" i="24"/>
  <c r="I178" i="24"/>
  <c r="G178" i="24"/>
  <c r="F178" i="24"/>
  <c r="E178" i="24"/>
  <c r="D178" i="24"/>
  <c r="O177" i="24"/>
  <c r="M177" i="24"/>
  <c r="K177" i="24"/>
  <c r="I177" i="24"/>
  <c r="G177" i="24"/>
  <c r="F177" i="24"/>
  <c r="E177" i="24"/>
  <c r="D177" i="24"/>
  <c r="O176" i="24"/>
  <c r="M176" i="24"/>
  <c r="K176" i="24"/>
  <c r="I176" i="24"/>
  <c r="G176" i="24"/>
  <c r="F176" i="24"/>
  <c r="E176" i="24"/>
  <c r="D176" i="24"/>
  <c r="O175" i="24"/>
  <c r="M175" i="24"/>
  <c r="K175" i="24"/>
  <c r="I175" i="24"/>
  <c r="G175" i="24"/>
  <c r="F175" i="24"/>
  <c r="E175" i="24"/>
  <c r="D175" i="24"/>
  <c r="O174" i="24"/>
  <c r="M174" i="24"/>
  <c r="K174" i="24"/>
  <c r="I174" i="24"/>
  <c r="G174" i="24"/>
  <c r="F174" i="24"/>
  <c r="E174" i="24"/>
  <c r="D174" i="24"/>
  <c r="O173" i="24"/>
  <c r="M173" i="24"/>
  <c r="K173" i="24"/>
  <c r="I173" i="24"/>
  <c r="G173" i="24"/>
  <c r="F173" i="24"/>
  <c r="E173" i="24"/>
  <c r="D173" i="24"/>
  <c r="O172" i="24"/>
  <c r="M172" i="24"/>
  <c r="K172" i="24"/>
  <c r="I172" i="24"/>
  <c r="G172" i="24"/>
  <c r="F172" i="24"/>
  <c r="E172" i="24"/>
  <c r="D172" i="24"/>
  <c r="O171" i="24"/>
  <c r="M171" i="24"/>
  <c r="K171" i="24"/>
  <c r="I171" i="24"/>
  <c r="G171" i="24"/>
  <c r="F171" i="24"/>
  <c r="E171" i="24"/>
  <c r="D171" i="24"/>
  <c r="O170" i="24"/>
  <c r="M170" i="24"/>
  <c r="K170" i="24"/>
  <c r="I170" i="24"/>
  <c r="G170" i="24"/>
  <c r="F170" i="24"/>
  <c r="E170" i="24"/>
  <c r="D170" i="24"/>
  <c r="O169" i="24"/>
  <c r="M169" i="24"/>
  <c r="K169" i="24"/>
  <c r="I169" i="24"/>
  <c r="G169" i="24"/>
  <c r="F169" i="24"/>
  <c r="E169" i="24"/>
  <c r="D169" i="24"/>
  <c r="O168" i="24"/>
  <c r="M168" i="24"/>
  <c r="K168" i="24"/>
  <c r="I168" i="24"/>
  <c r="G168" i="24"/>
  <c r="F168" i="24"/>
  <c r="E168" i="24"/>
  <c r="D168" i="24"/>
  <c r="O167" i="24"/>
  <c r="M167" i="24"/>
  <c r="K167" i="24"/>
  <c r="I167" i="24"/>
  <c r="G167" i="24"/>
  <c r="F167" i="24"/>
  <c r="E167" i="24"/>
  <c r="D167" i="24"/>
  <c r="O166" i="24"/>
  <c r="M166" i="24"/>
  <c r="K166" i="24"/>
  <c r="I166" i="24"/>
  <c r="G166" i="24"/>
  <c r="F166" i="24"/>
  <c r="E166" i="24"/>
  <c r="D166" i="24"/>
  <c r="O165" i="24"/>
  <c r="M165" i="24"/>
  <c r="K165" i="24"/>
  <c r="I165" i="24"/>
  <c r="G165" i="24"/>
  <c r="F165" i="24"/>
  <c r="E165" i="24"/>
  <c r="D165" i="24"/>
  <c r="O164" i="24"/>
  <c r="M164" i="24"/>
  <c r="K164" i="24"/>
  <c r="I164" i="24"/>
  <c r="G164" i="24"/>
  <c r="F164" i="24"/>
  <c r="E164" i="24"/>
  <c r="D164" i="24"/>
  <c r="O163" i="24"/>
  <c r="M163" i="24"/>
  <c r="K163" i="24"/>
  <c r="I163" i="24"/>
  <c r="G163" i="24"/>
  <c r="F163" i="24"/>
  <c r="E163" i="24"/>
  <c r="D163" i="24"/>
  <c r="O162" i="24"/>
  <c r="M162" i="24"/>
  <c r="K162" i="24"/>
  <c r="I162" i="24"/>
  <c r="G162" i="24"/>
  <c r="F162" i="24"/>
  <c r="E162" i="24"/>
  <c r="D162" i="24"/>
  <c r="O161" i="24"/>
  <c r="M161" i="24"/>
  <c r="K161" i="24"/>
  <c r="I161" i="24"/>
  <c r="G161" i="24"/>
  <c r="F161" i="24"/>
  <c r="E161" i="24"/>
  <c r="D161" i="24"/>
  <c r="O160" i="24"/>
  <c r="M160" i="24"/>
  <c r="K160" i="24"/>
  <c r="I160" i="24"/>
  <c r="G160" i="24"/>
  <c r="F160" i="24"/>
  <c r="E160" i="24"/>
  <c r="D160" i="24"/>
  <c r="O159" i="24"/>
  <c r="M159" i="24"/>
  <c r="K159" i="24"/>
  <c r="I159" i="24"/>
  <c r="G159" i="24"/>
  <c r="F159" i="24"/>
  <c r="E159" i="24"/>
  <c r="D159" i="24"/>
  <c r="O158" i="24"/>
  <c r="M158" i="24"/>
  <c r="K158" i="24"/>
  <c r="I158" i="24"/>
  <c r="G158" i="24"/>
  <c r="F158" i="24"/>
  <c r="E158" i="24"/>
  <c r="D158" i="24"/>
  <c r="O157" i="24"/>
  <c r="M157" i="24"/>
  <c r="K157" i="24"/>
  <c r="I157" i="24"/>
  <c r="G157" i="24"/>
  <c r="F157" i="24"/>
  <c r="E157" i="24"/>
  <c r="D157" i="24"/>
  <c r="O156" i="24"/>
  <c r="M156" i="24"/>
  <c r="K156" i="24"/>
  <c r="I156" i="24"/>
  <c r="G156" i="24"/>
  <c r="F156" i="24"/>
  <c r="E156" i="24"/>
  <c r="D156" i="24"/>
  <c r="O155" i="24"/>
  <c r="M155" i="24"/>
  <c r="K155" i="24"/>
  <c r="I155" i="24"/>
  <c r="G155" i="24"/>
  <c r="F155" i="24"/>
  <c r="E155" i="24"/>
  <c r="D155" i="24"/>
  <c r="O154" i="24"/>
  <c r="M154" i="24"/>
  <c r="K154" i="24"/>
  <c r="I154" i="24"/>
  <c r="G154" i="24"/>
  <c r="F154" i="24"/>
  <c r="E154" i="24"/>
  <c r="D154" i="24"/>
  <c r="O153" i="24"/>
  <c r="M153" i="24"/>
  <c r="K153" i="24"/>
  <c r="I153" i="24"/>
  <c r="G153" i="24"/>
  <c r="F153" i="24"/>
  <c r="E153" i="24"/>
  <c r="D153" i="24"/>
  <c r="O152" i="24"/>
  <c r="M152" i="24"/>
  <c r="K152" i="24"/>
  <c r="I152" i="24"/>
  <c r="G152" i="24"/>
  <c r="F152" i="24"/>
  <c r="E152" i="24"/>
  <c r="D152" i="24"/>
  <c r="O151" i="24"/>
  <c r="M151" i="24"/>
  <c r="K151" i="24"/>
  <c r="I151" i="24"/>
  <c r="G151" i="24"/>
  <c r="F151" i="24"/>
  <c r="E151" i="24"/>
  <c r="D151" i="24"/>
  <c r="O150" i="24"/>
  <c r="M150" i="24"/>
  <c r="K150" i="24"/>
  <c r="I150" i="24"/>
  <c r="G150" i="24"/>
  <c r="F150" i="24"/>
  <c r="E150" i="24"/>
  <c r="D150" i="24"/>
  <c r="O149" i="24"/>
  <c r="M149" i="24"/>
  <c r="K149" i="24"/>
  <c r="I149" i="24"/>
  <c r="G149" i="24"/>
  <c r="F149" i="24"/>
  <c r="E149" i="24"/>
  <c r="D149" i="24"/>
  <c r="O148" i="24"/>
  <c r="M148" i="24"/>
  <c r="K148" i="24"/>
  <c r="I148" i="24"/>
  <c r="G148" i="24"/>
  <c r="F148" i="24"/>
  <c r="E148" i="24"/>
  <c r="D148" i="24"/>
  <c r="O147" i="24"/>
  <c r="M147" i="24"/>
  <c r="K147" i="24"/>
  <c r="I147" i="24"/>
  <c r="G147" i="24"/>
  <c r="F147" i="24"/>
  <c r="E147" i="24"/>
  <c r="D147" i="24"/>
  <c r="O146" i="24"/>
  <c r="M146" i="24"/>
  <c r="K146" i="24"/>
  <c r="I146" i="24"/>
  <c r="G146" i="24"/>
  <c r="F146" i="24"/>
  <c r="E146" i="24"/>
  <c r="D146" i="24"/>
  <c r="O145" i="24"/>
  <c r="M145" i="24"/>
  <c r="K145" i="24"/>
  <c r="I145" i="24"/>
  <c r="G145" i="24"/>
  <c r="F145" i="24"/>
  <c r="E145" i="24"/>
  <c r="D145" i="24"/>
  <c r="O144" i="24"/>
  <c r="M144" i="24"/>
  <c r="K144" i="24"/>
  <c r="I144" i="24"/>
  <c r="G144" i="24"/>
  <c r="F144" i="24"/>
  <c r="E144" i="24"/>
  <c r="D144" i="24"/>
  <c r="O143" i="24"/>
  <c r="M143" i="24"/>
  <c r="K143" i="24"/>
  <c r="I143" i="24"/>
  <c r="G143" i="24"/>
  <c r="F143" i="24"/>
  <c r="E143" i="24"/>
  <c r="D143" i="24"/>
  <c r="O142" i="24"/>
  <c r="M142" i="24"/>
  <c r="K142" i="24"/>
  <c r="I142" i="24"/>
  <c r="G142" i="24"/>
  <c r="F142" i="24"/>
  <c r="E142" i="24"/>
  <c r="D142" i="24"/>
  <c r="O141" i="24"/>
  <c r="M141" i="24"/>
  <c r="K141" i="24"/>
  <c r="I141" i="24"/>
  <c r="G141" i="24"/>
  <c r="F141" i="24"/>
  <c r="E141" i="24"/>
  <c r="D141" i="24"/>
  <c r="O140" i="24"/>
  <c r="M140" i="24"/>
  <c r="K140" i="24"/>
  <c r="I140" i="24"/>
  <c r="G140" i="24"/>
  <c r="F140" i="24"/>
  <c r="E140" i="24"/>
  <c r="D140" i="24"/>
  <c r="O139" i="24"/>
  <c r="M139" i="24"/>
  <c r="K139" i="24"/>
  <c r="I139" i="24"/>
  <c r="G139" i="24"/>
  <c r="F139" i="24"/>
  <c r="E139" i="24"/>
  <c r="D139" i="24"/>
  <c r="O138" i="24"/>
  <c r="M138" i="24"/>
  <c r="K138" i="24"/>
  <c r="I138" i="24"/>
  <c r="G138" i="24"/>
  <c r="F138" i="24"/>
  <c r="E138" i="24"/>
  <c r="D138" i="24"/>
  <c r="O137" i="24"/>
  <c r="M137" i="24"/>
  <c r="K137" i="24"/>
  <c r="I137" i="24"/>
  <c r="G137" i="24"/>
  <c r="F137" i="24"/>
  <c r="E137" i="24"/>
  <c r="D137" i="24"/>
  <c r="O136" i="24"/>
  <c r="M136" i="24"/>
  <c r="K136" i="24"/>
  <c r="I136" i="24"/>
  <c r="G136" i="24"/>
  <c r="F136" i="24"/>
  <c r="E136" i="24"/>
  <c r="D136" i="24"/>
  <c r="O135" i="24"/>
  <c r="M135" i="24"/>
  <c r="K135" i="24"/>
  <c r="I135" i="24"/>
  <c r="G135" i="24"/>
  <c r="F135" i="24"/>
  <c r="E135" i="24"/>
  <c r="D135" i="24"/>
  <c r="O134" i="24"/>
  <c r="M134" i="24"/>
  <c r="K134" i="24"/>
  <c r="I134" i="24"/>
  <c r="G134" i="24"/>
  <c r="F134" i="24"/>
  <c r="E134" i="24"/>
  <c r="D134" i="24"/>
  <c r="O133" i="24"/>
  <c r="M133" i="24"/>
  <c r="K133" i="24"/>
  <c r="I133" i="24"/>
  <c r="G133" i="24"/>
  <c r="F133" i="24"/>
  <c r="E133" i="24"/>
  <c r="D133" i="24"/>
  <c r="O132" i="24"/>
  <c r="M132" i="24"/>
  <c r="K132" i="24"/>
  <c r="I132" i="24"/>
  <c r="G132" i="24"/>
  <c r="F132" i="24"/>
  <c r="E132" i="24"/>
  <c r="D132" i="24"/>
  <c r="O131" i="24"/>
  <c r="M131" i="24"/>
  <c r="K131" i="24"/>
  <c r="I131" i="24"/>
  <c r="G131" i="24"/>
  <c r="F131" i="24"/>
  <c r="E131" i="24"/>
  <c r="D131" i="24"/>
  <c r="O130" i="24"/>
  <c r="M130" i="24"/>
  <c r="K130" i="24"/>
  <c r="I130" i="24"/>
  <c r="G130" i="24"/>
  <c r="F130" i="24"/>
  <c r="E130" i="24"/>
  <c r="D130" i="24"/>
  <c r="O129" i="24"/>
  <c r="M129" i="24"/>
  <c r="K129" i="24"/>
  <c r="I129" i="24"/>
  <c r="G129" i="24"/>
  <c r="F129" i="24"/>
  <c r="E129" i="24"/>
  <c r="D129" i="24"/>
  <c r="O128" i="24"/>
  <c r="M128" i="24"/>
  <c r="K128" i="24"/>
  <c r="I128" i="24"/>
  <c r="G128" i="24"/>
  <c r="F128" i="24"/>
  <c r="E128" i="24"/>
  <c r="D128" i="24"/>
  <c r="O127" i="24"/>
  <c r="M127" i="24"/>
  <c r="K127" i="24"/>
  <c r="I127" i="24"/>
  <c r="G127" i="24"/>
  <c r="F127" i="24"/>
  <c r="E127" i="24"/>
  <c r="D127" i="24"/>
  <c r="O126" i="24"/>
  <c r="M126" i="24"/>
  <c r="K126" i="24"/>
  <c r="I126" i="24"/>
  <c r="G126" i="24"/>
  <c r="F126" i="24"/>
  <c r="E126" i="24"/>
  <c r="D126" i="24"/>
  <c r="O125" i="24"/>
  <c r="M125" i="24"/>
  <c r="K125" i="24"/>
  <c r="I125" i="24"/>
  <c r="G125" i="24"/>
  <c r="F125" i="24"/>
  <c r="E125" i="24"/>
  <c r="D125" i="24"/>
  <c r="O124" i="24"/>
  <c r="M124" i="24"/>
  <c r="K124" i="24"/>
  <c r="I124" i="24"/>
  <c r="G124" i="24"/>
  <c r="F124" i="24"/>
  <c r="E124" i="24"/>
  <c r="D124" i="24"/>
  <c r="O123" i="24"/>
  <c r="M123" i="24"/>
  <c r="K123" i="24"/>
  <c r="I123" i="24"/>
  <c r="G123" i="24"/>
  <c r="F123" i="24"/>
  <c r="E123" i="24"/>
  <c r="D123" i="24"/>
  <c r="O122" i="24"/>
  <c r="M122" i="24"/>
  <c r="K122" i="24"/>
  <c r="I122" i="24"/>
  <c r="G122" i="24"/>
  <c r="F122" i="24"/>
  <c r="E122" i="24"/>
  <c r="D122" i="24"/>
  <c r="O121" i="24"/>
  <c r="M121" i="24"/>
  <c r="K121" i="24"/>
  <c r="I121" i="24"/>
  <c r="G121" i="24"/>
  <c r="F121" i="24"/>
  <c r="E121" i="24"/>
  <c r="D121" i="24"/>
  <c r="O120" i="24"/>
  <c r="M120" i="24"/>
  <c r="K120" i="24"/>
  <c r="I120" i="24"/>
  <c r="G120" i="24"/>
  <c r="F120" i="24"/>
  <c r="E120" i="24"/>
  <c r="D120" i="24"/>
  <c r="O119" i="24"/>
  <c r="M119" i="24"/>
  <c r="K119" i="24"/>
  <c r="I119" i="24"/>
  <c r="G119" i="24"/>
  <c r="F119" i="24"/>
  <c r="E119" i="24"/>
  <c r="D119" i="24"/>
  <c r="O118" i="24"/>
  <c r="M118" i="24"/>
  <c r="K118" i="24"/>
  <c r="I118" i="24"/>
  <c r="G118" i="24"/>
  <c r="F118" i="24"/>
  <c r="E118" i="24"/>
  <c r="D118" i="24"/>
  <c r="O117" i="24"/>
  <c r="M117" i="24"/>
  <c r="K117" i="24"/>
  <c r="I117" i="24"/>
  <c r="G117" i="24"/>
  <c r="F117" i="24"/>
  <c r="E117" i="24"/>
  <c r="D117" i="24"/>
  <c r="O116" i="24"/>
  <c r="M116" i="24"/>
  <c r="K116" i="24"/>
  <c r="I116" i="24"/>
  <c r="G116" i="24"/>
  <c r="F116" i="24"/>
  <c r="E116" i="24"/>
  <c r="D116" i="24"/>
  <c r="O115" i="24"/>
  <c r="M115" i="24"/>
  <c r="K115" i="24"/>
  <c r="I115" i="24"/>
  <c r="G115" i="24"/>
  <c r="F115" i="24"/>
  <c r="E115" i="24"/>
  <c r="D115" i="24"/>
  <c r="O114" i="24"/>
  <c r="M114" i="24"/>
  <c r="K114" i="24"/>
  <c r="I114" i="24"/>
  <c r="G114" i="24"/>
  <c r="F114" i="24"/>
  <c r="E114" i="24"/>
  <c r="D114" i="24"/>
  <c r="O113" i="24"/>
  <c r="M113" i="24"/>
  <c r="K113" i="24"/>
  <c r="I113" i="24"/>
  <c r="G113" i="24"/>
  <c r="F113" i="24"/>
  <c r="E113" i="24"/>
  <c r="D113" i="24"/>
  <c r="O112" i="24"/>
  <c r="M112" i="24"/>
  <c r="K112" i="24"/>
  <c r="I112" i="24"/>
  <c r="G112" i="24"/>
  <c r="F112" i="24"/>
  <c r="E112" i="24"/>
  <c r="D112" i="24"/>
  <c r="O111" i="24"/>
  <c r="M111" i="24"/>
  <c r="K111" i="24"/>
  <c r="I111" i="24"/>
  <c r="G111" i="24"/>
  <c r="F111" i="24"/>
  <c r="E111" i="24"/>
  <c r="D111" i="24"/>
  <c r="O110" i="24"/>
  <c r="M110" i="24"/>
  <c r="K110" i="24"/>
  <c r="I110" i="24"/>
  <c r="G110" i="24"/>
  <c r="F110" i="24"/>
  <c r="E110" i="24"/>
  <c r="D110" i="24"/>
  <c r="O109" i="24"/>
  <c r="M109" i="24"/>
  <c r="K109" i="24"/>
  <c r="I109" i="24"/>
  <c r="G109" i="24"/>
  <c r="F109" i="24"/>
  <c r="E109" i="24"/>
  <c r="D109" i="24"/>
  <c r="O108" i="24"/>
  <c r="M108" i="24"/>
  <c r="K108" i="24"/>
  <c r="I108" i="24"/>
  <c r="G108" i="24"/>
  <c r="F108" i="24"/>
  <c r="E108" i="24"/>
  <c r="D108" i="24"/>
  <c r="O107" i="24"/>
  <c r="M107" i="24"/>
  <c r="K107" i="24"/>
  <c r="I107" i="24"/>
  <c r="G107" i="24"/>
  <c r="F107" i="24"/>
  <c r="E107" i="24"/>
  <c r="D107" i="24"/>
  <c r="O106" i="24"/>
  <c r="M106" i="24"/>
  <c r="K106" i="24"/>
  <c r="I106" i="24"/>
  <c r="G106" i="24"/>
  <c r="F106" i="24"/>
  <c r="E106" i="24"/>
  <c r="D106" i="24"/>
  <c r="O105" i="24"/>
  <c r="M105" i="24"/>
  <c r="K105" i="24"/>
  <c r="I105" i="24"/>
  <c r="G105" i="24"/>
  <c r="F105" i="24"/>
  <c r="E105" i="24"/>
  <c r="D105" i="24"/>
  <c r="O104" i="24"/>
  <c r="M104" i="24"/>
  <c r="K104" i="24"/>
  <c r="I104" i="24"/>
  <c r="G104" i="24"/>
  <c r="F104" i="24"/>
  <c r="E104" i="24"/>
  <c r="D104" i="24"/>
  <c r="O103" i="24"/>
  <c r="M103" i="24"/>
  <c r="K103" i="24"/>
  <c r="I103" i="24"/>
  <c r="G103" i="24"/>
  <c r="F103" i="24"/>
  <c r="E103" i="24"/>
  <c r="D103" i="24"/>
  <c r="O102" i="24"/>
  <c r="M102" i="24"/>
  <c r="K102" i="24"/>
  <c r="I102" i="24"/>
  <c r="G102" i="24"/>
  <c r="F102" i="24"/>
  <c r="E102" i="24"/>
  <c r="D102" i="24"/>
  <c r="O101" i="24"/>
  <c r="M101" i="24"/>
  <c r="K101" i="24"/>
  <c r="I101" i="24"/>
  <c r="G101" i="24"/>
  <c r="F101" i="24"/>
  <c r="E101" i="24"/>
  <c r="D101" i="24"/>
  <c r="O100" i="24"/>
  <c r="M100" i="24"/>
  <c r="K100" i="24"/>
  <c r="I100" i="24"/>
  <c r="G100" i="24"/>
  <c r="F100" i="24"/>
  <c r="E100" i="24"/>
  <c r="D100" i="24"/>
  <c r="O99" i="24"/>
  <c r="M99" i="24"/>
  <c r="K99" i="24"/>
  <c r="I99" i="24"/>
  <c r="G99" i="24"/>
  <c r="F99" i="24"/>
  <c r="E99" i="24"/>
  <c r="D99" i="24"/>
  <c r="O98" i="24"/>
  <c r="M98" i="24"/>
  <c r="K98" i="24"/>
  <c r="I98" i="24"/>
  <c r="G98" i="24"/>
  <c r="F98" i="24"/>
  <c r="E98" i="24"/>
  <c r="D98" i="24"/>
  <c r="O97" i="24"/>
  <c r="M97" i="24"/>
  <c r="K97" i="24"/>
  <c r="I97" i="24"/>
  <c r="G97" i="24"/>
  <c r="F97" i="24"/>
  <c r="E97" i="24"/>
  <c r="D97" i="24"/>
  <c r="O96" i="24"/>
  <c r="M96" i="24"/>
  <c r="K96" i="24"/>
  <c r="I96" i="24"/>
  <c r="G96" i="24"/>
  <c r="F96" i="24"/>
  <c r="E96" i="24"/>
  <c r="D96" i="24"/>
  <c r="O95" i="24"/>
  <c r="M95" i="24"/>
  <c r="K95" i="24"/>
  <c r="I95" i="24"/>
  <c r="G95" i="24"/>
  <c r="F95" i="24"/>
  <c r="E95" i="24"/>
  <c r="D95" i="24"/>
  <c r="O94" i="24"/>
  <c r="M94" i="24"/>
  <c r="K94" i="24"/>
  <c r="I94" i="24"/>
  <c r="G94" i="24"/>
  <c r="F94" i="24"/>
  <c r="E94" i="24"/>
  <c r="D94" i="24"/>
  <c r="O93" i="24"/>
  <c r="M93" i="24"/>
  <c r="K93" i="24"/>
  <c r="I93" i="24"/>
  <c r="G93" i="24"/>
  <c r="F93" i="24"/>
  <c r="E93" i="24"/>
  <c r="D93" i="24"/>
  <c r="O92" i="24"/>
  <c r="M92" i="24"/>
  <c r="K92" i="24"/>
  <c r="I92" i="24"/>
  <c r="G92" i="24"/>
  <c r="F92" i="24"/>
  <c r="E92" i="24"/>
  <c r="D92" i="24"/>
  <c r="O91" i="24"/>
  <c r="M91" i="24"/>
  <c r="K91" i="24"/>
  <c r="I91" i="24"/>
  <c r="G91" i="24"/>
  <c r="F91" i="24"/>
  <c r="E91" i="24"/>
  <c r="D91" i="24"/>
  <c r="O90" i="24"/>
  <c r="M90" i="24"/>
  <c r="K90" i="24"/>
  <c r="I90" i="24"/>
  <c r="G90" i="24"/>
  <c r="F90" i="24"/>
  <c r="E90" i="24"/>
  <c r="D90" i="24"/>
  <c r="O89" i="24"/>
  <c r="M89" i="24"/>
  <c r="K89" i="24"/>
  <c r="I89" i="24"/>
  <c r="G89" i="24"/>
  <c r="F89" i="24"/>
  <c r="E89" i="24"/>
  <c r="D89" i="24"/>
  <c r="O88" i="24"/>
  <c r="M88" i="24"/>
  <c r="K88" i="24"/>
  <c r="I88" i="24"/>
  <c r="G88" i="24"/>
  <c r="F88" i="24"/>
  <c r="E88" i="24"/>
  <c r="D88" i="24"/>
  <c r="O87" i="24"/>
  <c r="M87" i="24"/>
  <c r="K87" i="24"/>
  <c r="I87" i="24"/>
  <c r="G87" i="24"/>
  <c r="F87" i="24"/>
  <c r="E87" i="24"/>
  <c r="D87" i="24"/>
  <c r="O86" i="24"/>
  <c r="M86" i="24"/>
  <c r="K86" i="24"/>
  <c r="I86" i="24"/>
  <c r="G86" i="24"/>
  <c r="F86" i="24"/>
  <c r="E86" i="24"/>
  <c r="D86" i="24"/>
  <c r="O85" i="24"/>
  <c r="M85" i="24"/>
  <c r="K85" i="24"/>
  <c r="I85" i="24"/>
  <c r="G85" i="24"/>
  <c r="F85" i="24"/>
  <c r="E85" i="24"/>
  <c r="D85" i="24"/>
  <c r="O84" i="24"/>
  <c r="M84" i="24"/>
  <c r="K84" i="24"/>
  <c r="I84" i="24"/>
  <c r="G84" i="24"/>
  <c r="F84" i="24"/>
  <c r="E84" i="24"/>
  <c r="D84" i="24"/>
  <c r="O83" i="24"/>
  <c r="M83" i="24"/>
  <c r="K83" i="24"/>
  <c r="I83" i="24"/>
  <c r="G83" i="24"/>
  <c r="F83" i="24"/>
  <c r="E83" i="24"/>
  <c r="D83" i="24"/>
  <c r="O82" i="24"/>
  <c r="M82" i="24"/>
  <c r="K82" i="24"/>
  <c r="I82" i="24"/>
  <c r="G82" i="24"/>
  <c r="F82" i="24"/>
  <c r="E82" i="24"/>
  <c r="D82" i="24"/>
  <c r="O81" i="24"/>
  <c r="M81" i="24"/>
  <c r="K81" i="24"/>
  <c r="I81" i="24"/>
  <c r="G81" i="24"/>
  <c r="F81" i="24"/>
  <c r="E81" i="24"/>
  <c r="D81" i="24"/>
  <c r="O80" i="24"/>
  <c r="M80" i="24"/>
  <c r="K80" i="24"/>
  <c r="I80" i="24"/>
  <c r="G80" i="24"/>
  <c r="F80" i="24"/>
  <c r="E80" i="24"/>
  <c r="D80" i="24"/>
  <c r="O79" i="24"/>
  <c r="M79" i="24"/>
  <c r="K79" i="24"/>
  <c r="I79" i="24"/>
  <c r="G79" i="24"/>
  <c r="F79" i="24"/>
  <c r="E79" i="24"/>
  <c r="D79" i="24"/>
  <c r="O78" i="24"/>
  <c r="M78" i="24"/>
  <c r="K78" i="24"/>
  <c r="I78" i="24"/>
  <c r="G78" i="24"/>
  <c r="F78" i="24"/>
  <c r="E78" i="24"/>
  <c r="D78" i="24"/>
  <c r="O77" i="24"/>
  <c r="M77" i="24"/>
  <c r="K77" i="24"/>
  <c r="I77" i="24"/>
  <c r="G77" i="24"/>
  <c r="F77" i="24"/>
  <c r="E77" i="24"/>
  <c r="D77" i="24"/>
  <c r="O76" i="24"/>
  <c r="M76" i="24"/>
  <c r="K76" i="24"/>
  <c r="I76" i="24"/>
  <c r="G76" i="24"/>
  <c r="F76" i="24"/>
  <c r="E76" i="24"/>
  <c r="D76" i="24"/>
  <c r="O75" i="24"/>
  <c r="M75" i="24"/>
  <c r="K75" i="24"/>
  <c r="I75" i="24"/>
  <c r="G75" i="24"/>
  <c r="F75" i="24"/>
  <c r="E75" i="24"/>
  <c r="D75" i="24"/>
  <c r="O74" i="24"/>
  <c r="M74" i="24"/>
  <c r="K74" i="24"/>
  <c r="I74" i="24"/>
  <c r="G74" i="24"/>
  <c r="F74" i="24"/>
  <c r="E74" i="24"/>
  <c r="D74" i="24"/>
  <c r="O73" i="24"/>
  <c r="M73" i="24"/>
  <c r="K73" i="24"/>
  <c r="I73" i="24"/>
  <c r="G73" i="24"/>
  <c r="F73" i="24"/>
  <c r="E73" i="24"/>
  <c r="D73" i="24"/>
  <c r="O72" i="24"/>
  <c r="M72" i="24"/>
  <c r="K72" i="24"/>
  <c r="I72" i="24"/>
  <c r="G72" i="24"/>
  <c r="F72" i="24"/>
  <c r="E72" i="24"/>
  <c r="D72" i="24"/>
  <c r="O71" i="24"/>
  <c r="M71" i="24"/>
  <c r="K71" i="24"/>
  <c r="I71" i="24"/>
  <c r="G71" i="24"/>
  <c r="F71" i="24"/>
  <c r="E71" i="24"/>
  <c r="D71" i="24"/>
  <c r="O70" i="24"/>
  <c r="M70" i="24"/>
  <c r="K70" i="24"/>
  <c r="I70" i="24"/>
  <c r="G70" i="24"/>
  <c r="F70" i="24"/>
  <c r="E70" i="24"/>
  <c r="D70" i="24"/>
  <c r="O69" i="24"/>
  <c r="M69" i="24"/>
  <c r="K69" i="24"/>
  <c r="I69" i="24"/>
  <c r="G69" i="24"/>
  <c r="F69" i="24"/>
  <c r="E69" i="24"/>
  <c r="D69" i="24"/>
  <c r="O68" i="24"/>
  <c r="M68" i="24"/>
  <c r="K68" i="24"/>
  <c r="I68" i="24"/>
  <c r="G68" i="24"/>
  <c r="F68" i="24"/>
  <c r="E68" i="24"/>
  <c r="D68" i="24"/>
  <c r="O67" i="24"/>
  <c r="M67" i="24"/>
  <c r="K67" i="24"/>
  <c r="I67" i="24"/>
  <c r="G67" i="24"/>
  <c r="F67" i="24"/>
  <c r="E67" i="24"/>
  <c r="D67" i="24"/>
  <c r="O66" i="24"/>
  <c r="M66" i="24"/>
  <c r="K66" i="24"/>
  <c r="I66" i="24"/>
  <c r="G66" i="24"/>
  <c r="F66" i="24"/>
  <c r="E66" i="24"/>
  <c r="D66" i="24"/>
  <c r="O65" i="24"/>
  <c r="M65" i="24"/>
  <c r="K65" i="24"/>
  <c r="I65" i="24"/>
  <c r="G65" i="24"/>
  <c r="F65" i="24"/>
  <c r="E65" i="24"/>
  <c r="D65" i="24"/>
  <c r="O64" i="24"/>
  <c r="M64" i="24"/>
  <c r="K64" i="24"/>
  <c r="I64" i="24"/>
  <c r="G64" i="24"/>
  <c r="F64" i="24"/>
  <c r="E64" i="24"/>
  <c r="D64" i="24"/>
  <c r="O63" i="24"/>
  <c r="M63" i="24"/>
  <c r="K63" i="24"/>
  <c r="I63" i="24"/>
  <c r="G63" i="24"/>
  <c r="F63" i="24"/>
  <c r="E63" i="24"/>
  <c r="D63" i="24"/>
  <c r="O62" i="24"/>
  <c r="M62" i="24"/>
  <c r="K62" i="24"/>
  <c r="I62" i="24"/>
  <c r="G62" i="24"/>
  <c r="F62" i="24"/>
  <c r="E62" i="24"/>
  <c r="D62" i="24"/>
  <c r="O61" i="24"/>
  <c r="M61" i="24"/>
  <c r="K61" i="24"/>
  <c r="I61" i="24"/>
  <c r="G61" i="24"/>
  <c r="F61" i="24"/>
  <c r="E61" i="24"/>
  <c r="D61" i="24"/>
  <c r="O60" i="24"/>
  <c r="M60" i="24"/>
  <c r="K60" i="24"/>
  <c r="I60" i="24"/>
  <c r="G60" i="24"/>
  <c r="F60" i="24"/>
  <c r="E60" i="24"/>
  <c r="D60" i="24"/>
  <c r="O59" i="24"/>
  <c r="M59" i="24"/>
  <c r="K59" i="24"/>
  <c r="I59" i="24"/>
  <c r="G59" i="24"/>
  <c r="F59" i="24"/>
  <c r="E59" i="24"/>
  <c r="D59" i="24"/>
  <c r="O58" i="24"/>
  <c r="M58" i="24"/>
  <c r="K58" i="24"/>
  <c r="I58" i="24"/>
  <c r="G58" i="24"/>
  <c r="F58" i="24"/>
  <c r="E58" i="24"/>
  <c r="D58" i="24"/>
  <c r="O57" i="24"/>
  <c r="M57" i="24"/>
  <c r="K57" i="24"/>
  <c r="I57" i="24"/>
  <c r="G57" i="24"/>
  <c r="F57" i="24"/>
  <c r="E57" i="24"/>
  <c r="D57" i="24"/>
  <c r="O56" i="24"/>
  <c r="M56" i="24"/>
  <c r="K56" i="24"/>
  <c r="I56" i="24"/>
  <c r="G56" i="24"/>
  <c r="F56" i="24"/>
  <c r="E56" i="24"/>
  <c r="D56" i="24"/>
  <c r="O55" i="24"/>
  <c r="M55" i="24"/>
  <c r="K55" i="24"/>
  <c r="I55" i="24"/>
  <c r="G55" i="24"/>
  <c r="F55" i="24"/>
  <c r="E55" i="24"/>
  <c r="D55" i="24"/>
  <c r="O54" i="24"/>
  <c r="M54" i="24"/>
  <c r="K54" i="24"/>
  <c r="I54" i="24"/>
  <c r="G54" i="24"/>
  <c r="F54" i="24"/>
  <c r="E54" i="24"/>
  <c r="D54" i="24"/>
  <c r="O53" i="24"/>
  <c r="M53" i="24"/>
  <c r="K53" i="24"/>
  <c r="I53" i="24"/>
  <c r="G53" i="24"/>
  <c r="F53" i="24"/>
  <c r="E53" i="24"/>
  <c r="D53" i="24"/>
  <c r="O52" i="24"/>
  <c r="M52" i="24"/>
  <c r="K52" i="24"/>
  <c r="I52" i="24"/>
  <c r="G52" i="24"/>
  <c r="F52" i="24"/>
  <c r="E52" i="24"/>
  <c r="D52" i="24"/>
  <c r="O51" i="24"/>
  <c r="M51" i="24"/>
  <c r="K51" i="24"/>
  <c r="I51" i="24"/>
  <c r="G51" i="24"/>
  <c r="F51" i="24"/>
  <c r="E51" i="24"/>
  <c r="D51" i="24"/>
  <c r="O50" i="24"/>
  <c r="M50" i="24"/>
  <c r="K50" i="24"/>
  <c r="I50" i="24"/>
  <c r="G50" i="24"/>
  <c r="F50" i="24"/>
  <c r="E50" i="24"/>
  <c r="D50" i="24"/>
  <c r="O49" i="24"/>
  <c r="M49" i="24"/>
  <c r="K49" i="24"/>
  <c r="I49" i="24"/>
  <c r="G49" i="24"/>
  <c r="F49" i="24"/>
  <c r="E49" i="24"/>
  <c r="D49" i="24"/>
  <c r="O48" i="24"/>
  <c r="M48" i="24"/>
  <c r="K48" i="24"/>
  <c r="I48" i="24"/>
  <c r="G48" i="24"/>
  <c r="F48" i="24"/>
  <c r="E48" i="24"/>
  <c r="D48" i="24"/>
  <c r="O47" i="24"/>
  <c r="M47" i="24"/>
  <c r="K47" i="24"/>
  <c r="I47" i="24"/>
  <c r="G47" i="24"/>
  <c r="F47" i="24"/>
  <c r="E47" i="24"/>
  <c r="D47" i="24"/>
  <c r="O46" i="24"/>
  <c r="M46" i="24"/>
  <c r="K46" i="24"/>
  <c r="I46" i="24"/>
  <c r="G46" i="24"/>
  <c r="F46" i="24"/>
  <c r="E46" i="24"/>
  <c r="D46" i="24"/>
  <c r="O45" i="24"/>
  <c r="M45" i="24"/>
  <c r="K45" i="24"/>
  <c r="I45" i="24"/>
  <c r="G45" i="24"/>
  <c r="F45" i="24"/>
  <c r="E45" i="24"/>
  <c r="D45" i="24"/>
  <c r="O44" i="24"/>
  <c r="M44" i="24"/>
  <c r="K44" i="24"/>
  <c r="I44" i="24"/>
  <c r="G44" i="24"/>
  <c r="F44" i="24"/>
  <c r="E44" i="24"/>
  <c r="D44" i="24"/>
  <c r="O43" i="24"/>
  <c r="M43" i="24"/>
  <c r="K43" i="24"/>
  <c r="I43" i="24"/>
  <c r="G43" i="24"/>
  <c r="F43" i="24"/>
  <c r="E43" i="24"/>
  <c r="D43" i="24"/>
  <c r="O42" i="24"/>
  <c r="M42" i="24"/>
  <c r="K42" i="24"/>
  <c r="I42" i="24"/>
  <c r="G42" i="24"/>
  <c r="F42" i="24"/>
  <c r="E42" i="24"/>
  <c r="D42" i="24"/>
  <c r="O41" i="24"/>
  <c r="M41" i="24"/>
  <c r="K41" i="24"/>
  <c r="I41" i="24"/>
  <c r="G41" i="24"/>
  <c r="F41" i="24"/>
  <c r="E41" i="24"/>
  <c r="D41" i="24"/>
  <c r="O40" i="24"/>
  <c r="M40" i="24"/>
  <c r="K40" i="24"/>
  <c r="I40" i="24"/>
  <c r="G40" i="24"/>
  <c r="F40" i="24"/>
  <c r="E40" i="24"/>
  <c r="D40" i="24"/>
  <c r="O39" i="24"/>
  <c r="M39" i="24"/>
  <c r="K39" i="24"/>
  <c r="I39" i="24"/>
  <c r="G39" i="24"/>
  <c r="F39" i="24"/>
  <c r="E39" i="24"/>
  <c r="D39" i="24"/>
  <c r="O38" i="24"/>
  <c r="M38" i="24"/>
  <c r="K38" i="24"/>
  <c r="I38" i="24"/>
  <c r="G38" i="24"/>
  <c r="F38" i="24"/>
  <c r="E38" i="24"/>
  <c r="D38" i="24"/>
  <c r="O37" i="24"/>
  <c r="M37" i="24"/>
  <c r="K37" i="24"/>
  <c r="I37" i="24"/>
  <c r="G37" i="24"/>
  <c r="F37" i="24"/>
  <c r="E37" i="24"/>
  <c r="D37" i="24"/>
  <c r="O36" i="24"/>
  <c r="M36" i="24"/>
  <c r="K36" i="24"/>
  <c r="I36" i="24"/>
  <c r="G36" i="24"/>
  <c r="F36" i="24"/>
  <c r="E36" i="24"/>
  <c r="D36" i="24"/>
  <c r="O35" i="24"/>
  <c r="M35" i="24"/>
  <c r="K35" i="24"/>
  <c r="I35" i="24"/>
  <c r="G35" i="24"/>
  <c r="F35" i="24"/>
  <c r="E35" i="24"/>
  <c r="D35" i="24"/>
  <c r="O34" i="24"/>
  <c r="M34" i="24"/>
  <c r="K34" i="24"/>
  <c r="I34" i="24"/>
  <c r="G34" i="24"/>
  <c r="F34" i="24"/>
  <c r="E34" i="24"/>
  <c r="D34" i="24"/>
  <c r="O33" i="24"/>
  <c r="M33" i="24"/>
  <c r="K33" i="24"/>
  <c r="I33" i="24"/>
  <c r="G33" i="24"/>
  <c r="F33" i="24"/>
  <c r="E33" i="24"/>
  <c r="D33" i="24"/>
  <c r="O32" i="24"/>
  <c r="M32" i="24"/>
  <c r="K32" i="24"/>
  <c r="I32" i="24"/>
  <c r="G32" i="24"/>
  <c r="F32" i="24"/>
  <c r="E32" i="24"/>
  <c r="D32" i="24"/>
  <c r="O31" i="24"/>
  <c r="M31" i="24"/>
  <c r="K31" i="24"/>
  <c r="I31" i="24"/>
  <c r="G31" i="24"/>
  <c r="F31" i="24"/>
  <c r="E31" i="24"/>
  <c r="D31" i="24"/>
  <c r="O30" i="24"/>
  <c r="M30" i="24"/>
  <c r="K30" i="24"/>
  <c r="I30" i="24"/>
  <c r="G30" i="24"/>
  <c r="F30" i="24"/>
  <c r="E30" i="24"/>
  <c r="D30" i="24"/>
  <c r="O29" i="24"/>
  <c r="M29" i="24"/>
  <c r="K29" i="24"/>
  <c r="I29" i="24"/>
  <c r="G29" i="24"/>
  <c r="F29" i="24"/>
  <c r="E29" i="24"/>
  <c r="D29" i="24"/>
  <c r="O28" i="24"/>
  <c r="M28" i="24"/>
  <c r="K28" i="24"/>
  <c r="I28" i="24"/>
  <c r="G28" i="24"/>
  <c r="F28" i="24"/>
  <c r="E28" i="24"/>
  <c r="D28" i="24"/>
  <c r="O27" i="24"/>
  <c r="M27" i="24"/>
  <c r="K27" i="24"/>
  <c r="I27" i="24"/>
  <c r="G27" i="24"/>
  <c r="F27" i="24"/>
  <c r="E27" i="24"/>
  <c r="D27" i="24"/>
  <c r="O26" i="24"/>
  <c r="M26" i="24"/>
  <c r="K26" i="24"/>
  <c r="I26" i="24"/>
  <c r="G26" i="24"/>
  <c r="F26" i="24"/>
  <c r="E26" i="24"/>
  <c r="D26" i="24"/>
  <c r="O25" i="24"/>
  <c r="M25" i="24"/>
  <c r="K25" i="24"/>
  <c r="I25" i="24"/>
  <c r="G25" i="24"/>
  <c r="F25" i="24"/>
  <c r="E25" i="24"/>
  <c r="D25" i="24"/>
  <c r="O24" i="24"/>
  <c r="M24" i="24"/>
  <c r="K24" i="24"/>
  <c r="I24" i="24"/>
  <c r="G24" i="24"/>
  <c r="F24" i="24"/>
  <c r="E24" i="24"/>
  <c r="D24" i="24"/>
  <c r="O23" i="24"/>
  <c r="M23" i="24"/>
  <c r="K23" i="24"/>
  <c r="I23" i="24"/>
  <c r="G23" i="24"/>
  <c r="F23" i="24"/>
  <c r="E23" i="24"/>
  <c r="D23" i="24"/>
  <c r="O22" i="24"/>
  <c r="M22" i="24"/>
  <c r="K22" i="24"/>
  <c r="I22" i="24"/>
  <c r="G22" i="24"/>
  <c r="F22" i="24"/>
  <c r="E22" i="24"/>
  <c r="D22" i="24"/>
  <c r="O21" i="24"/>
  <c r="M21" i="24"/>
  <c r="K21" i="24"/>
  <c r="I21" i="24"/>
  <c r="G21" i="24"/>
  <c r="F21" i="24"/>
  <c r="E21" i="24"/>
  <c r="D21" i="24"/>
  <c r="O20" i="24"/>
  <c r="M20" i="24"/>
  <c r="K20" i="24"/>
  <c r="I20" i="24"/>
  <c r="G20" i="24"/>
  <c r="F20" i="24"/>
  <c r="E20" i="24"/>
  <c r="D20" i="24"/>
  <c r="O19" i="24"/>
  <c r="M19" i="24"/>
  <c r="K19" i="24"/>
  <c r="I19" i="24"/>
  <c r="G19" i="24"/>
  <c r="F19" i="24"/>
  <c r="E19" i="24"/>
  <c r="D19" i="24"/>
  <c r="O18" i="24"/>
  <c r="M18" i="24"/>
  <c r="K18" i="24"/>
  <c r="I18" i="24"/>
  <c r="G18" i="24"/>
  <c r="F18" i="24"/>
  <c r="E18" i="24"/>
  <c r="D18" i="24"/>
  <c r="O17" i="24"/>
  <c r="M17" i="24"/>
  <c r="K17" i="24"/>
  <c r="I17" i="24"/>
  <c r="G17" i="24"/>
  <c r="F17" i="24"/>
  <c r="E17" i="24"/>
  <c r="D17" i="24"/>
  <c r="O16" i="24"/>
  <c r="M16" i="24"/>
  <c r="K16" i="24"/>
  <c r="I16" i="24"/>
  <c r="G16" i="24"/>
  <c r="F16" i="24"/>
  <c r="E16" i="24"/>
  <c r="D16" i="24"/>
  <c r="O15" i="24"/>
  <c r="M15" i="24"/>
  <c r="K15" i="24"/>
  <c r="I15" i="24"/>
  <c r="G15" i="24"/>
  <c r="F15" i="24"/>
  <c r="E15" i="24"/>
  <c r="D15" i="24"/>
  <c r="O14" i="24"/>
  <c r="M14" i="24"/>
  <c r="K14" i="24"/>
  <c r="I14" i="24"/>
  <c r="G14" i="24"/>
  <c r="F14" i="24"/>
  <c r="E14" i="24"/>
  <c r="D14" i="24"/>
  <c r="O13" i="24"/>
  <c r="M13" i="24"/>
  <c r="K13" i="24"/>
  <c r="I13" i="24"/>
  <c r="G13" i="24"/>
  <c r="F13" i="24"/>
  <c r="E13" i="24"/>
  <c r="D13" i="24"/>
  <c r="O12" i="24"/>
  <c r="M12" i="24"/>
  <c r="K12" i="24"/>
  <c r="I12" i="24"/>
  <c r="G12" i="24"/>
  <c r="F12" i="24"/>
  <c r="E12" i="24"/>
  <c r="D12" i="24"/>
  <c r="O11" i="24"/>
  <c r="M11" i="24"/>
  <c r="K11" i="24"/>
  <c r="I11" i="24"/>
  <c r="G11" i="24"/>
  <c r="F11" i="24"/>
  <c r="E11" i="24"/>
  <c r="D11" i="24"/>
  <c r="O10" i="24"/>
  <c r="M10" i="24"/>
  <c r="K10" i="24"/>
  <c r="I10" i="24"/>
  <c r="G10" i="24"/>
  <c r="F10" i="24"/>
  <c r="E10" i="24"/>
  <c r="D10" i="24"/>
  <c r="O9" i="24"/>
  <c r="M9" i="24"/>
  <c r="K9" i="24"/>
  <c r="I9" i="24"/>
  <c r="G9" i="24"/>
  <c r="F9" i="24"/>
  <c r="E9" i="24"/>
  <c r="D9" i="24"/>
  <c r="O8" i="24"/>
  <c r="M8" i="24"/>
  <c r="K8" i="24"/>
  <c r="I8" i="24"/>
  <c r="G8" i="24"/>
  <c r="F8" i="24"/>
  <c r="E8" i="24"/>
  <c r="D8" i="24"/>
  <c r="O7" i="24"/>
  <c r="M7" i="24"/>
  <c r="K7" i="24"/>
  <c r="I7" i="24"/>
  <c r="G7" i="24"/>
  <c r="F7" i="24"/>
  <c r="E7" i="24"/>
  <c r="D7" i="24"/>
  <c r="O6" i="24"/>
  <c r="M6" i="24"/>
  <c r="K6" i="24"/>
  <c r="I6" i="24"/>
  <c r="G6" i="24"/>
  <c r="F6" i="24"/>
  <c r="F181" i="24" s="1"/>
  <c r="E6" i="24"/>
  <c r="E181" i="24" s="1"/>
  <c r="D6" i="24"/>
  <c r="Q28" i="23"/>
  <c r="O338" i="23"/>
  <c r="N338" i="23"/>
  <c r="M338" i="23"/>
  <c r="L338" i="23"/>
  <c r="K338" i="23"/>
  <c r="J338" i="23"/>
  <c r="I338" i="23"/>
  <c r="H338" i="23"/>
  <c r="G338" i="23"/>
  <c r="E338" i="23"/>
  <c r="O337" i="23"/>
  <c r="M337" i="23"/>
  <c r="K337" i="23"/>
  <c r="I337" i="23"/>
  <c r="G337" i="23"/>
  <c r="F337" i="23"/>
  <c r="E337" i="23"/>
  <c r="D337" i="23"/>
  <c r="O336" i="23"/>
  <c r="M336" i="23"/>
  <c r="K336" i="23"/>
  <c r="I336" i="23"/>
  <c r="G336" i="23"/>
  <c r="F336" i="23"/>
  <c r="E336" i="23"/>
  <c r="D336" i="23"/>
  <c r="O335" i="23"/>
  <c r="M335" i="23"/>
  <c r="K335" i="23"/>
  <c r="I335" i="23"/>
  <c r="G335" i="23"/>
  <c r="F335" i="23"/>
  <c r="E335" i="23"/>
  <c r="D335" i="23"/>
  <c r="O334" i="23"/>
  <c r="M334" i="23"/>
  <c r="K334" i="23"/>
  <c r="I334" i="23"/>
  <c r="G334" i="23"/>
  <c r="F334" i="23"/>
  <c r="E334" i="23"/>
  <c r="D334" i="23"/>
  <c r="O333" i="23"/>
  <c r="M333" i="23"/>
  <c r="K333" i="23"/>
  <c r="I333" i="23"/>
  <c r="G333" i="23"/>
  <c r="F333" i="23"/>
  <c r="E333" i="23"/>
  <c r="D333" i="23"/>
  <c r="O332" i="23"/>
  <c r="M332" i="23"/>
  <c r="K332" i="23"/>
  <c r="I332" i="23"/>
  <c r="G332" i="23"/>
  <c r="F332" i="23"/>
  <c r="E332" i="23"/>
  <c r="D332" i="23"/>
  <c r="O331" i="23"/>
  <c r="M331" i="23"/>
  <c r="K331" i="23"/>
  <c r="I331" i="23"/>
  <c r="G331" i="23"/>
  <c r="F331" i="23"/>
  <c r="E331" i="23"/>
  <c r="D331" i="23"/>
  <c r="O330" i="23"/>
  <c r="M330" i="23"/>
  <c r="K330" i="23"/>
  <c r="I330" i="23"/>
  <c r="G330" i="23"/>
  <c r="F330" i="23"/>
  <c r="E330" i="23"/>
  <c r="D330" i="23"/>
  <c r="O329" i="23"/>
  <c r="M329" i="23"/>
  <c r="K329" i="23"/>
  <c r="I329" i="23"/>
  <c r="G329" i="23"/>
  <c r="F329" i="23"/>
  <c r="E329" i="23"/>
  <c r="D329" i="23"/>
  <c r="O328" i="23"/>
  <c r="M328" i="23"/>
  <c r="K328" i="23"/>
  <c r="I328" i="23"/>
  <c r="G328" i="23"/>
  <c r="F328" i="23"/>
  <c r="E328" i="23"/>
  <c r="D328" i="23"/>
  <c r="O327" i="23"/>
  <c r="M327" i="23"/>
  <c r="K327" i="23"/>
  <c r="I327" i="23"/>
  <c r="G327" i="23"/>
  <c r="F327" i="23"/>
  <c r="E327" i="23"/>
  <c r="D327" i="23"/>
  <c r="O326" i="23"/>
  <c r="M326" i="23"/>
  <c r="K326" i="23"/>
  <c r="I326" i="23"/>
  <c r="G326" i="23"/>
  <c r="F326" i="23"/>
  <c r="E326" i="23"/>
  <c r="D326" i="23"/>
  <c r="O325" i="23"/>
  <c r="M325" i="23"/>
  <c r="K325" i="23"/>
  <c r="I325" i="23"/>
  <c r="G325" i="23"/>
  <c r="F325" i="23"/>
  <c r="E325" i="23"/>
  <c r="D325" i="23"/>
  <c r="O324" i="23"/>
  <c r="M324" i="23"/>
  <c r="K324" i="23"/>
  <c r="I324" i="23"/>
  <c r="G324" i="23"/>
  <c r="F324" i="23"/>
  <c r="E324" i="23"/>
  <c r="D324" i="23"/>
  <c r="O323" i="23"/>
  <c r="M323" i="23"/>
  <c r="K323" i="23"/>
  <c r="I323" i="23"/>
  <c r="G323" i="23"/>
  <c r="F323" i="23"/>
  <c r="E323" i="23"/>
  <c r="D323" i="23"/>
  <c r="O322" i="23"/>
  <c r="M322" i="23"/>
  <c r="K322" i="23"/>
  <c r="I322" i="23"/>
  <c r="G322" i="23"/>
  <c r="F322" i="23"/>
  <c r="E322" i="23"/>
  <c r="D322" i="23"/>
  <c r="O321" i="23"/>
  <c r="M321" i="23"/>
  <c r="K321" i="23"/>
  <c r="I321" i="23"/>
  <c r="G321" i="23"/>
  <c r="F321" i="23"/>
  <c r="E321" i="23"/>
  <c r="D321" i="23"/>
  <c r="O320" i="23"/>
  <c r="M320" i="23"/>
  <c r="K320" i="23"/>
  <c r="I320" i="23"/>
  <c r="G320" i="23"/>
  <c r="F320" i="23"/>
  <c r="E320" i="23"/>
  <c r="D320" i="23"/>
  <c r="O319" i="23"/>
  <c r="M319" i="23"/>
  <c r="K319" i="23"/>
  <c r="I319" i="23"/>
  <c r="G319" i="23"/>
  <c r="F319" i="23"/>
  <c r="E319" i="23"/>
  <c r="D319" i="23"/>
  <c r="O318" i="23"/>
  <c r="M318" i="23"/>
  <c r="K318" i="23"/>
  <c r="I318" i="23"/>
  <c r="G318" i="23"/>
  <c r="F318" i="23"/>
  <c r="E318" i="23"/>
  <c r="D318" i="23"/>
  <c r="O317" i="23"/>
  <c r="M317" i="23"/>
  <c r="K317" i="23"/>
  <c r="I317" i="23"/>
  <c r="G317" i="23"/>
  <c r="F317" i="23"/>
  <c r="E317" i="23"/>
  <c r="D317" i="23"/>
  <c r="O316" i="23"/>
  <c r="M316" i="23"/>
  <c r="K316" i="23"/>
  <c r="I316" i="23"/>
  <c r="G316" i="23"/>
  <c r="F316" i="23"/>
  <c r="E316" i="23"/>
  <c r="D316" i="23"/>
  <c r="O315" i="23"/>
  <c r="M315" i="23"/>
  <c r="K315" i="23"/>
  <c r="I315" i="23"/>
  <c r="G315" i="23"/>
  <c r="F315" i="23"/>
  <c r="E315" i="23"/>
  <c r="D315" i="23"/>
  <c r="O314" i="23"/>
  <c r="M314" i="23"/>
  <c r="K314" i="23"/>
  <c r="I314" i="23"/>
  <c r="G314" i="23"/>
  <c r="F314" i="23"/>
  <c r="E314" i="23"/>
  <c r="D314" i="23"/>
  <c r="O313" i="23"/>
  <c r="M313" i="23"/>
  <c r="K313" i="23"/>
  <c r="I313" i="23"/>
  <c r="G313" i="23"/>
  <c r="F313" i="23"/>
  <c r="E313" i="23"/>
  <c r="D313" i="23"/>
  <c r="O312" i="23"/>
  <c r="M312" i="23"/>
  <c r="K312" i="23"/>
  <c r="I312" i="23"/>
  <c r="G312" i="23"/>
  <c r="F312" i="23"/>
  <c r="E312" i="23"/>
  <c r="D312" i="23"/>
  <c r="O311" i="23"/>
  <c r="M311" i="23"/>
  <c r="K311" i="23"/>
  <c r="I311" i="23"/>
  <c r="G311" i="23"/>
  <c r="F311" i="23"/>
  <c r="E311" i="23"/>
  <c r="D311" i="23"/>
  <c r="O310" i="23"/>
  <c r="M310" i="23"/>
  <c r="K310" i="23"/>
  <c r="I310" i="23"/>
  <c r="G310" i="23"/>
  <c r="F310" i="23"/>
  <c r="E310" i="23"/>
  <c r="D310" i="23"/>
  <c r="O309" i="23"/>
  <c r="M309" i="23"/>
  <c r="K309" i="23"/>
  <c r="I309" i="23"/>
  <c r="G309" i="23"/>
  <c r="F309" i="23"/>
  <c r="E309" i="23"/>
  <c r="D309" i="23"/>
  <c r="O308" i="23"/>
  <c r="M308" i="23"/>
  <c r="K308" i="23"/>
  <c r="I308" i="23"/>
  <c r="G308" i="23"/>
  <c r="F308" i="23"/>
  <c r="E308" i="23"/>
  <c r="D308" i="23"/>
  <c r="O307" i="23"/>
  <c r="M307" i="23"/>
  <c r="K307" i="23"/>
  <c r="I307" i="23"/>
  <c r="G307" i="23"/>
  <c r="F307" i="23"/>
  <c r="E307" i="23"/>
  <c r="D307" i="23"/>
  <c r="O306" i="23"/>
  <c r="M306" i="23"/>
  <c r="K306" i="23"/>
  <c r="I306" i="23"/>
  <c r="G306" i="23"/>
  <c r="F306" i="23"/>
  <c r="E306" i="23"/>
  <c r="D306" i="23"/>
  <c r="O305" i="23"/>
  <c r="M305" i="23"/>
  <c r="K305" i="23"/>
  <c r="I305" i="23"/>
  <c r="G305" i="23"/>
  <c r="F305" i="23"/>
  <c r="E305" i="23"/>
  <c r="D305" i="23"/>
  <c r="O304" i="23"/>
  <c r="M304" i="23"/>
  <c r="K304" i="23"/>
  <c r="I304" i="23"/>
  <c r="G304" i="23"/>
  <c r="F304" i="23"/>
  <c r="E304" i="23"/>
  <c r="D304" i="23"/>
  <c r="O303" i="23"/>
  <c r="M303" i="23"/>
  <c r="K303" i="23"/>
  <c r="I303" i="23"/>
  <c r="G303" i="23"/>
  <c r="F303" i="23"/>
  <c r="E303" i="23"/>
  <c r="D303" i="23"/>
  <c r="O302" i="23"/>
  <c r="M302" i="23"/>
  <c r="K302" i="23"/>
  <c r="I302" i="23"/>
  <c r="G302" i="23"/>
  <c r="F302" i="23"/>
  <c r="E302" i="23"/>
  <c r="D302" i="23"/>
  <c r="O301" i="23"/>
  <c r="M301" i="23"/>
  <c r="K301" i="23"/>
  <c r="I301" i="23"/>
  <c r="G301" i="23"/>
  <c r="F301" i="23"/>
  <c r="E301" i="23"/>
  <c r="D301" i="23"/>
  <c r="O300" i="23"/>
  <c r="M300" i="23"/>
  <c r="K300" i="23"/>
  <c r="I300" i="23"/>
  <c r="G300" i="23"/>
  <c r="F300" i="23"/>
  <c r="E300" i="23"/>
  <c r="D300" i="23"/>
  <c r="O299" i="23"/>
  <c r="M299" i="23"/>
  <c r="K299" i="23"/>
  <c r="I299" i="23"/>
  <c r="G299" i="23"/>
  <c r="F299" i="23"/>
  <c r="E299" i="23"/>
  <c r="D299" i="23"/>
  <c r="O298" i="23"/>
  <c r="M298" i="23"/>
  <c r="K298" i="23"/>
  <c r="I298" i="23"/>
  <c r="G298" i="23"/>
  <c r="F298" i="23"/>
  <c r="E298" i="23"/>
  <c r="D298" i="23"/>
  <c r="O297" i="23"/>
  <c r="M297" i="23"/>
  <c r="K297" i="23"/>
  <c r="I297" i="23"/>
  <c r="G297" i="23"/>
  <c r="F297" i="23"/>
  <c r="E297" i="23"/>
  <c r="D297" i="23"/>
  <c r="O296" i="23"/>
  <c r="M296" i="23"/>
  <c r="K296" i="23"/>
  <c r="I296" i="23"/>
  <c r="G296" i="23"/>
  <c r="F296" i="23"/>
  <c r="E296" i="23"/>
  <c r="D296" i="23"/>
  <c r="O295" i="23"/>
  <c r="M295" i="23"/>
  <c r="K295" i="23"/>
  <c r="I295" i="23"/>
  <c r="G295" i="23"/>
  <c r="F295" i="23"/>
  <c r="E295" i="23"/>
  <c r="D295" i="23"/>
  <c r="O294" i="23"/>
  <c r="M294" i="23"/>
  <c r="K294" i="23"/>
  <c r="I294" i="23"/>
  <c r="G294" i="23"/>
  <c r="F294" i="23"/>
  <c r="E294" i="23"/>
  <c r="D294" i="23"/>
  <c r="O293" i="23"/>
  <c r="M293" i="23"/>
  <c r="K293" i="23"/>
  <c r="I293" i="23"/>
  <c r="G293" i="23"/>
  <c r="F293" i="23"/>
  <c r="E293" i="23"/>
  <c r="D293" i="23"/>
  <c r="O292" i="23"/>
  <c r="M292" i="23"/>
  <c r="K292" i="23"/>
  <c r="I292" i="23"/>
  <c r="G292" i="23"/>
  <c r="F292" i="23"/>
  <c r="E292" i="23"/>
  <c r="D292" i="23"/>
  <c r="O291" i="23"/>
  <c r="M291" i="23"/>
  <c r="K291" i="23"/>
  <c r="I291" i="23"/>
  <c r="G291" i="23"/>
  <c r="F291" i="23"/>
  <c r="E291" i="23"/>
  <c r="D291" i="23"/>
  <c r="O290" i="23"/>
  <c r="M290" i="23"/>
  <c r="K290" i="23"/>
  <c r="I290" i="23"/>
  <c r="G290" i="23"/>
  <c r="F290" i="23"/>
  <c r="E290" i="23"/>
  <c r="D290" i="23"/>
  <c r="O289" i="23"/>
  <c r="M289" i="23"/>
  <c r="K289" i="23"/>
  <c r="I289" i="23"/>
  <c r="G289" i="23"/>
  <c r="F289" i="23"/>
  <c r="E289" i="23"/>
  <c r="D289" i="23"/>
  <c r="O288" i="23"/>
  <c r="M288" i="23"/>
  <c r="K288" i="23"/>
  <c r="I288" i="23"/>
  <c r="G288" i="23"/>
  <c r="F288" i="23"/>
  <c r="E288" i="23"/>
  <c r="D288" i="23"/>
  <c r="O287" i="23"/>
  <c r="M287" i="23"/>
  <c r="K287" i="23"/>
  <c r="I287" i="23"/>
  <c r="G287" i="23"/>
  <c r="F287" i="23"/>
  <c r="E287" i="23"/>
  <c r="D287" i="23"/>
  <c r="O286" i="23"/>
  <c r="M286" i="23"/>
  <c r="K286" i="23"/>
  <c r="I286" i="23"/>
  <c r="G286" i="23"/>
  <c r="F286" i="23"/>
  <c r="E286" i="23"/>
  <c r="D286" i="23"/>
  <c r="O285" i="23"/>
  <c r="M285" i="23"/>
  <c r="K285" i="23"/>
  <c r="I285" i="23"/>
  <c r="G285" i="23"/>
  <c r="F285" i="23"/>
  <c r="E285" i="23"/>
  <c r="D285" i="23"/>
  <c r="O284" i="23"/>
  <c r="M284" i="23"/>
  <c r="K284" i="23"/>
  <c r="I284" i="23"/>
  <c r="G284" i="23"/>
  <c r="F284" i="23"/>
  <c r="E284" i="23"/>
  <c r="D284" i="23"/>
  <c r="O283" i="23"/>
  <c r="M283" i="23"/>
  <c r="K283" i="23"/>
  <c r="I283" i="23"/>
  <c r="G283" i="23"/>
  <c r="F283" i="23"/>
  <c r="E283" i="23"/>
  <c r="D283" i="23"/>
  <c r="O282" i="23"/>
  <c r="M282" i="23"/>
  <c r="K282" i="23"/>
  <c r="I282" i="23"/>
  <c r="G282" i="23"/>
  <c r="F282" i="23"/>
  <c r="E282" i="23"/>
  <c r="D282" i="23"/>
  <c r="O281" i="23"/>
  <c r="M281" i="23"/>
  <c r="K281" i="23"/>
  <c r="I281" i="23"/>
  <c r="G281" i="23"/>
  <c r="F281" i="23"/>
  <c r="E281" i="23"/>
  <c r="D281" i="23"/>
  <c r="O280" i="23"/>
  <c r="M280" i="23"/>
  <c r="K280" i="23"/>
  <c r="I280" i="23"/>
  <c r="G280" i="23"/>
  <c r="F280" i="23"/>
  <c r="E280" i="23"/>
  <c r="D280" i="23"/>
  <c r="O279" i="23"/>
  <c r="M279" i="23"/>
  <c r="K279" i="23"/>
  <c r="I279" i="23"/>
  <c r="G279" i="23"/>
  <c r="F279" i="23"/>
  <c r="E279" i="23"/>
  <c r="D279" i="23"/>
  <c r="O278" i="23"/>
  <c r="M278" i="23"/>
  <c r="K278" i="23"/>
  <c r="I278" i="23"/>
  <c r="G278" i="23"/>
  <c r="F278" i="23"/>
  <c r="E278" i="23"/>
  <c r="D278" i="23"/>
  <c r="O277" i="23"/>
  <c r="M277" i="23"/>
  <c r="K277" i="23"/>
  <c r="I277" i="23"/>
  <c r="G277" i="23"/>
  <c r="F277" i="23"/>
  <c r="E277" i="23"/>
  <c r="D277" i="23"/>
  <c r="O276" i="23"/>
  <c r="M276" i="23"/>
  <c r="K276" i="23"/>
  <c r="I276" i="23"/>
  <c r="G276" i="23"/>
  <c r="F276" i="23"/>
  <c r="E276" i="23"/>
  <c r="D276" i="23"/>
  <c r="O275" i="23"/>
  <c r="M275" i="23"/>
  <c r="K275" i="23"/>
  <c r="I275" i="23"/>
  <c r="G275" i="23"/>
  <c r="F275" i="23"/>
  <c r="E275" i="23"/>
  <c r="D275" i="23"/>
  <c r="O274" i="23"/>
  <c r="M274" i="23"/>
  <c r="K274" i="23"/>
  <c r="I274" i="23"/>
  <c r="G274" i="23"/>
  <c r="F274" i="23"/>
  <c r="E274" i="23"/>
  <c r="D274" i="23"/>
  <c r="O273" i="23"/>
  <c r="M273" i="23"/>
  <c r="K273" i="23"/>
  <c r="I273" i="23"/>
  <c r="G273" i="23"/>
  <c r="F273" i="23"/>
  <c r="E273" i="23"/>
  <c r="D273" i="23"/>
  <c r="O272" i="23"/>
  <c r="M272" i="23"/>
  <c r="K272" i="23"/>
  <c r="I272" i="23"/>
  <c r="G272" i="23"/>
  <c r="F272" i="23"/>
  <c r="E272" i="23"/>
  <c r="D272" i="23"/>
  <c r="O271" i="23"/>
  <c r="M271" i="23"/>
  <c r="K271" i="23"/>
  <c r="I271" i="23"/>
  <c r="G271" i="23"/>
  <c r="F271" i="23"/>
  <c r="E271" i="23"/>
  <c r="D271" i="23"/>
  <c r="O270" i="23"/>
  <c r="M270" i="23"/>
  <c r="K270" i="23"/>
  <c r="I270" i="23"/>
  <c r="G270" i="23"/>
  <c r="F270" i="23"/>
  <c r="E270" i="23"/>
  <c r="D270" i="23"/>
  <c r="O269" i="23"/>
  <c r="M269" i="23"/>
  <c r="K269" i="23"/>
  <c r="I269" i="23"/>
  <c r="G269" i="23"/>
  <c r="F269" i="23"/>
  <c r="E269" i="23"/>
  <c r="D269" i="23"/>
  <c r="O268" i="23"/>
  <c r="M268" i="23"/>
  <c r="K268" i="23"/>
  <c r="I268" i="23"/>
  <c r="G268" i="23"/>
  <c r="F268" i="23"/>
  <c r="E268" i="23"/>
  <c r="D268" i="23"/>
  <c r="O267" i="23"/>
  <c r="M267" i="23"/>
  <c r="K267" i="23"/>
  <c r="I267" i="23"/>
  <c r="G267" i="23"/>
  <c r="F267" i="23"/>
  <c r="E267" i="23"/>
  <c r="D267" i="23"/>
  <c r="O266" i="23"/>
  <c r="M266" i="23"/>
  <c r="K266" i="23"/>
  <c r="I266" i="23"/>
  <c r="G266" i="23"/>
  <c r="F266" i="23"/>
  <c r="E266" i="23"/>
  <c r="D266" i="23"/>
  <c r="O265" i="23"/>
  <c r="M265" i="23"/>
  <c r="K265" i="23"/>
  <c r="I265" i="23"/>
  <c r="G265" i="23"/>
  <c r="F265" i="23"/>
  <c r="E265" i="23"/>
  <c r="D265" i="23"/>
  <c r="O264" i="23"/>
  <c r="M264" i="23"/>
  <c r="K264" i="23"/>
  <c r="I264" i="23"/>
  <c r="G264" i="23"/>
  <c r="F264" i="23"/>
  <c r="E264" i="23"/>
  <c r="D264" i="23"/>
  <c r="O263" i="23"/>
  <c r="M263" i="23"/>
  <c r="K263" i="23"/>
  <c r="I263" i="23"/>
  <c r="G263" i="23"/>
  <c r="F263" i="23"/>
  <c r="E263" i="23"/>
  <c r="D263" i="23"/>
  <c r="O262" i="23"/>
  <c r="M262" i="23"/>
  <c r="K262" i="23"/>
  <c r="I262" i="23"/>
  <c r="G262" i="23"/>
  <c r="F262" i="23"/>
  <c r="E262" i="23"/>
  <c r="D262" i="23"/>
  <c r="O261" i="23"/>
  <c r="M261" i="23"/>
  <c r="K261" i="23"/>
  <c r="I261" i="23"/>
  <c r="G261" i="23"/>
  <c r="F261" i="23"/>
  <c r="E261" i="23"/>
  <c r="D261" i="23"/>
  <c r="O260" i="23"/>
  <c r="M260" i="23"/>
  <c r="K260" i="23"/>
  <c r="I260" i="23"/>
  <c r="G260" i="23"/>
  <c r="F260" i="23"/>
  <c r="E260" i="23"/>
  <c r="D260" i="23"/>
  <c r="O259" i="23"/>
  <c r="M259" i="23"/>
  <c r="K259" i="23"/>
  <c r="I259" i="23"/>
  <c r="G259" i="23"/>
  <c r="F259" i="23"/>
  <c r="E259" i="23"/>
  <c r="D259" i="23"/>
  <c r="O258" i="23"/>
  <c r="M258" i="23"/>
  <c r="K258" i="23"/>
  <c r="I258" i="23"/>
  <c r="G258" i="23"/>
  <c r="F258" i="23"/>
  <c r="E258" i="23"/>
  <c r="D258" i="23"/>
  <c r="O257" i="23"/>
  <c r="M257" i="23"/>
  <c r="K257" i="23"/>
  <c r="I257" i="23"/>
  <c r="G257" i="23"/>
  <c r="F257" i="23"/>
  <c r="E257" i="23"/>
  <c r="D257" i="23"/>
  <c r="O256" i="23"/>
  <c r="M256" i="23"/>
  <c r="K256" i="23"/>
  <c r="I256" i="23"/>
  <c r="G256" i="23"/>
  <c r="F256" i="23"/>
  <c r="E256" i="23"/>
  <c r="D256" i="23"/>
  <c r="O255" i="23"/>
  <c r="M255" i="23"/>
  <c r="K255" i="23"/>
  <c r="I255" i="23"/>
  <c r="G255" i="23"/>
  <c r="F255" i="23"/>
  <c r="E255" i="23"/>
  <c r="D255" i="23"/>
  <c r="O254" i="23"/>
  <c r="M254" i="23"/>
  <c r="K254" i="23"/>
  <c r="I254" i="23"/>
  <c r="G254" i="23"/>
  <c r="F254" i="23"/>
  <c r="E254" i="23"/>
  <c r="D254" i="23"/>
  <c r="O253" i="23"/>
  <c r="M253" i="23"/>
  <c r="K253" i="23"/>
  <c r="I253" i="23"/>
  <c r="G253" i="23"/>
  <c r="F253" i="23"/>
  <c r="E253" i="23"/>
  <c r="D253" i="23"/>
  <c r="O252" i="23"/>
  <c r="M252" i="23"/>
  <c r="K252" i="23"/>
  <c r="I252" i="23"/>
  <c r="G252" i="23"/>
  <c r="F252" i="23"/>
  <c r="E252" i="23"/>
  <c r="D252" i="23"/>
  <c r="O251" i="23"/>
  <c r="M251" i="23"/>
  <c r="K251" i="23"/>
  <c r="I251" i="23"/>
  <c r="G251" i="23"/>
  <c r="F251" i="23"/>
  <c r="E251" i="23"/>
  <c r="D251" i="23"/>
  <c r="O250" i="23"/>
  <c r="M250" i="23"/>
  <c r="K250" i="23"/>
  <c r="I250" i="23"/>
  <c r="G250" i="23"/>
  <c r="F250" i="23"/>
  <c r="E250" i="23"/>
  <c r="D250" i="23"/>
  <c r="O249" i="23"/>
  <c r="M249" i="23"/>
  <c r="K249" i="23"/>
  <c r="I249" i="23"/>
  <c r="G249" i="23"/>
  <c r="F249" i="23"/>
  <c r="E249" i="23"/>
  <c r="D249" i="23"/>
  <c r="O248" i="23"/>
  <c r="M248" i="23"/>
  <c r="K248" i="23"/>
  <c r="I248" i="23"/>
  <c r="G248" i="23"/>
  <c r="F248" i="23"/>
  <c r="E248" i="23"/>
  <c r="D248" i="23"/>
  <c r="O247" i="23"/>
  <c r="M247" i="23"/>
  <c r="K247" i="23"/>
  <c r="I247" i="23"/>
  <c r="G247" i="23"/>
  <c r="F247" i="23"/>
  <c r="E247" i="23"/>
  <c r="D247" i="23"/>
  <c r="O246" i="23"/>
  <c r="M246" i="23"/>
  <c r="K246" i="23"/>
  <c r="I246" i="23"/>
  <c r="G246" i="23"/>
  <c r="F246" i="23"/>
  <c r="E246" i="23"/>
  <c r="D246" i="23"/>
  <c r="O245" i="23"/>
  <c r="M245" i="23"/>
  <c r="K245" i="23"/>
  <c r="I245" i="23"/>
  <c r="G245" i="23"/>
  <c r="F245" i="23"/>
  <c r="E245" i="23"/>
  <c r="D245" i="23"/>
  <c r="O244" i="23"/>
  <c r="M244" i="23"/>
  <c r="K244" i="23"/>
  <c r="I244" i="23"/>
  <c r="G244" i="23"/>
  <c r="F244" i="23"/>
  <c r="E244" i="23"/>
  <c r="D244" i="23"/>
  <c r="O243" i="23"/>
  <c r="M243" i="23"/>
  <c r="K243" i="23"/>
  <c r="I243" i="23"/>
  <c r="G243" i="23"/>
  <c r="F243" i="23"/>
  <c r="E243" i="23"/>
  <c r="D243" i="23"/>
  <c r="O242" i="23"/>
  <c r="M242" i="23"/>
  <c r="K242" i="23"/>
  <c r="I242" i="23"/>
  <c r="G242" i="23"/>
  <c r="F242" i="23"/>
  <c r="E242" i="23"/>
  <c r="D242" i="23"/>
  <c r="O241" i="23"/>
  <c r="M241" i="23"/>
  <c r="K241" i="23"/>
  <c r="I241" i="23"/>
  <c r="G241" i="23"/>
  <c r="F241" i="23"/>
  <c r="E241" i="23"/>
  <c r="D241" i="23"/>
  <c r="O240" i="23"/>
  <c r="M240" i="23"/>
  <c r="K240" i="23"/>
  <c r="I240" i="23"/>
  <c r="G240" i="23"/>
  <c r="F240" i="23"/>
  <c r="E240" i="23"/>
  <c r="D240" i="23"/>
  <c r="O239" i="23"/>
  <c r="M239" i="23"/>
  <c r="K239" i="23"/>
  <c r="I239" i="23"/>
  <c r="G239" i="23"/>
  <c r="F239" i="23"/>
  <c r="E239" i="23"/>
  <c r="D239" i="23"/>
  <c r="O238" i="23"/>
  <c r="M238" i="23"/>
  <c r="K238" i="23"/>
  <c r="I238" i="23"/>
  <c r="G238" i="23"/>
  <c r="F238" i="23"/>
  <c r="E238" i="23"/>
  <c r="D238" i="23"/>
  <c r="O237" i="23"/>
  <c r="M237" i="23"/>
  <c r="K237" i="23"/>
  <c r="I237" i="23"/>
  <c r="G237" i="23"/>
  <c r="F237" i="23"/>
  <c r="E237" i="23"/>
  <c r="D237" i="23"/>
  <c r="O236" i="23"/>
  <c r="M236" i="23"/>
  <c r="K236" i="23"/>
  <c r="I236" i="23"/>
  <c r="G236" i="23"/>
  <c r="F236" i="23"/>
  <c r="E236" i="23"/>
  <c r="D236" i="23"/>
  <c r="O235" i="23"/>
  <c r="M235" i="23"/>
  <c r="K235" i="23"/>
  <c r="I235" i="23"/>
  <c r="G235" i="23"/>
  <c r="F235" i="23"/>
  <c r="E235" i="23"/>
  <c r="D235" i="23"/>
  <c r="O234" i="23"/>
  <c r="M234" i="23"/>
  <c r="K234" i="23"/>
  <c r="I234" i="23"/>
  <c r="G234" i="23"/>
  <c r="F234" i="23"/>
  <c r="E234" i="23"/>
  <c r="D234" i="23"/>
  <c r="O233" i="23"/>
  <c r="M233" i="23"/>
  <c r="K233" i="23"/>
  <c r="I233" i="23"/>
  <c r="G233" i="23"/>
  <c r="F233" i="23"/>
  <c r="E233" i="23"/>
  <c r="D233" i="23"/>
  <c r="O232" i="23"/>
  <c r="M232" i="23"/>
  <c r="K232" i="23"/>
  <c r="I232" i="23"/>
  <c r="G232" i="23"/>
  <c r="F232" i="23"/>
  <c r="E232" i="23"/>
  <c r="D232" i="23"/>
  <c r="O231" i="23"/>
  <c r="M231" i="23"/>
  <c r="K231" i="23"/>
  <c r="I231" i="23"/>
  <c r="G231" i="23"/>
  <c r="F231" i="23"/>
  <c r="E231" i="23"/>
  <c r="D231" i="23"/>
  <c r="O230" i="23"/>
  <c r="M230" i="23"/>
  <c r="K230" i="23"/>
  <c r="I230" i="23"/>
  <c r="G230" i="23"/>
  <c r="F230" i="23"/>
  <c r="E230" i="23"/>
  <c r="D230" i="23"/>
  <c r="O229" i="23"/>
  <c r="M229" i="23"/>
  <c r="K229" i="23"/>
  <c r="I229" i="23"/>
  <c r="G229" i="23"/>
  <c r="F229" i="23"/>
  <c r="E229" i="23"/>
  <c r="D229" i="23"/>
  <c r="O228" i="23"/>
  <c r="M228" i="23"/>
  <c r="K228" i="23"/>
  <c r="I228" i="23"/>
  <c r="G228" i="23"/>
  <c r="F228" i="23"/>
  <c r="E228" i="23"/>
  <c r="D228" i="23"/>
  <c r="O227" i="23"/>
  <c r="M227" i="23"/>
  <c r="K227" i="23"/>
  <c r="I227" i="23"/>
  <c r="G227" i="23"/>
  <c r="F227" i="23"/>
  <c r="E227" i="23"/>
  <c r="D227" i="23"/>
  <c r="O226" i="23"/>
  <c r="M226" i="23"/>
  <c r="K226" i="23"/>
  <c r="I226" i="23"/>
  <c r="G226" i="23"/>
  <c r="F226" i="23"/>
  <c r="E226" i="23"/>
  <c r="D226" i="23"/>
  <c r="O225" i="23"/>
  <c r="M225" i="23"/>
  <c r="K225" i="23"/>
  <c r="I225" i="23"/>
  <c r="G225" i="23"/>
  <c r="F225" i="23"/>
  <c r="E225" i="23"/>
  <c r="D225" i="23"/>
  <c r="O224" i="23"/>
  <c r="M224" i="23"/>
  <c r="K224" i="23"/>
  <c r="I224" i="23"/>
  <c r="G224" i="23"/>
  <c r="F224" i="23"/>
  <c r="E224" i="23"/>
  <c r="D224" i="23"/>
  <c r="O223" i="23"/>
  <c r="M223" i="23"/>
  <c r="K223" i="23"/>
  <c r="I223" i="23"/>
  <c r="G223" i="23"/>
  <c r="F223" i="23"/>
  <c r="E223" i="23"/>
  <c r="D223" i="23"/>
  <c r="O222" i="23"/>
  <c r="M222" i="23"/>
  <c r="K222" i="23"/>
  <c r="I222" i="23"/>
  <c r="G222" i="23"/>
  <c r="F222" i="23"/>
  <c r="E222" i="23"/>
  <c r="D222" i="23"/>
  <c r="O221" i="23"/>
  <c r="M221" i="23"/>
  <c r="K221" i="23"/>
  <c r="I221" i="23"/>
  <c r="G221" i="23"/>
  <c r="F221" i="23"/>
  <c r="E221" i="23"/>
  <c r="D221" i="23"/>
  <c r="O220" i="23"/>
  <c r="M220" i="23"/>
  <c r="K220" i="23"/>
  <c r="I220" i="23"/>
  <c r="G220" i="23"/>
  <c r="F220" i="23"/>
  <c r="E220" i="23"/>
  <c r="D220" i="23"/>
  <c r="O219" i="23"/>
  <c r="M219" i="23"/>
  <c r="K219" i="23"/>
  <c r="I219" i="23"/>
  <c r="G219" i="23"/>
  <c r="F219" i="23"/>
  <c r="E219" i="23"/>
  <c r="D219" i="23"/>
  <c r="O218" i="23"/>
  <c r="M218" i="23"/>
  <c r="K218" i="23"/>
  <c r="I218" i="23"/>
  <c r="G218" i="23"/>
  <c r="F218" i="23"/>
  <c r="E218" i="23"/>
  <c r="D218" i="23"/>
  <c r="O217" i="23"/>
  <c r="M217" i="23"/>
  <c r="K217" i="23"/>
  <c r="I217" i="23"/>
  <c r="G217" i="23"/>
  <c r="F217" i="23"/>
  <c r="E217" i="23"/>
  <c r="D217" i="23"/>
  <c r="O216" i="23"/>
  <c r="M216" i="23"/>
  <c r="K216" i="23"/>
  <c r="I216" i="23"/>
  <c r="G216" i="23"/>
  <c r="F216" i="23"/>
  <c r="E216" i="23"/>
  <c r="D216" i="23"/>
  <c r="O215" i="23"/>
  <c r="M215" i="23"/>
  <c r="K215" i="23"/>
  <c r="I215" i="23"/>
  <c r="G215" i="23"/>
  <c r="F215" i="23"/>
  <c r="E215" i="23"/>
  <c r="D215" i="23"/>
  <c r="O214" i="23"/>
  <c r="M214" i="23"/>
  <c r="K214" i="23"/>
  <c r="I214" i="23"/>
  <c r="G214" i="23"/>
  <c r="F214" i="23"/>
  <c r="E214" i="23"/>
  <c r="D214" i="23"/>
  <c r="O213" i="23"/>
  <c r="M213" i="23"/>
  <c r="K213" i="23"/>
  <c r="I213" i="23"/>
  <c r="G213" i="23"/>
  <c r="F213" i="23"/>
  <c r="E213" i="23"/>
  <c r="D213" i="23"/>
  <c r="O212" i="23"/>
  <c r="M212" i="23"/>
  <c r="K212" i="23"/>
  <c r="I212" i="23"/>
  <c r="G212" i="23"/>
  <c r="F212" i="23"/>
  <c r="E212" i="23"/>
  <c r="D212" i="23"/>
  <c r="O211" i="23"/>
  <c r="M211" i="23"/>
  <c r="K211" i="23"/>
  <c r="I211" i="23"/>
  <c r="G211" i="23"/>
  <c r="F211" i="23"/>
  <c r="E211" i="23"/>
  <c r="D211" i="23"/>
  <c r="O210" i="23"/>
  <c r="M210" i="23"/>
  <c r="K210" i="23"/>
  <c r="I210" i="23"/>
  <c r="G210" i="23"/>
  <c r="F210" i="23"/>
  <c r="E210" i="23"/>
  <c r="D210" i="23"/>
  <c r="O209" i="23"/>
  <c r="M209" i="23"/>
  <c r="K209" i="23"/>
  <c r="I209" i="23"/>
  <c r="G209" i="23"/>
  <c r="F209" i="23"/>
  <c r="E209" i="23"/>
  <c r="D209" i="23"/>
  <c r="O208" i="23"/>
  <c r="M208" i="23"/>
  <c r="K208" i="23"/>
  <c r="I208" i="23"/>
  <c r="G208" i="23"/>
  <c r="F208" i="23"/>
  <c r="E208" i="23"/>
  <c r="D208" i="23"/>
  <c r="O207" i="23"/>
  <c r="M207" i="23"/>
  <c r="K207" i="23"/>
  <c r="I207" i="23"/>
  <c r="G207" i="23"/>
  <c r="F207" i="23"/>
  <c r="E207" i="23"/>
  <c r="D207" i="23"/>
  <c r="O206" i="23"/>
  <c r="M206" i="23"/>
  <c r="K206" i="23"/>
  <c r="I206" i="23"/>
  <c r="G206" i="23"/>
  <c r="F206" i="23"/>
  <c r="E206" i="23"/>
  <c r="D206" i="23"/>
  <c r="O205" i="23"/>
  <c r="M205" i="23"/>
  <c r="K205" i="23"/>
  <c r="I205" i="23"/>
  <c r="G205" i="23"/>
  <c r="F205" i="23"/>
  <c r="E205" i="23"/>
  <c r="D205" i="23"/>
  <c r="O204" i="23"/>
  <c r="M204" i="23"/>
  <c r="K204" i="23"/>
  <c r="I204" i="23"/>
  <c r="G204" i="23"/>
  <c r="F204" i="23"/>
  <c r="E204" i="23"/>
  <c r="D204" i="23"/>
  <c r="O203" i="23"/>
  <c r="M203" i="23"/>
  <c r="K203" i="23"/>
  <c r="I203" i="23"/>
  <c r="G203" i="23"/>
  <c r="F203" i="23"/>
  <c r="E203" i="23"/>
  <c r="D203" i="23"/>
  <c r="O202" i="23"/>
  <c r="M202" i="23"/>
  <c r="K202" i="23"/>
  <c r="I202" i="23"/>
  <c r="G202" i="23"/>
  <c r="F202" i="23"/>
  <c r="E202" i="23"/>
  <c r="D202" i="23"/>
  <c r="O201" i="23"/>
  <c r="M201" i="23"/>
  <c r="K201" i="23"/>
  <c r="I201" i="23"/>
  <c r="G201" i="23"/>
  <c r="F201" i="23"/>
  <c r="E201" i="23"/>
  <c r="D201" i="23"/>
  <c r="O200" i="23"/>
  <c r="M200" i="23"/>
  <c r="K200" i="23"/>
  <c r="I200" i="23"/>
  <c r="G200" i="23"/>
  <c r="F200" i="23"/>
  <c r="E200" i="23"/>
  <c r="D200" i="23"/>
  <c r="O199" i="23"/>
  <c r="M199" i="23"/>
  <c r="K199" i="23"/>
  <c r="I199" i="23"/>
  <c r="G199" i="23"/>
  <c r="F199" i="23"/>
  <c r="E199" i="23"/>
  <c r="D199" i="23"/>
  <c r="O198" i="23"/>
  <c r="M198" i="23"/>
  <c r="K198" i="23"/>
  <c r="I198" i="23"/>
  <c r="G198" i="23"/>
  <c r="F198" i="23"/>
  <c r="E198" i="23"/>
  <c r="D198" i="23"/>
  <c r="O197" i="23"/>
  <c r="M197" i="23"/>
  <c r="K197" i="23"/>
  <c r="I197" i="23"/>
  <c r="G197" i="23"/>
  <c r="F197" i="23"/>
  <c r="E197" i="23"/>
  <c r="D197" i="23"/>
  <c r="O196" i="23"/>
  <c r="M196" i="23"/>
  <c r="K196" i="23"/>
  <c r="I196" i="23"/>
  <c r="G196" i="23"/>
  <c r="F196" i="23"/>
  <c r="E196" i="23"/>
  <c r="D196" i="23"/>
  <c r="O195" i="23"/>
  <c r="M195" i="23"/>
  <c r="K195" i="23"/>
  <c r="I195" i="23"/>
  <c r="G195" i="23"/>
  <c r="F195" i="23"/>
  <c r="E195" i="23"/>
  <c r="D195" i="23"/>
  <c r="O194" i="23"/>
  <c r="M194" i="23"/>
  <c r="K194" i="23"/>
  <c r="I194" i="23"/>
  <c r="G194" i="23"/>
  <c r="F194" i="23"/>
  <c r="E194" i="23"/>
  <c r="D194" i="23"/>
  <c r="O193" i="23"/>
  <c r="M193" i="23"/>
  <c r="K193" i="23"/>
  <c r="I193" i="23"/>
  <c r="G193" i="23"/>
  <c r="F193" i="23"/>
  <c r="E193" i="23"/>
  <c r="D193" i="23"/>
  <c r="O192" i="23"/>
  <c r="M192" i="23"/>
  <c r="K192" i="23"/>
  <c r="I192" i="23"/>
  <c r="G192" i="23"/>
  <c r="F192" i="23"/>
  <c r="E192" i="23"/>
  <c r="D192" i="23"/>
  <c r="O191" i="23"/>
  <c r="M191" i="23"/>
  <c r="K191" i="23"/>
  <c r="I191" i="23"/>
  <c r="G191" i="23"/>
  <c r="F191" i="23"/>
  <c r="E191" i="23"/>
  <c r="D191" i="23"/>
  <c r="O190" i="23"/>
  <c r="M190" i="23"/>
  <c r="K190" i="23"/>
  <c r="I190" i="23"/>
  <c r="G190" i="23"/>
  <c r="F190" i="23"/>
  <c r="E190" i="23"/>
  <c r="D190" i="23"/>
  <c r="O189" i="23"/>
  <c r="M189" i="23"/>
  <c r="K189" i="23"/>
  <c r="I189" i="23"/>
  <c r="G189" i="23"/>
  <c r="F189" i="23"/>
  <c r="E189" i="23"/>
  <c r="D189" i="23"/>
  <c r="O188" i="23"/>
  <c r="M188" i="23"/>
  <c r="K188" i="23"/>
  <c r="I188" i="23"/>
  <c r="G188" i="23"/>
  <c r="F188" i="23"/>
  <c r="E188" i="23"/>
  <c r="D188" i="23"/>
  <c r="O187" i="23"/>
  <c r="M187" i="23"/>
  <c r="K187" i="23"/>
  <c r="I187" i="23"/>
  <c r="G187" i="23"/>
  <c r="F187" i="23"/>
  <c r="E187" i="23"/>
  <c r="D187" i="23"/>
  <c r="O186" i="23"/>
  <c r="M186" i="23"/>
  <c r="K186" i="23"/>
  <c r="I186" i="23"/>
  <c r="G186" i="23"/>
  <c r="F186" i="23"/>
  <c r="E186" i="23"/>
  <c r="D186" i="23"/>
  <c r="O185" i="23"/>
  <c r="M185" i="23"/>
  <c r="K185" i="23"/>
  <c r="I185" i="23"/>
  <c r="G185" i="23"/>
  <c r="F185" i="23"/>
  <c r="E185" i="23"/>
  <c r="D185" i="23"/>
  <c r="O184" i="23"/>
  <c r="M184" i="23"/>
  <c r="K184" i="23"/>
  <c r="I184" i="23"/>
  <c r="G184" i="23"/>
  <c r="F184" i="23"/>
  <c r="E184" i="23"/>
  <c r="D184" i="23"/>
  <c r="O183" i="23"/>
  <c r="M183" i="23"/>
  <c r="K183" i="23"/>
  <c r="I183" i="23"/>
  <c r="G183" i="23"/>
  <c r="F183" i="23"/>
  <c r="E183" i="23"/>
  <c r="D183" i="23"/>
  <c r="O182" i="23"/>
  <c r="M182" i="23"/>
  <c r="K182" i="23"/>
  <c r="I182" i="23"/>
  <c r="G182" i="23"/>
  <c r="F182" i="23"/>
  <c r="E182" i="23"/>
  <c r="D182" i="23"/>
  <c r="O181" i="23"/>
  <c r="M181" i="23"/>
  <c r="K181" i="23"/>
  <c r="I181" i="23"/>
  <c r="G181" i="23"/>
  <c r="F181" i="23"/>
  <c r="E181" i="23"/>
  <c r="D181" i="23"/>
  <c r="O180" i="23"/>
  <c r="M180" i="23"/>
  <c r="K180" i="23"/>
  <c r="I180" i="23"/>
  <c r="G180" i="23"/>
  <c r="F180" i="23"/>
  <c r="E180" i="23"/>
  <c r="D180" i="23"/>
  <c r="O179" i="23"/>
  <c r="M179" i="23"/>
  <c r="K179" i="23"/>
  <c r="I179" i="23"/>
  <c r="G179" i="23"/>
  <c r="F179" i="23"/>
  <c r="E179" i="23"/>
  <c r="D179" i="23"/>
  <c r="O178" i="23"/>
  <c r="M178" i="23"/>
  <c r="K178" i="23"/>
  <c r="I178" i="23"/>
  <c r="G178" i="23"/>
  <c r="F178" i="23"/>
  <c r="E178" i="23"/>
  <c r="D178" i="23"/>
  <c r="O177" i="23"/>
  <c r="M177" i="23"/>
  <c r="K177" i="23"/>
  <c r="I177" i="23"/>
  <c r="G177" i="23"/>
  <c r="F177" i="23"/>
  <c r="E177" i="23"/>
  <c r="D177" i="23"/>
  <c r="O176" i="23"/>
  <c r="M176" i="23"/>
  <c r="K176" i="23"/>
  <c r="I176" i="23"/>
  <c r="G176" i="23"/>
  <c r="F176" i="23"/>
  <c r="E176" i="23"/>
  <c r="D176" i="23"/>
  <c r="O175" i="23"/>
  <c r="M175" i="23"/>
  <c r="K175" i="23"/>
  <c r="I175" i="23"/>
  <c r="G175" i="23"/>
  <c r="F175" i="23"/>
  <c r="E175" i="23"/>
  <c r="D175" i="23"/>
  <c r="O174" i="23"/>
  <c r="M174" i="23"/>
  <c r="K174" i="23"/>
  <c r="I174" i="23"/>
  <c r="G174" i="23"/>
  <c r="F174" i="23"/>
  <c r="E174" i="23"/>
  <c r="D174" i="23"/>
  <c r="O173" i="23"/>
  <c r="M173" i="23"/>
  <c r="K173" i="23"/>
  <c r="I173" i="23"/>
  <c r="G173" i="23"/>
  <c r="F173" i="23"/>
  <c r="E173" i="23"/>
  <c r="D173" i="23"/>
  <c r="O172" i="23"/>
  <c r="M172" i="23"/>
  <c r="K172" i="23"/>
  <c r="I172" i="23"/>
  <c r="G172" i="23"/>
  <c r="F172" i="23"/>
  <c r="E172" i="23"/>
  <c r="D172" i="23"/>
  <c r="O171" i="23"/>
  <c r="M171" i="23"/>
  <c r="K171" i="23"/>
  <c r="I171" i="23"/>
  <c r="G171" i="23"/>
  <c r="F171" i="23"/>
  <c r="E171" i="23"/>
  <c r="D171" i="23"/>
  <c r="O170" i="23"/>
  <c r="M170" i="23"/>
  <c r="K170" i="23"/>
  <c r="I170" i="23"/>
  <c r="G170" i="23"/>
  <c r="F170" i="23"/>
  <c r="E170" i="23"/>
  <c r="D170" i="23"/>
  <c r="O169" i="23"/>
  <c r="M169" i="23"/>
  <c r="K169" i="23"/>
  <c r="I169" i="23"/>
  <c r="G169" i="23"/>
  <c r="F169" i="23"/>
  <c r="E169" i="23"/>
  <c r="D169" i="23"/>
  <c r="O168" i="23"/>
  <c r="M168" i="23"/>
  <c r="K168" i="23"/>
  <c r="I168" i="23"/>
  <c r="G168" i="23"/>
  <c r="F168" i="23"/>
  <c r="E168" i="23"/>
  <c r="D168" i="23"/>
  <c r="O167" i="23"/>
  <c r="M167" i="23"/>
  <c r="K167" i="23"/>
  <c r="I167" i="23"/>
  <c r="G167" i="23"/>
  <c r="F167" i="23"/>
  <c r="E167" i="23"/>
  <c r="D167" i="23"/>
  <c r="O166" i="23"/>
  <c r="M166" i="23"/>
  <c r="K166" i="23"/>
  <c r="I166" i="23"/>
  <c r="G166" i="23"/>
  <c r="F166" i="23"/>
  <c r="E166" i="23"/>
  <c r="D166" i="23"/>
  <c r="O165" i="23"/>
  <c r="M165" i="23"/>
  <c r="K165" i="23"/>
  <c r="I165" i="23"/>
  <c r="G165" i="23"/>
  <c r="F165" i="23"/>
  <c r="E165" i="23"/>
  <c r="D165" i="23"/>
  <c r="O164" i="23"/>
  <c r="M164" i="23"/>
  <c r="K164" i="23"/>
  <c r="I164" i="23"/>
  <c r="G164" i="23"/>
  <c r="F164" i="23"/>
  <c r="E164" i="23"/>
  <c r="D164" i="23"/>
  <c r="O163" i="23"/>
  <c r="M163" i="23"/>
  <c r="K163" i="23"/>
  <c r="I163" i="23"/>
  <c r="G163" i="23"/>
  <c r="F163" i="23"/>
  <c r="E163" i="23"/>
  <c r="D163" i="23"/>
  <c r="O162" i="23"/>
  <c r="M162" i="23"/>
  <c r="K162" i="23"/>
  <c r="I162" i="23"/>
  <c r="G162" i="23"/>
  <c r="F162" i="23"/>
  <c r="E162" i="23"/>
  <c r="D162" i="23"/>
  <c r="O161" i="23"/>
  <c r="M161" i="23"/>
  <c r="K161" i="23"/>
  <c r="I161" i="23"/>
  <c r="G161" i="23"/>
  <c r="F161" i="23"/>
  <c r="E161" i="23"/>
  <c r="D161" i="23"/>
  <c r="O160" i="23"/>
  <c r="M160" i="23"/>
  <c r="K160" i="23"/>
  <c r="I160" i="23"/>
  <c r="G160" i="23"/>
  <c r="F160" i="23"/>
  <c r="E160" i="23"/>
  <c r="D160" i="23"/>
  <c r="O159" i="23"/>
  <c r="M159" i="23"/>
  <c r="K159" i="23"/>
  <c r="I159" i="23"/>
  <c r="G159" i="23"/>
  <c r="F159" i="23"/>
  <c r="E159" i="23"/>
  <c r="D159" i="23"/>
  <c r="O158" i="23"/>
  <c r="M158" i="23"/>
  <c r="K158" i="23"/>
  <c r="I158" i="23"/>
  <c r="G158" i="23"/>
  <c r="F158" i="23"/>
  <c r="E158" i="23"/>
  <c r="D158" i="23"/>
  <c r="O157" i="23"/>
  <c r="M157" i="23"/>
  <c r="K157" i="23"/>
  <c r="I157" i="23"/>
  <c r="G157" i="23"/>
  <c r="F157" i="23"/>
  <c r="E157" i="23"/>
  <c r="D157" i="23"/>
  <c r="O156" i="23"/>
  <c r="M156" i="23"/>
  <c r="K156" i="23"/>
  <c r="I156" i="23"/>
  <c r="G156" i="23"/>
  <c r="F156" i="23"/>
  <c r="E156" i="23"/>
  <c r="D156" i="23"/>
  <c r="O155" i="23"/>
  <c r="M155" i="23"/>
  <c r="K155" i="23"/>
  <c r="I155" i="23"/>
  <c r="G155" i="23"/>
  <c r="F155" i="23"/>
  <c r="E155" i="23"/>
  <c r="D155" i="23"/>
  <c r="O154" i="23"/>
  <c r="M154" i="23"/>
  <c r="K154" i="23"/>
  <c r="I154" i="23"/>
  <c r="G154" i="23"/>
  <c r="F154" i="23"/>
  <c r="E154" i="23"/>
  <c r="D154" i="23"/>
  <c r="O153" i="23"/>
  <c r="M153" i="23"/>
  <c r="K153" i="23"/>
  <c r="I153" i="23"/>
  <c r="G153" i="23"/>
  <c r="F153" i="23"/>
  <c r="E153" i="23"/>
  <c r="D153" i="23"/>
  <c r="O152" i="23"/>
  <c r="M152" i="23"/>
  <c r="K152" i="23"/>
  <c r="I152" i="23"/>
  <c r="G152" i="23"/>
  <c r="F152" i="23"/>
  <c r="E152" i="23"/>
  <c r="D152" i="23"/>
  <c r="O151" i="23"/>
  <c r="M151" i="23"/>
  <c r="K151" i="23"/>
  <c r="I151" i="23"/>
  <c r="G151" i="23"/>
  <c r="F151" i="23"/>
  <c r="E151" i="23"/>
  <c r="D151" i="23"/>
  <c r="O150" i="23"/>
  <c r="M150" i="23"/>
  <c r="K150" i="23"/>
  <c r="I150" i="23"/>
  <c r="G150" i="23"/>
  <c r="F150" i="23"/>
  <c r="E150" i="23"/>
  <c r="D150" i="23"/>
  <c r="O149" i="23"/>
  <c r="M149" i="23"/>
  <c r="K149" i="23"/>
  <c r="I149" i="23"/>
  <c r="G149" i="23"/>
  <c r="F149" i="23"/>
  <c r="E149" i="23"/>
  <c r="D149" i="23"/>
  <c r="O148" i="23"/>
  <c r="M148" i="23"/>
  <c r="K148" i="23"/>
  <c r="I148" i="23"/>
  <c r="G148" i="23"/>
  <c r="F148" i="23"/>
  <c r="E148" i="23"/>
  <c r="D148" i="23"/>
  <c r="O147" i="23"/>
  <c r="M147" i="23"/>
  <c r="K147" i="23"/>
  <c r="I147" i="23"/>
  <c r="G147" i="23"/>
  <c r="F147" i="23"/>
  <c r="E147" i="23"/>
  <c r="D147" i="23"/>
  <c r="O146" i="23"/>
  <c r="M146" i="23"/>
  <c r="K146" i="23"/>
  <c r="I146" i="23"/>
  <c r="G146" i="23"/>
  <c r="F146" i="23"/>
  <c r="E146" i="23"/>
  <c r="D146" i="23"/>
  <c r="O145" i="23"/>
  <c r="M145" i="23"/>
  <c r="K145" i="23"/>
  <c r="I145" i="23"/>
  <c r="G145" i="23"/>
  <c r="F145" i="23"/>
  <c r="E145" i="23"/>
  <c r="D145" i="23"/>
  <c r="O144" i="23"/>
  <c r="M144" i="23"/>
  <c r="K144" i="23"/>
  <c r="I144" i="23"/>
  <c r="G144" i="23"/>
  <c r="F144" i="23"/>
  <c r="E144" i="23"/>
  <c r="D144" i="23"/>
  <c r="O143" i="23"/>
  <c r="M143" i="23"/>
  <c r="K143" i="23"/>
  <c r="I143" i="23"/>
  <c r="G143" i="23"/>
  <c r="F143" i="23"/>
  <c r="E143" i="23"/>
  <c r="D143" i="23"/>
  <c r="O142" i="23"/>
  <c r="M142" i="23"/>
  <c r="K142" i="23"/>
  <c r="I142" i="23"/>
  <c r="G142" i="23"/>
  <c r="F142" i="23"/>
  <c r="E142" i="23"/>
  <c r="D142" i="23"/>
  <c r="O141" i="23"/>
  <c r="M141" i="23"/>
  <c r="K141" i="23"/>
  <c r="I141" i="23"/>
  <c r="G141" i="23"/>
  <c r="F141" i="23"/>
  <c r="E141" i="23"/>
  <c r="D141" i="23"/>
  <c r="O140" i="23"/>
  <c r="M140" i="23"/>
  <c r="K140" i="23"/>
  <c r="I140" i="23"/>
  <c r="G140" i="23"/>
  <c r="F140" i="23"/>
  <c r="E140" i="23"/>
  <c r="D140" i="23"/>
  <c r="O139" i="23"/>
  <c r="M139" i="23"/>
  <c r="K139" i="23"/>
  <c r="I139" i="23"/>
  <c r="G139" i="23"/>
  <c r="F139" i="23"/>
  <c r="E139" i="23"/>
  <c r="D139" i="23"/>
  <c r="O138" i="23"/>
  <c r="M138" i="23"/>
  <c r="K138" i="23"/>
  <c r="I138" i="23"/>
  <c r="G138" i="23"/>
  <c r="F138" i="23"/>
  <c r="E138" i="23"/>
  <c r="D138" i="23"/>
  <c r="O137" i="23"/>
  <c r="M137" i="23"/>
  <c r="K137" i="23"/>
  <c r="I137" i="23"/>
  <c r="G137" i="23"/>
  <c r="F137" i="23"/>
  <c r="E137" i="23"/>
  <c r="D137" i="23"/>
  <c r="O136" i="23"/>
  <c r="M136" i="23"/>
  <c r="K136" i="23"/>
  <c r="I136" i="23"/>
  <c r="G136" i="23"/>
  <c r="F136" i="23"/>
  <c r="E136" i="23"/>
  <c r="D136" i="23"/>
  <c r="O135" i="23"/>
  <c r="M135" i="23"/>
  <c r="K135" i="23"/>
  <c r="I135" i="23"/>
  <c r="G135" i="23"/>
  <c r="F135" i="23"/>
  <c r="E135" i="23"/>
  <c r="D135" i="23"/>
  <c r="O134" i="23"/>
  <c r="M134" i="23"/>
  <c r="K134" i="23"/>
  <c r="I134" i="23"/>
  <c r="G134" i="23"/>
  <c r="F134" i="23"/>
  <c r="E134" i="23"/>
  <c r="D134" i="23"/>
  <c r="O133" i="23"/>
  <c r="M133" i="23"/>
  <c r="K133" i="23"/>
  <c r="I133" i="23"/>
  <c r="G133" i="23"/>
  <c r="F133" i="23"/>
  <c r="E133" i="23"/>
  <c r="D133" i="23"/>
  <c r="O132" i="23"/>
  <c r="M132" i="23"/>
  <c r="K132" i="23"/>
  <c r="I132" i="23"/>
  <c r="G132" i="23"/>
  <c r="F132" i="23"/>
  <c r="E132" i="23"/>
  <c r="D132" i="23"/>
  <c r="O131" i="23"/>
  <c r="M131" i="23"/>
  <c r="K131" i="23"/>
  <c r="I131" i="23"/>
  <c r="G131" i="23"/>
  <c r="F131" i="23"/>
  <c r="E131" i="23"/>
  <c r="D131" i="23"/>
  <c r="O130" i="23"/>
  <c r="M130" i="23"/>
  <c r="K130" i="23"/>
  <c r="I130" i="23"/>
  <c r="G130" i="23"/>
  <c r="F130" i="23"/>
  <c r="E130" i="23"/>
  <c r="D130" i="23"/>
  <c r="O129" i="23"/>
  <c r="M129" i="23"/>
  <c r="K129" i="23"/>
  <c r="I129" i="23"/>
  <c r="G129" i="23"/>
  <c r="F129" i="23"/>
  <c r="E129" i="23"/>
  <c r="D129" i="23"/>
  <c r="O128" i="23"/>
  <c r="M128" i="23"/>
  <c r="K128" i="23"/>
  <c r="I128" i="23"/>
  <c r="G128" i="23"/>
  <c r="F128" i="23"/>
  <c r="E128" i="23"/>
  <c r="D128" i="23"/>
  <c r="O127" i="23"/>
  <c r="M127" i="23"/>
  <c r="K127" i="23"/>
  <c r="I127" i="23"/>
  <c r="G127" i="23"/>
  <c r="F127" i="23"/>
  <c r="E127" i="23"/>
  <c r="D127" i="23"/>
  <c r="O126" i="23"/>
  <c r="M126" i="23"/>
  <c r="K126" i="23"/>
  <c r="I126" i="23"/>
  <c r="G126" i="23"/>
  <c r="F126" i="23"/>
  <c r="E126" i="23"/>
  <c r="D126" i="23"/>
  <c r="O125" i="23"/>
  <c r="M125" i="23"/>
  <c r="K125" i="23"/>
  <c r="I125" i="23"/>
  <c r="G125" i="23"/>
  <c r="F125" i="23"/>
  <c r="E125" i="23"/>
  <c r="D125" i="23"/>
  <c r="O124" i="23"/>
  <c r="M124" i="23"/>
  <c r="K124" i="23"/>
  <c r="I124" i="23"/>
  <c r="G124" i="23"/>
  <c r="F124" i="23"/>
  <c r="E124" i="23"/>
  <c r="D124" i="23"/>
  <c r="O123" i="23"/>
  <c r="M123" i="23"/>
  <c r="K123" i="23"/>
  <c r="I123" i="23"/>
  <c r="G123" i="23"/>
  <c r="F123" i="23"/>
  <c r="E123" i="23"/>
  <c r="D123" i="23"/>
  <c r="O122" i="23"/>
  <c r="M122" i="23"/>
  <c r="K122" i="23"/>
  <c r="I122" i="23"/>
  <c r="G122" i="23"/>
  <c r="F122" i="23"/>
  <c r="E122" i="23"/>
  <c r="D122" i="23"/>
  <c r="O121" i="23"/>
  <c r="M121" i="23"/>
  <c r="K121" i="23"/>
  <c r="I121" i="23"/>
  <c r="G121" i="23"/>
  <c r="F121" i="23"/>
  <c r="E121" i="23"/>
  <c r="D121" i="23"/>
  <c r="O120" i="23"/>
  <c r="M120" i="23"/>
  <c r="K120" i="23"/>
  <c r="I120" i="23"/>
  <c r="G120" i="23"/>
  <c r="F120" i="23"/>
  <c r="E120" i="23"/>
  <c r="D120" i="23"/>
  <c r="O119" i="23"/>
  <c r="M119" i="23"/>
  <c r="K119" i="23"/>
  <c r="I119" i="23"/>
  <c r="G119" i="23"/>
  <c r="F119" i="23"/>
  <c r="E119" i="23"/>
  <c r="D119" i="23"/>
  <c r="O118" i="23"/>
  <c r="M118" i="23"/>
  <c r="K118" i="23"/>
  <c r="I118" i="23"/>
  <c r="G118" i="23"/>
  <c r="F118" i="23"/>
  <c r="E118" i="23"/>
  <c r="D118" i="23"/>
  <c r="O117" i="23"/>
  <c r="M117" i="23"/>
  <c r="K117" i="23"/>
  <c r="I117" i="23"/>
  <c r="G117" i="23"/>
  <c r="F117" i="23"/>
  <c r="E117" i="23"/>
  <c r="D117" i="23"/>
  <c r="O116" i="23"/>
  <c r="M116" i="23"/>
  <c r="K116" i="23"/>
  <c r="I116" i="23"/>
  <c r="G116" i="23"/>
  <c r="F116" i="23"/>
  <c r="E116" i="23"/>
  <c r="D116" i="23"/>
  <c r="O115" i="23"/>
  <c r="M115" i="23"/>
  <c r="K115" i="23"/>
  <c r="I115" i="23"/>
  <c r="G115" i="23"/>
  <c r="F115" i="23"/>
  <c r="E115" i="23"/>
  <c r="D115" i="23"/>
  <c r="O114" i="23"/>
  <c r="M114" i="23"/>
  <c r="K114" i="23"/>
  <c r="I114" i="23"/>
  <c r="G114" i="23"/>
  <c r="F114" i="23"/>
  <c r="E114" i="23"/>
  <c r="D114" i="23"/>
  <c r="O113" i="23"/>
  <c r="M113" i="23"/>
  <c r="K113" i="23"/>
  <c r="I113" i="23"/>
  <c r="G113" i="23"/>
  <c r="F113" i="23"/>
  <c r="E113" i="23"/>
  <c r="D113" i="23"/>
  <c r="O112" i="23"/>
  <c r="M112" i="23"/>
  <c r="K112" i="23"/>
  <c r="I112" i="23"/>
  <c r="G112" i="23"/>
  <c r="F112" i="23"/>
  <c r="E112" i="23"/>
  <c r="D112" i="23"/>
  <c r="O111" i="23"/>
  <c r="M111" i="23"/>
  <c r="K111" i="23"/>
  <c r="I111" i="23"/>
  <c r="G111" i="23"/>
  <c r="F111" i="23"/>
  <c r="E111" i="23"/>
  <c r="D111" i="23"/>
  <c r="O110" i="23"/>
  <c r="M110" i="23"/>
  <c r="K110" i="23"/>
  <c r="I110" i="23"/>
  <c r="G110" i="23"/>
  <c r="F110" i="23"/>
  <c r="E110" i="23"/>
  <c r="D110" i="23"/>
  <c r="O109" i="23"/>
  <c r="M109" i="23"/>
  <c r="K109" i="23"/>
  <c r="I109" i="23"/>
  <c r="G109" i="23"/>
  <c r="F109" i="23"/>
  <c r="E109" i="23"/>
  <c r="D109" i="23"/>
  <c r="O108" i="23"/>
  <c r="M108" i="23"/>
  <c r="K108" i="23"/>
  <c r="I108" i="23"/>
  <c r="G108" i="23"/>
  <c r="F108" i="23"/>
  <c r="E108" i="23"/>
  <c r="D108" i="23"/>
  <c r="O107" i="23"/>
  <c r="M107" i="23"/>
  <c r="K107" i="23"/>
  <c r="I107" i="23"/>
  <c r="G107" i="23"/>
  <c r="F107" i="23"/>
  <c r="E107" i="23"/>
  <c r="D107" i="23"/>
  <c r="O106" i="23"/>
  <c r="M106" i="23"/>
  <c r="K106" i="23"/>
  <c r="I106" i="23"/>
  <c r="G106" i="23"/>
  <c r="F106" i="23"/>
  <c r="E106" i="23"/>
  <c r="D106" i="23"/>
  <c r="O105" i="23"/>
  <c r="M105" i="23"/>
  <c r="K105" i="23"/>
  <c r="I105" i="23"/>
  <c r="G105" i="23"/>
  <c r="F105" i="23"/>
  <c r="E105" i="23"/>
  <c r="D105" i="23"/>
  <c r="O104" i="23"/>
  <c r="M104" i="23"/>
  <c r="K104" i="23"/>
  <c r="I104" i="23"/>
  <c r="G104" i="23"/>
  <c r="F104" i="23"/>
  <c r="E104" i="23"/>
  <c r="D104" i="23"/>
  <c r="O103" i="23"/>
  <c r="M103" i="23"/>
  <c r="K103" i="23"/>
  <c r="I103" i="23"/>
  <c r="G103" i="23"/>
  <c r="F103" i="23"/>
  <c r="E103" i="23"/>
  <c r="D103" i="23"/>
  <c r="O102" i="23"/>
  <c r="M102" i="23"/>
  <c r="K102" i="23"/>
  <c r="I102" i="23"/>
  <c r="G102" i="23"/>
  <c r="F102" i="23"/>
  <c r="E102" i="23"/>
  <c r="D102" i="23"/>
  <c r="O101" i="23"/>
  <c r="M101" i="23"/>
  <c r="K101" i="23"/>
  <c r="I101" i="23"/>
  <c r="G101" i="23"/>
  <c r="F101" i="23"/>
  <c r="E101" i="23"/>
  <c r="D101" i="23"/>
  <c r="O100" i="23"/>
  <c r="M100" i="23"/>
  <c r="K100" i="23"/>
  <c r="I100" i="23"/>
  <c r="G100" i="23"/>
  <c r="F100" i="23"/>
  <c r="E100" i="23"/>
  <c r="D100" i="23"/>
  <c r="O99" i="23"/>
  <c r="M99" i="23"/>
  <c r="K99" i="23"/>
  <c r="I99" i="23"/>
  <c r="G99" i="23"/>
  <c r="F99" i="23"/>
  <c r="E99" i="23"/>
  <c r="D99" i="23"/>
  <c r="O98" i="23"/>
  <c r="M98" i="23"/>
  <c r="K98" i="23"/>
  <c r="I98" i="23"/>
  <c r="G98" i="23"/>
  <c r="F98" i="23"/>
  <c r="E98" i="23"/>
  <c r="D98" i="23"/>
  <c r="O97" i="23"/>
  <c r="M97" i="23"/>
  <c r="K97" i="23"/>
  <c r="I97" i="23"/>
  <c r="G97" i="23"/>
  <c r="F97" i="23"/>
  <c r="E97" i="23"/>
  <c r="D97" i="23"/>
  <c r="O96" i="23"/>
  <c r="M96" i="23"/>
  <c r="K96" i="23"/>
  <c r="I96" i="23"/>
  <c r="G96" i="23"/>
  <c r="F96" i="23"/>
  <c r="E96" i="23"/>
  <c r="D96" i="23"/>
  <c r="O95" i="23"/>
  <c r="M95" i="23"/>
  <c r="K95" i="23"/>
  <c r="I95" i="23"/>
  <c r="G95" i="23"/>
  <c r="F95" i="23"/>
  <c r="E95" i="23"/>
  <c r="D95" i="23"/>
  <c r="O94" i="23"/>
  <c r="M94" i="23"/>
  <c r="K94" i="23"/>
  <c r="I94" i="23"/>
  <c r="G94" i="23"/>
  <c r="F94" i="23"/>
  <c r="E94" i="23"/>
  <c r="D94" i="23"/>
  <c r="O93" i="23"/>
  <c r="M93" i="23"/>
  <c r="K93" i="23"/>
  <c r="I93" i="23"/>
  <c r="G93" i="23"/>
  <c r="F93" i="23"/>
  <c r="E93" i="23"/>
  <c r="D93" i="23"/>
  <c r="O92" i="23"/>
  <c r="M92" i="23"/>
  <c r="K92" i="23"/>
  <c r="I92" i="23"/>
  <c r="G92" i="23"/>
  <c r="F92" i="23"/>
  <c r="E92" i="23"/>
  <c r="D92" i="23"/>
  <c r="O91" i="23"/>
  <c r="M91" i="23"/>
  <c r="K91" i="23"/>
  <c r="I91" i="23"/>
  <c r="G91" i="23"/>
  <c r="F91" i="23"/>
  <c r="E91" i="23"/>
  <c r="D91" i="23"/>
  <c r="O90" i="23"/>
  <c r="M90" i="23"/>
  <c r="K90" i="23"/>
  <c r="I90" i="23"/>
  <c r="G90" i="23"/>
  <c r="F90" i="23"/>
  <c r="E90" i="23"/>
  <c r="D90" i="23"/>
  <c r="O89" i="23"/>
  <c r="M89" i="23"/>
  <c r="K89" i="23"/>
  <c r="I89" i="23"/>
  <c r="G89" i="23"/>
  <c r="F89" i="23"/>
  <c r="E89" i="23"/>
  <c r="D89" i="23"/>
  <c r="O88" i="23"/>
  <c r="M88" i="23"/>
  <c r="K88" i="23"/>
  <c r="I88" i="23"/>
  <c r="G88" i="23"/>
  <c r="F88" i="23"/>
  <c r="E88" i="23"/>
  <c r="D88" i="23"/>
  <c r="O87" i="23"/>
  <c r="M87" i="23"/>
  <c r="K87" i="23"/>
  <c r="I87" i="23"/>
  <c r="G87" i="23"/>
  <c r="F87" i="23"/>
  <c r="E87" i="23"/>
  <c r="D87" i="23"/>
  <c r="O86" i="23"/>
  <c r="M86" i="23"/>
  <c r="K86" i="23"/>
  <c r="I86" i="23"/>
  <c r="G86" i="23"/>
  <c r="F86" i="23"/>
  <c r="E86" i="23"/>
  <c r="D86" i="23"/>
  <c r="O85" i="23"/>
  <c r="M85" i="23"/>
  <c r="K85" i="23"/>
  <c r="I85" i="23"/>
  <c r="G85" i="23"/>
  <c r="F85" i="23"/>
  <c r="E85" i="23"/>
  <c r="D85" i="23"/>
  <c r="O84" i="23"/>
  <c r="M84" i="23"/>
  <c r="K84" i="23"/>
  <c r="I84" i="23"/>
  <c r="G84" i="23"/>
  <c r="F84" i="23"/>
  <c r="E84" i="23"/>
  <c r="D84" i="23"/>
  <c r="O83" i="23"/>
  <c r="M83" i="23"/>
  <c r="K83" i="23"/>
  <c r="I83" i="23"/>
  <c r="G83" i="23"/>
  <c r="F83" i="23"/>
  <c r="E83" i="23"/>
  <c r="D83" i="23"/>
  <c r="O82" i="23"/>
  <c r="M82" i="23"/>
  <c r="K82" i="23"/>
  <c r="I82" i="23"/>
  <c r="G82" i="23"/>
  <c r="F82" i="23"/>
  <c r="E82" i="23"/>
  <c r="D82" i="23"/>
  <c r="O81" i="23"/>
  <c r="M81" i="23"/>
  <c r="K81" i="23"/>
  <c r="I81" i="23"/>
  <c r="G81" i="23"/>
  <c r="F81" i="23"/>
  <c r="E81" i="23"/>
  <c r="D81" i="23"/>
  <c r="O80" i="23"/>
  <c r="M80" i="23"/>
  <c r="K80" i="23"/>
  <c r="I80" i="23"/>
  <c r="G80" i="23"/>
  <c r="F80" i="23"/>
  <c r="E80" i="23"/>
  <c r="D80" i="23"/>
  <c r="O79" i="23"/>
  <c r="M79" i="23"/>
  <c r="K79" i="23"/>
  <c r="I79" i="23"/>
  <c r="G79" i="23"/>
  <c r="F79" i="23"/>
  <c r="E79" i="23"/>
  <c r="D79" i="23"/>
  <c r="O78" i="23"/>
  <c r="M78" i="23"/>
  <c r="K78" i="23"/>
  <c r="I78" i="23"/>
  <c r="G78" i="23"/>
  <c r="F78" i="23"/>
  <c r="E78" i="23"/>
  <c r="D78" i="23"/>
  <c r="O77" i="23"/>
  <c r="M77" i="23"/>
  <c r="K77" i="23"/>
  <c r="I77" i="23"/>
  <c r="G77" i="23"/>
  <c r="F77" i="23"/>
  <c r="E77" i="23"/>
  <c r="D77" i="23"/>
  <c r="O76" i="23"/>
  <c r="M76" i="23"/>
  <c r="K76" i="23"/>
  <c r="I76" i="23"/>
  <c r="G76" i="23"/>
  <c r="F76" i="23"/>
  <c r="E76" i="23"/>
  <c r="D76" i="23"/>
  <c r="O75" i="23"/>
  <c r="M75" i="23"/>
  <c r="K75" i="23"/>
  <c r="I75" i="23"/>
  <c r="G75" i="23"/>
  <c r="F75" i="23"/>
  <c r="E75" i="23"/>
  <c r="D75" i="23"/>
  <c r="O74" i="23"/>
  <c r="M74" i="23"/>
  <c r="K74" i="23"/>
  <c r="I74" i="23"/>
  <c r="G74" i="23"/>
  <c r="F74" i="23"/>
  <c r="E74" i="23"/>
  <c r="D74" i="23"/>
  <c r="O73" i="23"/>
  <c r="M73" i="23"/>
  <c r="K73" i="23"/>
  <c r="I73" i="23"/>
  <c r="G73" i="23"/>
  <c r="F73" i="23"/>
  <c r="E73" i="23"/>
  <c r="D73" i="23"/>
  <c r="O72" i="23"/>
  <c r="M72" i="23"/>
  <c r="K72" i="23"/>
  <c r="I72" i="23"/>
  <c r="G72" i="23"/>
  <c r="F72" i="23"/>
  <c r="E72" i="23"/>
  <c r="D72" i="23"/>
  <c r="O71" i="23"/>
  <c r="M71" i="23"/>
  <c r="K71" i="23"/>
  <c r="I71" i="23"/>
  <c r="G71" i="23"/>
  <c r="F71" i="23"/>
  <c r="E71" i="23"/>
  <c r="D71" i="23"/>
  <c r="O70" i="23"/>
  <c r="M70" i="23"/>
  <c r="K70" i="23"/>
  <c r="I70" i="23"/>
  <c r="G70" i="23"/>
  <c r="F70" i="23"/>
  <c r="E70" i="23"/>
  <c r="D70" i="23"/>
  <c r="O69" i="23"/>
  <c r="M69" i="23"/>
  <c r="K69" i="23"/>
  <c r="I69" i="23"/>
  <c r="G69" i="23"/>
  <c r="F69" i="23"/>
  <c r="E69" i="23"/>
  <c r="D69" i="23"/>
  <c r="O68" i="23"/>
  <c r="M68" i="23"/>
  <c r="K68" i="23"/>
  <c r="I68" i="23"/>
  <c r="G68" i="23"/>
  <c r="F68" i="23"/>
  <c r="E68" i="23"/>
  <c r="D68" i="23"/>
  <c r="O67" i="23"/>
  <c r="M67" i="23"/>
  <c r="K67" i="23"/>
  <c r="I67" i="23"/>
  <c r="G67" i="23"/>
  <c r="F67" i="23"/>
  <c r="E67" i="23"/>
  <c r="D67" i="23"/>
  <c r="O66" i="23"/>
  <c r="M66" i="23"/>
  <c r="K66" i="23"/>
  <c r="I66" i="23"/>
  <c r="G66" i="23"/>
  <c r="F66" i="23"/>
  <c r="E66" i="23"/>
  <c r="D66" i="23"/>
  <c r="O65" i="23"/>
  <c r="M65" i="23"/>
  <c r="K65" i="23"/>
  <c r="I65" i="23"/>
  <c r="G65" i="23"/>
  <c r="F65" i="23"/>
  <c r="E65" i="23"/>
  <c r="D65" i="23"/>
  <c r="O64" i="23"/>
  <c r="M64" i="23"/>
  <c r="K64" i="23"/>
  <c r="I64" i="23"/>
  <c r="G64" i="23"/>
  <c r="F64" i="23"/>
  <c r="E64" i="23"/>
  <c r="D64" i="23"/>
  <c r="O63" i="23"/>
  <c r="M63" i="23"/>
  <c r="K63" i="23"/>
  <c r="I63" i="23"/>
  <c r="G63" i="23"/>
  <c r="F63" i="23"/>
  <c r="E63" i="23"/>
  <c r="D63" i="23"/>
  <c r="O62" i="23"/>
  <c r="M62" i="23"/>
  <c r="K62" i="23"/>
  <c r="I62" i="23"/>
  <c r="G62" i="23"/>
  <c r="F62" i="23"/>
  <c r="E62" i="23"/>
  <c r="D62" i="23"/>
  <c r="O61" i="23"/>
  <c r="M61" i="23"/>
  <c r="K61" i="23"/>
  <c r="I61" i="23"/>
  <c r="G61" i="23"/>
  <c r="F61" i="23"/>
  <c r="E61" i="23"/>
  <c r="D61" i="23"/>
  <c r="O60" i="23"/>
  <c r="M60" i="23"/>
  <c r="K60" i="23"/>
  <c r="I60" i="23"/>
  <c r="G60" i="23"/>
  <c r="F60" i="23"/>
  <c r="E60" i="23"/>
  <c r="D60" i="23"/>
  <c r="O59" i="23"/>
  <c r="M59" i="23"/>
  <c r="K59" i="23"/>
  <c r="I59" i="23"/>
  <c r="G59" i="23"/>
  <c r="F59" i="23"/>
  <c r="E59" i="23"/>
  <c r="D59" i="23"/>
  <c r="O58" i="23"/>
  <c r="M58" i="23"/>
  <c r="K58" i="23"/>
  <c r="I58" i="23"/>
  <c r="G58" i="23"/>
  <c r="F58" i="23"/>
  <c r="E58" i="23"/>
  <c r="D58" i="23"/>
  <c r="O57" i="23"/>
  <c r="M57" i="23"/>
  <c r="K57" i="23"/>
  <c r="I57" i="23"/>
  <c r="G57" i="23"/>
  <c r="F57" i="23"/>
  <c r="E57" i="23"/>
  <c r="D57" i="23"/>
  <c r="O56" i="23"/>
  <c r="M56" i="23"/>
  <c r="K56" i="23"/>
  <c r="I56" i="23"/>
  <c r="G56" i="23"/>
  <c r="F56" i="23"/>
  <c r="E56" i="23"/>
  <c r="D56" i="23"/>
  <c r="O55" i="23"/>
  <c r="M55" i="23"/>
  <c r="K55" i="23"/>
  <c r="I55" i="23"/>
  <c r="G55" i="23"/>
  <c r="F55" i="23"/>
  <c r="E55" i="23"/>
  <c r="D55" i="23"/>
  <c r="O54" i="23"/>
  <c r="M54" i="23"/>
  <c r="K54" i="23"/>
  <c r="I54" i="23"/>
  <c r="G54" i="23"/>
  <c r="F54" i="23"/>
  <c r="E54" i="23"/>
  <c r="D54" i="23"/>
  <c r="O53" i="23"/>
  <c r="M53" i="23"/>
  <c r="K53" i="23"/>
  <c r="I53" i="23"/>
  <c r="G53" i="23"/>
  <c r="F53" i="23"/>
  <c r="E53" i="23"/>
  <c r="D53" i="23"/>
  <c r="O52" i="23"/>
  <c r="M52" i="23"/>
  <c r="K52" i="23"/>
  <c r="I52" i="23"/>
  <c r="G52" i="23"/>
  <c r="F52" i="23"/>
  <c r="E52" i="23"/>
  <c r="D52" i="23"/>
  <c r="O51" i="23"/>
  <c r="M51" i="23"/>
  <c r="K51" i="23"/>
  <c r="I51" i="23"/>
  <c r="G51" i="23"/>
  <c r="F51" i="23"/>
  <c r="E51" i="23"/>
  <c r="D51" i="23"/>
  <c r="O50" i="23"/>
  <c r="M50" i="23"/>
  <c r="K50" i="23"/>
  <c r="I50" i="23"/>
  <c r="G50" i="23"/>
  <c r="F50" i="23"/>
  <c r="E50" i="23"/>
  <c r="D50" i="23"/>
  <c r="O49" i="23"/>
  <c r="M49" i="23"/>
  <c r="K49" i="23"/>
  <c r="I49" i="23"/>
  <c r="G49" i="23"/>
  <c r="F49" i="23"/>
  <c r="E49" i="23"/>
  <c r="D49" i="23"/>
  <c r="O48" i="23"/>
  <c r="M48" i="23"/>
  <c r="K48" i="23"/>
  <c r="I48" i="23"/>
  <c r="G48" i="23"/>
  <c r="F48" i="23"/>
  <c r="E48" i="23"/>
  <c r="D48" i="23"/>
  <c r="O47" i="23"/>
  <c r="M47" i="23"/>
  <c r="K47" i="23"/>
  <c r="I47" i="23"/>
  <c r="G47" i="23"/>
  <c r="F47" i="23"/>
  <c r="E47" i="23"/>
  <c r="D47" i="23"/>
  <c r="O46" i="23"/>
  <c r="M46" i="23"/>
  <c r="K46" i="23"/>
  <c r="I46" i="23"/>
  <c r="G46" i="23"/>
  <c r="F46" i="23"/>
  <c r="E46" i="23"/>
  <c r="D46" i="23"/>
  <c r="O45" i="23"/>
  <c r="M45" i="23"/>
  <c r="K45" i="23"/>
  <c r="I45" i="23"/>
  <c r="G45" i="23"/>
  <c r="F45" i="23"/>
  <c r="E45" i="23"/>
  <c r="D45" i="23"/>
  <c r="O44" i="23"/>
  <c r="M44" i="23"/>
  <c r="K44" i="23"/>
  <c r="I44" i="23"/>
  <c r="G44" i="23"/>
  <c r="F44" i="23"/>
  <c r="E44" i="23"/>
  <c r="D44" i="23"/>
  <c r="O43" i="23"/>
  <c r="M43" i="23"/>
  <c r="K43" i="23"/>
  <c r="I43" i="23"/>
  <c r="G43" i="23"/>
  <c r="F43" i="23"/>
  <c r="E43" i="23"/>
  <c r="D43" i="23"/>
  <c r="O42" i="23"/>
  <c r="M42" i="23"/>
  <c r="K42" i="23"/>
  <c r="I42" i="23"/>
  <c r="G42" i="23"/>
  <c r="F42" i="23"/>
  <c r="E42" i="23"/>
  <c r="D42" i="23"/>
  <c r="O41" i="23"/>
  <c r="M41" i="23"/>
  <c r="K41" i="23"/>
  <c r="I41" i="23"/>
  <c r="G41" i="23"/>
  <c r="F41" i="23"/>
  <c r="E41" i="23"/>
  <c r="D41" i="23"/>
  <c r="O40" i="23"/>
  <c r="M40" i="23"/>
  <c r="K40" i="23"/>
  <c r="I40" i="23"/>
  <c r="G40" i="23"/>
  <c r="F40" i="23"/>
  <c r="E40" i="23"/>
  <c r="D40" i="23"/>
  <c r="O39" i="23"/>
  <c r="M39" i="23"/>
  <c r="K39" i="23"/>
  <c r="I39" i="23"/>
  <c r="G39" i="23"/>
  <c r="F39" i="23"/>
  <c r="E39" i="23"/>
  <c r="D39" i="23"/>
  <c r="O38" i="23"/>
  <c r="M38" i="23"/>
  <c r="K38" i="23"/>
  <c r="I38" i="23"/>
  <c r="G38" i="23"/>
  <c r="F38" i="23"/>
  <c r="E38" i="23"/>
  <c r="D38" i="23"/>
  <c r="O37" i="23"/>
  <c r="M37" i="23"/>
  <c r="K37" i="23"/>
  <c r="I37" i="23"/>
  <c r="G37" i="23"/>
  <c r="F37" i="23"/>
  <c r="E37" i="23"/>
  <c r="D37" i="23"/>
  <c r="O36" i="23"/>
  <c r="M36" i="23"/>
  <c r="K36" i="23"/>
  <c r="I36" i="23"/>
  <c r="G36" i="23"/>
  <c r="F36" i="23"/>
  <c r="E36" i="23"/>
  <c r="D36" i="23"/>
  <c r="O35" i="23"/>
  <c r="M35" i="23"/>
  <c r="K35" i="23"/>
  <c r="I35" i="23"/>
  <c r="G35" i="23"/>
  <c r="F35" i="23"/>
  <c r="E35" i="23"/>
  <c r="D35" i="23"/>
  <c r="O34" i="23"/>
  <c r="M34" i="23"/>
  <c r="K34" i="23"/>
  <c r="I34" i="23"/>
  <c r="G34" i="23"/>
  <c r="F34" i="23"/>
  <c r="E34" i="23"/>
  <c r="D34" i="23"/>
  <c r="O33" i="23"/>
  <c r="M33" i="23"/>
  <c r="K33" i="23"/>
  <c r="I33" i="23"/>
  <c r="G33" i="23"/>
  <c r="F33" i="23"/>
  <c r="E33" i="23"/>
  <c r="D33" i="23"/>
  <c r="O32" i="23"/>
  <c r="M32" i="23"/>
  <c r="K32" i="23"/>
  <c r="I32" i="23"/>
  <c r="G32" i="23"/>
  <c r="F32" i="23"/>
  <c r="E32" i="23"/>
  <c r="D32" i="23"/>
  <c r="O31" i="23"/>
  <c r="M31" i="23"/>
  <c r="K31" i="23"/>
  <c r="I31" i="23"/>
  <c r="G31" i="23"/>
  <c r="F31" i="23"/>
  <c r="E31" i="23"/>
  <c r="D31" i="23"/>
  <c r="O30" i="23"/>
  <c r="M30" i="23"/>
  <c r="K30" i="23"/>
  <c r="I30" i="23"/>
  <c r="G30" i="23"/>
  <c r="F30" i="23"/>
  <c r="E30" i="23"/>
  <c r="D30" i="23"/>
  <c r="O29" i="23"/>
  <c r="M29" i="23"/>
  <c r="K29" i="23"/>
  <c r="I29" i="23"/>
  <c r="G29" i="23"/>
  <c r="F29" i="23"/>
  <c r="E29" i="23"/>
  <c r="D29" i="23"/>
  <c r="O28" i="23"/>
  <c r="M28" i="23"/>
  <c r="K28" i="23"/>
  <c r="I28" i="23"/>
  <c r="G28" i="23"/>
  <c r="F28" i="23"/>
  <c r="F338" i="23" s="1"/>
  <c r="E28" i="23"/>
  <c r="D28" i="23"/>
  <c r="D338" i="23" s="1"/>
  <c r="O27" i="23"/>
  <c r="M27" i="23"/>
  <c r="K27" i="23"/>
  <c r="I27" i="23"/>
  <c r="G27" i="23"/>
  <c r="F27" i="23"/>
  <c r="E27" i="23"/>
  <c r="D27" i="23"/>
  <c r="O26" i="23"/>
  <c r="M26" i="23"/>
  <c r="K26" i="23"/>
  <c r="I26" i="23"/>
  <c r="G26" i="23"/>
  <c r="F26" i="23"/>
  <c r="E26" i="23"/>
  <c r="D26" i="23"/>
  <c r="O25" i="23"/>
  <c r="M25" i="23"/>
  <c r="K25" i="23"/>
  <c r="I25" i="23"/>
  <c r="G25" i="23"/>
  <c r="F25" i="23"/>
  <c r="E25" i="23"/>
  <c r="D25" i="23"/>
  <c r="O24" i="23"/>
  <c r="M24" i="23"/>
  <c r="K24" i="23"/>
  <c r="I24" i="23"/>
  <c r="G24" i="23"/>
  <c r="F24" i="23"/>
  <c r="E24" i="23"/>
  <c r="D24" i="23"/>
  <c r="O23" i="23"/>
  <c r="M23" i="23"/>
  <c r="K23" i="23"/>
  <c r="I23" i="23"/>
  <c r="G23" i="23"/>
  <c r="F23" i="23"/>
  <c r="E23" i="23"/>
  <c r="D23" i="23"/>
  <c r="O22" i="23"/>
  <c r="M22" i="23"/>
  <c r="K22" i="23"/>
  <c r="I22" i="23"/>
  <c r="G22" i="23"/>
  <c r="F22" i="23"/>
  <c r="E22" i="23"/>
  <c r="D22" i="23"/>
  <c r="O21" i="23"/>
  <c r="M21" i="23"/>
  <c r="K21" i="23"/>
  <c r="I21" i="23"/>
  <c r="G21" i="23"/>
  <c r="F21" i="23"/>
  <c r="E21" i="23"/>
  <c r="D21" i="23"/>
  <c r="O20" i="23"/>
  <c r="M20" i="23"/>
  <c r="K20" i="23"/>
  <c r="I20" i="23"/>
  <c r="G20" i="23"/>
  <c r="F20" i="23"/>
  <c r="E20" i="23"/>
  <c r="D20" i="23"/>
  <c r="O19" i="23"/>
  <c r="M19" i="23"/>
  <c r="K19" i="23"/>
  <c r="I19" i="23"/>
  <c r="G19" i="23"/>
  <c r="F19" i="23"/>
  <c r="E19" i="23"/>
  <c r="D19" i="23"/>
  <c r="O18" i="23"/>
  <c r="M18" i="23"/>
  <c r="K18" i="23"/>
  <c r="I18" i="23"/>
  <c r="G18" i="23"/>
  <c r="F18" i="23"/>
  <c r="E18" i="23"/>
  <c r="D18" i="23"/>
  <c r="O17" i="23"/>
  <c r="M17" i="23"/>
  <c r="K17" i="23"/>
  <c r="I17" i="23"/>
  <c r="G17" i="23"/>
  <c r="F17" i="23"/>
  <c r="E17" i="23"/>
  <c r="D17" i="23"/>
  <c r="O16" i="23"/>
  <c r="M16" i="23"/>
  <c r="K16" i="23"/>
  <c r="I16" i="23"/>
  <c r="G16" i="23"/>
  <c r="F16" i="23"/>
  <c r="E16" i="23"/>
  <c r="D16" i="23"/>
  <c r="O15" i="23"/>
  <c r="M15" i="23"/>
  <c r="K15" i="23"/>
  <c r="I15" i="23"/>
  <c r="G15" i="23"/>
  <c r="F15" i="23"/>
  <c r="E15" i="23"/>
  <c r="D15" i="23"/>
  <c r="O14" i="23"/>
  <c r="M14" i="23"/>
  <c r="K14" i="23"/>
  <c r="I14" i="23"/>
  <c r="G14" i="23"/>
  <c r="F14" i="23"/>
  <c r="E14" i="23"/>
  <c r="D14" i="23"/>
  <c r="O13" i="23"/>
  <c r="M13" i="23"/>
  <c r="K13" i="23"/>
  <c r="I13" i="23"/>
  <c r="G13" i="23"/>
  <c r="F13" i="23"/>
  <c r="E13" i="23"/>
  <c r="D13" i="23"/>
  <c r="O12" i="23"/>
  <c r="M12" i="23"/>
  <c r="K12" i="23"/>
  <c r="I12" i="23"/>
  <c r="G12" i="23"/>
  <c r="F12" i="23"/>
  <c r="E12" i="23"/>
  <c r="D12" i="23"/>
  <c r="O11" i="23"/>
  <c r="M11" i="23"/>
  <c r="K11" i="23"/>
  <c r="I11" i="23"/>
  <c r="G11" i="23"/>
  <c r="F11" i="23"/>
  <c r="E11" i="23"/>
  <c r="D11" i="23"/>
  <c r="O10" i="23"/>
  <c r="M10" i="23"/>
  <c r="K10" i="23"/>
  <c r="I10" i="23"/>
  <c r="G10" i="23"/>
  <c r="F10" i="23"/>
  <c r="E10" i="23"/>
  <c r="D10" i="23"/>
  <c r="O9" i="23"/>
  <c r="M9" i="23"/>
  <c r="K9" i="23"/>
  <c r="I9" i="23"/>
  <c r="G9" i="23"/>
  <c r="F9" i="23"/>
  <c r="E9" i="23"/>
  <c r="D9" i="23"/>
  <c r="O8" i="23"/>
  <c r="M8" i="23"/>
  <c r="K8" i="23"/>
  <c r="I8" i="23"/>
  <c r="G8" i="23"/>
  <c r="F8" i="23"/>
  <c r="E8" i="23"/>
  <c r="D8" i="23"/>
  <c r="O7" i="23"/>
  <c r="M7" i="23"/>
  <c r="K7" i="23"/>
  <c r="I7" i="23"/>
  <c r="G7" i="23"/>
  <c r="F7" i="23"/>
  <c r="E7" i="23"/>
  <c r="D7" i="23"/>
  <c r="O6" i="23"/>
  <c r="M6" i="23"/>
  <c r="K6" i="23"/>
  <c r="I6" i="23"/>
  <c r="G6" i="23"/>
  <c r="F6" i="23"/>
  <c r="E6" i="23"/>
  <c r="D6" i="23"/>
  <c r="F6" i="22"/>
  <c r="J5" i="22"/>
  <c r="J6" i="22" s="1"/>
  <c r="I5" i="22"/>
  <c r="H5" i="22"/>
  <c r="H6" i="22" s="1"/>
  <c r="G5" i="22"/>
  <c r="D5" i="22" s="1"/>
  <c r="D6" i="22" s="1"/>
  <c r="F5" i="22"/>
  <c r="C5" i="22" s="1"/>
  <c r="J4" i="22"/>
  <c r="I4" i="22"/>
  <c r="I6" i="22" s="1"/>
  <c r="H4" i="22"/>
  <c r="G4" i="22"/>
  <c r="D4" i="22" s="1"/>
  <c r="F4" i="22"/>
  <c r="E4" i="22" s="1"/>
  <c r="C6" i="22" l="1"/>
  <c r="B5" i="22"/>
  <c r="E5" i="22"/>
  <c r="E6" i="22" s="1"/>
  <c r="G6" i="22"/>
  <c r="C4" i="22"/>
  <c r="B4" i="22" s="1"/>
  <c r="B7" i="22" l="1"/>
  <c r="B6" i="22"/>
  <c r="O938" i="18" l="1"/>
  <c r="N938" i="18"/>
  <c r="M938" i="18"/>
  <c r="L938" i="18"/>
  <c r="K938" i="18"/>
  <c r="J938" i="18"/>
  <c r="I938" i="18"/>
  <c r="H938" i="18"/>
  <c r="G938" i="18"/>
  <c r="F938" i="18"/>
  <c r="E938" i="18"/>
  <c r="D938" i="18"/>
  <c r="K936" i="18"/>
  <c r="F936" i="18"/>
  <c r="K935" i="18"/>
  <c r="F935" i="18"/>
  <c r="K934" i="18"/>
  <c r="F934" i="18"/>
  <c r="K933" i="18"/>
  <c r="F933" i="18"/>
  <c r="K932" i="18"/>
  <c r="F932" i="18"/>
  <c r="K931" i="18"/>
  <c r="F931" i="18"/>
  <c r="K930" i="18"/>
  <c r="F930" i="18"/>
  <c r="K929" i="18"/>
  <c r="F929" i="18"/>
  <c r="K928" i="18"/>
  <c r="F928" i="18"/>
  <c r="K927" i="18"/>
  <c r="F927" i="18"/>
  <c r="K926" i="18"/>
  <c r="F926" i="18"/>
  <c r="K925" i="18"/>
  <c r="F925" i="18"/>
  <c r="K924" i="18"/>
  <c r="F924" i="18"/>
  <c r="K923" i="18"/>
  <c r="F923" i="18"/>
  <c r="K922" i="18"/>
  <c r="F922" i="18"/>
  <c r="K921" i="18"/>
  <c r="F921" i="18"/>
  <c r="K920" i="18"/>
  <c r="F920" i="18"/>
  <c r="K919" i="18"/>
  <c r="F919" i="18"/>
  <c r="K918" i="18"/>
  <c r="F918" i="18"/>
  <c r="K917" i="18"/>
  <c r="F917" i="18"/>
  <c r="K916" i="18"/>
  <c r="F916" i="18"/>
  <c r="K915" i="18"/>
  <c r="F915" i="18"/>
  <c r="K914" i="18"/>
  <c r="F914" i="18"/>
  <c r="K913" i="18"/>
  <c r="F913" i="18"/>
  <c r="K912" i="18"/>
  <c r="F912" i="18"/>
  <c r="K911" i="18"/>
  <c r="F911" i="18"/>
  <c r="K910" i="18"/>
  <c r="F910" i="18"/>
  <c r="K909" i="18"/>
  <c r="F909" i="18"/>
  <c r="K908" i="18"/>
  <c r="F908" i="18"/>
  <c r="K907" i="18"/>
  <c r="F907" i="18"/>
  <c r="K906" i="18"/>
  <c r="F906" i="18"/>
  <c r="K905" i="18"/>
  <c r="F905" i="18"/>
  <c r="K904" i="18"/>
  <c r="F904" i="18"/>
  <c r="K903" i="18"/>
  <c r="F903" i="18"/>
  <c r="K902" i="18"/>
  <c r="F902" i="18"/>
  <c r="K901" i="18"/>
  <c r="F901" i="18"/>
  <c r="K900" i="18"/>
  <c r="F900" i="18"/>
  <c r="K899" i="18"/>
  <c r="F899" i="18"/>
  <c r="K898" i="18"/>
  <c r="F898" i="18"/>
  <c r="K897" i="18"/>
  <c r="F897" i="18"/>
  <c r="K896" i="18"/>
  <c r="F896" i="18"/>
  <c r="K895" i="18"/>
  <c r="F895" i="18"/>
  <c r="K894" i="18"/>
  <c r="F894" i="18"/>
  <c r="K893" i="18"/>
  <c r="F893" i="18"/>
  <c r="K892" i="18"/>
  <c r="F892" i="18"/>
  <c r="K891" i="18"/>
  <c r="F891" i="18"/>
  <c r="K890" i="18"/>
  <c r="F890" i="18"/>
  <c r="K889" i="18"/>
  <c r="F889" i="18"/>
  <c r="K888" i="18"/>
  <c r="F888" i="18"/>
  <c r="K887" i="18"/>
  <c r="F887" i="18"/>
  <c r="K886" i="18"/>
  <c r="F886" i="18"/>
  <c r="K885" i="18"/>
  <c r="F885" i="18"/>
  <c r="K884" i="18"/>
  <c r="F884" i="18"/>
  <c r="K883" i="18"/>
  <c r="F883" i="18"/>
  <c r="K882" i="18"/>
  <c r="F882" i="18"/>
  <c r="K881" i="18"/>
  <c r="F881" i="18"/>
  <c r="K880" i="18"/>
  <c r="F880" i="18"/>
  <c r="K879" i="18"/>
  <c r="F879" i="18"/>
  <c r="K878" i="18"/>
  <c r="F878" i="18"/>
  <c r="K877" i="18"/>
  <c r="F877" i="18"/>
  <c r="K876" i="18"/>
  <c r="F876" i="18"/>
  <c r="K875" i="18"/>
  <c r="F875" i="18"/>
  <c r="K874" i="18"/>
  <c r="F874" i="18"/>
  <c r="K873" i="18"/>
  <c r="F873" i="18"/>
  <c r="K872" i="18"/>
  <c r="F872" i="18"/>
  <c r="K871" i="18"/>
  <c r="F871" i="18"/>
  <c r="K870" i="18"/>
  <c r="F870" i="18"/>
  <c r="K869" i="18"/>
  <c r="F869" i="18"/>
  <c r="K868" i="18"/>
  <c r="F868" i="18"/>
  <c r="K867" i="18"/>
  <c r="F867" i="18"/>
  <c r="K866" i="18"/>
  <c r="F866" i="18"/>
  <c r="K865" i="18"/>
  <c r="F865" i="18"/>
  <c r="K864" i="18"/>
  <c r="F864" i="18"/>
  <c r="K863" i="18"/>
  <c r="F863" i="18"/>
  <c r="K862" i="18"/>
  <c r="F862" i="18"/>
  <c r="K861" i="18"/>
  <c r="F861" i="18"/>
  <c r="K860" i="18"/>
  <c r="F860" i="18"/>
  <c r="K859" i="18"/>
  <c r="F859" i="18"/>
  <c r="K858" i="18"/>
  <c r="F858" i="18"/>
  <c r="K857" i="18"/>
  <c r="F857" i="18"/>
  <c r="K856" i="18"/>
  <c r="F856" i="18"/>
  <c r="K855" i="18"/>
  <c r="F855" i="18"/>
  <c r="K854" i="18"/>
  <c r="F854" i="18"/>
  <c r="K853" i="18"/>
  <c r="F853" i="18"/>
  <c r="K852" i="18"/>
  <c r="F852" i="18"/>
  <c r="K851" i="18"/>
  <c r="F851" i="18"/>
  <c r="K850" i="18"/>
  <c r="F850" i="18"/>
  <c r="K849" i="18"/>
  <c r="F849" i="18"/>
  <c r="K848" i="18"/>
  <c r="F848" i="18"/>
  <c r="K847" i="18"/>
  <c r="F847" i="18"/>
  <c r="K846" i="18"/>
  <c r="F846" i="18"/>
  <c r="K845" i="18"/>
  <c r="F845" i="18"/>
  <c r="K844" i="18"/>
  <c r="F844" i="18"/>
  <c r="K843" i="18"/>
  <c r="F843" i="18"/>
  <c r="K842" i="18"/>
  <c r="F842" i="18"/>
  <c r="K841" i="18"/>
  <c r="F841" i="18"/>
  <c r="K840" i="18"/>
  <c r="F840" i="18"/>
  <c r="K839" i="18"/>
  <c r="F839" i="18"/>
  <c r="K838" i="18"/>
  <c r="F838" i="18"/>
  <c r="K837" i="18"/>
  <c r="F837" i="18"/>
  <c r="K836" i="18"/>
  <c r="F836" i="18"/>
  <c r="K835" i="18"/>
  <c r="F835" i="18"/>
  <c r="K834" i="18"/>
  <c r="F834" i="18"/>
  <c r="K833" i="18"/>
  <c r="F833" i="18"/>
  <c r="K832" i="18"/>
  <c r="F832" i="18"/>
  <c r="K831" i="18"/>
  <c r="F831" i="18"/>
  <c r="K830" i="18"/>
  <c r="F830" i="18"/>
  <c r="K829" i="18"/>
  <c r="F829" i="18"/>
  <c r="K828" i="18"/>
  <c r="F828" i="18"/>
  <c r="K827" i="18"/>
  <c r="F827" i="18"/>
  <c r="K826" i="18"/>
  <c r="F826" i="18"/>
  <c r="K825" i="18"/>
  <c r="F825" i="18"/>
  <c r="K824" i="18"/>
  <c r="F824" i="18"/>
  <c r="K823" i="18"/>
  <c r="F823" i="18"/>
  <c r="K822" i="18"/>
  <c r="F822" i="18"/>
  <c r="K821" i="18"/>
  <c r="F821" i="18"/>
  <c r="K820" i="18"/>
  <c r="F820" i="18"/>
  <c r="K819" i="18"/>
  <c r="F819" i="18"/>
  <c r="K818" i="18"/>
  <c r="F818" i="18"/>
  <c r="K817" i="18"/>
  <c r="F817" i="18"/>
  <c r="K816" i="18"/>
  <c r="F816" i="18"/>
  <c r="K815" i="18"/>
  <c r="F815" i="18"/>
  <c r="K814" i="18"/>
  <c r="F814" i="18"/>
  <c r="K813" i="18"/>
  <c r="F813" i="18"/>
  <c r="K812" i="18"/>
  <c r="F812" i="18"/>
  <c r="K811" i="18"/>
  <c r="F811" i="18"/>
  <c r="K810" i="18"/>
  <c r="F810" i="18"/>
  <c r="K809" i="18"/>
  <c r="F809" i="18"/>
  <c r="K808" i="18"/>
  <c r="F808" i="18"/>
  <c r="K807" i="18"/>
  <c r="F807" i="18"/>
  <c r="K806" i="18"/>
  <c r="F806" i="18"/>
  <c r="K805" i="18"/>
  <c r="F805" i="18"/>
  <c r="K804" i="18"/>
  <c r="F804" i="18"/>
  <c r="K803" i="18"/>
  <c r="F803" i="18"/>
  <c r="K802" i="18"/>
  <c r="F802" i="18"/>
  <c r="K801" i="18"/>
  <c r="F801" i="18"/>
  <c r="K800" i="18"/>
  <c r="F800" i="18"/>
  <c r="K799" i="18"/>
  <c r="F799" i="18"/>
  <c r="K798" i="18"/>
  <c r="F798" i="18"/>
  <c r="K797" i="18"/>
  <c r="F797" i="18"/>
  <c r="K796" i="18"/>
  <c r="F796" i="18"/>
  <c r="K795" i="18"/>
  <c r="F795" i="18"/>
  <c r="K794" i="18"/>
  <c r="F794" i="18"/>
  <c r="K793" i="18"/>
  <c r="F793" i="18"/>
  <c r="K792" i="18"/>
  <c r="F792" i="18"/>
  <c r="K791" i="18"/>
  <c r="F791" i="18"/>
  <c r="K790" i="18"/>
  <c r="F790" i="18"/>
  <c r="K789" i="18"/>
  <c r="F789" i="18"/>
  <c r="K788" i="18"/>
  <c r="F788" i="18"/>
  <c r="K787" i="18"/>
  <c r="F787" i="18"/>
  <c r="K786" i="18"/>
  <c r="F786" i="18"/>
  <c r="K785" i="18"/>
  <c r="F785" i="18"/>
  <c r="K784" i="18"/>
  <c r="F784" i="18"/>
  <c r="K783" i="18"/>
  <c r="F783" i="18"/>
  <c r="K782" i="18"/>
  <c r="F782" i="18"/>
  <c r="K781" i="18"/>
  <c r="F781" i="18"/>
  <c r="K780" i="18"/>
  <c r="F780" i="18"/>
  <c r="K779" i="18"/>
  <c r="F779" i="18"/>
  <c r="K778" i="18"/>
  <c r="F778" i="18"/>
  <c r="K777" i="18"/>
  <c r="F777" i="18"/>
  <c r="K776" i="18"/>
  <c r="F776" i="18"/>
  <c r="K775" i="18"/>
  <c r="F775" i="18"/>
  <c r="K774" i="18"/>
  <c r="F774" i="18"/>
  <c r="K773" i="18"/>
  <c r="F773" i="18"/>
  <c r="K772" i="18"/>
  <c r="F772" i="18"/>
  <c r="K771" i="18"/>
  <c r="F771" i="18"/>
  <c r="K770" i="18"/>
  <c r="F770" i="18"/>
  <c r="K769" i="18"/>
  <c r="F769" i="18"/>
  <c r="K768" i="18"/>
  <c r="F768" i="18"/>
  <c r="K767" i="18"/>
  <c r="F767" i="18"/>
  <c r="K766" i="18"/>
  <c r="F766" i="18"/>
  <c r="K765" i="18"/>
  <c r="F765" i="18"/>
  <c r="K764" i="18"/>
  <c r="F764" i="18"/>
  <c r="K763" i="18"/>
  <c r="F763" i="18"/>
  <c r="K762" i="18"/>
  <c r="F762" i="18"/>
  <c r="K761" i="18"/>
  <c r="F761" i="18"/>
  <c r="K760" i="18"/>
  <c r="F760" i="18"/>
  <c r="K759" i="18"/>
  <c r="F759" i="18"/>
  <c r="K758" i="18"/>
  <c r="F758" i="18"/>
  <c r="K757" i="18"/>
  <c r="F757" i="18"/>
  <c r="K756" i="18"/>
  <c r="F756" i="18"/>
  <c r="K755" i="18"/>
  <c r="F755" i="18"/>
  <c r="K754" i="18"/>
  <c r="F754" i="18"/>
  <c r="K753" i="18"/>
  <c r="F753" i="18"/>
  <c r="K752" i="18"/>
  <c r="F752" i="18"/>
  <c r="K751" i="18"/>
  <c r="F751" i="18"/>
  <c r="K750" i="18"/>
  <c r="F750" i="18"/>
  <c r="K749" i="18"/>
  <c r="F749" i="18"/>
  <c r="K748" i="18"/>
  <c r="F748" i="18"/>
  <c r="K747" i="18"/>
  <c r="F747" i="18"/>
  <c r="K746" i="18"/>
  <c r="F746" i="18"/>
  <c r="K745" i="18"/>
  <c r="F745" i="18"/>
  <c r="K744" i="18"/>
  <c r="F744" i="18"/>
  <c r="K743" i="18"/>
  <c r="F743" i="18"/>
  <c r="K742" i="18"/>
  <c r="F742" i="18"/>
  <c r="K741" i="18"/>
  <c r="F741" i="18"/>
  <c r="K740" i="18"/>
  <c r="F740" i="18"/>
  <c r="K739" i="18"/>
  <c r="F739" i="18"/>
  <c r="K738" i="18"/>
  <c r="F738" i="18"/>
  <c r="K737" i="18"/>
  <c r="F737" i="18"/>
  <c r="K736" i="18"/>
  <c r="F736" i="18"/>
  <c r="K735" i="18"/>
  <c r="F735" i="18"/>
  <c r="K734" i="18"/>
  <c r="F734" i="18"/>
  <c r="K733" i="18"/>
  <c r="F733" i="18"/>
  <c r="K732" i="18"/>
  <c r="F732" i="18"/>
  <c r="K731" i="18"/>
  <c r="F731" i="18"/>
  <c r="K730" i="18"/>
  <c r="F730" i="18"/>
  <c r="K729" i="18"/>
  <c r="F729" i="18"/>
  <c r="K728" i="18"/>
  <c r="F728" i="18"/>
  <c r="K727" i="18"/>
  <c r="F727" i="18"/>
  <c r="K726" i="18"/>
  <c r="F726" i="18"/>
  <c r="K725" i="18"/>
  <c r="F725" i="18"/>
  <c r="K724" i="18"/>
  <c r="F724" i="18"/>
  <c r="K723" i="18"/>
  <c r="F723" i="18"/>
  <c r="K722" i="18"/>
  <c r="F722" i="18"/>
  <c r="K721" i="18"/>
  <c r="F721" i="18"/>
  <c r="K720" i="18"/>
  <c r="F720" i="18"/>
  <c r="K719" i="18"/>
  <c r="F719" i="18"/>
  <c r="K718" i="18"/>
  <c r="F718" i="18"/>
  <c r="K717" i="18"/>
  <c r="F717" i="18"/>
  <c r="K716" i="18"/>
  <c r="F716" i="18"/>
  <c r="K715" i="18"/>
  <c r="F715" i="18"/>
  <c r="K714" i="18"/>
  <c r="F714" i="18"/>
  <c r="K713" i="18"/>
  <c r="F713" i="18"/>
  <c r="K712" i="18"/>
  <c r="F712" i="18"/>
  <c r="K711" i="18"/>
  <c r="F711" i="18"/>
  <c r="K710" i="18"/>
  <c r="F710" i="18"/>
  <c r="K709" i="18"/>
  <c r="F709" i="18"/>
  <c r="K708" i="18"/>
  <c r="F708" i="18"/>
  <c r="K707" i="18"/>
  <c r="F707" i="18"/>
  <c r="K706" i="18"/>
  <c r="F706" i="18"/>
  <c r="K705" i="18"/>
  <c r="F705" i="18"/>
  <c r="K704" i="18"/>
  <c r="F704" i="18"/>
  <c r="K703" i="18"/>
  <c r="F703" i="18"/>
  <c r="K702" i="18"/>
  <c r="F702" i="18"/>
  <c r="K701" i="18"/>
  <c r="F701" i="18"/>
  <c r="K700" i="18"/>
  <c r="F700" i="18"/>
  <c r="K699" i="18"/>
  <c r="F699" i="18"/>
  <c r="K698" i="18"/>
  <c r="F698" i="18"/>
  <c r="K697" i="18"/>
  <c r="F697" i="18"/>
  <c r="K696" i="18"/>
  <c r="F696" i="18"/>
  <c r="K695" i="18"/>
  <c r="F695" i="18"/>
  <c r="K694" i="18"/>
  <c r="F694" i="18"/>
  <c r="K693" i="18"/>
  <c r="F693" i="18"/>
  <c r="K692" i="18"/>
  <c r="F692" i="18"/>
  <c r="K691" i="18"/>
  <c r="F691" i="18"/>
  <c r="K690" i="18"/>
  <c r="F690" i="18"/>
  <c r="K689" i="18"/>
  <c r="F689" i="18"/>
  <c r="K688" i="18"/>
  <c r="F688" i="18"/>
  <c r="K687" i="18"/>
  <c r="F687" i="18"/>
  <c r="K686" i="18"/>
  <c r="F686" i="18"/>
  <c r="K685" i="18"/>
  <c r="F685" i="18"/>
  <c r="K684" i="18"/>
  <c r="F684" i="18"/>
  <c r="K683" i="18"/>
  <c r="F683" i="18"/>
  <c r="K682" i="18"/>
  <c r="F682" i="18"/>
  <c r="K681" i="18"/>
  <c r="F681" i="18"/>
  <c r="K680" i="18"/>
  <c r="F680" i="18"/>
  <c r="K679" i="18"/>
  <c r="F679" i="18"/>
  <c r="K678" i="18"/>
  <c r="F678" i="18"/>
  <c r="K677" i="18"/>
  <c r="F677" i="18"/>
  <c r="K676" i="18"/>
  <c r="F676" i="18"/>
  <c r="K675" i="18"/>
  <c r="F675" i="18"/>
  <c r="K674" i="18"/>
  <c r="F674" i="18"/>
  <c r="K673" i="18"/>
  <c r="F673" i="18"/>
  <c r="K672" i="18"/>
  <c r="F672" i="18"/>
  <c r="K671" i="18"/>
  <c r="F671" i="18"/>
  <c r="K670" i="18"/>
  <c r="F670" i="18"/>
  <c r="K669" i="18"/>
  <c r="F669" i="18"/>
  <c r="K668" i="18"/>
  <c r="F668" i="18"/>
  <c r="K667" i="18"/>
  <c r="F667" i="18"/>
  <c r="K666" i="18"/>
  <c r="F666" i="18"/>
  <c r="K665" i="18"/>
  <c r="F665" i="18"/>
  <c r="K664" i="18"/>
  <c r="F664" i="18"/>
  <c r="K663" i="18"/>
  <c r="F663" i="18"/>
  <c r="K662" i="18"/>
  <c r="F662" i="18"/>
  <c r="K661" i="18"/>
  <c r="F661" i="18"/>
  <c r="K660" i="18"/>
  <c r="F660" i="18"/>
  <c r="K659" i="18"/>
  <c r="F659" i="18"/>
  <c r="K658" i="18"/>
  <c r="F658" i="18"/>
  <c r="K657" i="18"/>
  <c r="F657" i="18"/>
  <c r="K656" i="18"/>
  <c r="F656" i="18"/>
  <c r="K655" i="18"/>
  <c r="F655" i="18"/>
  <c r="K654" i="18"/>
  <c r="F654" i="18"/>
  <c r="K653" i="18"/>
  <c r="F653" i="18"/>
  <c r="K652" i="18"/>
  <c r="F652" i="18"/>
  <c r="K651" i="18"/>
  <c r="F651" i="18"/>
  <c r="K650" i="18"/>
  <c r="F650" i="18"/>
  <c r="K649" i="18"/>
  <c r="F649" i="18"/>
  <c r="K648" i="18"/>
  <c r="F648" i="18"/>
  <c r="K647" i="18"/>
  <c r="F647" i="18"/>
  <c r="K646" i="18"/>
  <c r="F646" i="18"/>
  <c r="K645" i="18"/>
  <c r="F645" i="18"/>
  <c r="K644" i="18"/>
  <c r="F644" i="18"/>
  <c r="K643" i="18"/>
  <c r="F643" i="18"/>
  <c r="K642" i="18"/>
  <c r="F642" i="18"/>
  <c r="K641" i="18"/>
  <c r="F641" i="18"/>
  <c r="K640" i="18"/>
  <c r="F640" i="18"/>
  <c r="K639" i="18"/>
  <c r="F639" i="18"/>
  <c r="K638" i="18"/>
  <c r="F638" i="18"/>
  <c r="K637" i="18"/>
  <c r="F637" i="18"/>
  <c r="K636" i="18"/>
  <c r="F636" i="18"/>
  <c r="K635" i="18"/>
  <c r="F635" i="18"/>
  <c r="K634" i="18"/>
  <c r="F634" i="18"/>
  <c r="K633" i="18"/>
  <c r="F633" i="18"/>
  <c r="K632" i="18"/>
  <c r="F632" i="18"/>
  <c r="K631" i="18"/>
  <c r="F631" i="18"/>
  <c r="K630" i="18"/>
  <c r="F630" i="18"/>
  <c r="K629" i="18"/>
  <c r="F629" i="18"/>
  <c r="K628" i="18"/>
  <c r="F628" i="18"/>
  <c r="K627" i="18"/>
  <c r="F627" i="18"/>
  <c r="K626" i="18"/>
  <c r="F626" i="18"/>
  <c r="K625" i="18"/>
  <c r="F625" i="18"/>
  <c r="K624" i="18"/>
  <c r="F624" i="18"/>
  <c r="K623" i="18"/>
  <c r="F623" i="18"/>
  <c r="K622" i="18"/>
  <c r="F622" i="18"/>
  <c r="K621" i="18"/>
  <c r="F621" i="18"/>
  <c r="K620" i="18"/>
  <c r="F620" i="18"/>
  <c r="K619" i="18"/>
  <c r="F619" i="18"/>
  <c r="K618" i="18"/>
  <c r="F618" i="18"/>
  <c r="K617" i="18"/>
  <c r="F617" i="18"/>
  <c r="K616" i="18"/>
  <c r="F616" i="18"/>
  <c r="K615" i="18"/>
  <c r="F615" i="18"/>
  <c r="K614" i="18"/>
  <c r="F614" i="18"/>
  <c r="K613" i="18"/>
  <c r="F613" i="18"/>
  <c r="K612" i="18"/>
  <c r="F612" i="18"/>
  <c r="K611" i="18"/>
  <c r="F611" i="18"/>
  <c r="K610" i="18"/>
  <c r="F610" i="18"/>
  <c r="K609" i="18"/>
  <c r="F609" i="18"/>
  <c r="K608" i="18"/>
  <c r="F608" i="18"/>
  <c r="K607" i="18"/>
  <c r="F607" i="18"/>
  <c r="K606" i="18"/>
  <c r="F606" i="18"/>
  <c r="K605" i="18"/>
  <c r="F605" i="18"/>
  <c r="K604" i="18"/>
  <c r="F604" i="18"/>
  <c r="K603" i="18"/>
  <c r="F603" i="18"/>
  <c r="K602" i="18"/>
  <c r="F602" i="18"/>
  <c r="K601" i="18"/>
  <c r="F601" i="18"/>
  <c r="K600" i="18"/>
  <c r="F600" i="18"/>
  <c r="K599" i="18"/>
  <c r="F599" i="18"/>
  <c r="K598" i="18"/>
  <c r="F598" i="18"/>
  <c r="K597" i="18"/>
  <c r="F597" i="18"/>
  <c r="K596" i="18"/>
  <c r="F596" i="18"/>
  <c r="K595" i="18"/>
  <c r="F595" i="18"/>
  <c r="K594" i="18"/>
  <c r="F594" i="18"/>
  <c r="K593" i="18"/>
  <c r="F593" i="18"/>
  <c r="K592" i="18"/>
  <c r="F592" i="18"/>
  <c r="K591" i="18"/>
  <c r="F591" i="18"/>
  <c r="K590" i="18"/>
  <c r="F590" i="18"/>
  <c r="K589" i="18"/>
  <c r="F589" i="18"/>
  <c r="K588" i="18"/>
  <c r="F588" i="18"/>
  <c r="K587" i="18"/>
  <c r="F587" i="18"/>
  <c r="K586" i="18"/>
  <c r="F586" i="18"/>
  <c r="K585" i="18"/>
  <c r="F585" i="18"/>
  <c r="K584" i="18"/>
  <c r="F584" i="18"/>
  <c r="K583" i="18"/>
  <c r="F583" i="18"/>
  <c r="K582" i="18"/>
  <c r="F582" i="18"/>
  <c r="K581" i="18"/>
  <c r="F581" i="18"/>
  <c r="K580" i="18"/>
  <c r="F580" i="18"/>
  <c r="K579" i="18"/>
  <c r="F579" i="18"/>
  <c r="K578" i="18"/>
  <c r="F578" i="18"/>
  <c r="K577" i="18"/>
  <c r="F577" i="18"/>
  <c r="K576" i="18"/>
  <c r="F576" i="18"/>
  <c r="K575" i="18"/>
  <c r="F575" i="18"/>
  <c r="K574" i="18"/>
  <c r="F574" i="18"/>
  <c r="K573" i="18"/>
  <c r="F573" i="18"/>
  <c r="K572" i="18"/>
  <c r="F572" i="18"/>
  <c r="K571" i="18"/>
  <c r="F571" i="18"/>
  <c r="K570" i="18"/>
  <c r="F570" i="18"/>
  <c r="K569" i="18"/>
  <c r="F569" i="18"/>
  <c r="K568" i="18"/>
  <c r="F568" i="18"/>
  <c r="K567" i="18"/>
  <c r="F567" i="18"/>
  <c r="K566" i="18"/>
  <c r="F566" i="18"/>
  <c r="K565" i="18"/>
  <c r="F565" i="18"/>
  <c r="K564" i="18"/>
  <c r="F564" i="18"/>
  <c r="K563" i="18"/>
  <c r="F563" i="18"/>
  <c r="K562" i="18"/>
  <c r="F562" i="18"/>
  <c r="K561" i="18"/>
  <c r="F561" i="18"/>
  <c r="K560" i="18"/>
  <c r="F560" i="18"/>
  <c r="K559" i="18"/>
  <c r="F559" i="18"/>
  <c r="K558" i="18"/>
  <c r="F558" i="18"/>
  <c r="K557" i="18"/>
  <c r="F557" i="18"/>
  <c r="K556" i="18"/>
  <c r="F556" i="18"/>
  <c r="K555" i="18"/>
  <c r="F555" i="18"/>
  <c r="K554" i="18"/>
  <c r="F554" i="18"/>
  <c r="K553" i="18"/>
  <c r="F553" i="18"/>
  <c r="K552" i="18"/>
  <c r="F552" i="18"/>
  <c r="K551" i="18"/>
  <c r="F551" i="18"/>
  <c r="K550" i="18"/>
  <c r="F550" i="18"/>
  <c r="K549" i="18"/>
  <c r="F549" i="18"/>
  <c r="K548" i="18"/>
  <c r="F548" i="18"/>
  <c r="K547" i="18"/>
  <c r="F547" i="18"/>
  <c r="K546" i="18"/>
  <c r="F546" i="18"/>
  <c r="K545" i="18"/>
  <c r="F545" i="18"/>
  <c r="K544" i="18"/>
  <c r="F544" i="18"/>
  <c r="K543" i="18"/>
  <c r="F543" i="18"/>
  <c r="K542" i="18"/>
  <c r="F542" i="18"/>
  <c r="K541" i="18"/>
  <c r="F541" i="18"/>
  <c r="K540" i="18"/>
  <c r="F540" i="18"/>
  <c r="K539" i="18"/>
  <c r="F539" i="18"/>
  <c r="K538" i="18"/>
  <c r="F538" i="18"/>
  <c r="K537" i="18"/>
  <c r="F537" i="18"/>
  <c r="K536" i="18"/>
  <c r="F536" i="18"/>
  <c r="K535" i="18"/>
  <c r="F535" i="18"/>
  <c r="K534" i="18"/>
  <c r="F534" i="18"/>
  <c r="K533" i="18"/>
  <c r="F533" i="18"/>
  <c r="K532" i="18"/>
  <c r="F532" i="18"/>
  <c r="K531" i="18"/>
  <c r="F531" i="18"/>
  <c r="K530" i="18"/>
  <c r="F530" i="18"/>
  <c r="K529" i="18"/>
  <c r="F529" i="18"/>
  <c r="K528" i="18"/>
  <c r="F528" i="18"/>
  <c r="K527" i="18"/>
  <c r="F527" i="18"/>
  <c r="K526" i="18"/>
  <c r="F526" i="18"/>
  <c r="K525" i="18"/>
  <c r="F525" i="18"/>
  <c r="K524" i="18"/>
  <c r="F524" i="18"/>
  <c r="K523" i="18"/>
  <c r="F523" i="18"/>
  <c r="K522" i="18"/>
  <c r="F522" i="18"/>
  <c r="K521" i="18"/>
  <c r="F521" i="18"/>
  <c r="K520" i="18"/>
  <c r="F520" i="18"/>
  <c r="K519" i="18"/>
  <c r="F519" i="18"/>
  <c r="K518" i="18"/>
  <c r="F518" i="18"/>
  <c r="K517" i="18"/>
  <c r="F517" i="18"/>
  <c r="K516" i="18"/>
  <c r="F516" i="18"/>
  <c r="K515" i="18"/>
  <c r="F515" i="18"/>
  <c r="K514" i="18"/>
  <c r="F514" i="18"/>
  <c r="K513" i="18"/>
  <c r="F513" i="18"/>
  <c r="K512" i="18"/>
  <c r="F512" i="18"/>
  <c r="K511" i="18"/>
  <c r="F511" i="18"/>
  <c r="K510" i="18"/>
  <c r="F510" i="18"/>
  <c r="K509" i="18"/>
  <c r="F509" i="18"/>
  <c r="K508" i="18"/>
  <c r="F508" i="18"/>
  <c r="K507" i="18"/>
  <c r="F507" i="18"/>
  <c r="K506" i="18"/>
  <c r="F506" i="18"/>
  <c r="K505" i="18"/>
  <c r="F505" i="18"/>
  <c r="K504" i="18"/>
  <c r="F504" i="18"/>
  <c r="K503" i="18"/>
  <c r="F503" i="18"/>
  <c r="K502" i="18"/>
  <c r="F502" i="18"/>
  <c r="K501" i="18"/>
  <c r="F501" i="18"/>
  <c r="K500" i="18"/>
  <c r="F500" i="18"/>
  <c r="K499" i="18"/>
  <c r="F499" i="18"/>
  <c r="K498" i="18"/>
  <c r="F498" i="18"/>
  <c r="K497" i="18"/>
  <c r="F497" i="18"/>
  <c r="K496" i="18"/>
  <c r="F496" i="18"/>
  <c r="K495" i="18"/>
  <c r="F495" i="18"/>
  <c r="K494" i="18"/>
  <c r="F494" i="18"/>
  <c r="K493" i="18"/>
  <c r="F493" i="18"/>
  <c r="K492" i="18"/>
  <c r="F492" i="18"/>
  <c r="K491" i="18"/>
  <c r="F491" i="18"/>
  <c r="K490" i="18"/>
  <c r="F490" i="18"/>
  <c r="K489" i="18"/>
  <c r="F489" i="18"/>
  <c r="K488" i="18"/>
  <c r="F488" i="18"/>
  <c r="K487" i="18"/>
  <c r="F487" i="18"/>
  <c r="K486" i="18"/>
  <c r="F486" i="18"/>
  <c r="K485" i="18"/>
  <c r="F485" i="18"/>
  <c r="K484" i="18"/>
  <c r="F484" i="18"/>
  <c r="K483" i="18"/>
  <c r="F483" i="18"/>
  <c r="K482" i="18"/>
  <c r="F482" i="18"/>
  <c r="K481" i="18"/>
  <c r="F481" i="18"/>
  <c r="K480" i="18"/>
  <c r="F480" i="18"/>
  <c r="K479" i="18"/>
  <c r="F479" i="18"/>
  <c r="K478" i="18"/>
  <c r="F478" i="18"/>
  <c r="K477" i="18"/>
  <c r="F477" i="18"/>
  <c r="K476" i="18"/>
  <c r="F476" i="18"/>
  <c r="K475" i="18"/>
  <c r="F475" i="18"/>
  <c r="K474" i="18"/>
  <c r="F474" i="18"/>
  <c r="K473" i="18"/>
  <c r="F473" i="18"/>
  <c r="K472" i="18"/>
  <c r="F472" i="18"/>
  <c r="K471" i="18"/>
  <c r="F471" i="18"/>
  <c r="K470" i="18"/>
  <c r="F470" i="18"/>
  <c r="K469" i="18"/>
  <c r="F469" i="18"/>
  <c r="K468" i="18"/>
  <c r="F468" i="18"/>
  <c r="K467" i="18"/>
  <c r="F467" i="18"/>
  <c r="K466" i="18"/>
  <c r="F466" i="18"/>
  <c r="K465" i="18"/>
  <c r="F465" i="18"/>
  <c r="K464" i="18"/>
  <c r="F464" i="18"/>
  <c r="K463" i="18"/>
  <c r="F463" i="18"/>
  <c r="K462" i="18"/>
  <c r="F462" i="18"/>
  <c r="K461" i="18"/>
  <c r="F461" i="18"/>
  <c r="K460" i="18"/>
  <c r="F460" i="18"/>
  <c r="K459" i="18"/>
  <c r="F459" i="18"/>
  <c r="K458" i="18"/>
  <c r="F458" i="18"/>
  <c r="K457" i="18"/>
  <c r="F457" i="18"/>
  <c r="K456" i="18"/>
  <c r="F456" i="18"/>
  <c r="K455" i="18"/>
  <c r="F455" i="18"/>
  <c r="K454" i="18"/>
  <c r="F454" i="18"/>
  <c r="K453" i="18"/>
  <c r="F453" i="18"/>
  <c r="K452" i="18"/>
  <c r="F452" i="18"/>
  <c r="K451" i="18"/>
  <c r="F451" i="18"/>
  <c r="K450" i="18"/>
  <c r="F450" i="18"/>
  <c r="K449" i="18"/>
  <c r="F449" i="18"/>
  <c r="K448" i="18"/>
  <c r="F448" i="18"/>
  <c r="K447" i="18"/>
  <c r="F447" i="18"/>
  <c r="K446" i="18"/>
  <c r="F446" i="18"/>
  <c r="K445" i="18"/>
  <c r="F445" i="18"/>
  <c r="K444" i="18"/>
  <c r="F444" i="18"/>
  <c r="K443" i="18"/>
  <c r="F443" i="18"/>
  <c r="K442" i="18"/>
  <c r="F442" i="18"/>
  <c r="K441" i="18"/>
  <c r="F441" i="18"/>
  <c r="K440" i="18"/>
  <c r="F440" i="18"/>
  <c r="K439" i="18"/>
  <c r="F439" i="18"/>
  <c r="K438" i="18"/>
  <c r="F438" i="18"/>
  <c r="K437" i="18"/>
  <c r="F437" i="18"/>
  <c r="K436" i="18"/>
  <c r="F436" i="18"/>
  <c r="K435" i="18"/>
  <c r="F435" i="18"/>
  <c r="K434" i="18"/>
  <c r="F434" i="18"/>
  <c r="K433" i="18"/>
  <c r="F433" i="18"/>
  <c r="K432" i="18"/>
  <c r="F432" i="18"/>
  <c r="K431" i="18"/>
  <c r="F431" i="18"/>
  <c r="K430" i="18"/>
  <c r="F430" i="18"/>
  <c r="K429" i="18"/>
  <c r="F429" i="18"/>
  <c r="K428" i="18"/>
  <c r="F428" i="18"/>
  <c r="K427" i="18"/>
  <c r="F427" i="18"/>
  <c r="K426" i="18"/>
  <c r="F426" i="18"/>
  <c r="K425" i="18"/>
  <c r="F425" i="18"/>
  <c r="K424" i="18"/>
  <c r="F424" i="18"/>
  <c r="K423" i="18"/>
  <c r="F423" i="18"/>
  <c r="K422" i="18"/>
  <c r="F422" i="18"/>
  <c r="K421" i="18"/>
  <c r="F421" i="18"/>
  <c r="K420" i="18"/>
  <c r="F420" i="18"/>
  <c r="K419" i="18"/>
  <c r="F419" i="18"/>
  <c r="K418" i="18"/>
  <c r="F418" i="18"/>
  <c r="K417" i="18"/>
  <c r="F417" i="18"/>
  <c r="K416" i="18"/>
  <c r="F416" i="18"/>
  <c r="K415" i="18"/>
  <c r="F415" i="18"/>
  <c r="K414" i="18"/>
  <c r="F414" i="18"/>
  <c r="K413" i="18"/>
  <c r="F413" i="18"/>
  <c r="K412" i="18"/>
  <c r="F412" i="18"/>
  <c r="K411" i="18"/>
  <c r="F411" i="18"/>
  <c r="K410" i="18"/>
  <c r="F410" i="18"/>
  <c r="K409" i="18"/>
  <c r="F409" i="18"/>
  <c r="K408" i="18"/>
  <c r="F408" i="18"/>
  <c r="K407" i="18"/>
  <c r="F407" i="18"/>
  <c r="K406" i="18"/>
  <c r="F406" i="18"/>
  <c r="K405" i="18"/>
  <c r="F405" i="18"/>
  <c r="K404" i="18"/>
  <c r="F404" i="18"/>
  <c r="K403" i="18"/>
  <c r="F403" i="18"/>
  <c r="K402" i="18"/>
  <c r="F402" i="18"/>
  <c r="K401" i="18"/>
  <c r="F401" i="18"/>
  <c r="K400" i="18"/>
  <c r="F400" i="18"/>
  <c r="K399" i="18"/>
  <c r="F399" i="18"/>
  <c r="K398" i="18"/>
  <c r="F398" i="18"/>
  <c r="K397" i="18"/>
  <c r="F397" i="18"/>
  <c r="K396" i="18"/>
  <c r="F396" i="18"/>
  <c r="K395" i="18"/>
  <c r="F395" i="18"/>
  <c r="K394" i="18"/>
  <c r="F394" i="18"/>
  <c r="K393" i="18"/>
  <c r="F393" i="18"/>
  <c r="K392" i="18"/>
  <c r="F392" i="18"/>
  <c r="K391" i="18"/>
  <c r="F391" i="18"/>
  <c r="K390" i="18"/>
  <c r="F390" i="18"/>
  <c r="K389" i="18"/>
  <c r="F389" i="18"/>
  <c r="K388" i="18"/>
  <c r="F388" i="18"/>
  <c r="K387" i="18"/>
  <c r="F387" i="18"/>
  <c r="K386" i="18"/>
  <c r="F386" i="18"/>
  <c r="K385" i="18"/>
  <c r="F385" i="18"/>
  <c r="K384" i="18"/>
  <c r="F384" i="18"/>
  <c r="K383" i="18"/>
  <c r="F383" i="18"/>
  <c r="K382" i="18"/>
  <c r="F382" i="18"/>
  <c r="K381" i="18"/>
  <c r="F381" i="18"/>
  <c r="K380" i="18"/>
  <c r="F380" i="18"/>
  <c r="K379" i="18"/>
  <c r="F379" i="18"/>
  <c r="K378" i="18"/>
  <c r="F378" i="18"/>
  <c r="K377" i="18"/>
  <c r="F377" i="18"/>
  <c r="K376" i="18"/>
  <c r="F376" i="18"/>
  <c r="K375" i="18"/>
  <c r="F375" i="18"/>
  <c r="K374" i="18"/>
  <c r="F374" i="18"/>
  <c r="K373" i="18"/>
  <c r="F373" i="18"/>
  <c r="K372" i="18"/>
  <c r="F372" i="18"/>
  <c r="K371" i="18"/>
  <c r="F371" i="18"/>
  <c r="K370" i="18"/>
  <c r="F370" i="18"/>
  <c r="K369" i="18"/>
  <c r="F369" i="18"/>
  <c r="K368" i="18"/>
  <c r="F368" i="18"/>
  <c r="K367" i="18"/>
  <c r="F367" i="18"/>
  <c r="K366" i="18"/>
  <c r="F366" i="18"/>
  <c r="K365" i="18"/>
  <c r="F365" i="18"/>
  <c r="K364" i="18"/>
  <c r="F364" i="18"/>
  <c r="K363" i="18"/>
  <c r="F363" i="18"/>
  <c r="K362" i="18"/>
  <c r="F362" i="18"/>
  <c r="K361" i="18"/>
  <c r="F361" i="18"/>
  <c r="K360" i="18"/>
  <c r="F360" i="18"/>
  <c r="K359" i="18"/>
  <c r="F359" i="18"/>
  <c r="K358" i="18"/>
  <c r="F358" i="18"/>
  <c r="K357" i="18"/>
  <c r="F357" i="18"/>
  <c r="K356" i="18"/>
  <c r="F356" i="18"/>
  <c r="K355" i="18"/>
  <c r="F355" i="18"/>
  <c r="K354" i="18"/>
  <c r="F354" i="18"/>
  <c r="K353" i="18"/>
  <c r="F353" i="18"/>
  <c r="K352" i="18"/>
  <c r="F352" i="18"/>
  <c r="K351" i="18"/>
  <c r="F351" i="18"/>
  <c r="K350" i="18"/>
  <c r="F350" i="18"/>
  <c r="K349" i="18"/>
  <c r="F349" i="18"/>
  <c r="K348" i="18"/>
  <c r="F348" i="18"/>
  <c r="K347" i="18"/>
  <c r="F347" i="18"/>
  <c r="K346" i="18"/>
  <c r="F346" i="18"/>
  <c r="K345" i="18"/>
  <c r="F345" i="18"/>
  <c r="K344" i="18"/>
  <c r="F344" i="18"/>
  <c r="K343" i="18"/>
  <c r="F343" i="18"/>
  <c r="K342" i="18"/>
  <c r="F342" i="18"/>
  <c r="K341" i="18"/>
  <c r="F341" i="18"/>
  <c r="K340" i="18"/>
  <c r="F340" i="18"/>
  <c r="K339" i="18"/>
  <c r="F339" i="18"/>
  <c r="K338" i="18"/>
  <c r="F338" i="18"/>
  <c r="K337" i="18"/>
  <c r="F337" i="18"/>
  <c r="K336" i="18"/>
  <c r="F336" i="18"/>
  <c r="K335" i="18"/>
  <c r="F335" i="18"/>
  <c r="K334" i="18"/>
  <c r="F334" i="18"/>
  <c r="K333" i="18"/>
  <c r="F333" i="18"/>
  <c r="K332" i="18"/>
  <c r="F332" i="18"/>
  <c r="K331" i="18"/>
  <c r="F331" i="18"/>
  <c r="K330" i="18"/>
  <c r="F330" i="18"/>
  <c r="K329" i="18"/>
  <c r="F329" i="18"/>
  <c r="K328" i="18"/>
  <c r="F328" i="18"/>
  <c r="K327" i="18"/>
  <c r="F327" i="18"/>
  <c r="K326" i="18"/>
  <c r="F326" i="18"/>
  <c r="K325" i="18"/>
  <c r="F325" i="18"/>
  <c r="K324" i="18"/>
  <c r="F324" i="18"/>
  <c r="K323" i="18"/>
  <c r="F323" i="18"/>
  <c r="K322" i="18"/>
  <c r="F322" i="18"/>
  <c r="K321" i="18"/>
  <c r="F321" i="18"/>
  <c r="K320" i="18"/>
  <c r="F320" i="18"/>
  <c r="K319" i="18"/>
  <c r="F319" i="18"/>
  <c r="K318" i="18"/>
  <c r="F318" i="18"/>
  <c r="K317" i="18"/>
  <c r="F317" i="18"/>
  <c r="K316" i="18"/>
  <c r="F316" i="18"/>
  <c r="K315" i="18"/>
  <c r="F315" i="18"/>
  <c r="K314" i="18"/>
  <c r="F314" i="18"/>
  <c r="K313" i="18"/>
  <c r="F313" i="18"/>
  <c r="K312" i="18"/>
  <c r="F312" i="18"/>
  <c r="K311" i="18"/>
  <c r="F311" i="18"/>
  <c r="K310" i="18"/>
  <c r="F310" i="18"/>
  <c r="K309" i="18"/>
  <c r="F309" i="18"/>
  <c r="K308" i="18"/>
  <c r="F308" i="18"/>
  <c r="K307" i="18"/>
  <c r="F307" i="18"/>
  <c r="K306" i="18"/>
  <c r="F306" i="18"/>
  <c r="K305" i="18"/>
  <c r="F305" i="18"/>
  <c r="K304" i="18"/>
  <c r="F304" i="18"/>
  <c r="K303" i="18"/>
  <c r="F303" i="18"/>
  <c r="K302" i="18"/>
  <c r="F302" i="18"/>
  <c r="K301" i="18"/>
  <c r="F301" i="18"/>
  <c r="K300" i="18"/>
  <c r="F300" i="18"/>
  <c r="K299" i="18"/>
  <c r="F299" i="18"/>
  <c r="K298" i="18"/>
  <c r="F298" i="18"/>
  <c r="K297" i="18"/>
  <c r="F297" i="18"/>
  <c r="K296" i="18"/>
  <c r="F296" i="18"/>
  <c r="K295" i="18"/>
  <c r="F295" i="18"/>
  <c r="K294" i="18"/>
  <c r="F294" i="18"/>
  <c r="K293" i="18"/>
  <c r="F293" i="18"/>
  <c r="K292" i="18"/>
  <c r="F292" i="18"/>
  <c r="K291" i="18"/>
  <c r="F291" i="18"/>
  <c r="K290" i="18"/>
  <c r="F290" i="18"/>
  <c r="K289" i="18"/>
  <c r="F289" i="18"/>
  <c r="K288" i="18"/>
  <c r="F288" i="18"/>
  <c r="K287" i="18"/>
  <c r="F287" i="18"/>
  <c r="K286" i="18"/>
  <c r="F286" i="18"/>
  <c r="K285" i="18"/>
  <c r="F285" i="18"/>
  <c r="K284" i="18"/>
  <c r="F284" i="18"/>
  <c r="K283" i="18"/>
  <c r="F283" i="18"/>
  <c r="K282" i="18"/>
  <c r="F282" i="18"/>
  <c r="K281" i="18"/>
  <c r="F281" i="18"/>
  <c r="K280" i="18"/>
  <c r="F280" i="18"/>
  <c r="K279" i="18"/>
  <c r="F279" i="18"/>
  <c r="K278" i="18"/>
  <c r="F278" i="18"/>
  <c r="K277" i="18"/>
  <c r="F277" i="18"/>
  <c r="K276" i="18"/>
  <c r="F276" i="18"/>
  <c r="K275" i="18"/>
  <c r="F275" i="18"/>
  <c r="K274" i="18"/>
  <c r="F274" i="18"/>
  <c r="K273" i="18"/>
  <c r="F273" i="18"/>
  <c r="K272" i="18"/>
  <c r="F272" i="18"/>
  <c r="K271" i="18"/>
  <c r="F271" i="18"/>
  <c r="K270" i="18"/>
  <c r="F270" i="18"/>
  <c r="K269" i="18"/>
  <c r="F269" i="18"/>
  <c r="K268" i="18"/>
  <c r="F268" i="18"/>
  <c r="K267" i="18"/>
  <c r="F267" i="18"/>
  <c r="K266" i="18"/>
  <c r="F266" i="18"/>
  <c r="K265" i="18"/>
  <c r="F265" i="18"/>
  <c r="K264" i="18"/>
  <c r="F264" i="18"/>
  <c r="K263" i="18"/>
  <c r="F263" i="18"/>
  <c r="K262" i="18"/>
  <c r="F262" i="18"/>
  <c r="K261" i="18"/>
  <c r="F261" i="18"/>
  <c r="K260" i="18"/>
  <c r="F260" i="18"/>
  <c r="K259" i="18"/>
  <c r="F259" i="18"/>
  <c r="K258" i="18"/>
  <c r="F258" i="18"/>
  <c r="K257" i="18"/>
  <c r="F257" i="18"/>
  <c r="K256" i="18"/>
  <c r="F256" i="18"/>
  <c r="K255" i="18"/>
  <c r="F255" i="18"/>
  <c r="K254" i="18"/>
  <c r="F254" i="18"/>
  <c r="K253" i="18"/>
  <c r="F253" i="18"/>
  <c r="K252" i="18"/>
  <c r="F252" i="18"/>
  <c r="K251" i="18"/>
  <c r="F251" i="18"/>
  <c r="K250" i="18"/>
  <c r="F250" i="18"/>
  <c r="K249" i="18"/>
  <c r="F249" i="18"/>
  <c r="K248" i="18"/>
  <c r="F248" i="18"/>
  <c r="K247" i="18"/>
  <c r="F247" i="18"/>
  <c r="K246" i="18"/>
  <c r="F246" i="18"/>
  <c r="K245" i="18"/>
  <c r="F245" i="18"/>
  <c r="K244" i="18"/>
  <c r="F244" i="18"/>
  <c r="K243" i="18"/>
  <c r="F243" i="18"/>
  <c r="K242" i="18"/>
  <c r="F242" i="18"/>
  <c r="K241" i="18"/>
  <c r="F241" i="18"/>
  <c r="K240" i="18"/>
  <c r="F240" i="18"/>
  <c r="K239" i="18"/>
  <c r="F239" i="18"/>
  <c r="K238" i="18"/>
  <c r="F238" i="18"/>
  <c r="K237" i="18"/>
  <c r="F237" i="18"/>
  <c r="K236" i="18"/>
  <c r="F236" i="18"/>
  <c r="K235" i="18"/>
  <c r="F235" i="18"/>
  <c r="K234" i="18"/>
  <c r="F234" i="18"/>
  <c r="K233" i="18"/>
  <c r="F233" i="18"/>
  <c r="K232" i="18"/>
  <c r="F232" i="18"/>
  <c r="K231" i="18"/>
  <c r="F231" i="18"/>
  <c r="K230" i="18"/>
  <c r="F230" i="18"/>
  <c r="K229" i="18"/>
  <c r="F229" i="18"/>
  <c r="K228" i="18"/>
  <c r="F228" i="18"/>
  <c r="K227" i="18"/>
  <c r="F227" i="18"/>
  <c r="K226" i="18"/>
  <c r="F226" i="18"/>
  <c r="K225" i="18"/>
  <c r="F225" i="18"/>
  <c r="K224" i="18"/>
  <c r="F224" i="18"/>
  <c r="K223" i="18"/>
  <c r="F223" i="18"/>
  <c r="K222" i="18"/>
  <c r="F222" i="18"/>
  <c r="K221" i="18"/>
  <c r="F221" i="18"/>
  <c r="K220" i="18"/>
  <c r="F220" i="18"/>
  <c r="K219" i="18"/>
  <c r="F219" i="18"/>
  <c r="K218" i="18"/>
  <c r="F218" i="18"/>
  <c r="K217" i="18"/>
  <c r="F217" i="18"/>
  <c r="K216" i="18"/>
  <c r="F216" i="18"/>
  <c r="K215" i="18"/>
  <c r="F215" i="18"/>
  <c r="K214" i="18"/>
  <c r="F214" i="18"/>
  <c r="K213" i="18"/>
  <c r="F213" i="18"/>
  <c r="K212" i="18"/>
  <c r="F212" i="18"/>
  <c r="K211" i="18"/>
  <c r="F211" i="18"/>
  <c r="K210" i="18"/>
  <c r="F210" i="18"/>
  <c r="K209" i="18"/>
  <c r="F209" i="18"/>
  <c r="K208" i="18"/>
  <c r="F208" i="18"/>
  <c r="K207" i="18"/>
  <c r="F207" i="18"/>
  <c r="K206" i="18"/>
  <c r="F206" i="18"/>
  <c r="K205" i="18"/>
  <c r="F205" i="18"/>
  <c r="K204" i="18"/>
  <c r="F204" i="18"/>
  <c r="K203" i="18"/>
  <c r="F203" i="18"/>
  <c r="K202" i="18"/>
  <c r="F202" i="18"/>
  <c r="K201" i="18"/>
  <c r="F201" i="18"/>
  <c r="K200" i="18"/>
  <c r="F200" i="18"/>
  <c r="K199" i="18"/>
  <c r="F199" i="18"/>
  <c r="K198" i="18"/>
  <c r="F198" i="18"/>
  <c r="K197" i="18"/>
  <c r="F197" i="18"/>
  <c r="K196" i="18"/>
  <c r="F196" i="18"/>
  <c r="K195" i="18"/>
  <c r="F195" i="18"/>
  <c r="K194" i="18"/>
  <c r="F194" i="18"/>
  <c r="K193" i="18"/>
  <c r="F193" i="18"/>
  <c r="K192" i="18"/>
  <c r="F192" i="18"/>
  <c r="K191" i="18"/>
  <c r="F191" i="18"/>
  <c r="K190" i="18"/>
  <c r="F190" i="18"/>
  <c r="K189" i="18"/>
  <c r="F189" i="18"/>
  <c r="K188" i="18"/>
  <c r="F188" i="18"/>
  <c r="K187" i="18"/>
  <c r="F187" i="18"/>
  <c r="K186" i="18"/>
  <c r="F186" i="18"/>
  <c r="K185" i="18"/>
  <c r="F185" i="18"/>
  <c r="K184" i="18"/>
  <c r="F184" i="18"/>
  <c r="K183" i="18"/>
  <c r="F183" i="18"/>
  <c r="K182" i="18"/>
  <c r="F182" i="18"/>
  <c r="K181" i="18"/>
  <c r="F181" i="18"/>
  <c r="K180" i="18"/>
  <c r="F180" i="18"/>
  <c r="K179" i="18"/>
  <c r="F179" i="18"/>
  <c r="K178" i="18"/>
  <c r="F178" i="18"/>
  <c r="K177" i="18"/>
  <c r="F177" i="18"/>
  <c r="K176" i="18"/>
  <c r="F176" i="18"/>
  <c r="K175" i="18"/>
  <c r="F175" i="18"/>
  <c r="K174" i="18"/>
  <c r="F174" i="18"/>
  <c r="K173" i="18"/>
  <c r="F173" i="18"/>
  <c r="K172" i="18"/>
  <c r="F172" i="18"/>
  <c r="K171" i="18"/>
  <c r="F171" i="18"/>
  <c r="K170" i="18"/>
  <c r="F170" i="18"/>
  <c r="K169" i="18"/>
  <c r="F169" i="18"/>
  <c r="K168" i="18"/>
  <c r="F168" i="18"/>
  <c r="K167" i="18"/>
  <c r="F167" i="18"/>
  <c r="K166" i="18"/>
  <c r="F166" i="18"/>
  <c r="K165" i="18"/>
  <c r="F165" i="18"/>
  <c r="K164" i="18"/>
  <c r="F164" i="18"/>
  <c r="K163" i="18"/>
  <c r="F163" i="18"/>
  <c r="K162" i="18"/>
  <c r="F162" i="18"/>
  <c r="K161" i="18"/>
  <c r="F161" i="18"/>
  <c r="K160" i="18"/>
  <c r="F160" i="18"/>
  <c r="K159" i="18"/>
  <c r="F159" i="18"/>
  <c r="K158" i="18"/>
  <c r="F158" i="18"/>
  <c r="K157" i="18"/>
  <c r="F157" i="18"/>
  <c r="K156" i="18"/>
  <c r="F156" i="18"/>
  <c r="K155" i="18"/>
  <c r="F155" i="18"/>
  <c r="K154" i="18"/>
  <c r="F154" i="18"/>
  <c r="K153" i="18"/>
  <c r="F153" i="18"/>
  <c r="K152" i="18"/>
  <c r="F152" i="18"/>
  <c r="K151" i="18"/>
  <c r="F151" i="18"/>
  <c r="K150" i="18"/>
  <c r="F150" i="18"/>
  <c r="K149" i="18"/>
  <c r="F149" i="18"/>
  <c r="K148" i="18"/>
  <c r="F148" i="18"/>
  <c r="K147" i="18"/>
  <c r="F147" i="18"/>
  <c r="K146" i="18"/>
  <c r="F146" i="18"/>
  <c r="K145" i="18"/>
  <c r="F145" i="18"/>
  <c r="K144" i="18"/>
  <c r="F144" i="18"/>
  <c r="K143" i="18"/>
  <c r="F143" i="18"/>
  <c r="K142" i="18"/>
  <c r="F142" i="18"/>
  <c r="K141" i="18"/>
  <c r="F141" i="18"/>
  <c r="K140" i="18"/>
  <c r="F140" i="18"/>
  <c r="K139" i="18"/>
  <c r="F139" i="18"/>
  <c r="K138" i="18"/>
  <c r="F138" i="18"/>
  <c r="K137" i="18"/>
  <c r="F137" i="18"/>
  <c r="K136" i="18"/>
  <c r="F136" i="18"/>
  <c r="K135" i="18"/>
  <c r="F135" i="18"/>
  <c r="K134" i="18"/>
  <c r="F134" i="18"/>
  <c r="K133" i="18"/>
  <c r="F133" i="18"/>
  <c r="K132" i="18"/>
  <c r="F132" i="18"/>
  <c r="K131" i="18"/>
  <c r="F131" i="18"/>
  <c r="K130" i="18"/>
  <c r="F130" i="18"/>
  <c r="K129" i="18"/>
  <c r="F129" i="18"/>
  <c r="K128" i="18"/>
  <c r="F128" i="18"/>
  <c r="K127" i="18"/>
  <c r="F127" i="18"/>
  <c r="K126" i="18"/>
  <c r="F126" i="18"/>
  <c r="K125" i="18"/>
  <c r="F125" i="18"/>
  <c r="K124" i="18"/>
  <c r="F124" i="18"/>
  <c r="K123" i="18"/>
  <c r="F123" i="18"/>
  <c r="K122" i="18"/>
  <c r="F122" i="18"/>
  <c r="K121" i="18"/>
  <c r="F121" i="18"/>
  <c r="K120" i="18"/>
  <c r="F120" i="18"/>
  <c r="K119" i="18"/>
  <c r="F119" i="18"/>
  <c r="K118" i="18"/>
  <c r="F118" i="18"/>
  <c r="K117" i="18"/>
  <c r="F117" i="18"/>
  <c r="K116" i="18"/>
  <c r="F116" i="18"/>
  <c r="K115" i="18"/>
  <c r="F115" i="18"/>
  <c r="K114" i="18"/>
  <c r="F114" i="18"/>
  <c r="K113" i="18"/>
  <c r="F113" i="18"/>
  <c r="K112" i="18"/>
  <c r="F112" i="18"/>
  <c r="K111" i="18"/>
  <c r="F111" i="18"/>
  <c r="K110" i="18"/>
  <c r="F110" i="18"/>
  <c r="K109" i="18"/>
  <c r="F109" i="18"/>
  <c r="K108" i="18"/>
  <c r="F108" i="18"/>
  <c r="K107" i="18"/>
  <c r="F107" i="18"/>
  <c r="K106" i="18"/>
  <c r="F106" i="18"/>
  <c r="K105" i="18"/>
  <c r="F105" i="18"/>
  <c r="K104" i="18"/>
  <c r="F104" i="18"/>
  <c r="K103" i="18"/>
  <c r="F103" i="18"/>
  <c r="K102" i="18"/>
  <c r="F102" i="18"/>
  <c r="K101" i="18"/>
  <c r="F101" i="18"/>
  <c r="K100" i="18"/>
  <c r="F100" i="18"/>
  <c r="K99" i="18"/>
  <c r="F99" i="18"/>
  <c r="K98" i="18"/>
  <c r="F98" i="18"/>
  <c r="K97" i="18"/>
  <c r="F97" i="18"/>
  <c r="K96" i="18"/>
  <c r="F96" i="18"/>
  <c r="K95" i="18"/>
  <c r="F95" i="18"/>
  <c r="K94" i="18"/>
  <c r="F94" i="18"/>
  <c r="K93" i="18"/>
  <c r="F93" i="18"/>
  <c r="K92" i="18"/>
  <c r="F92" i="18"/>
  <c r="K91" i="18"/>
  <c r="F91" i="18"/>
  <c r="K90" i="18"/>
  <c r="F90" i="18"/>
  <c r="K89" i="18"/>
  <c r="F89" i="18"/>
  <c r="K88" i="18"/>
  <c r="F88" i="18"/>
  <c r="K87" i="18"/>
  <c r="F87" i="18"/>
  <c r="K86" i="18"/>
  <c r="F86" i="18"/>
  <c r="K85" i="18"/>
  <c r="F85" i="18"/>
  <c r="K84" i="18"/>
  <c r="F84" i="18"/>
  <c r="K83" i="18"/>
  <c r="F83" i="18"/>
  <c r="K82" i="18"/>
  <c r="F82" i="18"/>
  <c r="K81" i="18"/>
  <c r="F81" i="18"/>
  <c r="K80" i="18"/>
  <c r="F80" i="18"/>
  <c r="K79" i="18"/>
  <c r="F79" i="18"/>
  <c r="K78" i="18"/>
  <c r="F78" i="18"/>
  <c r="K77" i="18"/>
  <c r="F77" i="18"/>
  <c r="K76" i="18"/>
  <c r="F76" i="18"/>
  <c r="K75" i="18"/>
  <c r="F75" i="18"/>
  <c r="K74" i="18"/>
  <c r="F74" i="18"/>
  <c r="K73" i="18"/>
  <c r="F73" i="18"/>
  <c r="K72" i="18"/>
  <c r="F72" i="18"/>
  <c r="K71" i="18"/>
  <c r="F71" i="18"/>
  <c r="K70" i="18"/>
  <c r="F70" i="18"/>
  <c r="K69" i="18"/>
  <c r="F69" i="18"/>
  <c r="K68" i="18"/>
  <c r="F68" i="18"/>
  <c r="K67" i="18"/>
  <c r="F67" i="18"/>
  <c r="K66" i="18"/>
  <c r="F66" i="18"/>
  <c r="K65" i="18"/>
  <c r="F65" i="18"/>
  <c r="K64" i="18"/>
  <c r="F64" i="18"/>
  <c r="K63" i="18"/>
  <c r="F63" i="18"/>
  <c r="K62" i="18"/>
  <c r="F62" i="18"/>
  <c r="K61" i="18"/>
  <c r="F61" i="18"/>
  <c r="K60" i="18"/>
  <c r="F60" i="18"/>
  <c r="K59" i="18"/>
  <c r="F59" i="18"/>
  <c r="K58" i="18"/>
  <c r="F58" i="18"/>
  <c r="K57" i="18"/>
  <c r="F57" i="18"/>
  <c r="K56" i="18"/>
  <c r="F56" i="18"/>
  <c r="K55" i="18"/>
  <c r="F55" i="18"/>
  <c r="K54" i="18"/>
  <c r="F54" i="18"/>
  <c r="K53" i="18"/>
  <c r="F53" i="18"/>
  <c r="K52" i="18"/>
  <c r="F52" i="18"/>
  <c r="K51" i="18"/>
  <c r="F51" i="18"/>
  <c r="K50" i="18"/>
  <c r="F50" i="18"/>
  <c r="K49" i="18"/>
  <c r="F49" i="18"/>
  <c r="K48" i="18"/>
  <c r="F48" i="18"/>
  <c r="K47" i="18"/>
  <c r="F47" i="18"/>
  <c r="K46" i="18"/>
  <c r="F46" i="18"/>
  <c r="K45" i="18"/>
  <c r="F45" i="18"/>
  <c r="K44" i="18"/>
  <c r="F44" i="18"/>
  <c r="K43" i="18"/>
  <c r="F43" i="18"/>
  <c r="K42" i="18"/>
  <c r="F42" i="18"/>
  <c r="K41" i="18"/>
  <c r="F41" i="18"/>
  <c r="K40" i="18"/>
  <c r="F40" i="18"/>
  <c r="K39" i="18"/>
  <c r="F39" i="18"/>
  <c r="K38" i="18"/>
  <c r="F38" i="18"/>
  <c r="K37" i="18"/>
  <c r="F37" i="18"/>
  <c r="K36" i="18"/>
  <c r="F36" i="18"/>
  <c r="K35" i="18"/>
  <c r="F35" i="18"/>
  <c r="K34" i="18"/>
  <c r="F34" i="18"/>
  <c r="K33" i="18"/>
  <c r="F33" i="18"/>
  <c r="K32" i="18"/>
  <c r="F32" i="18"/>
  <c r="K31" i="18"/>
  <c r="F31" i="18"/>
  <c r="K30" i="18"/>
  <c r="F30" i="18"/>
  <c r="K29" i="18"/>
  <c r="F29" i="18"/>
  <c r="K28" i="18"/>
  <c r="F28" i="18"/>
  <c r="K27" i="18"/>
  <c r="F27" i="18"/>
  <c r="K26" i="18"/>
  <c r="F26" i="18"/>
  <c r="K25" i="18"/>
  <c r="F25" i="18"/>
  <c r="K24" i="18"/>
  <c r="F24" i="18"/>
  <c r="K23" i="18"/>
  <c r="F23" i="18"/>
  <c r="K22" i="18"/>
  <c r="F22" i="18"/>
  <c r="K21" i="18"/>
  <c r="F21" i="18"/>
  <c r="K20" i="18"/>
  <c r="F20" i="18"/>
  <c r="K19" i="18"/>
  <c r="F19" i="18"/>
  <c r="K18" i="18"/>
  <c r="F18" i="18"/>
  <c r="K17" i="18"/>
  <c r="F17" i="18"/>
  <c r="K16" i="18"/>
  <c r="F16" i="18"/>
  <c r="K15" i="18"/>
  <c r="F15" i="18"/>
  <c r="K14" i="18"/>
  <c r="F14" i="18"/>
  <c r="K13" i="18"/>
  <c r="F13" i="18"/>
  <c r="K12" i="18"/>
  <c r="F12" i="18"/>
  <c r="K11" i="18"/>
  <c r="F11" i="18"/>
  <c r="K10" i="18"/>
  <c r="F10" i="18"/>
  <c r="K9" i="18"/>
  <c r="F9" i="18"/>
  <c r="K8" i="18"/>
  <c r="F8" i="18"/>
  <c r="K7" i="18"/>
  <c r="F7" i="18"/>
  <c r="K6" i="18"/>
  <c r="F6" i="18"/>
  <c r="O233" i="17"/>
  <c r="N233" i="17"/>
  <c r="M233" i="17"/>
  <c r="L233" i="17"/>
  <c r="K233" i="17"/>
  <c r="J233" i="17"/>
  <c r="I233" i="17"/>
  <c r="H233" i="17"/>
  <c r="G233" i="17"/>
  <c r="E233" i="17"/>
  <c r="O232" i="17"/>
  <c r="M232" i="17"/>
  <c r="K232" i="17"/>
  <c r="I232" i="17"/>
  <c r="G232" i="17"/>
  <c r="E232" i="17"/>
  <c r="O231" i="17"/>
  <c r="M231" i="17"/>
  <c r="K231" i="17"/>
  <c r="I231" i="17"/>
  <c r="G231" i="17"/>
  <c r="F231" i="17"/>
  <c r="E231" i="17"/>
  <c r="D231" i="17"/>
  <c r="O230" i="17"/>
  <c r="M230" i="17"/>
  <c r="K230" i="17"/>
  <c r="I230" i="17"/>
  <c r="G230" i="17"/>
  <c r="F230" i="17"/>
  <c r="E230" i="17"/>
  <c r="D230" i="17"/>
  <c r="O229" i="17"/>
  <c r="M229" i="17"/>
  <c r="K229" i="17"/>
  <c r="I229" i="17"/>
  <c r="G229" i="17"/>
  <c r="F229" i="17"/>
  <c r="E229" i="17"/>
  <c r="D229" i="17"/>
  <c r="O228" i="17"/>
  <c r="M228" i="17"/>
  <c r="K228" i="17"/>
  <c r="I228" i="17"/>
  <c r="G228" i="17"/>
  <c r="F228" i="17"/>
  <c r="E228" i="17"/>
  <c r="D228" i="17"/>
  <c r="O227" i="17"/>
  <c r="M227" i="17"/>
  <c r="K227" i="17"/>
  <c r="I227" i="17"/>
  <c r="G227" i="17"/>
  <c r="F227" i="17"/>
  <c r="E227" i="17"/>
  <c r="D227" i="17"/>
  <c r="O226" i="17"/>
  <c r="M226" i="17"/>
  <c r="K226" i="17"/>
  <c r="I226" i="17"/>
  <c r="G226" i="17"/>
  <c r="F226" i="17"/>
  <c r="E226" i="17"/>
  <c r="D226" i="17"/>
  <c r="O225" i="17"/>
  <c r="M225" i="17"/>
  <c r="K225" i="17"/>
  <c r="I225" i="17"/>
  <c r="G225" i="17"/>
  <c r="F225" i="17"/>
  <c r="E225" i="17"/>
  <c r="D225" i="17"/>
  <c r="O224" i="17"/>
  <c r="M224" i="17"/>
  <c r="K224" i="17"/>
  <c r="I224" i="17"/>
  <c r="G224" i="17"/>
  <c r="F224" i="17"/>
  <c r="E224" i="17"/>
  <c r="D224" i="17"/>
  <c r="O223" i="17"/>
  <c r="M223" i="17"/>
  <c r="K223" i="17"/>
  <c r="I223" i="17"/>
  <c r="G223" i="17"/>
  <c r="F223" i="17"/>
  <c r="E223" i="17"/>
  <c r="D223" i="17"/>
  <c r="O222" i="17"/>
  <c r="M222" i="17"/>
  <c r="K222" i="17"/>
  <c r="I222" i="17"/>
  <c r="G222" i="17"/>
  <c r="F222" i="17"/>
  <c r="E222" i="17"/>
  <c r="D222" i="17"/>
  <c r="O221" i="17"/>
  <c r="M221" i="17"/>
  <c r="K221" i="17"/>
  <c r="I221" i="17"/>
  <c r="G221" i="17"/>
  <c r="F221" i="17"/>
  <c r="E221" i="17"/>
  <c r="D221" i="17"/>
  <c r="O220" i="17"/>
  <c r="M220" i="17"/>
  <c r="K220" i="17"/>
  <c r="I220" i="17"/>
  <c r="G220" i="17"/>
  <c r="F220" i="17"/>
  <c r="E220" i="17"/>
  <c r="D220" i="17"/>
  <c r="O219" i="17"/>
  <c r="M219" i="17"/>
  <c r="K219" i="17"/>
  <c r="I219" i="17"/>
  <c r="G219" i="17"/>
  <c r="F219" i="17"/>
  <c r="E219" i="17"/>
  <c r="D219" i="17"/>
  <c r="O218" i="17"/>
  <c r="M218" i="17"/>
  <c r="K218" i="17"/>
  <c r="I218" i="17"/>
  <c r="G218" i="17"/>
  <c r="F218" i="17"/>
  <c r="E218" i="17"/>
  <c r="D218" i="17"/>
  <c r="O217" i="17"/>
  <c r="M217" i="17"/>
  <c r="K217" i="17"/>
  <c r="I217" i="17"/>
  <c r="G217" i="17"/>
  <c r="F217" i="17"/>
  <c r="E217" i="17"/>
  <c r="D217" i="17"/>
  <c r="O216" i="17"/>
  <c r="M216" i="17"/>
  <c r="K216" i="17"/>
  <c r="I216" i="17"/>
  <c r="G216" i="17"/>
  <c r="F216" i="17"/>
  <c r="E216" i="17"/>
  <c r="D216" i="17"/>
  <c r="O215" i="17"/>
  <c r="M215" i="17"/>
  <c r="K215" i="17"/>
  <c r="I215" i="17"/>
  <c r="G215" i="17"/>
  <c r="F215" i="17"/>
  <c r="E215" i="17"/>
  <c r="D215" i="17"/>
  <c r="O214" i="17"/>
  <c r="M214" i="17"/>
  <c r="K214" i="17"/>
  <c r="I214" i="17"/>
  <c r="G214" i="17"/>
  <c r="F214" i="17"/>
  <c r="E214" i="17"/>
  <c r="D214" i="17"/>
  <c r="O213" i="17"/>
  <c r="M213" i="17"/>
  <c r="K213" i="17"/>
  <c r="I213" i="17"/>
  <c r="G213" i="17"/>
  <c r="F213" i="17"/>
  <c r="E213" i="17"/>
  <c r="D213" i="17"/>
  <c r="O212" i="17"/>
  <c r="M212" i="17"/>
  <c r="K212" i="17"/>
  <c r="I212" i="17"/>
  <c r="G212" i="17"/>
  <c r="F212" i="17"/>
  <c r="E212" i="17"/>
  <c r="D212" i="17"/>
  <c r="O211" i="17"/>
  <c r="M211" i="17"/>
  <c r="K211" i="17"/>
  <c r="I211" i="17"/>
  <c r="G211" i="17"/>
  <c r="F211" i="17"/>
  <c r="E211" i="17"/>
  <c r="D211" i="17"/>
  <c r="O210" i="17"/>
  <c r="M210" i="17"/>
  <c r="K210" i="17"/>
  <c r="I210" i="17"/>
  <c r="G210" i="17"/>
  <c r="F210" i="17"/>
  <c r="E210" i="17"/>
  <c r="D210" i="17"/>
  <c r="O209" i="17"/>
  <c r="M209" i="17"/>
  <c r="K209" i="17"/>
  <c r="I209" i="17"/>
  <c r="G209" i="17"/>
  <c r="F209" i="17"/>
  <c r="E209" i="17"/>
  <c r="D209" i="17"/>
  <c r="O208" i="17"/>
  <c r="M208" i="17"/>
  <c r="K208" i="17"/>
  <c r="I208" i="17"/>
  <c r="G208" i="17"/>
  <c r="F208" i="17"/>
  <c r="E208" i="17"/>
  <c r="D208" i="17"/>
  <c r="O207" i="17"/>
  <c r="M207" i="17"/>
  <c r="K207" i="17"/>
  <c r="I207" i="17"/>
  <c r="G207" i="17"/>
  <c r="F207" i="17"/>
  <c r="E207" i="17"/>
  <c r="D207" i="17"/>
  <c r="O206" i="17"/>
  <c r="M206" i="17"/>
  <c r="K206" i="17"/>
  <c r="I206" i="17"/>
  <c r="G206" i="17"/>
  <c r="F206" i="17"/>
  <c r="E206" i="17"/>
  <c r="D206" i="17"/>
  <c r="O205" i="17"/>
  <c r="M205" i="17"/>
  <c r="K205" i="17"/>
  <c r="I205" i="17"/>
  <c r="G205" i="17"/>
  <c r="F205" i="17"/>
  <c r="E205" i="17"/>
  <c r="D205" i="17"/>
  <c r="O204" i="17"/>
  <c r="M204" i="17"/>
  <c r="K204" i="17"/>
  <c r="I204" i="17"/>
  <c r="G204" i="17"/>
  <c r="F204" i="17"/>
  <c r="E204" i="17"/>
  <c r="D204" i="17"/>
  <c r="O203" i="17"/>
  <c r="M203" i="17"/>
  <c r="K203" i="17"/>
  <c r="I203" i="17"/>
  <c r="G203" i="17"/>
  <c r="F203" i="17"/>
  <c r="E203" i="17"/>
  <c r="D203" i="17"/>
  <c r="O202" i="17"/>
  <c r="M202" i="17"/>
  <c r="K202" i="17"/>
  <c r="I202" i="17"/>
  <c r="G202" i="17"/>
  <c r="F202" i="17"/>
  <c r="E202" i="17"/>
  <c r="D202" i="17"/>
  <c r="O201" i="17"/>
  <c r="M201" i="17"/>
  <c r="K201" i="17"/>
  <c r="I201" i="17"/>
  <c r="G201" i="17"/>
  <c r="F201" i="17"/>
  <c r="E201" i="17"/>
  <c r="D201" i="17"/>
  <c r="O200" i="17"/>
  <c r="M200" i="17"/>
  <c r="K200" i="17"/>
  <c r="I200" i="17"/>
  <c r="G200" i="17"/>
  <c r="F200" i="17"/>
  <c r="E200" i="17"/>
  <c r="D200" i="17"/>
  <c r="O199" i="17"/>
  <c r="M199" i="17"/>
  <c r="K199" i="17"/>
  <c r="I199" i="17"/>
  <c r="G199" i="17"/>
  <c r="F199" i="17"/>
  <c r="E199" i="17"/>
  <c r="D199" i="17"/>
  <c r="O198" i="17"/>
  <c r="M198" i="17"/>
  <c r="K198" i="17"/>
  <c r="I198" i="17"/>
  <c r="G198" i="17"/>
  <c r="F198" i="17"/>
  <c r="E198" i="17"/>
  <c r="D198" i="17"/>
  <c r="O197" i="17"/>
  <c r="M197" i="17"/>
  <c r="K197" i="17"/>
  <c r="I197" i="17"/>
  <c r="G197" i="17"/>
  <c r="F197" i="17"/>
  <c r="E197" i="17"/>
  <c r="D197" i="17"/>
  <c r="O196" i="17"/>
  <c r="M196" i="17"/>
  <c r="K196" i="17"/>
  <c r="I196" i="17"/>
  <c r="G196" i="17"/>
  <c r="F196" i="17"/>
  <c r="E196" i="17"/>
  <c r="D196" i="17"/>
  <c r="O195" i="17"/>
  <c r="M195" i="17"/>
  <c r="K195" i="17"/>
  <c r="I195" i="17"/>
  <c r="G195" i="17"/>
  <c r="F195" i="17"/>
  <c r="E195" i="17"/>
  <c r="D195" i="17"/>
  <c r="O194" i="17"/>
  <c r="M194" i="17"/>
  <c r="K194" i="17"/>
  <c r="I194" i="17"/>
  <c r="G194" i="17"/>
  <c r="F194" i="17"/>
  <c r="E194" i="17"/>
  <c r="D194" i="17"/>
  <c r="O193" i="17"/>
  <c r="M193" i="17"/>
  <c r="K193" i="17"/>
  <c r="I193" i="17"/>
  <c r="G193" i="17"/>
  <c r="F193" i="17"/>
  <c r="E193" i="17"/>
  <c r="D193" i="17"/>
  <c r="O192" i="17"/>
  <c r="M192" i="17"/>
  <c r="K192" i="17"/>
  <c r="I192" i="17"/>
  <c r="G192" i="17"/>
  <c r="F192" i="17"/>
  <c r="E192" i="17"/>
  <c r="D192" i="17"/>
  <c r="O191" i="17"/>
  <c r="M191" i="17"/>
  <c r="K191" i="17"/>
  <c r="I191" i="17"/>
  <c r="G191" i="17"/>
  <c r="F191" i="17"/>
  <c r="E191" i="17"/>
  <c r="D191" i="17"/>
  <c r="O190" i="17"/>
  <c r="M190" i="17"/>
  <c r="K190" i="17"/>
  <c r="I190" i="17"/>
  <c r="G190" i="17"/>
  <c r="F190" i="17"/>
  <c r="E190" i="17"/>
  <c r="D190" i="17"/>
  <c r="O189" i="17"/>
  <c r="M189" i="17"/>
  <c r="K189" i="17"/>
  <c r="I189" i="17"/>
  <c r="G189" i="17"/>
  <c r="F189" i="17"/>
  <c r="E189" i="17"/>
  <c r="D189" i="17"/>
  <c r="O188" i="17"/>
  <c r="M188" i="17"/>
  <c r="K188" i="17"/>
  <c r="I188" i="17"/>
  <c r="G188" i="17"/>
  <c r="F188" i="17"/>
  <c r="E188" i="17"/>
  <c r="D188" i="17"/>
  <c r="O187" i="17"/>
  <c r="M187" i="17"/>
  <c r="K187" i="17"/>
  <c r="I187" i="17"/>
  <c r="G187" i="17"/>
  <c r="F187" i="17"/>
  <c r="E187" i="17"/>
  <c r="D187" i="17"/>
  <c r="O186" i="17"/>
  <c r="M186" i="17"/>
  <c r="K186" i="17"/>
  <c r="I186" i="17"/>
  <c r="G186" i="17"/>
  <c r="F186" i="17"/>
  <c r="E186" i="17"/>
  <c r="D186" i="17"/>
  <c r="O185" i="17"/>
  <c r="M185" i="17"/>
  <c r="K185" i="17"/>
  <c r="I185" i="17"/>
  <c r="G185" i="17"/>
  <c r="F185" i="17"/>
  <c r="E185" i="17"/>
  <c r="D185" i="17"/>
  <c r="O184" i="17"/>
  <c r="M184" i="17"/>
  <c r="K184" i="17"/>
  <c r="I184" i="17"/>
  <c r="G184" i="17"/>
  <c r="F184" i="17"/>
  <c r="E184" i="17"/>
  <c r="D184" i="17"/>
  <c r="O183" i="17"/>
  <c r="M183" i="17"/>
  <c r="K183" i="17"/>
  <c r="I183" i="17"/>
  <c r="G183" i="17"/>
  <c r="F183" i="17"/>
  <c r="E183" i="17"/>
  <c r="D183" i="17"/>
  <c r="O182" i="17"/>
  <c r="M182" i="17"/>
  <c r="K182" i="17"/>
  <c r="I182" i="17"/>
  <c r="G182" i="17"/>
  <c r="F182" i="17"/>
  <c r="E182" i="17"/>
  <c r="D182" i="17"/>
  <c r="O181" i="17"/>
  <c r="M181" i="17"/>
  <c r="K181" i="17"/>
  <c r="I181" i="17"/>
  <c r="G181" i="17"/>
  <c r="F181" i="17"/>
  <c r="E181" i="17"/>
  <c r="D181" i="17"/>
  <c r="O180" i="17"/>
  <c r="M180" i="17"/>
  <c r="K180" i="17"/>
  <c r="I180" i="17"/>
  <c r="G180" i="17"/>
  <c r="F180" i="17"/>
  <c r="E180" i="17"/>
  <c r="D180" i="17"/>
  <c r="O179" i="17"/>
  <c r="M179" i="17"/>
  <c r="K179" i="17"/>
  <c r="I179" i="17"/>
  <c r="G179" i="17"/>
  <c r="F179" i="17"/>
  <c r="E179" i="17"/>
  <c r="D179" i="17"/>
  <c r="O178" i="17"/>
  <c r="M178" i="17"/>
  <c r="K178" i="17"/>
  <c r="I178" i="17"/>
  <c r="G178" i="17"/>
  <c r="F178" i="17"/>
  <c r="E178" i="17"/>
  <c r="D178" i="17"/>
  <c r="O177" i="17"/>
  <c r="M177" i="17"/>
  <c r="K177" i="17"/>
  <c r="I177" i="17"/>
  <c r="G177" i="17"/>
  <c r="F177" i="17"/>
  <c r="E177" i="17"/>
  <c r="D177" i="17"/>
  <c r="O176" i="17"/>
  <c r="M176" i="17"/>
  <c r="K176" i="17"/>
  <c r="I176" i="17"/>
  <c r="G176" i="17"/>
  <c r="F176" i="17"/>
  <c r="E176" i="17"/>
  <c r="D176" i="17"/>
  <c r="O175" i="17"/>
  <c r="M175" i="17"/>
  <c r="K175" i="17"/>
  <c r="I175" i="17"/>
  <c r="G175" i="17"/>
  <c r="F175" i="17"/>
  <c r="E175" i="17"/>
  <c r="D175" i="17"/>
  <c r="O174" i="17"/>
  <c r="M174" i="17"/>
  <c r="K174" i="17"/>
  <c r="I174" i="17"/>
  <c r="G174" i="17"/>
  <c r="F174" i="17"/>
  <c r="E174" i="17"/>
  <c r="D174" i="17"/>
  <c r="O173" i="17"/>
  <c r="M173" i="17"/>
  <c r="K173" i="17"/>
  <c r="I173" i="17"/>
  <c r="G173" i="17"/>
  <c r="F173" i="17"/>
  <c r="E173" i="17"/>
  <c r="D173" i="17"/>
  <c r="O172" i="17"/>
  <c r="M172" i="17"/>
  <c r="K172" i="17"/>
  <c r="I172" i="17"/>
  <c r="G172" i="17"/>
  <c r="F172" i="17"/>
  <c r="E172" i="17"/>
  <c r="D172" i="17"/>
  <c r="O171" i="17"/>
  <c r="M171" i="17"/>
  <c r="K171" i="17"/>
  <c r="I171" i="17"/>
  <c r="G171" i="17"/>
  <c r="F171" i="17"/>
  <c r="E171" i="17"/>
  <c r="D171" i="17"/>
  <c r="O170" i="17"/>
  <c r="M170" i="17"/>
  <c r="K170" i="17"/>
  <c r="I170" i="17"/>
  <c r="G170" i="17"/>
  <c r="F170" i="17"/>
  <c r="E170" i="17"/>
  <c r="D170" i="17"/>
  <c r="O169" i="17"/>
  <c r="M169" i="17"/>
  <c r="K169" i="17"/>
  <c r="I169" i="17"/>
  <c r="G169" i="17"/>
  <c r="F169" i="17"/>
  <c r="E169" i="17"/>
  <c r="D169" i="17"/>
  <c r="O168" i="17"/>
  <c r="M168" i="17"/>
  <c r="K168" i="17"/>
  <c r="I168" i="17"/>
  <c r="G168" i="17"/>
  <c r="F168" i="17"/>
  <c r="E168" i="17"/>
  <c r="D168" i="17"/>
  <c r="O167" i="17"/>
  <c r="M167" i="17"/>
  <c r="K167" i="17"/>
  <c r="I167" i="17"/>
  <c r="G167" i="17"/>
  <c r="F167" i="17"/>
  <c r="E167" i="17"/>
  <c r="D167" i="17"/>
  <c r="O166" i="17"/>
  <c r="M166" i="17"/>
  <c r="K166" i="17"/>
  <c r="I166" i="17"/>
  <c r="G166" i="17"/>
  <c r="F166" i="17"/>
  <c r="E166" i="17"/>
  <c r="D166" i="17"/>
  <c r="O165" i="17"/>
  <c r="M165" i="17"/>
  <c r="K165" i="17"/>
  <c r="I165" i="17"/>
  <c r="G165" i="17"/>
  <c r="F165" i="17"/>
  <c r="E165" i="17"/>
  <c r="D165" i="17"/>
  <c r="O164" i="17"/>
  <c r="M164" i="17"/>
  <c r="K164" i="17"/>
  <c r="I164" i="17"/>
  <c r="G164" i="17"/>
  <c r="F164" i="17"/>
  <c r="E164" i="17"/>
  <c r="D164" i="17"/>
  <c r="O163" i="17"/>
  <c r="M163" i="17"/>
  <c r="K163" i="17"/>
  <c r="I163" i="17"/>
  <c r="G163" i="17"/>
  <c r="F163" i="17"/>
  <c r="E163" i="17"/>
  <c r="D163" i="17"/>
  <c r="O162" i="17"/>
  <c r="M162" i="17"/>
  <c r="K162" i="17"/>
  <c r="I162" i="17"/>
  <c r="G162" i="17"/>
  <c r="F162" i="17"/>
  <c r="E162" i="17"/>
  <c r="D162" i="17"/>
  <c r="O161" i="17"/>
  <c r="M161" i="17"/>
  <c r="K161" i="17"/>
  <c r="I161" i="17"/>
  <c r="G161" i="17"/>
  <c r="F161" i="17"/>
  <c r="E161" i="17"/>
  <c r="D161" i="17"/>
  <c r="O160" i="17"/>
  <c r="M160" i="17"/>
  <c r="K160" i="17"/>
  <c r="I160" i="17"/>
  <c r="G160" i="17"/>
  <c r="F160" i="17"/>
  <c r="E160" i="17"/>
  <c r="D160" i="17"/>
  <c r="O159" i="17"/>
  <c r="M159" i="17"/>
  <c r="K159" i="17"/>
  <c r="I159" i="17"/>
  <c r="G159" i="17"/>
  <c r="F159" i="17"/>
  <c r="E159" i="17"/>
  <c r="D159" i="17"/>
  <c r="O158" i="17"/>
  <c r="M158" i="17"/>
  <c r="K158" i="17"/>
  <c r="I158" i="17"/>
  <c r="G158" i="17"/>
  <c r="F158" i="17"/>
  <c r="E158" i="17"/>
  <c r="D158" i="17"/>
  <c r="O157" i="17"/>
  <c r="M157" i="17"/>
  <c r="K157" i="17"/>
  <c r="I157" i="17"/>
  <c r="G157" i="17"/>
  <c r="F157" i="17"/>
  <c r="E157" i="17"/>
  <c r="D157" i="17"/>
  <c r="O156" i="17"/>
  <c r="M156" i="17"/>
  <c r="K156" i="17"/>
  <c r="I156" i="17"/>
  <c r="G156" i="17"/>
  <c r="F156" i="17"/>
  <c r="E156" i="17"/>
  <c r="D156" i="17"/>
  <c r="O155" i="17"/>
  <c r="M155" i="17"/>
  <c r="K155" i="17"/>
  <c r="I155" i="17"/>
  <c r="G155" i="17"/>
  <c r="F155" i="17"/>
  <c r="E155" i="17"/>
  <c r="D155" i="17"/>
  <c r="O154" i="17"/>
  <c r="M154" i="17"/>
  <c r="K154" i="17"/>
  <c r="I154" i="17"/>
  <c r="G154" i="17"/>
  <c r="F154" i="17"/>
  <c r="E154" i="17"/>
  <c r="D154" i="17"/>
  <c r="O153" i="17"/>
  <c r="M153" i="17"/>
  <c r="K153" i="17"/>
  <c r="I153" i="17"/>
  <c r="G153" i="17"/>
  <c r="F153" i="17"/>
  <c r="E153" i="17"/>
  <c r="D153" i="17"/>
  <c r="O152" i="17"/>
  <c r="M152" i="17"/>
  <c r="K152" i="17"/>
  <c r="I152" i="17"/>
  <c r="G152" i="17"/>
  <c r="F152" i="17"/>
  <c r="E152" i="17"/>
  <c r="D152" i="17"/>
  <c r="O151" i="17"/>
  <c r="M151" i="17"/>
  <c r="K151" i="17"/>
  <c r="I151" i="17"/>
  <c r="G151" i="17"/>
  <c r="F151" i="17"/>
  <c r="E151" i="17"/>
  <c r="D151" i="17"/>
  <c r="O150" i="17"/>
  <c r="M150" i="17"/>
  <c r="K150" i="17"/>
  <c r="I150" i="17"/>
  <c r="G150" i="17"/>
  <c r="F150" i="17"/>
  <c r="E150" i="17"/>
  <c r="D150" i="17"/>
  <c r="O149" i="17"/>
  <c r="M149" i="17"/>
  <c r="K149" i="17"/>
  <c r="I149" i="17"/>
  <c r="G149" i="17"/>
  <c r="F149" i="17"/>
  <c r="E149" i="17"/>
  <c r="D149" i="17"/>
  <c r="O148" i="17"/>
  <c r="M148" i="17"/>
  <c r="K148" i="17"/>
  <c r="I148" i="17"/>
  <c r="G148" i="17"/>
  <c r="F148" i="17"/>
  <c r="E148" i="17"/>
  <c r="D148" i="17"/>
  <c r="O147" i="17"/>
  <c r="M147" i="17"/>
  <c r="K147" i="17"/>
  <c r="I147" i="17"/>
  <c r="G147" i="17"/>
  <c r="F147" i="17"/>
  <c r="E147" i="17"/>
  <c r="D147" i="17"/>
  <c r="O146" i="17"/>
  <c r="M146" i="17"/>
  <c r="K146" i="17"/>
  <c r="I146" i="17"/>
  <c r="G146" i="17"/>
  <c r="F146" i="17"/>
  <c r="E146" i="17"/>
  <c r="D146" i="17"/>
  <c r="O145" i="17"/>
  <c r="M145" i="17"/>
  <c r="K145" i="17"/>
  <c r="I145" i="17"/>
  <c r="G145" i="17"/>
  <c r="F145" i="17"/>
  <c r="E145" i="17"/>
  <c r="D145" i="17"/>
  <c r="O144" i="17"/>
  <c r="M144" i="17"/>
  <c r="K144" i="17"/>
  <c r="I144" i="17"/>
  <c r="G144" i="17"/>
  <c r="F144" i="17"/>
  <c r="E144" i="17"/>
  <c r="D144" i="17"/>
  <c r="O143" i="17"/>
  <c r="M143" i="17"/>
  <c r="K143" i="17"/>
  <c r="I143" i="17"/>
  <c r="G143" i="17"/>
  <c r="F143" i="17"/>
  <c r="E143" i="17"/>
  <c r="D143" i="17"/>
  <c r="O142" i="17"/>
  <c r="M142" i="17"/>
  <c r="K142" i="17"/>
  <c r="I142" i="17"/>
  <c r="G142" i="17"/>
  <c r="F142" i="17"/>
  <c r="E142" i="17"/>
  <c r="D142" i="17"/>
  <c r="O141" i="17"/>
  <c r="M141" i="17"/>
  <c r="K141" i="17"/>
  <c r="I141" i="17"/>
  <c r="G141" i="17"/>
  <c r="F141" i="17"/>
  <c r="E141" i="17"/>
  <c r="D141" i="17"/>
  <c r="O140" i="17"/>
  <c r="M140" i="17"/>
  <c r="K140" i="17"/>
  <c r="I140" i="17"/>
  <c r="G140" i="17"/>
  <c r="F140" i="17"/>
  <c r="E140" i="17"/>
  <c r="D140" i="17"/>
  <c r="O139" i="17"/>
  <c r="M139" i="17"/>
  <c r="K139" i="17"/>
  <c r="I139" i="17"/>
  <c r="G139" i="17"/>
  <c r="F139" i="17"/>
  <c r="E139" i="17"/>
  <c r="D139" i="17"/>
  <c r="O138" i="17"/>
  <c r="M138" i="17"/>
  <c r="K138" i="17"/>
  <c r="I138" i="17"/>
  <c r="G138" i="17"/>
  <c r="F138" i="17"/>
  <c r="E138" i="17"/>
  <c r="D138" i="17"/>
  <c r="O137" i="17"/>
  <c r="M137" i="17"/>
  <c r="K137" i="17"/>
  <c r="I137" i="17"/>
  <c r="G137" i="17"/>
  <c r="F137" i="17"/>
  <c r="E137" i="17"/>
  <c r="D137" i="17"/>
  <c r="O136" i="17"/>
  <c r="M136" i="17"/>
  <c r="K136" i="17"/>
  <c r="I136" i="17"/>
  <c r="G136" i="17"/>
  <c r="F136" i="17"/>
  <c r="E136" i="17"/>
  <c r="D136" i="17"/>
  <c r="O135" i="17"/>
  <c r="M135" i="17"/>
  <c r="K135" i="17"/>
  <c r="I135" i="17"/>
  <c r="G135" i="17"/>
  <c r="F135" i="17"/>
  <c r="E135" i="17"/>
  <c r="D135" i="17"/>
  <c r="O134" i="17"/>
  <c r="M134" i="17"/>
  <c r="K134" i="17"/>
  <c r="I134" i="17"/>
  <c r="G134" i="17"/>
  <c r="F134" i="17"/>
  <c r="E134" i="17"/>
  <c r="D134" i="17"/>
  <c r="O133" i="17"/>
  <c r="M133" i="17"/>
  <c r="K133" i="17"/>
  <c r="I133" i="17"/>
  <c r="G133" i="17"/>
  <c r="F133" i="17"/>
  <c r="E133" i="17"/>
  <c r="D133" i="17"/>
  <c r="O132" i="17"/>
  <c r="M132" i="17"/>
  <c r="K132" i="17"/>
  <c r="I132" i="17"/>
  <c r="G132" i="17"/>
  <c r="F132" i="17"/>
  <c r="E132" i="17"/>
  <c r="D132" i="17"/>
  <c r="O131" i="17"/>
  <c r="M131" i="17"/>
  <c r="K131" i="17"/>
  <c r="I131" i="17"/>
  <c r="G131" i="17"/>
  <c r="F131" i="17"/>
  <c r="E131" i="17"/>
  <c r="D131" i="17"/>
  <c r="O130" i="17"/>
  <c r="M130" i="17"/>
  <c r="K130" i="17"/>
  <c r="I130" i="17"/>
  <c r="G130" i="17"/>
  <c r="F130" i="17"/>
  <c r="E130" i="17"/>
  <c r="D130" i="17"/>
  <c r="O129" i="17"/>
  <c r="M129" i="17"/>
  <c r="K129" i="17"/>
  <c r="I129" i="17"/>
  <c r="G129" i="17"/>
  <c r="F129" i="17"/>
  <c r="E129" i="17"/>
  <c r="D129" i="17"/>
  <c r="O128" i="17"/>
  <c r="M128" i="17"/>
  <c r="K128" i="17"/>
  <c r="I128" i="17"/>
  <c r="G128" i="17"/>
  <c r="F128" i="17"/>
  <c r="E128" i="17"/>
  <c r="D128" i="17"/>
  <c r="O127" i="17"/>
  <c r="M127" i="17"/>
  <c r="K127" i="17"/>
  <c r="I127" i="17"/>
  <c r="G127" i="17"/>
  <c r="F127" i="17"/>
  <c r="E127" i="17"/>
  <c r="D127" i="17"/>
  <c r="O126" i="17"/>
  <c r="M126" i="17"/>
  <c r="K126" i="17"/>
  <c r="I126" i="17"/>
  <c r="G126" i="17"/>
  <c r="F126" i="17"/>
  <c r="E126" i="17"/>
  <c r="D126" i="17"/>
  <c r="O125" i="17"/>
  <c r="M125" i="17"/>
  <c r="K125" i="17"/>
  <c r="I125" i="17"/>
  <c r="G125" i="17"/>
  <c r="F125" i="17"/>
  <c r="E125" i="17"/>
  <c r="D125" i="17"/>
  <c r="O124" i="17"/>
  <c r="M124" i="17"/>
  <c r="K124" i="17"/>
  <c r="I124" i="17"/>
  <c r="G124" i="17"/>
  <c r="F124" i="17"/>
  <c r="E124" i="17"/>
  <c r="D124" i="17"/>
  <c r="O123" i="17"/>
  <c r="M123" i="17"/>
  <c r="K123" i="17"/>
  <c r="I123" i="17"/>
  <c r="G123" i="17"/>
  <c r="F123" i="17"/>
  <c r="E123" i="17"/>
  <c r="D123" i="17"/>
  <c r="O122" i="17"/>
  <c r="M122" i="17"/>
  <c r="K122" i="17"/>
  <c r="I122" i="17"/>
  <c r="G122" i="17"/>
  <c r="F122" i="17"/>
  <c r="E122" i="17"/>
  <c r="D122" i="17"/>
  <c r="O121" i="17"/>
  <c r="M121" i="17"/>
  <c r="K121" i="17"/>
  <c r="I121" i="17"/>
  <c r="G121" i="17"/>
  <c r="F121" i="17"/>
  <c r="E121" i="17"/>
  <c r="D121" i="17"/>
  <c r="O120" i="17"/>
  <c r="M120" i="17"/>
  <c r="K120" i="17"/>
  <c r="I120" i="17"/>
  <c r="G120" i="17"/>
  <c r="F120" i="17"/>
  <c r="E120" i="17"/>
  <c r="D120" i="17"/>
  <c r="O119" i="17"/>
  <c r="M119" i="17"/>
  <c r="K119" i="17"/>
  <c r="I119" i="17"/>
  <c r="G119" i="17"/>
  <c r="F119" i="17"/>
  <c r="E119" i="17"/>
  <c r="D119" i="17"/>
  <c r="O118" i="17"/>
  <c r="M118" i="17"/>
  <c r="K118" i="17"/>
  <c r="I118" i="17"/>
  <c r="G118" i="17"/>
  <c r="F118" i="17"/>
  <c r="E118" i="17"/>
  <c r="D118" i="17"/>
  <c r="O117" i="17"/>
  <c r="M117" i="17"/>
  <c r="K117" i="17"/>
  <c r="I117" i="17"/>
  <c r="G117" i="17"/>
  <c r="F117" i="17"/>
  <c r="E117" i="17"/>
  <c r="D117" i="17"/>
  <c r="O116" i="17"/>
  <c r="M116" i="17"/>
  <c r="K116" i="17"/>
  <c r="I116" i="17"/>
  <c r="G116" i="17"/>
  <c r="F116" i="17"/>
  <c r="E116" i="17"/>
  <c r="D116" i="17"/>
  <c r="O115" i="17"/>
  <c r="M115" i="17"/>
  <c r="K115" i="17"/>
  <c r="I115" i="17"/>
  <c r="G115" i="17"/>
  <c r="F115" i="17"/>
  <c r="E115" i="17"/>
  <c r="D115" i="17"/>
  <c r="O114" i="17"/>
  <c r="M114" i="17"/>
  <c r="K114" i="17"/>
  <c r="I114" i="17"/>
  <c r="G114" i="17"/>
  <c r="F114" i="17"/>
  <c r="E114" i="17"/>
  <c r="D114" i="17"/>
  <c r="O113" i="17"/>
  <c r="M113" i="17"/>
  <c r="K113" i="17"/>
  <c r="I113" i="17"/>
  <c r="G113" i="17"/>
  <c r="F113" i="17"/>
  <c r="E113" i="17"/>
  <c r="D113" i="17"/>
  <c r="O112" i="17"/>
  <c r="M112" i="17"/>
  <c r="K112" i="17"/>
  <c r="I112" i="17"/>
  <c r="G112" i="17"/>
  <c r="F112" i="17"/>
  <c r="E112" i="17"/>
  <c r="D112" i="17"/>
  <c r="O111" i="17"/>
  <c r="M111" i="17"/>
  <c r="K111" i="17"/>
  <c r="I111" i="17"/>
  <c r="G111" i="17"/>
  <c r="F111" i="17"/>
  <c r="E111" i="17"/>
  <c r="D111" i="17"/>
  <c r="O110" i="17"/>
  <c r="M110" i="17"/>
  <c r="K110" i="17"/>
  <c r="I110" i="17"/>
  <c r="G110" i="17"/>
  <c r="F110" i="17"/>
  <c r="E110" i="17"/>
  <c r="D110" i="17"/>
  <c r="O109" i="17"/>
  <c r="M109" i="17"/>
  <c r="K109" i="17"/>
  <c r="I109" i="17"/>
  <c r="G109" i="17"/>
  <c r="F109" i="17"/>
  <c r="E109" i="17"/>
  <c r="D109" i="17"/>
  <c r="O108" i="17"/>
  <c r="M108" i="17"/>
  <c r="K108" i="17"/>
  <c r="I108" i="17"/>
  <c r="G108" i="17"/>
  <c r="F108" i="17"/>
  <c r="E108" i="17"/>
  <c r="D108" i="17"/>
  <c r="O107" i="17"/>
  <c r="M107" i="17"/>
  <c r="K107" i="17"/>
  <c r="I107" i="17"/>
  <c r="G107" i="17"/>
  <c r="F107" i="17"/>
  <c r="E107" i="17"/>
  <c r="D107" i="17"/>
  <c r="O106" i="17"/>
  <c r="M106" i="17"/>
  <c r="K106" i="17"/>
  <c r="I106" i="17"/>
  <c r="G106" i="17"/>
  <c r="F106" i="17"/>
  <c r="E106" i="17"/>
  <c r="D106" i="17"/>
  <c r="O105" i="17"/>
  <c r="M105" i="17"/>
  <c r="K105" i="17"/>
  <c r="I105" i="17"/>
  <c r="G105" i="17"/>
  <c r="F105" i="17"/>
  <c r="E105" i="17"/>
  <c r="D105" i="17"/>
  <c r="O104" i="17"/>
  <c r="M104" i="17"/>
  <c r="K104" i="17"/>
  <c r="I104" i="17"/>
  <c r="G104" i="17"/>
  <c r="F104" i="17"/>
  <c r="E104" i="17"/>
  <c r="D104" i="17"/>
  <c r="O103" i="17"/>
  <c r="M103" i="17"/>
  <c r="K103" i="17"/>
  <c r="I103" i="17"/>
  <c r="G103" i="17"/>
  <c r="F103" i="17"/>
  <c r="E103" i="17"/>
  <c r="D103" i="17"/>
  <c r="O102" i="17"/>
  <c r="M102" i="17"/>
  <c r="K102" i="17"/>
  <c r="I102" i="17"/>
  <c r="G102" i="17"/>
  <c r="F102" i="17"/>
  <c r="E102" i="17"/>
  <c r="D102" i="17"/>
  <c r="O101" i="17"/>
  <c r="M101" i="17"/>
  <c r="K101" i="17"/>
  <c r="I101" i="17"/>
  <c r="G101" i="17"/>
  <c r="F101" i="17"/>
  <c r="E101" i="17"/>
  <c r="D101" i="17"/>
  <c r="O100" i="17"/>
  <c r="M100" i="17"/>
  <c r="K100" i="17"/>
  <c r="I100" i="17"/>
  <c r="G100" i="17"/>
  <c r="F100" i="17"/>
  <c r="E100" i="17"/>
  <c r="D100" i="17"/>
  <c r="O99" i="17"/>
  <c r="M99" i="17"/>
  <c r="K99" i="17"/>
  <c r="I99" i="17"/>
  <c r="G99" i="17"/>
  <c r="F99" i="17"/>
  <c r="E99" i="17"/>
  <c r="D99" i="17"/>
  <c r="O98" i="17"/>
  <c r="M98" i="17"/>
  <c r="K98" i="17"/>
  <c r="I98" i="17"/>
  <c r="G98" i="17"/>
  <c r="F98" i="17"/>
  <c r="E98" i="17"/>
  <c r="D98" i="17"/>
  <c r="O97" i="17"/>
  <c r="M97" i="17"/>
  <c r="K97" i="17"/>
  <c r="I97" i="17"/>
  <c r="G97" i="17"/>
  <c r="F97" i="17"/>
  <c r="E97" i="17"/>
  <c r="D97" i="17"/>
  <c r="O96" i="17"/>
  <c r="M96" i="17"/>
  <c r="K96" i="17"/>
  <c r="I96" i="17"/>
  <c r="G96" i="17"/>
  <c r="F96" i="17"/>
  <c r="E96" i="17"/>
  <c r="D96" i="17"/>
  <c r="O95" i="17"/>
  <c r="M95" i="17"/>
  <c r="K95" i="17"/>
  <c r="I95" i="17"/>
  <c r="G95" i="17"/>
  <c r="F95" i="17"/>
  <c r="E95" i="17"/>
  <c r="D95" i="17"/>
  <c r="O94" i="17"/>
  <c r="M94" i="17"/>
  <c r="K94" i="17"/>
  <c r="I94" i="17"/>
  <c r="G94" i="17"/>
  <c r="F94" i="17"/>
  <c r="E94" i="17"/>
  <c r="D94" i="17"/>
  <c r="O93" i="17"/>
  <c r="M93" i="17"/>
  <c r="K93" i="17"/>
  <c r="I93" i="17"/>
  <c r="G93" i="17"/>
  <c r="F93" i="17"/>
  <c r="E93" i="17"/>
  <c r="D93" i="17"/>
  <c r="O92" i="17"/>
  <c r="M92" i="17"/>
  <c r="K92" i="17"/>
  <c r="I92" i="17"/>
  <c r="G92" i="17"/>
  <c r="F92" i="17"/>
  <c r="E92" i="17"/>
  <c r="D92" i="17"/>
  <c r="O91" i="17"/>
  <c r="M91" i="17"/>
  <c r="K91" i="17"/>
  <c r="I91" i="17"/>
  <c r="G91" i="17"/>
  <c r="F91" i="17"/>
  <c r="E91" i="17"/>
  <c r="D91" i="17"/>
  <c r="O90" i="17"/>
  <c r="M90" i="17"/>
  <c r="K90" i="17"/>
  <c r="I90" i="17"/>
  <c r="G90" i="17"/>
  <c r="F90" i="17"/>
  <c r="E90" i="17"/>
  <c r="D90" i="17"/>
  <c r="O89" i="17"/>
  <c r="M89" i="17"/>
  <c r="K89" i="17"/>
  <c r="I89" i="17"/>
  <c r="G89" i="17"/>
  <c r="F89" i="17"/>
  <c r="E89" i="17"/>
  <c r="D89" i="17"/>
  <c r="O88" i="17"/>
  <c r="M88" i="17"/>
  <c r="K88" i="17"/>
  <c r="I88" i="17"/>
  <c r="G88" i="17"/>
  <c r="F88" i="17"/>
  <c r="E88" i="17"/>
  <c r="D88" i="17"/>
  <c r="O87" i="17"/>
  <c r="M87" i="17"/>
  <c r="K87" i="17"/>
  <c r="I87" i="17"/>
  <c r="G87" i="17"/>
  <c r="F87" i="17"/>
  <c r="E87" i="17"/>
  <c r="D87" i="17"/>
  <c r="O86" i="17"/>
  <c r="M86" i="17"/>
  <c r="K86" i="17"/>
  <c r="I86" i="17"/>
  <c r="G86" i="17"/>
  <c r="F86" i="17"/>
  <c r="E86" i="17"/>
  <c r="D86" i="17"/>
  <c r="O85" i="17"/>
  <c r="M85" i="17"/>
  <c r="K85" i="17"/>
  <c r="I85" i="17"/>
  <c r="G85" i="17"/>
  <c r="F85" i="17"/>
  <c r="E85" i="17"/>
  <c r="D85" i="17"/>
  <c r="O84" i="17"/>
  <c r="M84" i="17"/>
  <c r="K84" i="17"/>
  <c r="I84" i="17"/>
  <c r="G84" i="17"/>
  <c r="F84" i="17"/>
  <c r="E84" i="17"/>
  <c r="D84" i="17"/>
  <c r="O83" i="17"/>
  <c r="M83" i="17"/>
  <c r="K83" i="17"/>
  <c r="I83" i="17"/>
  <c r="G83" i="17"/>
  <c r="F83" i="17"/>
  <c r="E83" i="17"/>
  <c r="D83" i="17"/>
  <c r="O82" i="17"/>
  <c r="M82" i="17"/>
  <c r="K82" i="17"/>
  <c r="I82" i="17"/>
  <c r="G82" i="17"/>
  <c r="F82" i="17"/>
  <c r="E82" i="17"/>
  <c r="D82" i="17"/>
  <c r="O81" i="17"/>
  <c r="M81" i="17"/>
  <c r="K81" i="17"/>
  <c r="I81" i="17"/>
  <c r="G81" i="17"/>
  <c r="F81" i="17"/>
  <c r="E81" i="17"/>
  <c r="D81" i="17"/>
  <c r="O80" i="17"/>
  <c r="M80" i="17"/>
  <c r="K80" i="17"/>
  <c r="I80" i="17"/>
  <c r="G80" i="17"/>
  <c r="F80" i="17"/>
  <c r="E80" i="17"/>
  <c r="D80" i="17"/>
  <c r="O79" i="17"/>
  <c r="M79" i="17"/>
  <c r="K79" i="17"/>
  <c r="I79" i="17"/>
  <c r="G79" i="17"/>
  <c r="F79" i="17"/>
  <c r="E79" i="17"/>
  <c r="D79" i="17"/>
  <c r="O78" i="17"/>
  <c r="M78" i="17"/>
  <c r="K78" i="17"/>
  <c r="I78" i="17"/>
  <c r="G78" i="17"/>
  <c r="F78" i="17"/>
  <c r="E78" i="17"/>
  <c r="D78" i="17"/>
  <c r="O77" i="17"/>
  <c r="M77" i="17"/>
  <c r="K77" i="17"/>
  <c r="I77" i="17"/>
  <c r="G77" i="17"/>
  <c r="F77" i="17"/>
  <c r="E77" i="17"/>
  <c r="D77" i="17"/>
  <c r="O76" i="17"/>
  <c r="M76" i="17"/>
  <c r="K76" i="17"/>
  <c r="I76" i="17"/>
  <c r="G76" i="17"/>
  <c r="F76" i="17"/>
  <c r="E76" i="17"/>
  <c r="D76" i="17"/>
  <c r="O75" i="17"/>
  <c r="M75" i="17"/>
  <c r="K75" i="17"/>
  <c r="I75" i="17"/>
  <c r="G75" i="17"/>
  <c r="F75" i="17"/>
  <c r="E75" i="17"/>
  <c r="D75" i="17"/>
  <c r="O74" i="17"/>
  <c r="M74" i="17"/>
  <c r="K74" i="17"/>
  <c r="I74" i="17"/>
  <c r="G74" i="17"/>
  <c r="F74" i="17"/>
  <c r="E74" i="17"/>
  <c r="D74" i="17"/>
  <c r="O73" i="17"/>
  <c r="M73" i="17"/>
  <c r="K73" i="17"/>
  <c r="I73" i="17"/>
  <c r="G73" i="17"/>
  <c r="F73" i="17"/>
  <c r="E73" i="17"/>
  <c r="D73" i="17"/>
  <c r="O72" i="17"/>
  <c r="M72" i="17"/>
  <c r="K72" i="17"/>
  <c r="I72" i="17"/>
  <c r="G72" i="17"/>
  <c r="F72" i="17"/>
  <c r="E72" i="17"/>
  <c r="D72" i="17"/>
  <c r="O71" i="17"/>
  <c r="M71" i="17"/>
  <c r="K71" i="17"/>
  <c r="I71" i="17"/>
  <c r="G71" i="17"/>
  <c r="F71" i="17"/>
  <c r="E71" i="17"/>
  <c r="D71" i="17"/>
  <c r="O70" i="17"/>
  <c r="M70" i="17"/>
  <c r="K70" i="17"/>
  <c r="I70" i="17"/>
  <c r="G70" i="17"/>
  <c r="F70" i="17"/>
  <c r="E70" i="17"/>
  <c r="D70" i="17"/>
  <c r="O69" i="17"/>
  <c r="M69" i="17"/>
  <c r="K69" i="17"/>
  <c r="I69" i="17"/>
  <c r="G69" i="17"/>
  <c r="F69" i="17"/>
  <c r="E69" i="17"/>
  <c r="D69" i="17"/>
  <c r="O68" i="17"/>
  <c r="M68" i="17"/>
  <c r="K68" i="17"/>
  <c r="I68" i="17"/>
  <c r="G68" i="17"/>
  <c r="F68" i="17"/>
  <c r="E68" i="17"/>
  <c r="D68" i="17"/>
  <c r="O67" i="17"/>
  <c r="M67" i="17"/>
  <c r="K67" i="17"/>
  <c r="I67" i="17"/>
  <c r="G67" i="17"/>
  <c r="F67" i="17"/>
  <c r="E67" i="17"/>
  <c r="D67" i="17"/>
  <c r="O66" i="17"/>
  <c r="M66" i="17"/>
  <c r="K66" i="17"/>
  <c r="I66" i="17"/>
  <c r="G66" i="17"/>
  <c r="F66" i="17"/>
  <c r="E66" i="17"/>
  <c r="D66" i="17"/>
  <c r="O65" i="17"/>
  <c r="M65" i="17"/>
  <c r="K65" i="17"/>
  <c r="I65" i="17"/>
  <c r="G65" i="17"/>
  <c r="F65" i="17"/>
  <c r="E65" i="17"/>
  <c r="D65" i="17"/>
  <c r="O64" i="17"/>
  <c r="M64" i="17"/>
  <c r="K64" i="17"/>
  <c r="I64" i="17"/>
  <c r="G64" i="17"/>
  <c r="F64" i="17"/>
  <c r="E64" i="17"/>
  <c r="D64" i="17"/>
  <c r="O63" i="17"/>
  <c r="M63" i="17"/>
  <c r="K63" i="17"/>
  <c r="I63" i="17"/>
  <c r="G63" i="17"/>
  <c r="F63" i="17"/>
  <c r="E63" i="17"/>
  <c r="D63" i="17"/>
  <c r="O62" i="17"/>
  <c r="M62" i="17"/>
  <c r="K62" i="17"/>
  <c r="I62" i="17"/>
  <c r="G62" i="17"/>
  <c r="F62" i="17"/>
  <c r="E62" i="17"/>
  <c r="D62" i="17"/>
  <c r="O61" i="17"/>
  <c r="M61" i="17"/>
  <c r="K61" i="17"/>
  <c r="I61" i="17"/>
  <c r="G61" i="17"/>
  <c r="F61" i="17"/>
  <c r="E61" i="17"/>
  <c r="D61" i="17"/>
  <c r="O60" i="17"/>
  <c r="M60" i="17"/>
  <c r="K60" i="17"/>
  <c r="I60" i="17"/>
  <c r="G60" i="17"/>
  <c r="F60" i="17"/>
  <c r="E60" i="17"/>
  <c r="D60" i="17"/>
  <c r="O59" i="17"/>
  <c r="M59" i="17"/>
  <c r="K59" i="17"/>
  <c r="I59" i="17"/>
  <c r="G59" i="17"/>
  <c r="F59" i="17"/>
  <c r="E59" i="17"/>
  <c r="D59" i="17"/>
  <c r="O58" i="17"/>
  <c r="M58" i="17"/>
  <c r="K58" i="17"/>
  <c r="I58" i="17"/>
  <c r="G58" i="17"/>
  <c r="F58" i="17"/>
  <c r="E58" i="17"/>
  <c r="D58" i="17"/>
  <c r="O57" i="17"/>
  <c r="M57" i="17"/>
  <c r="K57" i="17"/>
  <c r="I57" i="17"/>
  <c r="G57" i="17"/>
  <c r="F57" i="17"/>
  <c r="E57" i="17"/>
  <c r="D57" i="17"/>
  <c r="O56" i="17"/>
  <c r="M56" i="17"/>
  <c r="K56" i="17"/>
  <c r="I56" i="17"/>
  <c r="G56" i="17"/>
  <c r="F56" i="17"/>
  <c r="E56" i="17"/>
  <c r="D56" i="17"/>
  <c r="O55" i="17"/>
  <c r="M55" i="17"/>
  <c r="K55" i="17"/>
  <c r="I55" i="17"/>
  <c r="G55" i="17"/>
  <c r="F55" i="17"/>
  <c r="E55" i="17"/>
  <c r="D55" i="17"/>
  <c r="O54" i="17"/>
  <c r="M54" i="17"/>
  <c r="K54" i="17"/>
  <c r="I54" i="17"/>
  <c r="G54" i="17"/>
  <c r="F54" i="17"/>
  <c r="E54" i="17"/>
  <c r="D54" i="17"/>
  <c r="O53" i="17"/>
  <c r="M53" i="17"/>
  <c r="K53" i="17"/>
  <c r="I53" i="17"/>
  <c r="G53" i="17"/>
  <c r="F53" i="17"/>
  <c r="E53" i="17"/>
  <c r="D53" i="17"/>
  <c r="O52" i="17"/>
  <c r="M52" i="17"/>
  <c r="K52" i="17"/>
  <c r="I52" i="17"/>
  <c r="G52" i="17"/>
  <c r="F52" i="17"/>
  <c r="E52" i="17"/>
  <c r="D52" i="17"/>
  <c r="O51" i="17"/>
  <c r="M51" i="17"/>
  <c r="K51" i="17"/>
  <c r="I51" i="17"/>
  <c r="G51" i="17"/>
  <c r="F51" i="17"/>
  <c r="E51" i="17"/>
  <c r="D51" i="17"/>
  <c r="O50" i="17"/>
  <c r="M50" i="17"/>
  <c r="K50" i="17"/>
  <c r="I50" i="17"/>
  <c r="G50" i="17"/>
  <c r="F50" i="17"/>
  <c r="E50" i="17"/>
  <c r="D50" i="17"/>
  <c r="O49" i="17"/>
  <c r="M49" i="17"/>
  <c r="K49" i="17"/>
  <c r="I49" i="17"/>
  <c r="G49" i="17"/>
  <c r="F49" i="17"/>
  <c r="E49" i="17"/>
  <c r="D49" i="17"/>
  <c r="O48" i="17"/>
  <c r="M48" i="17"/>
  <c r="K48" i="17"/>
  <c r="I48" i="17"/>
  <c r="G48" i="17"/>
  <c r="F48" i="17"/>
  <c r="E48" i="17"/>
  <c r="D48" i="17"/>
  <c r="O47" i="17"/>
  <c r="M47" i="17"/>
  <c r="K47" i="17"/>
  <c r="I47" i="17"/>
  <c r="G47" i="17"/>
  <c r="F47" i="17"/>
  <c r="E47" i="17"/>
  <c r="D47" i="17"/>
  <c r="O46" i="17"/>
  <c r="M46" i="17"/>
  <c r="K46" i="17"/>
  <c r="I46" i="17"/>
  <c r="G46" i="17"/>
  <c r="F46" i="17"/>
  <c r="E46" i="17"/>
  <c r="D46" i="17"/>
  <c r="O45" i="17"/>
  <c r="M45" i="17"/>
  <c r="K45" i="17"/>
  <c r="I45" i="17"/>
  <c r="G45" i="17"/>
  <c r="F45" i="17"/>
  <c r="E45" i="17"/>
  <c r="D45" i="17"/>
  <c r="O44" i="17"/>
  <c r="M44" i="17"/>
  <c r="K44" i="17"/>
  <c r="I44" i="17"/>
  <c r="G44" i="17"/>
  <c r="F44" i="17"/>
  <c r="E44" i="17"/>
  <c r="D44" i="17"/>
  <c r="O43" i="17"/>
  <c r="M43" i="17"/>
  <c r="K43" i="17"/>
  <c r="I43" i="17"/>
  <c r="G43" i="17"/>
  <c r="F43" i="17"/>
  <c r="E43" i="17"/>
  <c r="D43" i="17"/>
  <c r="O42" i="17"/>
  <c r="M42" i="17"/>
  <c r="K42" i="17"/>
  <c r="I42" i="17"/>
  <c r="G42" i="17"/>
  <c r="F42" i="17"/>
  <c r="E42" i="17"/>
  <c r="D42" i="17"/>
  <c r="O41" i="17"/>
  <c r="M41" i="17"/>
  <c r="K41" i="17"/>
  <c r="I41" i="17"/>
  <c r="G41" i="17"/>
  <c r="F41" i="17"/>
  <c r="E41" i="17"/>
  <c r="D41" i="17"/>
  <c r="O40" i="17"/>
  <c r="M40" i="17"/>
  <c r="K40" i="17"/>
  <c r="I40" i="17"/>
  <c r="G40" i="17"/>
  <c r="F40" i="17"/>
  <c r="E40" i="17"/>
  <c r="D40" i="17"/>
  <c r="O39" i="17"/>
  <c r="M39" i="17"/>
  <c r="K39" i="17"/>
  <c r="I39" i="17"/>
  <c r="G39" i="17"/>
  <c r="F39" i="17"/>
  <c r="E39" i="17"/>
  <c r="D39" i="17"/>
  <c r="O38" i="17"/>
  <c r="M38" i="17"/>
  <c r="K38" i="17"/>
  <c r="I38" i="17"/>
  <c r="G38" i="17"/>
  <c r="F38" i="17"/>
  <c r="E38" i="17"/>
  <c r="D38" i="17"/>
  <c r="O37" i="17"/>
  <c r="M37" i="17"/>
  <c r="K37" i="17"/>
  <c r="I37" i="17"/>
  <c r="G37" i="17"/>
  <c r="F37" i="17"/>
  <c r="E37" i="17"/>
  <c r="D37" i="17"/>
  <c r="O36" i="17"/>
  <c r="M36" i="17"/>
  <c r="K36" i="17"/>
  <c r="I36" i="17"/>
  <c r="G36" i="17"/>
  <c r="F36" i="17"/>
  <c r="E36" i="17"/>
  <c r="D36" i="17"/>
  <c r="O35" i="17"/>
  <c r="M35" i="17"/>
  <c r="K35" i="17"/>
  <c r="I35" i="17"/>
  <c r="G35" i="17"/>
  <c r="F35" i="17"/>
  <c r="E35" i="17"/>
  <c r="D35" i="17"/>
  <c r="O34" i="17"/>
  <c r="M34" i="17"/>
  <c r="K34" i="17"/>
  <c r="I34" i="17"/>
  <c r="G34" i="17"/>
  <c r="F34" i="17"/>
  <c r="E34" i="17"/>
  <c r="D34" i="17"/>
  <c r="O33" i="17"/>
  <c r="M33" i="17"/>
  <c r="K33" i="17"/>
  <c r="I33" i="17"/>
  <c r="G33" i="17"/>
  <c r="F33" i="17"/>
  <c r="E33" i="17"/>
  <c r="D33" i="17"/>
  <c r="O32" i="17"/>
  <c r="M32" i="17"/>
  <c r="K32" i="17"/>
  <c r="I32" i="17"/>
  <c r="G32" i="17"/>
  <c r="F32" i="17"/>
  <c r="E32" i="17"/>
  <c r="D32" i="17"/>
  <c r="O31" i="17"/>
  <c r="M31" i="17"/>
  <c r="K31" i="17"/>
  <c r="I31" i="17"/>
  <c r="G31" i="17"/>
  <c r="F31" i="17"/>
  <c r="E31" i="17"/>
  <c r="D31" i="17"/>
  <c r="O30" i="17"/>
  <c r="M30" i="17"/>
  <c r="K30" i="17"/>
  <c r="I30" i="17"/>
  <c r="G30" i="17"/>
  <c r="F30" i="17"/>
  <c r="E30" i="17"/>
  <c r="D30" i="17"/>
  <c r="O29" i="17"/>
  <c r="M29" i="17"/>
  <c r="K29" i="17"/>
  <c r="I29" i="17"/>
  <c r="G29" i="17"/>
  <c r="F29" i="17"/>
  <c r="E29" i="17"/>
  <c r="D29" i="17"/>
  <c r="O28" i="17"/>
  <c r="M28" i="17"/>
  <c r="K28" i="17"/>
  <c r="I28" i="17"/>
  <c r="G28" i="17"/>
  <c r="F28" i="17"/>
  <c r="E28" i="17"/>
  <c r="D28" i="17"/>
  <c r="O27" i="17"/>
  <c r="M27" i="17"/>
  <c r="K27" i="17"/>
  <c r="I27" i="17"/>
  <c r="G27" i="17"/>
  <c r="F27" i="17"/>
  <c r="E27" i="17"/>
  <c r="D27" i="17"/>
  <c r="O26" i="17"/>
  <c r="M26" i="17"/>
  <c r="K26" i="17"/>
  <c r="I26" i="17"/>
  <c r="G26" i="17"/>
  <c r="F26" i="17"/>
  <c r="E26" i="17"/>
  <c r="D26" i="17"/>
  <c r="O25" i="17"/>
  <c r="M25" i="17"/>
  <c r="K25" i="17"/>
  <c r="I25" i="17"/>
  <c r="G25" i="17"/>
  <c r="F25" i="17"/>
  <c r="E25" i="17"/>
  <c r="D25" i="17"/>
  <c r="O24" i="17"/>
  <c r="M24" i="17"/>
  <c r="K24" i="17"/>
  <c r="I24" i="17"/>
  <c r="G24" i="17"/>
  <c r="F24" i="17"/>
  <c r="E24" i="17"/>
  <c r="D24" i="17"/>
  <c r="O23" i="17"/>
  <c r="M23" i="17"/>
  <c r="K23" i="17"/>
  <c r="I23" i="17"/>
  <c r="G23" i="17"/>
  <c r="F23" i="17"/>
  <c r="E23" i="17"/>
  <c r="D23" i="17"/>
  <c r="O22" i="17"/>
  <c r="M22" i="17"/>
  <c r="K22" i="17"/>
  <c r="I22" i="17"/>
  <c r="G22" i="17"/>
  <c r="F22" i="17"/>
  <c r="E22" i="17"/>
  <c r="D22" i="17"/>
  <c r="O21" i="17"/>
  <c r="M21" i="17"/>
  <c r="K21" i="17"/>
  <c r="I21" i="17"/>
  <c r="G21" i="17"/>
  <c r="F21" i="17"/>
  <c r="E21" i="17"/>
  <c r="D21" i="17"/>
  <c r="O20" i="17"/>
  <c r="M20" i="17"/>
  <c r="K20" i="17"/>
  <c r="I20" i="17"/>
  <c r="G20" i="17"/>
  <c r="F20" i="17"/>
  <c r="E20" i="17"/>
  <c r="D20" i="17"/>
  <c r="O19" i="17"/>
  <c r="M19" i="17"/>
  <c r="K19" i="17"/>
  <c r="I19" i="17"/>
  <c r="G19" i="17"/>
  <c r="F19" i="17"/>
  <c r="E19" i="17"/>
  <c r="D19" i="17"/>
  <c r="O18" i="17"/>
  <c r="M18" i="17"/>
  <c r="K18" i="17"/>
  <c r="I18" i="17"/>
  <c r="G18" i="17"/>
  <c r="F18" i="17"/>
  <c r="E18" i="17"/>
  <c r="D18" i="17"/>
  <c r="O17" i="17"/>
  <c r="M17" i="17"/>
  <c r="K17" i="17"/>
  <c r="I17" i="17"/>
  <c r="G17" i="17"/>
  <c r="F17" i="17"/>
  <c r="E17" i="17"/>
  <c r="D17" i="17"/>
  <c r="O16" i="17"/>
  <c r="M16" i="17"/>
  <c r="K16" i="17"/>
  <c r="I16" i="17"/>
  <c r="G16" i="17"/>
  <c r="F16" i="17"/>
  <c r="E16" i="17"/>
  <c r="D16" i="17"/>
  <c r="O15" i="17"/>
  <c r="M15" i="17"/>
  <c r="K15" i="17"/>
  <c r="I15" i="17"/>
  <c r="G15" i="17"/>
  <c r="F15" i="17"/>
  <c r="E15" i="17"/>
  <c r="D15" i="17"/>
  <c r="O14" i="17"/>
  <c r="M14" i="17"/>
  <c r="K14" i="17"/>
  <c r="I14" i="17"/>
  <c r="G14" i="17"/>
  <c r="F14" i="17"/>
  <c r="E14" i="17"/>
  <c r="D14" i="17"/>
  <c r="O13" i="17"/>
  <c r="M13" i="17"/>
  <c r="K13" i="17"/>
  <c r="I13" i="17"/>
  <c r="G13" i="17"/>
  <c r="F13" i="17"/>
  <c r="E13" i="17"/>
  <c r="D13" i="17"/>
  <c r="O12" i="17"/>
  <c r="M12" i="17"/>
  <c r="K12" i="17"/>
  <c r="I12" i="17"/>
  <c r="G12" i="17"/>
  <c r="F12" i="17"/>
  <c r="E12" i="17"/>
  <c r="D12" i="17"/>
  <c r="O11" i="17"/>
  <c r="M11" i="17"/>
  <c r="K11" i="17"/>
  <c r="I11" i="17"/>
  <c r="G11" i="17"/>
  <c r="F11" i="17"/>
  <c r="E11" i="17"/>
  <c r="D11" i="17"/>
  <c r="O10" i="17"/>
  <c r="M10" i="17"/>
  <c r="K10" i="17"/>
  <c r="I10" i="17"/>
  <c r="G10" i="17"/>
  <c r="F10" i="17"/>
  <c r="E10" i="17"/>
  <c r="D10" i="17"/>
  <c r="O9" i="17"/>
  <c r="M9" i="17"/>
  <c r="K9" i="17"/>
  <c r="I9" i="17"/>
  <c r="G9" i="17"/>
  <c r="F9" i="17"/>
  <c r="E9" i="17"/>
  <c r="D9" i="17"/>
  <c r="O8" i="17"/>
  <c r="M8" i="17"/>
  <c r="K8" i="17"/>
  <c r="I8" i="17"/>
  <c r="G8" i="17"/>
  <c r="F8" i="17"/>
  <c r="E8" i="17"/>
  <c r="D8" i="17"/>
  <c r="O7" i="17"/>
  <c r="M7" i="17"/>
  <c r="K7" i="17"/>
  <c r="I7" i="17"/>
  <c r="G7" i="17"/>
  <c r="F7" i="17"/>
  <c r="E7" i="17"/>
  <c r="D7" i="17"/>
  <c r="O6" i="17"/>
  <c r="M6" i="17"/>
  <c r="K6" i="17"/>
  <c r="I6" i="17"/>
  <c r="G6" i="17"/>
  <c r="F6" i="17"/>
  <c r="F233" i="17" s="1"/>
  <c r="E6" i="17"/>
  <c r="D6" i="17"/>
  <c r="D233" i="17" s="1"/>
  <c r="N938" i="16"/>
  <c r="O938" i="16" s="1"/>
  <c r="L938" i="16"/>
  <c r="M938" i="16" s="1"/>
  <c r="J938" i="16"/>
  <c r="K938" i="16" s="1"/>
  <c r="H938" i="16"/>
  <c r="I938" i="16" s="1"/>
  <c r="F938" i="16"/>
  <c r="G938" i="16" s="1"/>
  <c r="D938" i="16"/>
  <c r="E938" i="16" s="1"/>
  <c r="O937" i="16"/>
  <c r="M937" i="16"/>
  <c r="K937" i="16"/>
  <c r="I937" i="16"/>
  <c r="G937" i="16"/>
  <c r="F937" i="16"/>
  <c r="E937" i="16"/>
  <c r="D937" i="16"/>
  <c r="O936" i="16"/>
  <c r="M936" i="16"/>
  <c r="K936" i="16"/>
  <c r="I936" i="16"/>
  <c r="G936" i="16"/>
  <c r="F936" i="16"/>
  <c r="E936" i="16"/>
  <c r="D936" i="16"/>
  <c r="O935" i="16"/>
  <c r="M935" i="16"/>
  <c r="K935" i="16"/>
  <c r="I935" i="16"/>
  <c r="G935" i="16"/>
  <c r="F935" i="16"/>
  <c r="E935" i="16"/>
  <c r="D935" i="16"/>
  <c r="O934" i="16"/>
  <c r="M934" i="16"/>
  <c r="K934" i="16"/>
  <c r="I934" i="16"/>
  <c r="G934" i="16"/>
  <c r="F934" i="16"/>
  <c r="E934" i="16"/>
  <c r="D934" i="16"/>
  <c r="O933" i="16"/>
  <c r="M933" i="16"/>
  <c r="K933" i="16"/>
  <c r="I933" i="16"/>
  <c r="G933" i="16"/>
  <c r="F933" i="16"/>
  <c r="E933" i="16"/>
  <c r="D933" i="16"/>
  <c r="O932" i="16"/>
  <c r="M932" i="16"/>
  <c r="K932" i="16"/>
  <c r="I932" i="16"/>
  <c r="G932" i="16"/>
  <c r="F932" i="16"/>
  <c r="E932" i="16"/>
  <c r="D932" i="16"/>
  <c r="O931" i="16"/>
  <c r="M931" i="16"/>
  <c r="K931" i="16"/>
  <c r="I931" i="16"/>
  <c r="G931" i="16"/>
  <c r="F931" i="16"/>
  <c r="E931" i="16"/>
  <c r="D931" i="16"/>
  <c r="O930" i="16"/>
  <c r="M930" i="16"/>
  <c r="K930" i="16"/>
  <c r="I930" i="16"/>
  <c r="G930" i="16"/>
  <c r="F930" i="16"/>
  <c r="E930" i="16"/>
  <c r="D930" i="16"/>
  <c r="O929" i="16"/>
  <c r="M929" i="16"/>
  <c r="K929" i="16"/>
  <c r="I929" i="16"/>
  <c r="G929" i="16"/>
  <c r="F929" i="16"/>
  <c r="E929" i="16"/>
  <c r="D929" i="16"/>
  <c r="O928" i="16"/>
  <c r="M928" i="16"/>
  <c r="K928" i="16"/>
  <c r="I928" i="16"/>
  <c r="G928" i="16"/>
  <c r="F928" i="16"/>
  <c r="E928" i="16"/>
  <c r="D928" i="16"/>
  <c r="O927" i="16"/>
  <c r="M927" i="16"/>
  <c r="K927" i="16"/>
  <c r="I927" i="16"/>
  <c r="G927" i="16"/>
  <c r="F927" i="16"/>
  <c r="E927" i="16"/>
  <c r="D927" i="16"/>
  <c r="O926" i="16"/>
  <c r="M926" i="16"/>
  <c r="K926" i="16"/>
  <c r="I926" i="16"/>
  <c r="G926" i="16"/>
  <c r="F926" i="16"/>
  <c r="E926" i="16"/>
  <c r="D926" i="16"/>
  <c r="O925" i="16"/>
  <c r="M925" i="16"/>
  <c r="K925" i="16"/>
  <c r="I925" i="16"/>
  <c r="G925" i="16"/>
  <c r="F925" i="16"/>
  <c r="E925" i="16"/>
  <c r="D925" i="16"/>
  <c r="O924" i="16"/>
  <c r="M924" i="16"/>
  <c r="K924" i="16"/>
  <c r="I924" i="16"/>
  <c r="G924" i="16"/>
  <c r="F924" i="16"/>
  <c r="E924" i="16"/>
  <c r="D924" i="16"/>
  <c r="O923" i="16"/>
  <c r="M923" i="16"/>
  <c r="K923" i="16"/>
  <c r="I923" i="16"/>
  <c r="G923" i="16"/>
  <c r="F923" i="16"/>
  <c r="E923" i="16"/>
  <c r="D923" i="16"/>
  <c r="O922" i="16"/>
  <c r="M922" i="16"/>
  <c r="K922" i="16"/>
  <c r="I922" i="16"/>
  <c r="G922" i="16"/>
  <c r="F922" i="16"/>
  <c r="E922" i="16"/>
  <c r="D922" i="16"/>
  <c r="O921" i="16"/>
  <c r="M921" i="16"/>
  <c r="K921" i="16"/>
  <c r="I921" i="16"/>
  <c r="G921" i="16"/>
  <c r="F921" i="16"/>
  <c r="E921" i="16"/>
  <c r="D921" i="16"/>
  <c r="O920" i="16"/>
  <c r="M920" i="16"/>
  <c r="K920" i="16"/>
  <c r="I920" i="16"/>
  <c r="G920" i="16"/>
  <c r="F920" i="16"/>
  <c r="E920" i="16"/>
  <c r="D920" i="16"/>
  <c r="O919" i="16"/>
  <c r="M919" i="16"/>
  <c r="K919" i="16"/>
  <c r="I919" i="16"/>
  <c r="G919" i="16"/>
  <c r="F919" i="16"/>
  <c r="E919" i="16"/>
  <c r="D919" i="16"/>
  <c r="O918" i="16"/>
  <c r="M918" i="16"/>
  <c r="K918" i="16"/>
  <c r="I918" i="16"/>
  <c r="G918" i="16"/>
  <c r="F918" i="16"/>
  <c r="E918" i="16"/>
  <c r="D918" i="16"/>
  <c r="O917" i="16"/>
  <c r="M917" i="16"/>
  <c r="K917" i="16"/>
  <c r="I917" i="16"/>
  <c r="G917" i="16"/>
  <c r="F917" i="16"/>
  <c r="E917" i="16"/>
  <c r="D917" i="16"/>
  <c r="O916" i="16"/>
  <c r="M916" i="16"/>
  <c r="K916" i="16"/>
  <c r="I916" i="16"/>
  <c r="G916" i="16"/>
  <c r="F916" i="16"/>
  <c r="E916" i="16"/>
  <c r="D916" i="16"/>
  <c r="O915" i="16"/>
  <c r="M915" i="16"/>
  <c r="K915" i="16"/>
  <c r="I915" i="16"/>
  <c r="G915" i="16"/>
  <c r="F915" i="16"/>
  <c r="E915" i="16"/>
  <c r="D915" i="16"/>
  <c r="O914" i="16"/>
  <c r="M914" i="16"/>
  <c r="K914" i="16"/>
  <c r="I914" i="16"/>
  <c r="G914" i="16"/>
  <c r="F914" i="16"/>
  <c r="E914" i="16"/>
  <c r="D914" i="16"/>
  <c r="O913" i="16"/>
  <c r="M913" i="16"/>
  <c r="K913" i="16"/>
  <c r="I913" i="16"/>
  <c r="G913" i="16"/>
  <c r="F913" i="16"/>
  <c r="E913" i="16"/>
  <c r="D913" i="16"/>
  <c r="O912" i="16"/>
  <c r="M912" i="16"/>
  <c r="K912" i="16"/>
  <c r="I912" i="16"/>
  <c r="G912" i="16"/>
  <c r="F912" i="16"/>
  <c r="E912" i="16"/>
  <c r="D912" i="16"/>
  <c r="O911" i="16"/>
  <c r="M911" i="16"/>
  <c r="K911" i="16"/>
  <c r="I911" i="16"/>
  <c r="G911" i="16"/>
  <c r="F911" i="16"/>
  <c r="E911" i="16"/>
  <c r="D911" i="16"/>
  <c r="O910" i="16"/>
  <c r="M910" i="16"/>
  <c r="K910" i="16"/>
  <c r="I910" i="16"/>
  <c r="G910" i="16"/>
  <c r="F910" i="16"/>
  <c r="E910" i="16"/>
  <c r="D910" i="16"/>
  <c r="O909" i="16"/>
  <c r="M909" i="16"/>
  <c r="K909" i="16"/>
  <c r="I909" i="16"/>
  <c r="G909" i="16"/>
  <c r="F909" i="16"/>
  <c r="E909" i="16"/>
  <c r="D909" i="16"/>
  <c r="O908" i="16"/>
  <c r="M908" i="16"/>
  <c r="K908" i="16"/>
  <c r="I908" i="16"/>
  <c r="G908" i="16"/>
  <c r="F908" i="16"/>
  <c r="E908" i="16"/>
  <c r="D908" i="16"/>
  <c r="O907" i="16"/>
  <c r="M907" i="16"/>
  <c r="K907" i="16"/>
  <c r="I907" i="16"/>
  <c r="G907" i="16"/>
  <c r="F907" i="16"/>
  <c r="E907" i="16"/>
  <c r="D907" i="16"/>
  <c r="O906" i="16"/>
  <c r="M906" i="16"/>
  <c r="K906" i="16"/>
  <c r="I906" i="16"/>
  <c r="G906" i="16"/>
  <c r="F906" i="16"/>
  <c r="E906" i="16"/>
  <c r="D906" i="16"/>
  <c r="O905" i="16"/>
  <c r="M905" i="16"/>
  <c r="K905" i="16"/>
  <c r="I905" i="16"/>
  <c r="G905" i="16"/>
  <c r="F905" i="16"/>
  <c r="E905" i="16"/>
  <c r="D905" i="16"/>
  <c r="O904" i="16"/>
  <c r="M904" i="16"/>
  <c r="K904" i="16"/>
  <c r="I904" i="16"/>
  <c r="G904" i="16"/>
  <c r="F904" i="16"/>
  <c r="E904" i="16"/>
  <c r="D904" i="16"/>
  <c r="O903" i="16"/>
  <c r="M903" i="16"/>
  <c r="K903" i="16"/>
  <c r="I903" i="16"/>
  <c r="G903" i="16"/>
  <c r="F903" i="16"/>
  <c r="E903" i="16"/>
  <c r="D903" i="16"/>
  <c r="O902" i="16"/>
  <c r="M902" i="16"/>
  <c r="K902" i="16"/>
  <c r="I902" i="16"/>
  <c r="G902" i="16"/>
  <c r="F902" i="16"/>
  <c r="E902" i="16"/>
  <c r="D902" i="16"/>
  <c r="O901" i="16"/>
  <c r="M901" i="16"/>
  <c r="K901" i="16"/>
  <c r="I901" i="16"/>
  <c r="G901" i="16"/>
  <c r="F901" i="16"/>
  <c r="E901" i="16"/>
  <c r="D901" i="16"/>
  <c r="O900" i="16"/>
  <c r="M900" i="16"/>
  <c r="K900" i="16"/>
  <c r="I900" i="16"/>
  <c r="G900" i="16"/>
  <c r="F900" i="16"/>
  <c r="E900" i="16"/>
  <c r="D900" i="16"/>
  <c r="O899" i="16"/>
  <c r="M899" i="16"/>
  <c r="K899" i="16"/>
  <c r="I899" i="16"/>
  <c r="G899" i="16"/>
  <c r="F899" i="16"/>
  <c r="E899" i="16"/>
  <c r="D899" i="16"/>
  <c r="O898" i="16"/>
  <c r="M898" i="16"/>
  <c r="K898" i="16"/>
  <c r="I898" i="16"/>
  <c r="G898" i="16"/>
  <c r="F898" i="16"/>
  <c r="E898" i="16"/>
  <c r="D898" i="16"/>
  <c r="O897" i="16"/>
  <c r="M897" i="16"/>
  <c r="K897" i="16"/>
  <c r="I897" i="16"/>
  <c r="G897" i="16"/>
  <c r="F897" i="16"/>
  <c r="E897" i="16"/>
  <c r="D897" i="16"/>
  <c r="O896" i="16"/>
  <c r="M896" i="16"/>
  <c r="K896" i="16"/>
  <c r="I896" i="16"/>
  <c r="G896" i="16"/>
  <c r="F896" i="16"/>
  <c r="E896" i="16"/>
  <c r="D896" i="16"/>
  <c r="O895" i="16"/>
  <c r="M895" i="16"/>
  <c r="K895" i="16"/>
  <c r="I895" i="16"/>
  <c r="G895" i="16"/>
  <c r="F895" i="16"/>
  <c r="E895" i="16"/>
  <c r="D895" i="16"/>
  <c r="O894" i="16"/>
  <c r="M894" i="16"/>
  <c r="K894" i="16"/>
  <c r="I894" i="16"/>
  <c r="G894" i="16"/>
  <c r="F894" i="16"/>
  <c r="E894" i="16"/>
  <c r="D894" i="16"/>
  <c r="O893" i="16"/>
  <c r="M893" i="16"/>
  <c r="K893" i="16"/>
  <c r="I893" i="16"/>
  <c r="G893" i="16"/>
  <c r="F893" i="16"/>
  <c r="E893" i="16"/>
  <c r="D893" i="16"/>
  <c r="O892" i="16"/>
  <c r="M892" i="16"/>
  <c r="K892" i="16"/>
  <c r="I892" i="16"/>
  <c r="G892" i="16"/>
  <c r="F892" i="16"/>
  <c r="E892" i="16"/>
  <c r="D892" i="16"/>
  <c r="O891" i="16"/>
  <c r="M891" i="16"/>
  <c r="K891" i="16"/>
  <c r="I891" i="16"/>
  <c r="G891" i="16"/>
  <c r="F891" i="16"/>
  <c r="E891" i="16"/>
  <c r="D891" i="16"/>
  <c r="O890" i="16"/>
  <c r="M890" i="16"/>
  <c r="K890" i="16"/>
  <c r="I890" i="16"/>
  <c r="G890" i="16"/>
  <c r="F890" i="16"/>
  <c r="E890" i="16"/>
  <c r="D890" i="16"/>
  <c r="O889" i="16"/>
  <c r="M889" i="16"/>
  <c r="K889" i="16"/>
  <c r="I889" i="16"/>
  <c r="G889" i="16"/>
  <c r="F889" i="16"/>
  <c r="E889" i="16"/>
  <c r="D889" i="16"/>
  <c r="O888" i="16"/>
  <c r="M888" i="16"/>
  <c r="K888" i="16"/>
  <c r="I888" i="16"/>
  <c r="G888" i="16"/>
  <c r="F888" i="16"/>
  <c r="E888" i="16"/>
  <c r="D888" i="16"/>
  <c r="O887" i="16"/>
  <c r="M887" i="16"/>
  <c r="K887" i="16"/>
  <c r="I887" i="16"/>
  <c r="G887" i="16"/>
  <c r="F887" i="16"/>
  <c r="E887" i="16"/>
  <c r="D887" i="16"/>
  <c r="O886" i="16"/>
  <c r="M886" i="16"/>
  <c r="K886" i="16"/>
  <c r="I886" i="16"/>
  <c r="G886" i="16"/>
  <c r="F886" i="16"/>
  <c r="E886" i="16"/>
  <c r="D886" i="16"/>
  <c r="O885" i="16"/>
  <c r="M885" i="16"/>
  <c r="K885" i="16"/>
  <c r="I885" i="16"/>
  <c r="G885" i="16"/>
  <c r="F885" i="16"/>
  <c r="E885" i="16"/>
  <c r="D885" i="16"/>
  <c r="O884" i="16"/>
  <c r="M884" i="16"/>
  <c r="K884" i="16"/>
  <c r="I884" i="16"/>
  <c r="G884" i="16"/>
  <c r="F884" i="16"/>
  <c r="E884" i="16"/>
  <c r="D884" i="16"/>
  <c r="O883" i="16"/>
  <c r="M883" i="16"/>
  <c r="K883" i="16"/>
  <c r="I883" i="16"/>
  <c r="G883" i="16"/>
  <c r="F883" i="16"/>
  <c r="E883" i="16"/>
  <c r="D883" i="16"/>
  <c r="O882" i="16"/>
  <c r="M882" i="16"/>
  <c r="K882" i="16"/>
  <c r="I882" i="16"/>
  <c r="G882" i="16"/>
  <c r="F882" i="16"/>
  <c r="E882" i="16"/>
  <c r="D882" i="16"/>
  <c r="O881" i="16"/>
  <c r="M881" i="16"/>
  <c r="K881" i="16"/>
  <c r="I881" i="16"/>
  <c r="G881" i="16"/>
  <c r="F881" i="16"/>
  <c r="E881" i="16"/>
  <c r="D881" i="16"/>
  <c r="O880" i="16"/>
  <c r="M880" i="16"/>
  <c r="K880" i="16"/>
  <c r="I880" i="16"/>
  <c r="G880" i="16"/>
  <c r="F880" i="16"/>
  <c r="E880" i="16"/>
  <c r="D880" i="16"/>
  <c r="O879" i="16"/>
  <c r="M879" i="16"/>
  <c r="K879" i="16"/>
  <c r="I879" i="16"/>
  <c r="G879" i="16"/>
  <c r="F879" i="16"/>
  <c r="E879" i="16"/>
  <c r="D879" i="16"/>
  <c r="O878" i="16"/>
  <c r="M878" i="16"/>
  <c r="K878" i="16"/>
  <c r="I878" i="16"/>
  <c r="G878" i="16"/>
  <c r="F878" i="16"/>
  <c r="E878" i="16"/>
  <c r="D878" i="16"/>
  <c r="O877" i="16"/>
  <c r="M877" i="16"/>
  <c r="K877" i="16"/>
  <c r="I877" i="16"/>
  <c r="G877" i="16"/>
  <c r="F877" i="16"/>
  <c r="E877" i="16"/>
  <c r="D877" i="16"/>
  <c r="O876" i="16"/>
  <c r="M876" i="16"/>
  <c r="K876" i="16"/>
  <c r="I876" i="16"/>
  <c r="G876" i="16"/>
  <c r="F876" i="16"/>
  <c r="E876" i="16"/>
  <c r="D876" i="16"/>
  <c r="O875" i="16"/>
  <c r="M875" i="16"/>
  <c r="K875" i="16"/>
  <c r="I875" i="16"/>
  <c r="G875" i="16"/>
  <c r="F875" i="16"/>
  <c r="E875" i="16"/>
  <c r="D875" i="16"/>
  <c r="O874" i="16"/>
  <c r="M874" i="16"/>
  <c r="K874" i="16"/>
  <c r="I874" i="16"/>
  <c r="G874" i="16"/>
  <c r="F874" i="16"/>
  <c r="E874" i="16"/>
  <c r="D874" i="16"/>
  <c r="O873" i="16"/>
  <c r="M873" i="16"/>
  <c r="K873" i="16"/>
  <c r="I873" i="16"/>
  <c r="G873" i="16"/>
  <c r="F873" i="16"/>
  <c r="E873" i="16"/>
  <c r="D873" i="16"/>
  <c r="O872" i="16"/>
  <c r="M872" i="16"/>
  <c r="K872" i="16"/>
  <c r="I872" i="16"/>
  <c r="G872" i="16"/>
  <c r="F872" i="16"/>
  <c r="E872" i="16"/>
  <c r="D872" i="16"/>
  <c r="O871" i="16"/>
  <c r="M871" i="16"/>
  <c r="K871" i="16"/>
  <c r="I871" i="16"/>
  <c r="G871" i="16"/>
  <c r="F871" i="16"/>
  <c r="E871" i="16"/>
  <c r="D871" i="16"/>
  <c r="O870" i="16"/>
  <c r="M870" i="16"/>
  <c r="K870" i="16"/>
  <c r="I870" i="16"/>
  <c r="G870" i="16"/>
  <c r="F870" i="16"/>
  <c r="E870" i="16"/>
  <c r="D870" i="16"/>
  <c r="O869" i="16"/>
  <c r="M869" i="16"/>
  <c r="K869" i="16"/>
  <c r="I869" i="16"/>
  <c r="G869" i="16"/>
  <c r="F869" i="16"/>
  <c r="E869" i="16"/>
  <c r="D869" i="16"/>
  <c r="O868" i="16"/>
  <c r="M868" i="16"/>
  <c r="K868" i="16"/>
  <c r="I868" i="16"/>
  <c r="G868" i="16"/>
  <c r="F868" i="16"/>
  <c r="E868" i="16"/>
  <c r="D868" i="16"/>
  <c r="O867" i="16"/>
  <c r="M867" i="16"/>
  <c r="K867" i="16"/>
  <c r="I867" i="16"/>
  <c r="G867" i="16"/>
  <c r="F867" i="16"/>
  <c r="E867" i="16"/>
  <c r="D867" i="16"/>
  <c r="O866" i="16"/>
  <c r="M866" i="16"/>
  <c r="K866" i="16"/>
  <c r="I866" i="16"/>
  <c r="G866" i="16"/>
  <c r="F866" i="16"/>
  <c r="E866" i="16"/>
  <c r="D866" i="16"/>
  <c r="O865" i="16"/>
  <c r="M865" i="16"/>
  <c r="K865" i="16"/>
  <c r="I865" i="16"/>
  <c r="G865" i="16"/>
  <c r="F865" i="16"/>
  <c r="E865" i="16"/>
  <c r="D865" i="16"/>
  <c r="O864" i="16"/>
  <c r="M864" i="16"/>
  <c r="K864" i="16"/>
  <c r="I864" i="16"/>
  <c r="G864" i="16"/>
  <c r="F864" i="16"/>
  <c r="E864" i="16"/>
  <c r="D864" i="16"/>
  <c r="O863" i="16"/>
  <c r="M863" i="16"/>
  <c r="K863" i="16"/>
  <c r="I863" i="16"/>
  <c r="G863" i="16"/>
  <c r="F863" i="16"/>
  <c r="E863" i="16"/>
  <c r="D863" i="16"/>
  <c r="O862" i="16"/>
  <c r="M862" i="16"/>
  <c r="K862" i="16"/>
  <c r="I862" i="16"/>
  <c r="G862" i="16"/>
  <c r="F862" i="16"/>
  <c r="E862" i="16"/>
  <c r="D862" i="16"/>
  <c r="O861" i="16"/>
  <c r="M861" i="16"/>
  <c r="K861" i="16"/>
  <c r="I861" i="16"/>
  <c r="G861" i="16"/>
  <c r="F861" i="16"/>
  <c r="E861" i="16"/>
  <c r="D861" i="16"/>
  <c r="O860" i="16"/>
  <c r="M860" i="16"/>
  <c r="K860" i="16"/>
  <c r="I860" i="16"/>
  <c r="G860" i="16"/>
  <c r="F860" i="16"/>
  <c r="E860" i="16"/>
  <c r="D860" i="16"/>
  <c r="O859" i="16"/>
  <c r="M859" i="16"/>
  <c r="K859" i="16"/>
  <c r="I859" i="16"/>
  <c r="G859" i="16"/>
  <c r="F859" i="16"/>
  <c r="E859" i="16"/>
  <c r="D859" i="16"/>
  <c r="O858" i="16"/>
  <c r="M858" i="16"/>
  <c r="K858" i="16"/>
  <c r="I858" i="16"/>
  <c r="G858" i="16"/>
  <c r="F858" i="16"/>
  <c r="E858" i="16"/>
  <c r="D858" i="16"/>
  <c r="O857" i="16"/>
  <c r="M857" i="16"/>
  <c r="K857" i="16"/>
  <c r="I857" i="16"/>
  <c r="G857" i="16"/>
  <c r="F857" i="16"/>
  <c r="E857" i="16"/>
  <c r="D857" i="16"/>
  <c r="O856" i="16"/>
  <c r="M856" i="16"/>
  <c r="K856" i="16"/>
  <c r="I856" i="16"/>
  <c r="G856" i="16"/>
  <c r="F856" i="16"/>
  <c r="E856" i="16"/>
  <c r="D856" i="16"/>
  <c r="O855" i="16"/>
  <c r="M855" i="16"/>
  <c r="K855" i="16"/>
  <c r="I855" i="16"/>
  <c r="G855" i="16"/>
  <c r="F855" i="16"/>
  <c r="E855" i="16"/>
  <c r="D855" i="16"/>
  <c r="O854" i="16"/>
  <c r="M854" i="16"/>
  <c r="K854" i="16"/>
  <c r="I854" i="16"/>
  <c r="G854" i="16"/>
  <c r="F854" i="16"/>
  <c r="E854" i="16"/>
  <c r="D854" i="16"/>
  <c r="O853" i="16"/>
  <c r="M853" i="16"/>
  <c r="K853" i="16"/>
  <c r="I853" i="16"/>
  <c r="G853" i="16"/>
  <c r="F853" i="16"/>
  <c r="E853" i="16"/>
  <c r="D853" i="16"/>
  <c r="O852" i="16"/>
  <c r="M852" i="16"/>
  <c r="K852" i="16"/>
  <c r="I852" i="16"/>
  <c r="G852" i="16"/>
  <c r="F852" i="16"/>
  <c r="E852" i="16"/>
  <c r="D852" i="16"/>
  <c r="O851" i="16"/>
  <c r="M851" i="16"/>
  <c r="K851" i="16"/>
  <c r="I851" i="16"/>
  <c r="G851" i="16"/>
  <c r="F851" i="16"/>
  <c r="E851" i="16"/>
  <c r="D851" i="16"/>
  <c r="O850" i="16"/>
  <c r="M850" i="16"/>
  <c r="K850" i="16"/>
  <c r="I850" i="16"/>
  <c r="G850" i="16"/>
  <c r="F850" i="16"/>
  <c r="E850" i="16"/>
  <c r="D850" i="16"/>
  <c r="O849" i="16"/>
  <c r="M849" i="16"/>
  <c r="K849" i="16"/>
  <c r="I849" i="16"/>
  <c r="G849" i="16"/>
  <c r="F849" i="16"/>
  <c r="E849" i="16"/>
  <c r="D849" i="16"/>
  <c r="O848" i="16"/>
  <c r="M848" i="16"/>
  <c r="K848" i="16"/>
  <c r="I848" i="16"/>
  <c r="G848" i="16"/>
  <c r="F848" i="16"/>
  <c r="E848" i="16"/>
  <c r="D848" i="16"/>
  <c r="O847" i="16"/>
  <c r="M847" i="16"/>
  <c r="K847" i="16"/>
  <c r="I847" i="16"/>
  <c r="G847" i="16"/>
  <c r="F847" i="16"/>
  <c r="E847" i="16"/>
  <c r="D847" i="16"/>
  <c r="O846" i="16"/>
  <c r="M846" i="16"/>
  <c r="K846" i="16"/>
  <c r="I846" i="16"/>
  <c r="G846" i="16"/>
  <c r="F846" i="16"/>
  <c r="E846" i="16"/>
  <c r="D846" i="16"/>
  <c r="O845" i="16"/>
  <c r="M845" i="16"/>
  <c r="K845" i="16"/>
  <c r="I845" i="16"/>
  <c r="G845" i="16"/>
  <c r="F845" i="16"/>
  <c r="E845" i="16"/>
  <c r="D845" i="16"/>
  <c r="O844" i="16"/>
  <c r="M844" i="16"/>
  <c r="K844" i="16"/>
  <c r="I844" i="16"/>
  <c r="G844" i="16"/>
  <c r="F844" i="16"/>
  <c r="E844" i="16"/>
  <c r="D844" i="16"/>
  <c r="O843" i="16"/>
  <c r="M843" i="16"/>
  <c r="K843" i="16"/>
  <c r="I843" i="16"/>
  <c r="G843" i="16"/>
  <c r="F843" i="16"/>
  <c r="E843" i="16"/>
  <c r="D843" i="16"/>
  <c r="O842" i="16"/>
  <c r="M842" i="16"/>
  <c r="K842" i="16"/>
  <c r="I842" i="16"/>
  <c r="G842" i="16"/>
  <c r="F842" i="16"/>
  <c r="E842" i="16"/>
  <c r="D842" i="16"/>
  <c r="O841" i="16"/>
  <c r="M841" i="16"/>
  <c r="K841" i="16"/>
  <c r="I841" i="16"/>
  <c r="G841" i="16"/>
  <c r="F841" i="16"/>
  <c r="E841" i="16"/>
  <c r="D841" i="16"/>
  <c r="O840" i="16"/>
  <c r="M840" i="16"/>
  <c r="K840" i="16"/>
  <c r="I840" i="16"/>
  <c r="G840" i="16"/>
  <c r="F840" i="16"/>
  <c r="E840" i="16"/>
  <c r="D840" i="16"/>
  <c r="O839" i="16"/>
  <c r="M839" i="16"/>
  <c r="K839" i="16"/>
  <c r="I839" i="16"/>
  <c r="G839" i="16"/>
  <c r="F839" i="16"/>
  <c r="E839" i="16"/>
  <c r="D839" i="16"/>
  <c r="O838" i="16"/>
  <c r="M838" i="16"/>
  <c r="K838" i="16"/>
  <c r="I838" i="16"/>
  <c r="G838" i="16"/>
  <c r="F838" i="16"/>
  <c r="E838" i="16"/>
  <c r="D838" i="16"/>
  <c r="O837" i="16"/>
  <c r="M837" i="16"/>
  <c r="K837" i="16"/>
  <c r="I837" i="16"/>
  <c r="G837" i="16"/>
  <c r="F837" i="16"/>
  <c r="E837" i="16"/>
  <c r="D837" i="16"/>
  <c r="O836" i="16"/>
  <c r="M836" i="16"/>
  <c r="K836" i="16"/>
  <c r="I836" i="16"/>
  <c r="G836" i="16"/>
  <c r="F836" i="16"/>
  <c r="E836" i="16"/>
  <c r="D836" i="16"/>
  <c r="O835" i="16"/>
  <c r="M835" i="16"/>
  <c r="K835" i="16"/>
  <c r="I835" i="16"/>
  <c r="G835" i="16"/>
  <c r="F835" i="16"/>
  <c r="E835" i="16"/>
  <c r="D835" i="16"/>
  <c r="O834" i="16"/>
  <c r="M834" i="16"/>
  <c r="K834" i="16"/>
  <c r="I834" i="16"/>
  <c r="G834" i="16"/>
  <c r="F834" i="16"/>
  <c r="E834" i="16"/>
  <c r="D834" i="16"/>
  <c r="O833" i="16"/>
  <c r="M833" i="16"/>
  <c r="K833" i="16"/>
  <c r="I833" i="16"/>
  <c r="G833" i="16"/>
  <c r="F833" i="16"/>
  <c r="E833" i="16"/>
  <c r="D833" i="16"/>
  <c r="O832" i="16"/>
  <c r="M832" i="16"/>
  <c r="K832" i="16"/>
  <c r="I832" i="16"/>
  <c r="G832" i="16"/>
  <c r="F832" i="16"/>
  <c r="E832" i="16"/>
  <c r="D832" i="16"/>
  <c r="O831" i="16"/>
  <c r="M831" i="16"/>
  <c r="K831" i="16"/>
  <c r="I831" i="16"/>
  <c r="G831" i="16"/>
  <c r="F831" i="16"/>
  <c r="E831" i="16"/>
  <c r="D831" i="16"/>
  <c r="O830" i="16"/>
  <c r="M830" i="16"/>
  <c r="K830" i="16"/>
  <c r="I830" i="16"/>
  <c r="G830" i="16"/>
  <c r="F830" i="16"/>
  <c r="E830" i="16"/>
  <c r="D830" i="16"/>
  <c r="O829" i="16"/>
  <c r="M829" i="16"/>
  <c r="K829" i="16"/>
  <c r="I829" i="16"/>
  <c r="G829" i="16"/>
  <c r="F829" i="16"/>
  <c r="E829" i="16"/>
  <c r="D829" i="16"/>
  <c r="O828" i="16"/>
  <c r="M828" i="16"/>
  <c r="K828" i="16"/>
  <c r="I828" i="16"/>
  <c r="G828" i="16"/>
  <c r="F828" i="16"/>
  <c r="E828" i="16"/>
  <c r="D828" i="16"/>
  <c r="O827" i="16"/>
  <c r="M827" i="16"/>
  <c r="K827" i="16"/>
  <c r="I827" i="16"/>
  <c r="G827" i="16"/>
  <c r="F827" i="16"/>
  <c r="E827" i="16"/>
  <c r="D827" i="16"/>
  <c r="O826" i="16"/>
  <c r="M826" i="16"/>
  <c r="K826" i="16"/>
  <c r="I826" i="16"/>
  <c r="G826" i="16"/>
  <c r="F826" i="16"/>
  <c r="E826" i="16"/>
  <c r="D826" i="16"/>
  <c r="O825" i="16"/>
  <c r="M825" i="16"/>
  <c r="K825" i="16"/>
  <c r="I825" i="16"/>
  <c r="G825" i="16"/>
  <c r="F825" i="16"/>
  <c r="E825" i="16"/>
  <c r="D825" i="16"/>
  <c r="O824" i="16"/>
  <c r="M824" i="16"/>
  <c r="K824" i="16"/>
  <c r="I824" i="16"/>
  <c r="G824" i="16"/>
  <c r="F824" i="16"/>
  <c r="E824" i="16"/>
  <c r="D824" i="16"/>
  <c r="O823" i="16"/>
  <c r="M823" i="16"/>
  <c r="K823" i="16"/>
  <c r="I823" i="16"/>
  <c r="G823" i="16"/>
  <c r="F823" i="16"/>
  <c r="E823" i="16"/>
  <c r="D823" i="16"/>
  <c r="O822" i="16"/>
  <c r="M822" i="16"/>
  <c r="K822" i="16"/>
  <c r="I822" i="16"/>
  <c r="G822" i="16"/>
  <c r="F822" i="16"/>
  <c r="E822" i="16"/>
  <c r="D822" i="16"/>
  <c r="O821" i="16"/>
  <c r="M821" i="16"/>
  <c r="K821" i="16"/>
  <c r="I821" i="16"/>
  <c r="G821" i="16"/>
  <c r="F821" i="16"/>
  <c r="E821" i="16"/>
  <c r="D821" i="16"/>
  <c r="O820" i="16"/>
  <c r="M820" i="16"/>
  <c r="K820" i="16"/>
  <c r="I820" i="16"/>
  <c r="G820" i="16"/>
  <c r="F820" i="16"/>
  <c r="E820" i="16"/>
  <c r="D820" i="16"/>
  <c r="O819" i="16"/>
  <c r="M819" i="16"/>
  <c r="K819" i="16"/>
  <c r="I819" i="16"/>
  <c r="G819" i="16"/>
  <c r="F819" i="16"/>
  <c r="E819" i="16"/>
  <c r="D819" i="16"/>
  <c r="O818" i="16"/>
  <c r="M818" i="16"/>
  <c r="K818" i="16"/>
  <c r="I818" i="16"/>
  <c r="G818" i="16"/>
  <c r="F818" i="16"/>
  <c r="E818" i="16"/>
  <c r="D818" i="16"/>
  <c r="O817" i="16"/>
  <c r="M817" i="16"/>
  <c r="K817" i="16"/>
  <c r="I817" i="16"/>
  <c r="G817" i="16"/>
  <c r="F817" i="16"/>
  <c r="E817" i="16"/>
  <c r="D817" i="16"/>
  <c r="O816" i="16"/>
  <c r="M816" i="16"/>
  <c r="K816" i="16"/>
  <c r="I816" i="16"/>
  <c r="G816" i="16"/>
  <c r="F816" i="16"/>
  <c r="E816" i="16"/>
  <c r="D816" i="16"/>
  <c r="O815" i="16"/>
  <c r="M815" i="16"/>
  <c r="K815" i="16"/>
  <c r="I815" i="16"/>
  <c r="G815" i="16"/>
  <c r="F815" i="16"/>
  <c r="E815" i="16"/>
  <c r="D815" i="16"/>
  <c r="O814" i="16"/>
  <c r="M814" i="16"/>
  <c r="K814" i="16"/>
  <c r="I814" i="16"/>
  <c r="G814" i="16"/>
  <c r="F814" i="16"/>
  <c r="E814" i="16"/>
  <c r="D814" i="16"/>
  <c r="O813" i="16"/>
  <c r="M813" i="16"/>
  <c r="K813" i="16"/>
  <c r="I813" i="16"/>
  <c r="G813" i="16"/>
  <c r="F813" i="16"/>
  <c r="E813" i="16"/>
  <c r="D813" i="16"/>
  <c r="O812" i="16"/>
  <c r="M812" i="16"/>
  <c r="K812" i="16"/>
  <c r="I812" i="16"/>
  <c r="G812" i="16"/>
  <c r="F812" i="16"/>
  <c r="E812" i="16"/>
  <c r="D812" i="16"/>
  <c r="O811" i="16"/>
  <c r="M811" i="16"/>
  <c r="K811" i="16"/>
  <c r="I811" i="16"/>
  <c r="G811" i="16"/>
  <c r="F811" i="16"/>
  <c r="E811" i="16"/>
  <c r="D811" i="16"/>
  <c r="O810" i="16"/>
  <c r="M810" i="16"/>
  <c r="K810" i="16"/>
  <c r="I810" i="16"/>
  <c r="G810" i="16"/>
  <c r="F810" i="16"/>
  <c r="E810" i="16"/>
  <c r="D810" i="16"/>
  <c r="O809" i="16"/>
  <c r="M809" i="16"/>
  <c r="K809" i="16"/>
  <c r="I809" i="16"/>
  <c r="G809" i="16"/>
  <c r="F809" i="16"/>
  <c r="E809" i="16"/>
  <c r="D809" i="16"/>
  <c r="O808" i="16"/>
  <c r="M808" i="16"/>
  <c r="K808" i="16"/>
  <c r="I808" i="16"/>
  <c r="G808" i="16"/>
  <c r="F808" i="16"/>
  <c r="E808" i="16"/>
  <c r="D808" i="16"/>
  <c r="O807" i="16"/>
  <c r="M807" i="16"/>
  <c r="K807" i="16"/>
  <c r="I807" i="16"/>
  <c r="G807" i="16"/>
  <c r="F807" i="16"/>
  <c r="E807" i="16"/>
  <c r="D807" i="16"/>
  <c r="O806" i="16"/>
  <c r="M806" i="16"/>
  <c r="K806" i="16"/>
  <c r="I806" i="16"/>
  <c r="G806" i="16"/>
  <c r="F806" i="16"/>
  <c r="E806" i="16"/>
  <c r="D806" i="16"/>
  <c r="O805" i="16"/>
  <c r="M805" i="16"/>
  <c r="K805" i="16"/>
  <c r="I805" i="16"/>
  <c r="G805" i="16"/>
  <c r="F805" i="16"/>
  <c r="E805" i="16"/>
  <c r="D805" i="16"/>
  <c r="O804" i="16"/>
  <c r="M804" i="16"/>
  <c r="K804" i="16"/>
  <c r="I804" i="16"/>
  <c r="G804" i="16"/>
  <c r="F804" i="16"/>
  <c r="E804" i="16"/>
  <c r="D804" i="16"/>
  <c r="O803" i="16"/>
  <c r="M803" i="16"/>
  <c r="K803" i="16"/>
  <c r="I803" i="16"/>
  <c r="G803" i="16"/>
  <c r="F803" i="16"/>
  <c r="E803" i="16"/>
  <c r="D803" i="16"/>
  <c r="O802" i="16"/>
  <c r="M802" i="16"/>
  <c r="K802" i="16"/>
  <c r="I802" i="16"/>
  <c r="G802" i="16"/>
  <c r="F802" i="16"/>
  <c r="E802" i="16"/>
  <c r="D802" i="16"/>
  <c r="O801" i="16"/>
  <c r="M801" i="16"/>
  <c r="K801" i="16"/>
  <c r="I801" i="16"/>
  <c r="G801" i="16"/>
  <c r="F801" i="16"/>
  <c r="E801" i="16"/>
  <c r="D801" i="16"/>
  <c r="O800" i="16"/>
  <c r="M800" i="16"/>
  <c r="K800" i="16"/>
  <c r="I800" i="16"/>
  <c r="G800" i="16"/>
  <c r="F800" i="16"/>
  <c r="E800" i="16"/>
  <c r="D800" i="16"/>
  <c r="O799" i="16"/>
  <c r="M799" i="16"/>
  <c r="K799" i="16"/>
  <c r="I799" i="16"/>
  <c r="G799" i="16"/>
  <c r="F799" i="16"/>
  <c r="E799" i="16"/>
  <c r="D799" i="16"/>
  <c r="O798" i="16"/>
  <c r="M798" i="16"/>
  <c r="K798" i="16"/>
  <c r="I798" i="16"/>
  <c r="G798" i="16"/>
  <c r="F798" i="16"/>
  <c r="E798" i="16"/>
  <c r="D798" i="16"/>
  <c r="O797" i="16"/>
  <c r="M797" i="16"/>
  <c r="K797" i="16"/>
  <c r="I797" i="16"/>
  <c r="G797" i="16"/>
  <c r="F797" i="16"/>
  <c r="E797" i="16"/>
  <c r="D797" i="16"/>
  <c r="O796" i="16"/>
  <c r="M796" i="16"/>
  <c r="K796" i="16"/>
  <c r="I796" i="16"/>
  <c r="G796" i="16"/>
  <c r="F796" i="16"/>
  <c r="E796" i="16"/>
  <c r="D796" i="16"/>
  <c r="O795" i="16"/>
  <c r="M795" i="16"/>
  <c r="K795" i="16"/>
  <c r="I795" i="16"/>
  <c r="G795" i="16"/>
  <c r="F795" i="16"/>
  <c r="E795" i="16"/>
  <c r="D795" i="16"/>
  <c r="O794" i="16"/>
  <c r="M794" i="16"/>
  <c r="K794" i="16"/>
  <c r="I794" i="16"/>
  <c r="G794" i="16"/>
  <c r="F794" i="16"/>
  <c r="E794" i="16"/>
  <c r="D794" i="16"/>
  <c r="O793" i="16"/>
  <c r="M793" i="16"/>
  <c r="K793" i="16"/>
  <c r="I793" i="16"/>
  <c r="G793" i="16"/>
  <c r="F793" i="16"/>
  <c r="E793" i="16"/>
  <c r="D793" i="16"/>
  <c r="O792" i="16"/>
  <c r="M792" i="16"/>
  <c r="K792" i="16"/>
  <c r="I792" i="16"/>
  <c r="G792" i="16"/>
  <c r="F792" i="16"/>
  <c r="E792" i="16"/>
  <c r="D792" i="16"/>
  <c r="O791" i="16"/>
  <c r="M791" i="16"/>
  <c r="K791" i="16"/>
  <c r="I791" i="16"/>
  <c r="G791" i="16"/>
  <c r="F791" i="16"/>
  <c r="E791" i="16"/>
  <c r="D791" i="16"/>
  <c r="O790" i="16"/>
  <c r="M790" i="16"/>
  <c r="K790" i="16"/>
  <c r="I790" i="16"/>
  <c r="G790" i="16"/>
  <c r="F790" i="16"/>
  <c r="E790" i="16"/>
  <c r="D790" i="16"/>
  <c r="O789" i="16"/>
  <c r="M789" i="16"/>
  <c r="K789" i="16"/>
  <c r="I789" i="16"/>
  <c r="G789" i="16"/>
  <c r="F789" i="16"/>
  <c r="E789" i="16"/>
  <c r="D789" i="16"/>
  <c r="O788" i="16"/>
  <c r="M788" i="16"/>
  <c r="K788" i="16"/>
  <c r="I788" i="16"/>
  <c r="G788" i="16"/>
  <c r="F788" i="16"/>
  <c r="E788" i="16"/>
  <c r="D788" i="16"/>
  <c r="O787" i="16"/>
  <c r="M787" i="16"/>
  <c r="K787" i="16"/>
  <c r="I787" i="16"/>
  <c r="G787" i="16"/>
  <c r="F787" i="16"/>
  <c r="E787" i="16"/>
  <c r="D787" i="16"/>
  <c r="O786" i="16"/>
  <c r="M786" i="16"/>
  <c r="K786" i="16"/>
  <c r="I786" i="16"/>
  <c r="G786" i="16"/>
  <c r="F786" i="16"/>
  <c r="E786" i="16"/>
  <c r="D786" i="16"/>
  <c r="O785" i="16"/>
  <c r="M785" i="16"/>
  <c r="K785" i="16"/>
  <c r="I785" i="16"/>
  <c r="G785" i="16"/>
  <c r="F785" i="16"/>
  <c r="E785" i="16"/>
  <c r="D785" i="16"/>
  <c r="O784" i="16"/>
  <c r="M784" i="16"/>
  <c r="K784" i="16"/>
  <c r="I784" i="16"/>
  <c r="G784" i="16"/>
  <c r="F784" i="16"/>
  <c r="E784" i="16"/>
  <c r="D784" i="16"/>
  <c r="O783" i="16"/>
  <c r="M783" i="16"/>
  <c r="K783" i="16"/>
  <c r="I783" i="16"/>
  <c r="G783" i="16"/>
  <c r="F783" i="16"/>
  <c r="E783" i="16"/>
  <c r="D783" i="16"/>
  <c r="O782" i="16"/>
  <c r="M782" i="16"/>
  <c r="K782" i="16"/>
  <c r="I782" i="16"/>
  <c r="G782" i="16"/>
  <c r="F782" i="16"/>
  <c r="E782" i="16"/>
  <c r="D782" i="16"/>
  <c r="O781" i="16"/>
  <c r="M781" i="16"/>
  <c r="K781" i="16"/>
  <c r="I781" i="16"/>
  <c r="G781" i="16"/>
  <c r="F781" i="16"/>
  <c r="E781" i="16"/>
  <c r="D781" i="16"/>
  <c r="O780" i="16"/>
  <c r="M780" i="16"/>
  <c r="K780" i="16"/>
  <c r="I780" i="16"/>
  <c r="G780" i="16"/>
  <c r="F780" i="16"/>
  <c r="E780" i="16"/>
  <c r="D780" i="16"/>
  <c r="O779" i="16"/>
  <c r="M779" i="16"/>
  <c r="K779" i="16"/>
  <c r="I779" i="16"/>
  <c r="G779" i="16"/>
  <c r="F779" i="16"/>
  <c r="E779" i="16"/>
  <c r="D779" i="16"/>
  <c r="O778" i="16"/>
  <c r="M778" i="16"/>
  <c r="K778" i="16"/>
  <c r="I778" i="16"/>
  <c r="G778" i="16"/>
  <c r="F778" i="16"/>
  <c r="E778" i="16"/>
  <c r="D778" i="16"/>
  <c r="O777" i="16"/>
  <c r="M777" i="16"/>
  <c r="K777" i="16"/>
  <c r="I777" i="16"/>
  <c r="G777" i="16"/>
  <c r="F777" i="16"/>
  <c r="E777" i="16"/>
  <c r="D777" i="16"/>
  <c r="O776" i="16"/>
  <c r="M776" i="16"/>
  <c r="K776" i="16"/>
  <c r="I776" i="16"/>
  <c r="G776" i="16"/>
  <c r="F776" i="16"/>
  <c r="E776" i="16"/>
  <c r="D776" i="16"/>
  <c r="O775" i="16"/>
  <c r="M775" i="16"/>
  <c r="K775" i="16"/>
  <c r="I775" i="16"/>
  <c r="G775" i="16"/>
  <c r="F775" i="16"/>
  <c r="E775" i="16"/>
  <c r="D775" i="16"/>
  <c r="O774" i="16"/>
  <c r="M774" i="16"/>
  <c r="K774" i="16"/>
  <c r="I774" i="16"/>
  <c r="G774" i="16"/>
  <c r="F774" i="16"/>
  <c r="E774" i="16"/>
  <c r="D774" i="16"/>
  <c r="O773" i="16"/>
  <c r="M773" i="16"/>
  <c r="K773" i="16"/>
  <c r="I773" i="16"/>
  <c r="G773" i="16"/>
  <c r="F773" i="16"/>
  <c r="E773" i="16"/>
  <c r="D773" i="16"/>
  <c r="O772" i="16"/>
  <c r="M772" i="16"/>
  <c r="K772" i="16"/>
  <c r="I772" i="16"/>
  <c r="G772" i="16"/>
  <c r="F772" i="16"/>
  <c r="E772" i="16"/>
  <c r="D772" i="16"/>
  <c r="O771" i="16"/>
  <c r="M771" i="16"/>
  <c r="K771" i="16"/>
  <c r="I771" i="16"/>
  <c r="G771" i="16"/>
  <c r="F771" i="16"/>
  <c r="E771" i="16"/>
  <c r="D771" i="16"/>
  <c r="O770" i="16"/>
  <c r="M770" i="16"/>
  <c r="K770" i="16"/>
  <c r="I770" i="16"/>
  <c r="G770" i="16"/>
  <c r="F770" i="16"/>
  <c r="E770" i="16"/>
  <c r="D770" i="16"/>
  <c r="O769" i="16"/>
  <c r="M769" i="16"/>
  <c r="K769" i="16"/>
  <c r="I769" i="16"/>
  <c r="G769" i="16"/>
  <c r="F769" i="16"/>
  <c r="E769" i="16"/>
  <c r="D769" i="16"/>
  <c r="O768" i="16"/>
  <c r="M768" i="16"/>
  <c r="K768" i="16"/>
  <c r="I768" i="16"/>
  <c r="G768" i="16"/>
  <c r="F768" i="16"/>
  <c r="E768" i="16"/>
  <c r="D768" i="16"/>
  <c r="O767" i="16"/>
  <c r="M767" i="16"/>
  <c r="K767" i="16"/>
  <c r="I767" i="16"/>
  <c r="G767" i="16"/>
  <c r="F767" i="16"/>
  <c r="E767" i="16"/>
  <c r="D767" i="16"/>
  <c r="O766" i="16"/>
  <c r="M766" i="16"/>
  <c r="K766" i="16"/>
  <c r="I766" i="16"/>
  <c r="G766" i="16"/>
  <c r="F766" i="16"/>
  <c r="E766" i="16"/>
  <c r="D766" i="16"/>
  <c r="O765" i="16"/>
  <c r="M765" i="16"/>
  <c r="K765" i="16"/>
  <c r="I765" i="16"/>
  <c r="G765" i="16"/>
  <c r="F765" i="16"/>
  <c r="E765" i="16"/>
  <c r="D765" i="16"/>
  <c r="O764" i="16"/>
  <c r="M764" i="16"/>
  <c r="K764" i="16"/>
  <c r="I764" i="16"/>
  <c r="G764" i="16"/>
  <c r="F764" i="16"/>
  <c r="E764" i="16"/>
  <c r="D764" i="16"/>
  <c r="O763" i="16"/>
  <c r="M763" i="16"/>
  <c r="K763" i="16"/>
  <c r="I763" i="16"/>
  <c r="G763" i="16"/>
  <c r="F763" i="16"/>
  <c r="E763" i="16"/>
  <c r="D763" i="16"/>
  <c r="O762" i="16"/>
  <c r="M762" i="16"/>
  <c r="K762" i="16"/>
  <c r="I762" i="16"/>
  <c r="G762" i="16"/>
  <c r="F762" i="16"/>
  <c r="E762" i="16"/>
  <c r="D762" i="16"/>
  <c r="O761" i="16"/>
  <c r="M761" i="16"/>
  <c r="K761" i="16"/>
  <c r="I761" i="16"/>
  <c r="G761" i="16"/>
  <c r="F761" i="16"/>
  <c r="E761" i="16"/>
  <c r="D761" i="16"/>
  <c r="O760" i="16"/>
  <c r="M760" i="16"/>
  <c r="K760" i="16"/>
  <c r="I760" i="16"/>
  <c r="G760" i="16"/>
  <c r="F760" i="16"/>
  <c r="E760" i="16"/>
  <c r="D760" i="16"/>
  <c r="O759" i="16"/>
  <c r="M759" i="16"/>
  <c r="K759" i="16"/>
  <c r="I759" i="16"/>
  <c r="G759" i="16"/>
  <c r="F759" i="16"/>
  <c r="E759" i="16"/>
  <c r="D759" i="16"/>
  <c r="O758" i="16"/>
  <c r="M758" i="16"/>
  <c r="K758" i="16"/>
  <c r="I758" i="16"/>
  <c r="G758" i="16"/>
  <c r="F758" i="16"/>
  <c r="E758" i="16"/>
  <c r="D758" i="16"/>
  <c r="O757" i="16"/>
  <c r="M757" i="16"/>
  <c r="K757" i="16"/>
  <c r="I757" i="16"/>
  <c r="G757" i="16"/>
  <c r="F757" i="16"/>
  <c r="E757" i="16"/>
  <c r="D757" i="16"/>
  <c r="O756" i="16"/>
  <c r="M756" i="16"/>
  <c r="K756" i="16"/>
  <c r="I756" i="16"/>
  <c r="G756" i="16"/>
  <c r="F756" i="16"/>
  <c r="E756" i="16"/>
  <c r="D756" i="16"/>
  <c r="O755" i="16"/>
  <c r="M755" i="16"/>
  <c r="K755" i="16"/>
  <c r="I755" i="16"/>
  <c r="G755" i="16"/>
  <c r="F755" i="16"/>
  <c r="E755" i="16"/>
  <c r="D755" i="16"/>
  <c r="O754" i="16"/>
  <c r="M754" i="16"/>
  <c r="K754" i="16"/>
  <c r="I754" i="16"/>
  <c r="G754" i="16"/>
  <c r="F754" i="16"/>
  <c r="E754" i="16"/>
  <c r="D754" i="16"/>
  <c r="O753" i="16"/>
  <c r="M753" i="16"/>
  <c r="K753" i="16"/>
  <c r="I753" i="16"/>
  <c r="G753" i="16"/>
  <c r="F753" i="16"/>
  <c r="E753" i="16"/>
  <c r="D753" i="16"/>
  <c r="O752" i="16"/>
  <c r="M752" i="16"/>
  <c r="K752" i="16"/>
  <c r="I752" i="16"/>
  <c r="G752" i="16"/>
  <c r="F752" i="16"/>
  <c r="E752" i="16"/>
  <c r="D752" i="16"/>
  <c r="O751" i="16"/>
  <c r="M751" i="16"/>
  <c r="K751" i="16"/>
  <c r="I751" i="16"/>
  <c r="G751" i="16"/>
  <c r="F751" i="16"/>
  <c r="E751" i="16"/>
  <c r="D751" i="16"/>
  <c r="O750" i="16"/>
  <c r="M750" i="16"/>
  <c r="K750" i="16"/>
  <c r="I750" i="16"/>
  <c r="G750" i="16"/>
  <c r="F750" i="16"/>
  <c r="E750" i="16"/>
  <c r="D750" i="16"/>
  <c r="O749" i="16"/>
  <c r="M749" i="16"/>
  <c r="K749" i="16"/>
  <c r="I749" i="16"/>
  <c r="G749" i="16"/>
  <c r="F749" i="16"/>
  <c r="E749" i="16"/>
  <c r="D749" i="16"/>
  <c r="O748" i="16"/>
  <c r="M748" i="16"/>
  <c r="K748" i="16"/>
  <c r="I748" i="16"/>
  <c r="G748" i="16"/>
  <c r="F748" i="16"/>
  <c r="E748" i="16"/>
  <c r="D748" i="16"/>
  <c r="O747" i="16"/>
  <c r="M747" i="16"/>
  <c r="K747" i="16"/>
  <c r="I747" i="16"/>
  <c r="G747" i="16"/>
  <c r="F747" i="16"/>
  <c r="E747" i="16"/>
  <c r="D747" i="16"/>
  <c r="O746" i="16"/>
  <c r="M746" i="16"/>
  <c r="K746" i="16"/>
  <c r="I746" i="16"/>
  <c r="G746" i="16"/>
  <c r="F746" i="16"/>
  <c r="E746" i="16"/>
  <c r="D746" i="16"/>
  <c r="O745" i="16"/>
  <c r="M745" i="16"/>
  <c r="K745" i="16"/>
  <c r="I745" i="16"/>
  <c r="G745" i="16"/>
  <c r="F745" i="16"/>
  <c r="E745" i="16"/>
  <c r="D745" i="16"/>
  <c r="O744" i="16"/>
  <c r="M744" i="16"/>
  <c r="K744" i="16"/>
  <c r="I744" i="16"/>
  <c r="G744" i="16"/>
  <c r="F744" i="16"/>
  <c r="E744" i="16"/>
  <c r="D744" i="16"/>
  <c r="O743" i="16"/>
  <c r="M743" i="16"/>
  <c r="K743" i="16"/>
  <c r="I743" i="16"/>
  <c r="G743" i="16"/>
  <c r="F743" i="16"/>
  <c r="E743" i="16"/>
  <c r="D743" i="16"/>
  <c r="O742" i="16"/>
  <c r="M742" i="16"/>
  <c r="K742" i="16"/>
  <c r="I742" i="16"/>
  <c r="G742" i="16"/>
  <c r="F742" i="16"/>
  <c r="E742" i="16"/>
  <c r="D742" i="16"/>
  <c r="O741" i="16"/>
  <c r="M741" i="16"/>
  <c r="K741" i="16"/>
  <c r="I741" i="16"/>
  <c r="G741" i="16"/>
  <c r="F741" i="16"/>
  <c r="E741" i="16"/>
  <c r="D741" i="16"/>
  <c r="O740" i="16"/>
  <c r="M740" i="16"/>
  <c r="K740" i="16"/>
  <c r="I740" i="16"/>
  <c r="G740" i="16"/>
  <c r="F740" i="16"/>
  <c r="E740" i="16"/>
  <c r="D740" i="16"/>
  <c r="O739" i="16"/>
  <c r="M739" i="16"/>
  <c r="K739" i="16"/>
  <c r="I739" i="16"/>
  <c r="G739" i="16"/>
  <c r="F739" i="16"/>
  <c r="E739" i="16"/>
  <c r="D739" i="16"/>
  <c r="O738" i="16"/>
  <c r="M738" i="16"/>
  <c r="K738" i="16"/>
  <c r="I738" i="16"/>
  <c r="G738" i="16"/>
  <c r="F738" i="16"/>
  <c r="E738" i="16"/>
  <c r="D738" i="16"/>
  <c r="O737" i="16"/>
  <c r="M737" i="16"/>
  <c r="K737" i="16"/>
  <c r="I737" i="16"/>
  <c r="G737" i="16"/>
  <c r="F737" i="16"/>
  <c r="E737" i="16"/>
  <c r="D737" i="16"/>
  <c r="O736" i="16"/>
  <c r="M736" i="16"/>
  <c r="K736" i="16"/>
  <c r="I736" i="16"/>
  <c r="G736" i="16"/>
  <c r="F736" i="16"/>
  <c r="E736" i="16"/>
  <c r="D736" i="16"/>
  <c r="O735" i="16"/>
  <c r="M735" i="16"/>
  <c r="K735" i="16"/>
  <c r="I735" i="16"/>
  <c r="G735" i="16"/>
  <c r="F735" i="16"/>
  <c r="E735" i="16"/>
  <c r="D735" i="16"/>
  <c r="O734" i="16"/>
  <c r="M734" i="16"/>
  <c r="K734" i="16"/>
  <c r="I734" i="16"/>
  <c r="G734" i="16"/>
  <c r="F734" i="16"/>
  <c r="E734" i="16"/>
  <c r="D734" i="16"/>
  <c r="O733" i="16"/>
  <c r="M733" i="16"/>
  <c r="K733" i="16"/>
  <c r="I733" i="16"/>
  <c r="G733" i="16"/>
  <c r="F733" i="16"/>
  <c r="E733" i="16"/>
  <c r="D733" i="16"/>
  <c r="O732" i="16"/>
  <c r="M732" i="16"/>
  <c r="K732" i="16"/>
  <c r="I732" i="16"/>
  <c r="G732" i="16"/>
  <c r="F732" i="16"/>
  <c r="E732" i="16"/>
  <c r="D732" i="16"/>
  <c r="O731" i="16"/>
  <c r="M731" i="16"/>
  <c r="K731" i="16"/>
  <c r="I731" i="16"/>
  <c r="G731" i="16"/>
  <c r="F731" i="16"/>
  <c r="E731" i="16"/>
  <c r="D731" i="16"/>
  <c r="O730" i="16"/>
  <c r="M730" i="16"/>
  <c r="K730" i="16"/>
  <c r="I730" i="16"/>
  <c r="G730" i="16"/>
  <c r="F730" i="16"/>
  <c r="E730" i="16"/>
  <c r="D730" i="16"/>
  <c r="O729" i="16"/>
  <c r="M729" i="16"/>
  <c r="K729" i="16"/>
  <c r="I729" i="16"/>
  <c r="G729" i="16"/>
  <c r="F729" i="16"/>
  <c r="E729" i="16"/>
  <c r="D729" i="16"/>
  <c r="O728" i="16"/>
  <c r="M728" i="16"/>
  <c r="K728" i="16"/>
  <c r="I728" i="16"/>
  <c r="G728" i="16"/>
  <c r="F728" i="16"/>
  <c r="E728" i="16"/>
  <c r="D728" i="16"/>
  <c r="O727" i="16"/>
  <c r="M727" i="16"/>
  <c r="K727" i="16"/>
  <c r="I727" i="16"/>
  <c r="G727" i="16"/>
  <c r="F727" i="16"/>
  <c r="E727" i="16"/>
  <c r="D727" i="16"/>
  <c r="O726" i="16"/>
  <c r="M726" i="16"/>
  <c r="K726" i="16"/>
  <c r="I726" i="16"/>
  <c r="G726" i="16"/>
  <c r="F726" i="16"/>
  <c r="E726" i="16"/>
  <c r="D726" i="16"/>
  <c r="O725" i="16"/>
  <c r="M725" i="16"/>
  <c r="K725" i="16"/>
  <c r="I725" i="16"/>
  <c r="G725" i="16"/>
  <c r="F725" i="16"/>
  <c r="E725" i="16"/>
  <c r="D725" i="16"/>
  <c r="O724" i="16"/>
  <c r="M724" i="16"/>
  <c r="K724" i="16"/>
  <c r="I724" i="16"/>
  <c r="G724" i="16"/>
  <c r="F724" i="16"/>
  <c r="E724" i="16"/>
  <c r="D724" i="16"/>
  <c r="O723" i="16"/>
  <c r="M723" i="16"/>
  <c r="K723" i="16"/>
  <c r="I723" i="16"/>
  <c r="G723" i="16"/>
  <c r="F723" i="16"/>
  <c r="E723" i="16"/>
  <c r="D723" i="16"/>
  <c r="O722" i="16"/>
  <c r="M722" i="16"/>
  <c r="K722" i="16"/>
  <c r="I722" i="16"/>
  <c r="G722" i="16"/>
  <c r="F722" i="16"/>
  <c r="E722" i="16"/>
  <c r="D722" i="16"/>
  <c r="O721" i="16"/>
  <c r="M721" i="16"/>
  <c r="K721" i="16"/>
  <c r="I721" i="16"/>
  <c r="G721" i="16"/>
  <c r="F721" i="16"/>
  <c r="E721" i="16"/>
  <c r="D721" i="16"/>
  <c r="O720" i="16"/>
  <c r="M720" i="16"/>
  <c r="K720" i="16"/>
  <c r="I720" i="16"/>
  <c r="G720" i="16"/>
  <c r="F720" i="16"/>
  <c r="E720" i="16"/>
  <c r="D720" i="16"/>
  <c r="O719" i="16"/>
  <c r="M719" i="16"/>
  <c r="K719" i="16"/>
  <c r="I719" i="16"/>
  <c r="G719" i="16"/>
  <c r="F719" i="16"/>
  <c r="E719" i="16"/>
  <c r="D719" i="16"/>
  <c r="O718" i="16"/>
  <c r="M718" i="16"/>
  <c r="K718" i="16"/>
  <c r="I718" i="16"/>
  <c r="G718" i="16"/>
  <c r="F718" i="16"/>
  <c r="E718" i="16"/>
  <c r="D718" i="16"/>
  <c r="O717" i="16"/>
  <c r="M717" i="16"/>
  <c r="K717" i="16"/>
  <c r="I717" i="16"/>
  <c r="G717" i="16"/>
  <c r="F717" i="16"/>
  <c r="E717" i="16"/>
  <c r="D717" i="16"/>
  <c r="O716" i="16"/>
  <c r="M716" i="16"/>
  <c r="K716" i="16"/>
  <c r="I716" i="16"/>
  <c r="G716" i="16"/>
  <c r="F716" i="16"/>
  <c r="E716" i="16"/>
  <c r="D716" i="16"/>
  <c r="O715" i="16"/>
  <c r="M715" i="16"/>
  <c r="K715" i="16"/>
  <c r="I715" i="16"/>
  <c r="G715" i="16"/>
  <c r="F715" i="16"/>
  <c r="E715" i="16"/>
  <c r="D715" i="16"/>
  <c r="O714" i="16"/>
  <c r="M714" i="16"/>
  <c r="K714" i="16"/>
  <c r="I714" i="16"/>
  <c r="G714" i="16"/>
  <c r="F714" i="16"/>
  <c r="E714" i="16"/>
  <c r="D714" i="16"/>
  <c r="O713" i="16"/>
  <c r="M713" i="16"/>
  <c r="K713" i="16"/>
  <c r="I713" i="16"/>
  <c r="G713" i="16"/>
  <c r="F713" i="16"/>
  <c r="E713" i="16"/>
  <c r="D713" i="16"/>
  <c r="O712" i="16"/>
  <c r="M712" i="16"/>
  <c r="K712" i="16"/>
  <c r="I712" i="16"/>
  <c r="G712" i="16"/>
  <c r="F712" i="16"/>
  <c r="E712" i="16"/>
  <c r="D712" i="16"/>
  <c r="O711" i="16"/>
  <c r="M711" i="16"/>
  <c r="K711" i="16"/>
  <c r="I711" i="16"/>
  <c r="G711" i="16"/>
  <c r="F711" i="16"/>
  <c r="E711" i="16"/>
  <c r="D711" i="16"/>
  <c r="O710" i="16"/>
  <c r="M710" i="16"/>
  <c r="K710" i="16"/>
  <c r="I710" i="16"/>
  <c r="G710" i="16"/>
  <c r="F710" i="16"/>
  <c r="E710" i="16"/>
  <c r="D710" i="16"/>
  <c r="O709" i="16"/>
  <c r="M709" i="16"/>
  <c r="K709" i="16"/>
  <c r="I709" i="16"/>
  <c r="G709" i="16"/>
  <c r="F709" i="16"/>
  <c r="E709" i="16"/>
  <c r="D709" i="16"/>
  <c r="O708" i="16"/>
  <c r="M708" i="16"/>
  <c r="K708" i="16"/>
  <c r="I708" i="16"/>
  <c r="G708" i="16"/>
  <c r="F708" i="16"/>
  <c r="E708" i="16"/>
  <c r="D708" i="16"/>
  <c r="O707" i="16"/>
  <c r="M707" i="16"/>
  <c r="K707" i="16"/>
  <c r="I707" i="16"/>
  <c r="G707" i="16"/>
  <c r="F707" i="16"/>
  <c r="E707" i="16"/>
  <c r="D707" i="16"/>
  <c r="O706" i="16"/>
  <c r="M706" i="16"/>
  <c r="K706" i="16"/>
  <c r="I706" i="16"/>
  <c r="G706" i="16"/>
  <c r="F706" i="16"/>
  <c r="E706" i="16"/>
  <c r="D706" i="16"/>
  <c r="O705" i="16"/>
  <c r="M705" i="16"/>
  <c r="K705" i="16"/>
  <c r="I705" i="16"/>
  <c r="G705" i="16"/>
  <c r="F705" i="16"/>
  <c r="E705" i="16"/>
  <c r="D705" i="16"/>
  <c r="O704" i="16"/>
  <c r="M704" i="16"/>
  <c r="K704" i="16"/>
  <c r="I704" i="16"/>
  <c r="G704" i="16"/>
  <c r="F704" i="16"/>
  <c r="E704" i="16"/>
  <c r="D704" i="16"/>
  <c r="O703" i="16"/>
  <c r="M703" i="16"/>
  <c r="K703" i="16"/>
  <c r="I703" i="16"/>
  <c r="G703" i="16"/>
  <c r="F703" i="16"/>
  <c r="E703" i="16"/>
  <c r="D703" i="16"/>
  <c r="O702" i="16"/>
  <c r="M702" i="16"/>
  <c r="K702" i="16"/>
  <c r="I702" i="16"/>
  <c r="G702" i="16"/>
  <c r="F702" i="16"/>
  <c r="E702" i="16"/>
  <c r="D702" i="16"/>
  <c r="O701" i="16"/>
  <c r="M701" i="16"/>
  <c r="K701" i="16"/>
  <c r="I701" i="16"/>
  <c r="G701" i="16"/>
  <c r="F701" i="16"/>
  <c r="E701" i="16"/>
  <c r="D701" i="16"/>
  <c r="O700" i="16"/>
  <c r="M700" i="16"/>
  <c r="K700" i="16"/>
  <c r="I700" i="16"/>
  <c r="G700" i="16"/>
  <c r="F700" i="16"/>
  <c r="E700" i="16"/>
  <c r="D700" i="16"/>
  <c r="O699" i="16"/>
  <c r="M699" i="16"/>
  <c r="K699" i="16"/>
  <c r="I699" i="16"/>
  <c r="G699" i="16"/>
  <c r="F699" i="16"/>
  <c r="E699" i="16"/>
  <c r="D699" i="16"/>
  <c r="O698" i="16"/>
  <c r="M698" i="16"/>
  <c r="K698" i="16"/>
  <c r="I698" i="16"/>
  <c r="G698" i="16"/>
  <c r="F698" i="16"/>
  <c r="E698" i="16"/>
  <c r="D698" i="16"/>
  <c r="O697" i="16"/>
  <c r="M697" i="16"/>
  <c r="K697" i="16"/>
  <c r="I697" i="16"/>
  <c r="G697" i="16"/>
  <c r="F697" i="16"/>
  <c r="E697" i="16"/>
  <c r="D697" i="16"/>
  <c r="O696" i="16"/>
  <c r="M696" i="16"/>
  <c r="K696" i="16"/>
  <c r="I696" i="16"/>
  <c r="G696" i="16"/>
  <c r="F696" i="16"/>
  <c r="E696" i="16"/>
  <c r="D696" i="16"/>
  <c r="O695" i="16"/>
  <c r="M695" i="16"/>
  <c r="K695" i="16"/>
  <c r="I695" i="16"/>
  <c r="G695" i="16"/>
  <c r="F695" i="16"/>
  <c r="E695" i="16"/>
  <c r="D695" i="16"/>
  <c r="O694" i="16"/>
  <c r="M694" i="16"/>
  <c r="K694" i="16"/>
  <c r="I694" i="16"/>
  <c r="G694" i="16"/>
  <c r="F694" i="16"/>
  <c r="E694" i="16"/>
  <c r="D694" i="16"/>
  <c r="O693" i="16"/>
  <c r="M693" i="16"/>
  <c r="K693" i="16"/>
  <c r="I693" i="16"/>
  <c r="G693" i="16"/>
  <c r="F693" i="16"/>
  <c r="E693" i="16"/>
  <c r="D693" i="16"/>
  <c r="O692" i="16"/>
  <c r="M692" i="16"/>
  <c r="K692" i="16"/>
  <c r="I692" i="16"/>
  <c r="G692" i="16"/>
  <c r="F692" i="16"/>
  <c r="E692" i="16"/>
  <c r="D692" i="16"/>
  <c r="O691" i="16"/>
  <c r="M691" i="16"/>
  <c r="K691" i="16"/>
  <c r="I691" i="16"/>
  <c r="G691" i="16"/>
  <c r="F691" i="16"/>
  <c r="E691" i="16"/>
  <c r="D691" i="16"/>
  <c r="O690" i="16"/>
  <c r="M690" i="16"/>
  <c r="K690" i="16"/>
  <c r="I690" i="16"/>
  <c r="G690" i="16"/>
  <c r="F690" i="16"/>
  <c r="E690" i="16"/>
  <c r="D690" i="16"/>
  <c r="O689" i="16"/>
  <c r="M689" i="16"/>
  <c r="K689" i="16"/>
  <c r="I689" i="16"/>
  <c r="G689" i="16"/>
  <c r="F689" i="16"/>
  <c r="E689" i="16"/>
  <c r="D689" i="16"/>
  <c r="O688" i="16"/>
  <c r="M688" i="16"/>
  <c r="K688" i="16"/>
  <c r="I688" i="16"/>
  <c r="G688" i="16"/>
  <c r="F688" i="16"/>
  <c r="E688" i="16"/>
  <c r="D688" i="16"/>
  <c r="O687" i="16"/>
  <c r="M687" i="16"/>
  <c r="K687" i="16"/>
  <c r="I687" i="16"/>
  <c r="G687" i="16"/>
  <c r="F687" i="16"/>
  <c r="E687" i="16"/>
  <c r="D687" i="16"/>
  <c r="O686" i="16"/>
  <c r="M686" i="16"/>
  <c r="K686" i="16"/>
  <c r="I686" i="16"/>
  <c r="G686" i="16"/>
  <c r="F686" i="16"/>
  <c r="E686" i="16"/>
  <c r="D686" i="16"/>
  <c r="O685" i="16"/>
  <c r="M685" i="16"/>
  <c r="K685" i="16"/>
  <c r="I685" i="16"/>
  <c r="G685" i="16"/>
  <c r="F685" i="16"/>
  <c r="E685" i="16"/>
  <c r="D685" i="16"/>
  <c r="O684" i="16"/>
  <c r="M684" i="16"/>
  <c r="K684" i="16"/>
  <c r="I684" i="16"/>
  <c r="G684" i="16"/>
  <c r="F684" i="16"/>
  <c r="E684" i="16"/>
  <c r="D684" i="16"/>
  <c r="O683" i="16"/>
  <c r="M683" i="16"/>
  <c r="K683" i="16"/>
  <c r="I683" i="16"/>
  <c r="G683" i="16"/>
  <c r="F683" i="16"/>
  <c r="E683" i="16"/>
  <c r="D683" i="16"/>
  <c r="O682" i="16"/>
  <c r="M682" i="16"/>
  <c r="K682" i="16"/>
  <c r="I682" i="16"/>
  <c r="G682" i="16"/>
  <c r="F682" i="16"/>
  <c r="E682" i="16"/>
  <c r="D682" i="16"/>
  <c r="O681" i="16"/>
  <c r="M681" i="16"/>
  <c r="K681" i="16"/>
  <c r="I681" i="16"/>
  <c r="G681" i="16"/>
  <c r="F681" i="16"/>
  <c r="E681" i="16"/>
  <c r="D681" i="16"/>
  <c r="O680" i="16"/>
  <c r="M680" i="16"/>
  <c r="K680" i="16"/>
  <c r="I680" i="16"/>
  <c r="G680" i="16"/>
  <c r="F680" i="16"/>
  <c r="E680" i="16"/>
  <c r="D680" i="16"/>
  <c r="O679" i="16"/>
  <c r="M679" i="16"/>
  <c r="K679" i="16"/>
  <c r="I679" i="16"/>
  <c r="G679" i="16"/>
  <c r="F679" i="16"/>
  <c r="E679" i="16"/>
  <c r="D679" i="16"/>
  <c r="O678" i="16"/>
  <c r="M678" i="16"/>
  <c r="K678" i="16"/>
  <c r="I678" i="16"/>
  <c r="G678" i="16"/>
  <c r="F678" i="16"/>
  <c r="E678" i="16"/>
  <c r="D678" i="16"/>
  <c r="O677" i="16"/>
  <c r="M677" i="16"/>
  <c r="K677" i="16"/>
  <c r="I677" i="16"/>
  <c r="G677" i="16"/>
  <c r="F677" i="16"/>
  <c r="E677" i="16"/>
  <c r="D677" i="16"/>
  <c r="O676" i="16"/>
  <c r="M676" i="16"/>
  <c r="K676" i="16"/>
  <c r="I676" i="16"/>
  <c r="G676" i="16"/>
  <c r="F676" i="16"/>
  <c r="E676" i="16"/>
  <c r="D676" i="16"/>
  <c r="O675" i="16"/>
  <c r="M675" i="16"/>
  <c r="K675" i="16"/>
  <c r="I675" i="16"/>
  <c r="G675" i="16"/>
  <c r="F675" i="16"/>
  <c r="E675" i="16"/>
  <c r="D675" i="16"/>
  <c r="O674" i="16"/>
  <c r="M674" i="16"/>
  <c r="K674" i="16"/>
  <c r="I674" i="16"/>
  <c r="G674" i="16"/>
  <c r="F674" i="16"/>
  <c r="E674" i="16"/>
  <c r="D674" i="16"/>
  <c r="O673" i="16"/>
  <c r="M673" i="16"/>
  <c r="K673" i="16"/>
  <c r="I673" i="16"/>
  <c r="G673" i="16"/>
  <c r="F673" i="16"/>
  <c r="E673" i="16"/>
  <c r="D673" i="16"/>
  <c r="O672" i="16"/>
  <c r="M672" i="16"/>
  <c r="K672" i="16"/>
  <c r="I672" i="16"/>
  <c r="G672" i="16"/>
  <c r="F672" i="16"/>
  <c r="E672" i="16"/>
  <c r="D672" i="16"/>
  <c r="O671" i="16"/>
  <c r="M671" i="16"/>
  <c r="K671" i="16"/>
  <c r="I671" i="16"/>
  <c r="G671" i="16"/>
  <c r="F671" i="16"/>
  <c r="E671" i="16"/>
  <c r="D671" i="16"/>
  <c r="O670" i="16"/>
  <c r="M670" i="16"/>
  <c r="K670" i="16"/>
  <c r="I670" i="16"/>
  <c r="G670" i="16"/>
  <c r="F670" i="16"/>
  <c r="E670" i="16"/>
  <c r="D670" i="16"/>
  <c r="O669" i="16"/>
  <c r="M669" i="16"/>
  <c r="K669" i="16"/>
  <c r="I669" i="16"/>
  <c r="G669" i="16"/>
  <c r="F669" i="16"/>
  <c r="E669" i="16"/>
  <c r="D669" i="16"/>
  <c r="O668" i="16"/>
  <c r="M668" i="16"/>
  <c r="K668" i="16"/>
  <c r="I668" i="16"/>
  <c r="G668" i="16"/>
  <c r="F668" i="16"/>
  <c r="E668" i="16"/>
  <c r="D668" i="16"/>
  <c r="O667" i="16"/>
  <c r="M667" i="16"/>
  <c r="K667" i="16"/>
  <c r="I667" i="16"/>
  <c r="G667" i="16"/>
  <c r="F667" i="16"/>
  <c r="E667" i="16"/>
  <c r="D667" i="16"/>
  <c r="O666" i="16"/>
  <c r="M666" i="16"/>
  <c r="K666" i="16"/>
  <c r="I666" i="16"/>
  <c r="G666" i="16"/>
  <c r="F666" i="16"/>
  <c r="E666" i="16"/>
  <c r="D666" i="16"/>
  <c r="O665" i="16"/>
  <c r="M665" i="16"/>
  <c r="K665" i="16"/>
  <c r="I665" i="16"/>
  <c r="G665" i="16"/>
  <c r="F665" i="16"/>
  <c r="E665" i="16"/>
  <c r="D665" i="16"/>
  <c r="O664" i="16"/>
  <c r="M664" i="16"/>
  <c r="K664" i="16"/>
  <c r="I664" i="16"/>
  <c r="G664" i="16"/>
  <c r="F664" i="16"/>
  <c r="E664" i="16"/>
  <c r="D664" i="16"/>
  <c r="O663" i="16"/>
  <c r="M663" i="16"/>
  <c r="K663" i="16"/>
  <c r="I663" i="16"/>
  <c r="G663" i="16"/>
  <c r="F663" i="16"/>
  <c r="E663" i="16"/>
  <c r="D663" i="16"/>
  <c r="O662" i="16"/>
  <c r="M662" i="16"/>
  <c r="K662" i="16"/>
  <c r="I662" i="16"/>
  <c r="G662" i="16"/>
  <c r="F662" i="16"/>
  <c r="E662" i="16"/>
  <c r="D662" i="16"/>
  <c r="O661" i="16"/>
  <c r="M661" i="16"/>
  <c r="K661" i="16"/>
  <c r="I661" i="16"/>
  <c r="G661" i="16"/>
  <c r="F661" i="16"/>
  <c r="E661" i="16"/>
  <c r="D661" i="16"/>
  <c r="O660" i="16"/>
  <c r="M660" i="16"/>
  <c r="K660" i="16"/>
  <c r="I660" i="16"/>
  <c r="G660" i="16"/>
  <c r="F660" i="16"/>
  <c r="E660" i="16"/>
  <c r="D660" i="16"/>
  <c r="O659" i="16"/>
  <c r="M659" i="16"/>
  <c r="K659" i="16"/>
  <c r="I659" i="16"/>
  <c r="G659" i="16"/>
  <c r="F659" i="16"/>
  <c r="E659" i="16"/>
  <c r="D659" i="16"/>
  <c r="O658" i="16"/>
  <c r="M658" i="16"/>
  <c r="K658" i="16"/>
  <c r="I658" i="16"/>
  <c r="G658" i="16"/>
  <c r="F658" i="16"/>
  <c r="E658" i="16"/>
  <c r="D658" i="16"/>
  <c r="O657" i="16"/>
  <c r="M657" i="16"/>
  <c r="K657" i="16"/>
  <c r="I657" i="16"/>
  <c r="G657" i="16"/>
  <c r="F657" i="16"/>
  <c r="E657" i="16"/>
  <c r="D657" i="16"/>
  <c r="O656" i="16"/>
  <c r="M656" i="16"/>
  <c r="K656" i="16"/>
  <c r="I656" i="16"/>
  <c r="G656" i="16"/>
  <c r="F656" i="16"/>
  <c r="E656" i="16"/>
  <c r="D656" i="16"/>
  <c r="O655" i="16"/>
  <c r="M655" i="16"/>
  <c r="K655" i="16"/>
  <c r="I655" i="16"/>
  <c r="G655" i="16"/>
  <c r="F655" i="16"/>
  <c r="E655" i="16"/>
  <c r="D655" i="16"/>
  <c r="O654" i="16"/>
  <c r="M654" i="16"/>
  <c r="K654" i="16"/>
  <c r="I654" i="16"/>
  <c r="G654" i="16"/>
  <c r="F654" i="16"/>
  <c r="E654" i="16"/>
  <c r="D654" i="16"/>
  <c r="O653" i="16"/>
  <c r="M653" i="16"/>
  <c r="K653" i="16"/>
  <c r="I653" i="16"/>
  <c r="G653" i="16"/>
  <c r="F653" i="16"/>
  <c r="E653" i="16"/>
  <c r="D653" i="16"/>
  <c r="O652" i="16"/>
  <c r="M652" i="16"/>
  <c r="K652" i="16"/>
  <c r="I652" i="16"/>
  <c r="G652" i="16"/>
  <c r="F652" i="16"/>
  <c r="E652" i="16"/>
  <c r="D652" i="16"/>
  <c r="O651" i="16"/>
  <c r="M651" i="16"/>
  <c r="K651" i="16"/>
  <c r="I651" i="16"/>
  <c r="G651" i="16"/>
  <c r="F651" i="16"/>
  <c r="E651" i="16"/>
  <c r="D651" i="16"/>
  <c r="O650" i="16"/>
  <c r="M650" i="16"/>
  <c r="K650" i="16"/>
  <c r="I650" i="16"/>
  <c r="G650" i="16"/>
  <c r="F650" i="16"/>
  <c r="E650" i="16"/>
  <c r="D650" i="16"/>
  <c r="O649" i="16"/>
  <c r="M649" i="16"/>
  <c r="K649" i="16"/>
  <c r="I649" i="16"/>
  <c r="G649" i="16"/>
  <c r="F649" i="16"/>
  <c r="E649" i="16"/>
  <c r="D649" i="16"/>
  <c r="O648" i="16"/>
  <c r="M648" i="16"/>
  <c r="K648" i="16"/>
  <c r="I648" i="16"/>
  <c r="G648" i="16"/>
  <c r="F648" i="16"/>
  <c r="E648" i="16"/>
  <c r="D648" i="16"/>
  <c r="O647" i="16"/>
  <c r="M647" i="16"/>
  <c r="K647" i="16"/>
  <c r="I647" i="16"/>
  <c r="G647" i="16"/>
  <c r="F647" i="16"/>
  <c r="E647" i="16"/>
  <c r="D647" i="16"/>
  <c r="O646" i="16"/>
  <c r="M646" i="16"/>
  <c r="K646" i="16"/>
  <c r="I646" i="16"/>
  <c r="G646" i="16"/>
  <c r="F646" i="16"/>
  <c r="E646" i="16"/>
  <c r="D646" i="16"/>
  <c r="O645" i="16"/>
  <c r="M645" i="16"/>
  <c r="K645" i="16"/>
  <c r="I645" i="16"/>
  <c r="G645" i="16"/>
  <c r="F645" i="16"/>
  <c r="E645" i="16"/>
  <c r="D645" i="16"/>
  <c r="O644" i="16"/>
  <c r="M644" i="16"/>
  <c r="K644" i="16"/>
  <c r="I644" i="16"/>
  <c r="G644" i="16"/>
  <c r="F644" i="16"/>
  <c r="E644" i="16"/>
  <c r="D644" i="16"/>
  <c r="O643" i="16"/>
  <c r="M643" i="16"/>
  <c r="K643" i="16"/>
  <c r="I643" i="16"/>
  <c r="G643" i="16"/>
  <c r="F643" i="16"/>
  <c r="E643" i="16"/>
  <c r="D643" i="16"/>
  <c r="O642" i="16"/>
  <c r="M642" i="16"/>
  <c r="K642" i="16"/>
  <c r="I642" i="16"/>
  <c r="G642" i="16"/>
  <c r="F642" i="16"/>
  <c r="E642" i="16"/>
  <c r="D642" i="16"/>
  <c r="O641" i="16"/>
  <c r="M641" i="16"/>
  <c r="K641" i="16"/>
  <c r="I641" i="16"/>
  <c r="G641" i="16"/>
  <c r="F641" i="16"/>
  <c r="E641" i="16"/>
  <c r="D641" i="16"/>
  <c r="O640" i="16"/>
  <c r="M640" i="16"/>
  <c r="K640" i="16"/>
  <c r="I640" i="16"/>
  <c r="G640" i="16"/>
  <c r="F640" i="16"/>
  <c r="E640" i="16"/>
  <c r="D640" i="16"/>
  <c r="O639" i="16"/>
  <c r="M639" i="16"/>
  <c r="K639" i="16"/>
  <c r="I639" i="16"/>
  <c r="G639" i="16"/>
  <c r="F639" i="16"/>
  <c r="E639" i="16"/>
  <c r="D639" i="16"/>
  <c r="O638" i="16"/>
  <c r="M638" i="16"/>
  <c r="K638" i="16"/>
  <c r="I638" i="16"/>
  <c r="G638" i="16"/>
  <c r="F638" i="16"/>
  <c r="E638" i="16"/>
  <c r="D638" i="16"/>
  <c r="O637" i="16"/>
  <c r="M637" i="16"/>
  <c r="K637" i="16"/>
  <c r="I637" i="16"/>
  <c r="G637" i="16"/>
  <c r="F637" i="16"/>
  <c r="E637" i="16"/>
  <c r="D637" i="16"/>
  <c r="O636" i="16"/>
  <c r="M636" i="16"/>
  <c r="K636" i="16"/>
  <c r="I636" i="16"/>
  <c r="G636" i="16"/>
  <c r="F636" i="16"/>
  <c r="E636" i="16"/>
  <c r="D636" i="16"/>
  <c r="O635" i="16"/>
  <c r="M635" i="16"/>
  <c r="K635" i="16"/>
  <c r="I635" i="16"/>
  <c r="G635" i="16"/>
  <c r="F635" i="16"/>
  <c r="E635" i="16"/>
  <c r="D635" i="16"/>
  <c r="O634" i="16"/>
  <c r="M634" i="16"/>
  <c r="K634" i="16"/>
  <c r="I634" i="16"/>
  <c r="G634" i="16"/>
  <c r="F634" i="16"/>
  <c r="E634" i="16"/>
  <c r="D634" i="16"/>
  <c r="O633" i="16"/>
  <c r="M633" i="16"/>
  <c r="K633" i="16"/>
  <c r="I633" i="16"/>
  <c r="G633" i="16"/>
  <c r="F633" i="16"/>
  <c r="E633" i="16"/>
  <c r="D633" i="16"/>
  <c r="O632" i="16"/>
  <c r="M632" i="16"/>
  <c r="K632" i="16"/>
  <c r="I632" i="16"/>
  <c r="G632" i="16"/>
  <c r="F632" i="16"/>
  <c r="E632" i="16"/>
  <c r="D632" i="16"/>
  <c r="O631" i="16"/>
  <c r="M631" i="16"/>
  <c r="K631" i="16"/>
  <c r="I631" i="16"/>
  <c r="G631" i="16"/>
  <c r="F631" i="16"/>
  <c r="E631" i="16"/>
  <c r="D631" i="16"/>
  <c r="O630" i="16"/>
  <c r="M630" i="16"/>
  <c r="K630" i="16"/>
  <c r="I630" i="16"/>
  <c r="G630" i="16"/>
  <c r="F630" i="16"/>
  <c r="E630" i="16"/>
  <c r="D630" i="16"/>
  <c r="O629" i="16"/>
  <c r="M629" i="16"/>
  <c r="K629" i="16"/>
  <c r="I629" i="16"/>
  <c r="G629" i="16"/>
  <c r="F629" i="16"/>
  <c r="E629" i="16"/>
  <c r="D629" i="16"/>
  <c r="O628" i="16"/>
  <c r="M628" i="16"/>
  <c r="K628" i="16"/>
  <c r="I628" i="16"/>
  <c r="G628" i="16"/>
  <c r="F628" i="16"/>
  <c r="E628" i="16"/>
  <c r="D628" i="16"/>
  <c r="O627" i="16"/>
  <c r="M627" i="16"/>
  <c r="K627" i="16"/>
  <c r="I627" i="16"/>
  <c r="G627" i="16"/>
  <c r="F627" i="16"/>
  <c r="E627" i="16"/>
  <c r="D627" i="16"/>
  <c r="O626" i="16"/>
  <c r="M626" i="16"/>
  <c r="K626" i="16"/>
  <c r="I626" i="16"/>
  <c r="G626" i="16"/>
  <c r="F626" i="16"/>
  <c r="E626" i="16"/>
  <c r="D626" i="16"/>
  <c r="O625" i="16"/>
  <c r="M625" i="16"/>
  <c r="K625" i="16"/>
  <c r="I625" i="16"/>
  <c r="G625" i="16"/>
  <c r="F625" i="16"/>
  <c r="E625" i="16"/>
  <c r="D625" i="16"/>
  <c r="O624" i="16"/>
  <c r="M624" i="16"/>
  <c r="K624" i="16"/>
  <c r="I624" i="16"/>
  <c r="G624" i="16"/>
  <c r="F624" i="16"/>
  <c r="E624" i="16"/>
  <c r="D624" i="16"/>
  <c r="O623" i="16"/>
  <c r="M623" i="16"/>
  <c r="K623" i="16"/>
  <c r="I623" i="16"/>
  <c r="G623" i="16"/>
  <c r="F623" i="16"/>
  <c r="E623" i="16"/>
  <c r="D623" i="16"/>
  <c r="O622" i="16"/>
  <c r="M622" i="16"/>
  <c r="K622" i="16"/>
  <c r="I622" i="16"/>
  <c r="G622" i="16"/>
  <c r="F622" i="16"/>
  <c r="E622" i="16"/>
  <c r="D622" i="16"/>
  <c r="O621" i="16"/>
  <c r="M621" i="16"/>
  <c r="K621" i="16"/>
  <c r="I621" i="16"/>
  <c r="G621" i="16"/>
  <c r="F621" i="16"/>
  <c r="E621" i="16"/>
  <c r="D621" i="16"/>
  <c r="O620" i="16"/>
  <c r="M620" i="16"/>
  <c r="K620" i="16"/>
  <c r="I620" i="16"/>
  <c r="G620" i="16"/>
  <c r="F620" i="16"/>
  <c r="E620" i="16"/>
  <c r="D620" i="16"/>
  <c r="O619" i="16"/>
  <c r="M619" i="16"/>
  <c r="K619" i="16"/>
  <c r="I619" i="16"/>
  <c r="G619" i="16"/>
  <c r="F619" i="16"/>
  <c r="E619" i="16"/>
  <c r="D619" i="16"/>
  <c r="O618" i="16"/>
  <c r="M618" i="16"/>
  <c r="K618" i="16"/>
  <c r="I618" i="16"/>
  <c r="G618" i="16"/>
  <c r="F618" i="16"/>
  <c r="E618" i="16"/>
  <c r="D618" i="16"/>
  <c r="O617" i="16"/>
  <c r="M617" i="16"/>
  <c r="K617" i="16"/>
  <c r="I617" i="16"/>
  <c r="G617" i="16"/>
  <c r="F617" i="16"/>
  <c r="E617" i="16"/>
  <c r="D617" i="16"/>
  <c r="O616" i="16"/>
  <c r="M616" i="16"/>
  <c r="K616" i="16"/>
  <c r="I616" i="16"/>
  <c r="G616" i="16"/>
  <c r="F616" i="16"/>
  <c r="E616" i="16"/>
  <c r="D616" i="16"/>
  <c r="O615" i="16"/>
  <c r="M615" i="16"/>
  <c r="K615" i="16"/>
  <c r="I615" i="16"/>
  <c r="G615" i="16"/>
  <c r="F615" i="16"/>
  <c r="E615" i="16"/>
  <c r="D615" i="16"/>
  <c r="O614" i="16"/>
  <c r="M614" i="16"/>
  <c r="K614" i="16"/>
  <c r="I614" i="16"/>
  <c r="G614" i="16"/>
  <c r="F614" i="16"/>
  <c r="E614" i="16"/>
  <c r="D614" i="16"/>
  <c r="O613" i="16"/>
  <c r="M613" i="16"/>
  <c r="K613" i="16"/>
  <c r="I613" i="16"/>
  <c r="G613" i="16"/>
  <c r="F613" i="16"/>
  <c r="E613" i="16"/>
  <c r="D613" i="16"/>
  <c r="O612" i="16"/>
  <c r="M612" i="16"/>
  <c r="K612" i="16"/>
  <c r="I612" i="16"/>
  <c r="G612" i="16"/>
  <c r="F612" i="16"/>
  <c r="E612" i="16"/>
  <c r="D612" i="16"/>
  <c r="O611" i="16"/>
  <c r="M611" i="16"/>
  <c r="K611" i="16"/>
  <c r="I611" i="16"/>
  <c r="G611" i="16"/>
  <c r="F611" i="16"/>
  <c r="E611" i="16"/>
  <c r="D611" i="16"/>
  <c r="O610" i="16"/>
  <c r="M610" i="16"/>
  <c r="K610" i="16"/>
  <c r="I610" i="16"/>
  <c r="G610" i="16"/>
  <c r="F610" i="16"/>
  <c r="E610" i="16"/>
  <c r="D610" i="16"/>
  <c r="O609" i="16"/>
  <c r="M609" i="16"/>
  <c r="K609" i="16"/>
  <c r="I609" i="16"/>
  <c r="G609" i="16"/>
  <c r="F609" i="16"/>
  <c r="E609" i="16"/>
  <c r="D609" i="16"/>
  <c r="O608" i="16"/>
  <c r="M608" i="16"/>
  <c r="K608" i="16"/>
  <c r="I608" i="16"/>
  <c r="G608" i="16"/>
  <c r="F608" i="16"/>
  <c r="E608" i="16"/>
  <c r="D608" i="16"/>
  <c r="O607" i="16"/>
  <c r="M607" i="16"/>
  <c r="K607" i="16"/>
  <c r="I607" i="16"/>
  <c r="G607" i="16"/>
  <c r="F607" i="16"/>
  <c r="E607" i="16"/>
  <c r="D607" i="16"/>
  <c r="O606" i="16"/>
  <c r="M606" i="16"/>
  <c r="K606" i="16"/>
  <c r="I606" i="16"/>
  <c r="G606" i="16"/>
  <c r="F606" i="16"/>
  <c r="E606" i="16"/>
  <c r="D606" i="16"/>
  <c r="O605" i="16"/>
  <c r="M605" i="16"/>
  <c r="K605" i="16"/>
  <c r="I605" i="16"/>
  <c r="G605" i="16"/>
  <c r="F605" i="16"/>
  <c r="E605" i="16"/>
  <c r="D605" i="16"/>
  <c r="O604" i="16"/>
  <c r="M604" i="16"/>
  <c r="K604" i="16"/>
  <c r="I604" i="16"/>
  <c r="G604" i="16"/>
  <c r="F604" i="16"/>
  <c r="E604" i="16"/>
  <c r="D604" i="16"/>
  <c r="O603" i="16"/>
  <c r="M603" i="16"/>
  <c r="K603" i="16"/>
  <c r="I603" i="16"/>
  <c r="G603" i="16"/>
  <c r="F603" i="16"/>
  <c r="E603" i="16"/>
  <c r="D603" i="16"/>
  <c r="O602" i="16"/>
  <c r="M602" i="16"/>
  <c r="K602" i="16"/>
  <c r="I602" i="16"/>
  <c r="G602" i="16"/>
  <c r="F602" i="16"/>
  <c r="E602" i="16"/>
  <c r="D602" i="16"/>
  <c r="O601" i="16"/>
  <c r="M601" i="16"/>
  <c r="K601" i="16"/>
  <c r="I601" i="16"/>
  <c r="G601" i="16"/>
  <c r="F601" i="16"/>
  <c r="E601" i="16"/>
  <c r="D601" i="16"/>
  <c r="O600" i="16"/>
  <c r="M600" i="16"/>
  <c r="K600" i="16"/>
  <c r="I600" i="16"/>
  <c r="G600" i="16"/>
  <c r="F600" i="16"/>
  <c r="E600" i="16"/>
  <c r="D600" i="16"/>
  <c r="O599" i="16"/>
  <c r="M599" i="16"/>
  <c r="K599" i="16"/>
  <c r="I599" i="16"/>
  <c r="G599" i="16"/>
  <c r="F599" i="16"/>
  <c r="E599" i="16"/>
  <c r="D599" i="16"/>
  <c r="O598" i="16"/>
  <c r="M598" i="16"/>
  <c r="K598" i="16"/>
  <c r="I598" i="16"/>
  <c r="G598" i="16"/>
  <c r="F598" i="16"/>
  <c r="E598" i="16"/>
  <c r="D598" i="16"/>
  <c r="O597" i="16"/>
  <c r="M597" i="16"/>
  <c r="K597" i="16"/>
  <c r="I597" i="16"/>
  <c r="G597" i="16"/>
  <c r="F597" i="16"/>
  <c r="E597" i="16"/>
  <c r="D597" i="16"/>
  <c r="O596" i="16"/>
  <c r="M596" i="16"/>
  <c r="K596" i="16"/>
  <c r="I596" i="16"/>
  <c r="G596" i="16"/>
  <c r="F596" i="16"/>
  <c r="E596" i="16"/>
  <c r="D596" i="16"/>
  <c r="O595" i="16"/>
  <c r="M595" i="16"/>
  <c r="K595" i="16"/>
  <c r="I595" i="16"/>
  <c r="G595" i="16"/>
  <c r="F595" i="16"/>
  <c r="E595" i="16"/>
  <c r="D595" i="16"/>
  <c r="O594" i="16"/>
  <c r="M594" i="16"/>
  <c r="K594" i="16"/>
  <c r="I594" i="16"/>
  <c r="G594" i="16"/>
  <c r="F594" i="16"/>
  <c r="E594" i="16"/>
  <c r="D594" i="16"/>
  <c r="O593" i="16"/>
  <c r="M593" i="16"/>
  <c r="K593" i="16"/>
  <c r="I593" i="16"/>
  <c r="G593" i="16"/>
  <c r="F593" i="16"/>
  <c r="E593" i="16"/>
  <c r="D593" i="16"/>
  <c r="O592" i="16"/>
  <c r="M592" i="16"/>
  <c r="K592" i="16"/>
  <c r="I592" i="16"/>
  <c r="G592" i="16"/>
  <c r="F592" i="16"/>
  <c r="E592" i="16"/>
  <c r="D592" i="16"/>
  <c r="O591" i="16"/>
  <c r="M591" i="16"/>
  <c r="K591" i="16"/>
  <c r="I591" i="16"/>
  <c r="G591" i="16"/>
  <c r="F591" i="16"/>
  <c r="E591" i="16"/>
  <c r="D591" i="16"/>
  <c r="O590" i="16"/>
  <c r="M590" i="16"/>
  <c r="K590" i="16"/>
  <c r="I590" i="16"/>
  <c r="G590" i="16"/>
  <c r="F590" i="16"/>
  <c r="E590" i="16"/>
  <c r="D590" i="16"/>
  <c r="O589" i="16"/>
  <c r="M589" i="16"/>
  <c r="K589" i="16"/>
  <c r="I589" i="16"/>
  <c r="G589" i="16"/>
  <c r="F589" i="16"/>
  <c r="E589" i="16"/>
  <c r="D589" i="16"/>
  <c r="O588" i="16"/>
  <c r="M588" i="16"/>
  <c r="K588" i="16"/>
  <c r="I588" i="16"/>
  <c r="G588" i="16"/>
  <c r="F588" i="16"/>
  <c r="E588" i="16"/>
  <c r="D588" i="16"/>
  <c r="O587" i="16"/>
  <c r="M587" i="16"/>
  <c r="K587" i="16"/>
  <c r="I587" i="16"/>
  <c r="G587" i="16"/>
  <c r="F587" i="16"/>
  <c r="E587" i="16"/>
  <c r="D587" i="16"/>
  <c r="O586" i="16"/>
  <c r="M586" i="16"/>
  <c r="K586" i="16"/>
  <c r="I586" i="16"/>
  <c r="G586" i="16"/>
  <c r="F586" i="16"/>
  <c r="E586" i="16"/>
  <c r="D586" i="16"/>
  <c r="O585" i="16"/>
  <c r="M585" i="16"/>
  <c r="K585" i="16"/>
  <c r="I585" i="16"/>
  <c r="G585" i="16"/>
  <c r="F585" i="16"/>
  <c r="E585" i="16"/>
  <c r="D585" i="16"/>
  <c r="O584" i="16"/>
  <c r="M584" i="16"/>
  <c r="K584" i="16"/>
  <c r="I584" i="16"/>
  <c r="G584" i="16"/>
  <c r="F584" i="16"/>
  <c r="E584" i="16"/>
  <c r="D584" i="16"/>
  <c r="O583" i="16"/>
  <c r="M583" i="16"/>
  <c r="K583" i="16"/>
  <c r="I583" i="16"/>
  <c r="G583" i="16"/>
  <c r="F583" i="16"/>
  <c r="E583" i="16"/>
  <c r="D583" i="16"/>
  <c r="O582" i="16"/>
  <c r="M582" i="16"/>
  <c r="K582" i="16"/>
  <c r="I582" i="16"/>
  <c r="G582" i="16"/>
  <c r="F582" i="16"/>
  <c r="E582" i="16"/>
  <c r="D582" i="16"/>
  <c r="O581" i="16"/>
  <c r="M581" i="16"/>
  <c r="K581" i="16"/>
  <c r="I581" i="16"/>
  <c r="G581" i="16"/>
  <c r="F581" i="16"/>
  <c r="E581" i="16"/>
  <c r="D581" i="16"/>
  <c r="O580" i="16"/>
  <c r="M580" i="16"/>
  <c r="K580" i="16"/>
  <c r="I580" i="16"/>
  <c r="G580" i="16"/>
  <c r="F580" i="16"/>
  <c r="E580" i="16"/>
  <c r="D580" i="16"/>
  <c r="O579" i="16"/>
  <c r="M579" i="16"/>
  <c r="K579" i="16"/>
  <c r="I579" i="16"/>
  <c r="G579" i="16"/>
  <c r="F579" i="16"/>
  <c r="E579" i="16"/>
  <c r="D579" i="16"/>
  <c r="O578" i="16"/>
  <c r="M578" i="16"/>
  <c r="K578" i="16"/>
  <c r="I578" i="16"/>
  <c r="G578" i="16"/>
  <c r="F578" i="16"/>
  <c r="E578" i="16"/>
  <c r="D578" i="16"/>
  <c r="O577" i="16"/>
  <c r="M577" i="16"/>
  <c r="K577" i="16"/>
  <c r="I577" i="16"/>
  <c r="G577" i="16"/>
  <c r="F577" i="16"/>
  <c r="E577" i="16"/>
  <c r="D577" i="16"/>
  <c r="O576" i="16"/>
  <c r="M576" i="16"/>
  <c r="K576" i="16"/>
  <c r="I576" i="16"/>
  <c r="G576" i="16"/>
  <c r="F576" i="16"/>
  <c r="E576" i="16"/>
  <c r="D576" i="16"/>
  <c r="O575" i="16"/>
  <c r="M575" i="16"/>
  <c r="K575" i="16"/>
  <c r="I575" i="16"/>
  <c r="G575" i="16"/>
  <c r="F575" i="16"/>
  <c r="E575" i="16"/>
  <c r="D575" i="16"/>
  <c r="O574" i="16"/>
  <c r="M574" i="16"/>
  <c r="K574" i="16"/>
  <c r="I574" i="16"/>
  <c r="G574" i="16"/>
  <c r="F574" i="16"/>
  <c r="E574" i="16"/>
  <c r="D574" i="16"/>
  <c r="O573" i="16"/>
  <c r="M573" i="16"/>
  <c r="K573" i="16"/>
  <c r="I573" i="16"/>
  <c r="G573" i="16"/>
  <c r="F573" i="16"/>
  <c r="E573" i="16"/>
  <c r="D573" i="16"/>
  <c r="O572" i="16"/>
  <c r="M572" i="16"/>
  <c r="K572" i="16"/>
  <c r="I572" i="16"/>
  <c r="G572" i="16"/>
  <c r="F572" i="16"/>
  <c r="E572" i="16"/>
  <c r="D572" i="16"/>
  <c r="O571" i="16"/>
  <c r="M571" i="16"/>
  <c r="K571" i="16"/>
  <c r="I571" i="16"/>
  <c r="G571" i="16"/>
  <c r="F571" i="16"/>
  <c r="E571" i="16"/>
  <c r="D571" i="16"/>
  <c r="O570" i="16"/>
  <c r="M570" i="16"/>
  <c r="K570" i="16"/>
  <c r="I570" i="16"/>
  <c r="G570" i="16"/>
  <c r="F570" i="16"/>
  <c r="E570" i="16"/>
  <c r="D570" i="16"/>
  <c r="O569" i="16"/>
  <c r="M569" i="16"/>
  <c r="K569" i="16"/>
  <c r="I569" i="16"/>
  <c r="G569" i="16"/>
  <c r="F569" i="16"/>
  <c r="E569" i="16"/>
  <c r="D569" i="16"/>
  <c r="O568" i="16"/>
  <c r="M568" i="16"/>
  <c r="K568" i="16"/>
  <c r="I568" i="16"/>
  <c r="G568" i="16"/>
  <c r="F568" i="16"/>
  <c r="E568" i="16"/>
  <c r="D568" i="16"/>
  <c r="O567" i="16"/>
  <c r="M567" i="16"/>
  <c r="K567" i="16"/>
  <c r="I567" i="16"/>
  <c r="G567" i="16"/>
  <c r="F567" i="16"/>
  <c r="E567" i="16"/>
  <c r="D567" i="16"/>
  <c r="O566" i="16"/>
  <c r="M566" i="16"/>
  <c r="K566" i="16"/>
  <c r="I566" i="16"/>
  <c r="G566" i="16"/>
  <c r="F566" i="16"/>
  <c r="E566" i="16"/>
  <c r="D566" i="16"/>
  <c r="O565" i="16"/>
  <c r="M565" i="16"/>
  <c r="K565" i="16"/>
  <c r="I565" i="16"/>
  <c r="G565" i="16"/>
  <c r="F565" i="16"/>
  <c r="E565" i="16"/>
  <c r="D565" i="16"/>
  <c r="O564" i="16"/>
  <c r="M564" i="16"/>
  <c r="K564" i="16"/>
  <c r="I564" i="16"/>
  <c r="G564" i="16"/>
  <c r="F564" i="16"/>
  <c r="E564" i="16"/>
  <c r="D564" i="16"/>
  <c r="O563" i="16"/>
  <c r="M563" i="16"/>
  <c r="K563" i="16"/>
  <c r="I563" i="16"/>
  <c r="G563" i="16"/>
  <c r="F563" i="16"/>
  <c r="E563" i="16"/>
  <c r="D563" i="16"/>
  <c r="O562" i="16"/>
  <c r="M562" i="16"/>
  <c r="K562" i="16"/>
  <c r="I562" i="16"/>
  <c r="G562" i="16"/>
  <c r="F562" i="16"/>
  <c r="E562" i="16"/>
  <c r="D562" i="16"/>
  <c r="O561" i="16"/>
  <c r="M561" i="16"/>
  <c r="K561" i="16"/>
  <c r="I561" i="16"/>
  <c r="G561" i="16"/>
  <c r="F561" i="16"/>
  <c r="E561" i="16"/>
  <c r="D561" i="16"/>
  <c r="O560" i="16"/>
  <c r="M560" i="16"/>
  <c r="K560" i="16"/>
  <c r="I560" i="16"/>
  <c r="G560" i="16"/>
  <c r="F560" i="16"/>
  <c r="E560" i="16"/>
  <c r="D560" i="16"/>
  <c r="O559" i="16"/>
  <c r="M559" i="16"/>
  <c r="K559" i="16"/>
  <c r="I559" i="16"/>
  <c r="G559" i="16"/>
  <c r="F559" i="16"/>
  <c r="E559" i="16"/>
  <c r="D559" i="16"/>
  <c r="O558" i="16"/>
  <c r="M558" i="16"/>
  <c r="K558" i="16"/>
  <c r="I558" i="16"/>
  <c r="G558" i="16"/>
  <c r="F558" i="16"/>
  <c r="E558" i="16"/>
  <c r="D558" i="16"/>
  <c r="O557" i="16"/>
  <c r="M557" i="16"/>
  <c r="K557" i="16"/>
  <c r="I557" i="16"/>
  <c r="G557" i="16"/>
  <c r="F557" i="16"/>
  <c r="E557" i="16"/>
  <c r="D557" i="16"/>
  <c r="O556" i="16"/>
  <c r="M556" i="16"/>
  <c r="K556" i="16"/>
  <c r="I556" i="16"/>
  <c r="G556" i="16"/>
  <c r="F556" i="16"/>
  <c r="E556" i="16"/>
  <c r="D556" i="16"/>
  <c r="O555" i="16"/>
  <c r="M555" i="16"/>
  <c r="K555" i="16"/>
  <c r="I555" i="16"/>
  <c r="G555" i="16"/>
  <c r="F555" i="16"/>
  <c r="E555" i="16"/>
  <c r="D555" i="16"/>
  <c r="O554" i="16"/>
  <c r="M554" i="16"/>
  <c r="K554" i="16"/>
  <c r="I554" i="16"/>
  <c r="G554" i="16"/>
  <c r="F554" i="16"/>
  <c r="E554" i="16"/>
  <c r="D554" i="16"/>
  <c r="O553" i="16"/>
  <c r="M553" i="16"/>
  <c r="K553" i="16"/>
  <c r="I553" i="16"/>
  <c r="G553" i="16"/>
  <c r="F553" i="16"/>
  <c r="E553" i="16"/>
  <c r="D553" i="16"/>
  <c r="O552" i="16"/>
  <c r="M552" i="16"/>
  <c r="K552" i="16"/>
  <c r="I552" i="16"/>
  <c r="G552" i="16"/>
  <c r="F552" i="16"/>
  <c r="E552" i="16"/>
  <c r="D552" i="16"/>
  <c r="O551" i="16"/>
  <c r="M551" i="16"/>
  <c r="K551" i="16"/>
  <c r="I551" i="16"/>
  <c r="G551" i="16"/>
  <c r="F551" i="16"/>
  <c r="E551" i="16"/>
  <c r="D551" i="16"/>
  <c r="O550" i="16"/>
  <c r="M550" i="16"/>
  <c r="K550" i="16"/>
  <c r="I550" i="16"/>
  <c r="G550" i="16"/>
  <c r="F550" i="16"/>
  <c r="E550" i="16"/>
  <c r="D550" i="16"/>
  <c r="O549" i="16"/>
  <c r="M549" i="16"/>
  <c r="K549" i="16"/>
  <c r="I549" i="16"/>
  <c r="G549" i="16"/>
  <c r="F549" i="16"/>
  <c r="E549" i="16"/>
  <c r="D549" i="16"/>
  <c r="O548" i="16"/>
  <c r="M548" i="16"/>
  <c r="K548" i="16"/>
  <c r="I548" i="16"/>
  <c r="G548" i="16"/>
  <c r="F548" i="16"/>
  <c r="E548" i="16"/>
  <c r="D548" i="16"/>
  <c r="O547" i="16"/>
  <c r="M547" i="16"/>
  <c r="K547" i="16"/>
  <c r="I547" i="16"/>
  <c r="G547" i="16"/>
  <c r="F547" i="16"/>
  <c r="E547" i="16"/>
  <c r="D547" i="16"/>
  <c r="O546" i="16"/>
  <c r="M546" i="16"/>
  <c r="K546" i="16"/>
  <c r="I546" i="16"/>
  <c r="G546" i="16"/>
  <c r="F546" i="16"/>
  <c r="E546" i="16"/>
  <c r="D546" i="16"/>
  <c r="O545" i="16"/>
  <c r="M545" i="16"/>
  <c r="K545" i="16"/>
  <c r="I545" i="16"/>
  <c r="G545" i="16"/>
  <c r="F545" i="16"/>
  <c r="E545" i="16"/>
  <c r="D545" i="16"/>
  <c r="O544" i="16"/>
  <c r="M544" i="16"/>
  <c r="K544" i="16"/>
  <c r="I544" i="16"/>
  <c r="G544" i="16"/>
  <c r="F544" i="16"/>
  <c r="E544" i="16"/>
  <c r="D544" i="16"/>
  <c r="O543" i="16"/>
  <c r="M543" i="16"/>
  <c r="K543" i="16"/>
  <c r="I543" i="16"/>
  <c r="G543" i="16"/>
  <c r="F543" i="16"/>
  <c r="E543" i="16"/>
  <c r="D543" i="16"/>
  <c r="O542" i="16"/>
  <c r="M542" i="16"/>
  <c r="K542" i="16"/>
  <c r="I542" i="16"/>
  <c r="G542" i="16"/>
  <c r="F542" i="16"/>
  <c r="E542" i="16"/>
  <c r="D542" i="16"/>
  <c r="O541" i="16"/>
  <c r="M541" i="16"/>
  <c r="K541" i="16"/>
  <c r="I541" i="16"/>
  <c r="G541" i="16"/>
  <c r="F541" i="16"/>
  <c r="E541" i="16"/>
  <c r="D541" i="16"/>
  <c r="O540" i="16"/>
  <c r="M540" i="16"/>
  <c r="K540" i="16"/>
  <c r="I540" i="16"/>
  <c r="G540" i="16"/>
  <c r="F540" i="16"/>
  <c r="E540" i="16"/>
  <c r="D540" i="16"/>
  <c r="O539" i="16"/>
  <c r="M539" i="16"/>
  <c r="K539" i="16"/>
  <c r="I539" i="16"/>
  <c r="G539" i="16"/>
  <c r="F539" i="16"/>
  <c r="E539" i="16"/>
  <c r="D539" i="16"/>
  <c r="O538" i="16"/>
  <c r="M538" i="16"/>
  <c r="K538" i="16"/>
  <c r="I538" i="16"/>
  <c r="G538" i="16"/>
  <c r="F538" i="16"/>
  <c r="E538" i="16"/>
  <c r="D538" i="16"/>
  <c r="O537" i="16"/>
  <c r="M537" i="16"/>
  <c r="K537" i="16"/>
  <c r="I537" i="16"/>
  <c r="G537" i="16"/>
  <c r="F537" i="16"/>
  <c r="E537" i="16"/>
  <c r="D537" i="16"/>
  <c r="O536" i="16"/>
  <c r="M536" i="16"/>
  <c r="K536" i="16"/>
  <c r="I536" i="16"/>
  <c r="G536" i="16"/>
  <c r="F536" i="16"/>
  <c r="E536" i="16"/>
  <c r="D536" i="16"/>
  <c r="O535" i="16"/>
  <c r="M535" i="16"/>
  <c r="K535" i="16"/>
  <c r="I535" i="16"/>
  <c r="G535" i="16"/>
  <c r="F535" i="16"/>
  <c r="E535" i="16"/>
  <c r="D535" i="16"/>
  <c r="O534" i="16"/>
  <c r="M534" i="16"/>
  <c r="K534" i="16"/>
  <c r="I534" i="16"/>
  <c r="G534" i="16"/>
  <c r="F534" i="16"/>
  <c r="E534" i="16"/>
  <c r="D534" i="16"/>
  <c r="O533" i="16"/>
  <c r="M533" i="16"/>
  <c r="K533" i="16"/>
  <c r="I533" i="16"/>
  <c r="G533" i="16"/>
  <c r="F533" i="16"/>
  <c r="E533" i="16"/>
  <c r="D533" i="16"/>
  <c r="O532" i="16"/>
  <c r="M532" i="16"/>
  <c r="K532" i="16"/>
  <c r="I532" i="16"/>
  <c r="G532" i="16"/>
  <c r="F532" i="16"/>
  <c r="E532" i="16"/>
  <c r="D532" i="16"/>
  <c r="O531" i="16"/>
  <c r="M531" i="16"/>
  <c r="K531" i="16"/>
  <c r="I531" i="16"/>
  <c r="G531" i="16"/>
  <c r="F531" i="16"/>
  <c r="E531" i="16"/>
  <c r="D531" i="16"/>
  <c r="O530" i="16"/>
  <c r="M530" i="16"/>
  <c r="K530" i="16"/>
  <c r="I530" i="16"/>
  <c r="G530" i="16"/>
  <c r="F530" i="16"/>
  <c r="E530" i="16"/>
  <c r="D530" i="16"/>
  <c r="O529" i="16"/>
  <c r="M529" i="16"/>
  <c r="K529" i="16"/>
  <c r="I529" i="16"/>
  <c r="G529" i="16"/>
  <c r="F529" i="16"/>
  <c r="E529" i="16"/>
  <c r="D529" i="16"/>
  <c r="O528" i="16"/>
  <c r="M528" i="16"/>
  <c r="K528" i="16"/>
  <c r="I528" i="16"/>
  <c r="G528" i="16"/>
  <c r="F528" i="16"/>
  <c r="E528" i="16"/>
  <c r="D528" i="16"/>
  <c r="O527" i="16"/>
  <c r="M527" i="16"/>
  <c r="K527" i="16"/>
  <c r="I527" i="16"/>
  <c r="G527" i="16"/>
  <c r="F527" i="16"/>
  <c r="E527" i="16"/>
  <c r="D527" i="16"/>
  <c r="O526" i="16"/>
  <c r="M526" i="16"/>
  <c r="K526" i="16"/>
  <c r="I526" i="16"/>
  <c r="G526" i="16"/>
  <c r="F526" i="16"/>
  <c r="E526" i="16"/>
  <c r="D526" i="16"/>
  <c r="O525" i="16"/>
  <c r="M525" i="16"/>
  <c r="K525" i="16"/>
  <c r="I525" i="16"/>
  <c r="G525" i="16"/>
  <c r="F525" i="16"/>
  <c r="E525" i="16"/>
  <c r="D525" i="16"/>
  <c r="O524" i="16"/>
  <c r="M524" i="16"/>
  <c r="K524" i="16"/>
  <c r="I524" i="16"/>
  <c r="G524" i="16"/>
  <c r="F524" i="16"/>
  <c r="E524" i="16"/>
  <c r="D524" i="16"/>
  <c r="O523" i="16"/>
  <c r="M523" i="16"/>
  <c r="K523" i="16"/>
  <c r="I523" i="16"/>
  <c r="G523" i="16"/>
  <c r="F523" i="16"/>
  <c r="E523" i="16"/>
  <c r="D523" i="16"/>
  <c r="O522" i="16"/>
  <c r="M522" i="16"/>
  <c r="K522" i="16"/>
  <c r="I522" i="16"/>
  <c r="G522" i="16"/>
  <c r="F522" i="16"/>
  <c r="E522" i="16"/>
  <c r="D522" i="16"/>
  <c r="O521" i="16"/>
  <c r="M521" i="16"/>
  <c r="K521" i="16"/>
  <c r="I521" i="16"/>
  <c r="G521" i="16"/>
  <c r="F521" i="16"/>
  <c r="E521" i="16"/>
  <c r="D521" i="16"/>
  <c r="O520" i="16"/>
  <c r="M520" i="16"/>
  <c r="K520" i="16"/>
  <c r="I520" i="16"/>
  <c r="G520" i="16"/>
  <c r="F520" i="16"/>
  <c r="E520" i="16"/>
  <c r="D520" i="16"/>
  <c r="O519" i="16"/>
  <c r="M519" i="16"/>
  <c r="K519" i="16"/>
  <c r="I519" i="16"/>
  <c r="G519" i="16"/>
  <c r="F519" i="16"/>
  <c r="E519" i="16"/>
  <c r="D519" i="16"/>
  <c r="O518" i="16"/>
  <c r="M518" i="16"/>
  <c r="K518" i="16"/>
  <c r="I518" i="16"/>
  <c r="G518" i="16"/>
  <c r="F518" i="16"/>
  <c r="E518" i="16"/>
  <c r="D518" i="16"/>
  <c r="O517" i="16"/>
  <c r="M517" i="16"/>
  <c r="K517" i="16"/>
  <c r="I517" i="16"/>
  <c r="G517" i="16"/>
  <c r="F517" i="16"/>
  <c r="E517" i="16"/>
  <c r="D517" i="16"/>
  <c r="O516" i="16"/>
  <c r="M516" i="16"/>
  <c r="K516" i="16"/>
  <c r="I516" i="16"/>
  <c r="G516" i="16"/>
  <c r="F516" i="16"/>
  <c r="E516" i="16"/>
  <c r="D516" i="16"/>
  <c r="O515" i="16"/>
  <c r="M515" i="16"/>
  <c r="K515" i="16"/>
  <c r="I515" i="16"/>
  <c r="G515" i="16"/>
  <c r="F515" i="16"/>
  <c r="E515" i="16"/>
  <c r="D515" i="16"/>
  <c r="O514" i="16"/>
  <c r="M514" i="16"/>
  <c r="K514" i="16"/>
  <c r="I514" i="16"/>
  <c r="G514" i="16"/>
  <c r="F514" i="16"/>
  <c r="E514" i="16"/>
  <c r="D514" i="16"/>
  <c r="O513" i="16"/>
  <c r="M513" i="16"/>
  <c r="K513" i="16"/>
  <c r="I513" i="16"/>
  <c r="G513" i="16"/>
  <c r="F513" i="16"/>
  <c r="E513" i="16"/>
  <c r="D513" i="16"/>
  <c r="O512" i="16"/>
  <c r="M512" i="16"/>
  <c r="K512" i="16"/>
  <c r="I512" i="16"/>
  <c r="G512" i="16"/>
  <c r="F512" i="16"/>
  <c r="E512" i="16"/>
  <c r="D512" i="16"/>
  <c r="O511" i="16"/>
  <c r="M511" i="16"/>
  <c r="K511" i="16"/>
  <c r="I511" i="16"/>
  <c r="G511" i="16"/>
  <c r="F511" i="16"/>
  <c r="E511" i="16"/>
  <c r="D511" i="16"/>
  <c r="O510" i="16"/>
  <c r="M510" i="16"/>
  <c r="K510" i="16"/>
  <c r="I510" i="16"/>
  <c r="G510" i="16"/>
  <c r="F510" i="16"/>
  <c r="E510" i="16"/>
  <c r="D510" i="16"/>
  <c r="O509" i="16"/>
  <c r="M509" i="16"/>
  <c r="K509" i="16"/>
  <c r="I509" i="16"/>
  <c r="G509" i="16"/>
  <c r="F509" i="16"/>
  <c r="E509" i="16"/>
  <c r="D509" i="16"/>
  <c r="O508" i="16"/>
  <c r="M508" i="16"/>
  <c r="K508" i="16"/>
  <c r="I508" i="16"/>
  <c r="G508" i="16"/>
  <c r="F508" i="16"/>
  <c r="E508" i="16"/>
  <c r="D508" i="16"/>
  <c r="O507" i="16"/>
  <c r="M507" i="16"/>
  <c r="K507" i="16"/>
  <c r="I507" i="16"/>
  <c r="G507" i="16"/>
  <c r="F507" i="16"/>
  <c r="E507" i="16"/>
  <c r="D507" i="16"/>
  <c r="O506" i="16"/>
  <c r="M506" i="16"/>
  <c r="K506" i="16"/>
  <c r="I506" i="16"/>
  <c r="G506" i="16"/>
  <c r="F506" i="16"/>
  <c r="E506" i="16"/>
  <c r="D506" i="16"/>
  <c r="O505" i="16"/>
  <c r="M505" i="16"/>
  <c r="K505" i="16"/>
  <c r="I505" i="16"/>
  <c r="G505" i="16"/>
  <c r="F505" i="16"/>
  <c r="E505" i="16"/>
  <c r="D505" i="16"/>
  <c r="O504" i="16"/>
  <c r="M504" i="16"/>
  <c r="K504" i="16"/>
  <c r="I504" i="16"/>
  <c r="G504" i="16"/>
  <c r="F504" i="16"/>
  <c r="E504" i="16"/>
  <c r="D504" i="16"/>
  <c r="O503" i="16"/>
  <c r="M503" i="16"/>
  <c r="K503" i="16"/>
  <c r="I503" i="16"/>
  <c r="G503" i="16"/>
  <c r="F503" i="16"/>
  <c r="E503" i="16"/>
  <c r="D503" i="16"/>
  <c r="O502" i="16"/>
  <c r="M502" i="16"/>
  <c r="K502" i="16"/>
  <c r="I502" i="16"/>
  <c r="G502" i="16"/>
  <c r="F502" i="16"/>
  <c r="E502" i="16"/>
  <c r="D502" i="16"/>
  <c r="O501" i="16"/>
  <c r="M501" i="16"/>
  <c r="K501" i="16"/>
  <c r="I501" i="16"/>
  <c r="G501" i="16"/>
  <c r="F501" i="16"/>
  <c r="E501" i="16"/>
  <c r="D501" i="16"/>
  <c r="O500" i="16"/>
  <c r="M500" i="16"/>
  <c r="K500" i="16"/>
  <c r="I500" i="16"/>
  <c r="G500" i="16"/>
  <c r="F500" i="16"/>
  <c r="E500" i="16"/>
  <c r="D500" i="16"/>
  <c r="O499" i="16"/>
  <c r="M499" i="16"/>
  <c r="K499" i="16"/>
  <c r="I499" i="16"/>
  <c r="G499" i="16"/>
  <c r="F499" i="16"/>
  <c r="E499" i="16"/>
  <c r="D499" i="16"/>
  <c r="O498" i="16"/>
  <c r="M498" i="16"/>
  <c r="K498" i="16"/>
  <c r="I498" i="16"/>
  <c r="G498" i="16"/>
  <c r="F498" i="16"/>
  <c r="E498" i="16"/>
  <c r="D498" i="16"/>
  <c r="O497" i="16"/>
  <c r="M497" i="16"/>
  <c r="K497" i="16"/>
  <c r="I497" i="16"/>
  <c r="G497" i="16"/>
  <c r="F497" i="16"/>
  <c r="E497" i="16"/>
  <c r="D497" i="16"/>
  <c r="O496" i="16"/>
  <c r="M496" i="16"/>
  <c r="K496" i="16"/>
  <c r="I496" i="16"/>
  <c r="G496" i="16"/>
  <c r="F496" i="16"/>
  <c r="E496" i="16"/>
  <c r="D496" i="16"/>
  <c r="O495" i="16"/>
  <c r="M495" i="16"/>
  <c r="K495" i="16"/>
  <c r="I495" i="16"/>
  <c r="G495" i="16"/>
  <c r="F495" i="16"/>
  <c r="E495" i="16"/>
  <c r="D495" i="16"/>
  <c r="O494" i="16"/>
  <c r="M494" i="16"/>
  <c r="K494" i="16"/>
  <c r="I494" i="16"/>
  <c r="G494" i="16"/>
  <c r="F494" i="16"/>
  <c r="E494" i="16"/>
  <c r="D494" i="16"/>
  <c r="O493" i="16"/>
  <c r="M493" i="16"/>
  <c r="K493" i="16"/>
  <c r="I493" i="16"/>
  <c r="G493" i="16"/>
  <c r="F493" i="16"/>
  <c r="E493" i="16"/>
  <c r="D493" i="16"/>
  <c r="O492" i="16"/>
  <c r="M492" i="16"/>
  <c r="K492" i="16"/>
  <c r="I492" i="16"/>
  <c r="G492" i="16"/>
  <c r="F492" i="16"/>
  <c r="E492" i="16"/>
  <c r="D492" i="16"/>
  <c r="O491" i="16"/>
  <c r="M491" i="16"/>
  <c r="K491" i="16"/>
  <c r="I491" i="16"/>
  <c r="G491" i="16"/>
  <c r="F491" i="16"/>
  <c r="E491" i="16"/>
  <c r="D491" i="16"/>
  <c r="O490" i="16"/>
  <c r="M490" i="16"/>
  <c r="K490" i="16"/>
  <c r="I490" i="16"/>
  <c r="G490" i="16"/>
  <c r="F490" i="16"/>
  <c r="E490" i="16"/>
  <c r="D490" i="16"/>
  <c r="O489" i="16"/>
  <c r="M489" i="16"/>
  <c r="K489" i="16"/>
  <c r="I489" i="16"/>
  <c r="G489" i="16"/>
  <c r="F489" i="16"/>
  <c r="E489" i="16"/>
  <c r="D489" i="16"/>
  <c r="O488" i="16"/>
  <c r="M488" i="16"/>
  <c r="K488" i="16"/>
  <c r="I488" i="16"/>
  <c r="G488" i="16"/>
  <c r="F488" i="16"/>
  <c r="E488" i="16"/>
  <c r="D488" i="16"/>
  <c r="O487" i="16"/>
  <c r="M487" i="16"/>
  <c r="K487" i="16"/>
  <c r="I487" i="16"/>
  <c r="G487" i="16"/>
  <c r="F487" i="16"/>
  <c r="E487" i="16"/>
  <c r="D487" i="16"/>
  <c r="O486" i="16"/>
  <c r="M486" i="16"/>
  <c r="K486" i="16"/>
  <c r="I486" i="16"/>
  <c r="G486" i="16"/>
  <c r="F486" i="16"/>
  <c r="E486" i="16"/>
  <c r="D486" i="16"/>
  <c r="O485" i="16"/>
  <c r="M485" i="16"/>
  <c r="K485" i="16"/>
  <c r="I485" i="16"/>
  <c r="G485" i="16"/>
  <c r="F485" i="16"/>
  <c r="E485" i="16"/>
  <c r="D485" i="16"/>
  <c r="O484" i="16"/>
  <c r="M484" i="16"/>
  <c r="K484" i="16"/>
  <c r="I484" i="16"/>
  <c r="G484" i="16"/>
  <c r="F484" i="16"/>
  <c r="E484" i="16"/>
  <c r="D484" i="16"/>
  <c r="O483" i="16"/>
  <c r="M483" i="16"/>
  <c r="K483" i="16"/>
  <c r="I483" i="16"/>
  <c r="G483" i="16"/>
  <c r="F483" i="16"/>
  <c r="E483" i="16"/>
  <c r="D483" i="16"/>
  <c r="O482" i="16"/>
  <c r="M482" i="16"/>
  <c r="K482" i="16"/>
  <c r="I482" i="16"/>
  <c r="G482" i="16"/>
  <c r="F482" i="16"/>
  <c r="E482" i="16"/>
  <c r="D482" i="16"/>
  <c r="O481" i="16"/>
  <c r="M481" i="16"/>
  <c r="K481" i="16"/>
  <c r="I481" i="16"/>
  <c r="G481" i="16"/>
  <c r="F481" i="16"/>
  <c r="E481" i="16"/>
  <c r="D481" i="16"/>
  <c r="O480" i="16"/>
  <c r="M480" i="16"/>
  <c r="K480" i="16"/>
  <c r="I480" i="16"/>
  <c r="G480" i="16"/>
  <c r="F480" i="16"/>
  <c r="E480" i="16"/>
  <c r="D480" i="16"/>
  <c r="O479" i="16"/>
  <c r="M479" i="16"/>
  <c r="K479" i="16"/>
  <c r="I479" i="16"/>
  <c r="G479" i="16"/>
  <c r="F479" i="16"/>
  <c r="E479" i="16"/>
  <c r="D479" i="16"/>
  <c r="O478" i="16"/>
  <c r="M478" i="16"/>
  <c r="K478" i="16"/>
  <c r="I478" i="16"/>
  <c r="G478" i="16"/>
  <c r="F478" i="16"/>
  <c r="E478" i="16"/>
  <c r="D478" i="16"/>
  <c r="O477" i="16"/>
  <c r="M477" i="16"/>
  <c r="K477" i="16"/>
  <c r="I477" i="16"/>
  <c r="G477" i="16"/>
  <c r="F477" i="16"/>
  <c r="E477" i="16"/>
  <c r="D477" i="16"/>
  <c r="O476" i="16"/>
  <c r="M476" i="16"/>
  <c r="K476" i="16"/>
  <c r="I476" i="16"/>
  <c r="G476" i="16"/>
  <c r="F476" i="16"/>
  <c r="E476" i="16"/>
  <c r="D476" i="16"/>
  <c r="O475" i="16"/>
  <c r="M475" i="16"/>
  <c r="K475" i="16"/>
  <c r="I475" i="16"/>
  <c r="G475" i="16"/>
  <c r="F475" i="16"/>
  <c r="E475" i="16"/>
  <c r="D475" i="16"/>
  <c r="O474" i="16"/>
  <c r="M474" i="16"/>
  <c r="K474" i="16"/>
  <c r="I474" i="16"/>
  <c r="G474" i="16"/>
  <c r="F474" i="16"/>
  <c r="E474" i="16"/>
  <c r="D474" i="16"/>
  <c r="O473" i="16"/>
  <c r="M473" i="16"/>
  <c r="K473" i="16"/>
  <c r="I473" i="16"/>
  <c r="G473" i="16"/>
  <c r="F473" i="16"/>
  <c r="E473" i="16"/>
  <c r="D473" i="16"/>
  <c r="O472" i="16"/>
  <c r="M472" i="16"/>
  <c r="K472" i="16"/>
  <c r="I472" i="16"/>
  <c r="G472" i="16"/>
  <c r="F472" i="16"/>
  <c r="E472" i="16"/>
  <c r="D472" i="16"/>
  <c r="O471" i="16"/>
  <c r="M471" i="16"/>
  <c r="K471" i="16"/>
  <c r="I471" i="16"/>
  <c r="G471" i="16"/>
  <c r="F471" i="16"/>
  <c r="E471" i="16"/>
  <c r="D471" i="16"/>
  <c r="O470" i="16"/>
  <c r="M470" i="16"/>
  <c r="K470" i="16"/>
  <c r="I470" i="16"/>
  <c r="G470" i="16"/>
  <c r="F470" i="16"/>
  <c r="E470" i="16"/>
  <c r="D470" i="16"/>
  <c r="O469" i="16"/>
  <c r="M469" i="16"/>
  <c r="K469" i="16"/>
  <c r="I469" i="16"/>
  <c r="G469" i="16"/>
  <c r="F469" i="16"/>
  <c r="E469" i="16"/>
  <c r="D469" i="16"/>
  <c r="O468" i="16"/>
  <c r="M468" i="16"/>
  <c r="K468" i="16"/>
  <c r="I468" i="16"/>
  <c r="G468" i="16"/>
  <c r="F468" i="16"/>
  <c r="E468" i="16"/>
  <c r="D468" i="16"/>
  <c r="O467" i="16"/>
  <c r="M467" i="16"/>
  <c r="K467" i="16"/>
  <c r="I467" i="16"/>
  <c r="G467" i="16"/>
  <c r="F467" i="16"/>
  <c r="E467" i="16"/>
  <c r="D467" i="16"/>
  <c r="O466" i="16"/>
  <c r="M466" i="16"/>
  <c r="K466" i="16"/>
  <c r="I466" i="16"/>
  <c r="G466" i="16"/>
  <c r="F466" i="16"/>
  <c r="E466" i="16"/>
  <c r="D466" i="16"/>
  <c r="O465" i="16"/>
  <c r="M465" i="16"/>
  <c r="K465" i="16"/>
  <c r="I465" i="16"/>
  <c r="G465" i="16"/>
  <c r="F465" i="16"/>
  <c r="E465" i="16"/>
  <c r="D465" i="16"/>
  <c r="O464" i="16"/>
  <c r="M464" i="16"/>
  <c r="K464" i="16"/>
  <c r="I464" i="16"/>
  <c r="G464" i="16"/>
  <c r="F464" i="16"/>
  <c r="E464" i="16"/>
  <c r="D464" i="16"/>
  <c r="O463" i="16"/>
  <c r="M463" i="16"/>
  <c r="K463" i="16"/>
  <c r="I463" i="16"/>
  <c r="G463" i="16"/>
  <c r="F463" i="16"/>
  <c r="E463" i="16"/>
  <c r="D463" i="16"/>
  <c r="O462" i="16"/>
  <c r="M462" i="16"/>
  <c r="K462" i="16"/>
  <c r="I462" i="16"/>
  <c r="G462" i="16"/>
  <c r="F462" i="16"/>
  <c r="E462" i="16"/>
  <c r="D462" i="16"/>
  <c r="O461" i="16"/>
  <c r="M461" i="16"/>
  <c r="K461" i="16"/>
  <c r="I461" i="16"/>
  <c r="G461" i="16"/>
  <c r="F461" i="16"/>
  <c r="E461" i="16"/>
  <c r="D461" i="16"/>
  <c r="O460" i="16"/>
  <c r="M460" i="16"/>
  <c r="K460" i="16"/>
  <c r="I460" i="16"/>
  <c r="G460" i="16"/>
  <c r="F460" i="16"/>
  <c r="E460" i="16"/>
  <c r="D460" i="16"/>
  <c r="O459" i="16"/>
  <c r="M459" i="16"/>
  <c r="K459" i="16"/>
  <c r="I459" i="16"/>
  <c r="G459" i="16"/>
  <c r="F459" i="16"/>
  <c r="E459" i="16"/>
  <c r="D459" i="16"/>
  <c r="O458" i="16"/>
  <c r="M458" i="16"/>
  <c r="K458" i="16"/>
  <c r="I458" i="16"/>
  <c r="G458" i="16"/>
  <c r="F458" i="16"/>
  <c r="E458" i="16"/>
  <c r="D458" i="16"/>
  <c r="O457" i="16"/>
  <c r="M457" i="16"/>
  <c r="K457" i="16"/>
  <c r="I457" i="16"/>
  <c r="G457" i="16"/>
  <c r="F457" i="16"/>
  <c r="E457" i="16"/>
  <c r="D457" i="16"/>
  <c r="O456" i="16"/>
  <c r="M456" i="16"/>
  <c r="K456" i="16"/>
  <c r="I456" i="16"/>
  <c r="G456" i="16"/>
  <c r="F456" i="16"/>
  <c r="E456" i="16"/>
  <c r="D456" i="16"/>
  <c r="O455" i="16"/>
  <c r="M455" i="16"/>
  <c r="K455" i="16"/>
  <c r="I455" i="16"/>
  <c r="G455" i="16"/>
  <c r="F455" i="16"/>
  <c r="E455" i="16"/>
  <c r="D455" i="16"/>
  <c r="O454" i="16"/>
  <c r="M454" i="16"/>
  <c r="K454" i="16"/>
  <c r="I454" i="16"/>
  <c r="G454" i="16"/>
  <c r="F454" i="16"/>
  <c r="E454" i="16"/>
  <c r="D454" i="16"/>
  <c r="O453" i="16"/>
  <c r="M453" i="16"/>
  <c r="K453" i="16"/>
  <c r="I453" i="16"/>
  <c r="G453" i="16"/>
  <c r="F453" i="16"/>
  <c r="E453" i="16"/>
  <c r="D453" i="16"/>
  <c r="O452" i="16"/>
  <c r="M452" i="16"/>
  <c r="K452" i="16"/>
  <c r="I452" i="16"/>
  <c r="G452" i="16"/>
  <c r="F452" i="16"/>
  <c r="E452" i="16"/>
  <c r="D452" i="16"/>
  <c r="O451" i="16"/>
  <c r="M451" i="16"/>
  <c r="K451" i="16"/>
  <c r="I451" i="16"/>
  <c r="G451" i="16"/>
  <c r="F451" i="16"/>
  <c r="E451" i="16"/>
  <c r="D451" i="16"/>
  <c r="O450" i="16"/>
  <c r="M450" i="16"/>
  <c r="K450" i="16"/>
  <c r="I450" i="16"/>
  <c r="G450" i="16"/>
  <c r="F450" i="16"/>
  <c r="E450" i="16"/>
  <c r="D450" i="16"/>
  <c r="O449" i="16"/>
  <c r="M449" i="16"/>
  <c r="K449" i="16"/>
  <c r="I449" i="16"/>
  <c r="G449" i="16"/>
  <c r="F449" i="16"/>
  <c r="E449" i="16"/>
  <c r="D449" i="16"/>
  <c r="O448" i="16"/>
  <c r="M448" i="16"/>
  <c r="K448" i="16"/>
  <c r="I448" i="16"/>
  <c r="G448" i="16"/>
  <c r="F448" i="16"/>
  <c r="E448" i="16"/>
  <c r="D448" i="16"/>
  <c r="O447" i="16"/>
  <c r="M447" i="16"/>
  <c r="K447" i="16"/>
  <c r="I447" i="16"/>
  <c r="G447" i="16"/>
  <c r="F447" i="16"/>
  <c r="E447" i="16"/>
  <c r="D447" i="16"/>
  <c r="O446" i="16"/>
  <c r="M446" i="16"/>
  <c r="K446" i="16"/>
  <c r="I446" i="16"/>
  <c r="G446" i="16"/>
  <c r="F446" i="16"/>
  <c r="E446" i="16"/>
  <c r="D446" i="16"/>
  <c r="O445" i="16"/>
  <c r="M445" i="16"/>
  <c r="K445" i="16"/>
  <c r="I445" i="16"/>
  <c r="G445" i="16"/>
  <c r="F445" i="16"/>
  <c r="E445" i="16"/>
  <c r="D445" i="16"/>
  <c r="O444" i="16"/>
  <c r="M444" i="16"/>
  <c r="K444" i="16"/>
  <c r="I444" i="16"/>
  <c r="G444" i="16"/>
  <c r="F444" i="16"/>
  <c r="E444" i="16"/>
  <c r="D444" i="16"/>
  <c r="O443" i="16"/>
  <c r="M443" i="16"/>
  <c r="K443" i="16"/>
  <c r="I443" i="16"/>
  <c r="G443" i="16"/>
  <c r="F443" i="16"/>
  <c r="E443" i="16"/>
  <c r="D443" i="16"/>
  <c r="O442" i="16"/>
  <c r="M442" i="16"/>
  <c r="K442" i="16"/>
  <c r="I442" i="16"/>
  <c r="G442" i="16"/>
  <c r="F442" i="16"/>
  <c r="E442" i="16"/>
  <c r="D442" i="16"/>
  <c r="O441" i="16"/>
  <c r="M441" i="16"/>
  <c r="K441" i="16"/>
  <c r="I441" i="16"/>
  <c r="G441" i="16"/>
  <c r="F441" i="16"/>
  <c r="E441" i="16"/>
  <c r="D441" i="16"/>
  <c r="O440" i="16"/>
  <c r="M440" i="16"/>
  <c r="K440" i="16"/>
  <c r="I440" i="16"/>
  <c r="G440" i="16"/>
  <c r="F440" i="16"/>
  <c r="E440" i="16"/>
  <c r="D440" i="16"/>
  <c r="O439" i="16"/>
  <c r="M439" i="16"/>
  <c r="K439" i="16"/>
  <c r="I439" i="16"/>
  <c r="G439" i="16"/>
  <c r="F439" i="16"/>
  <c r="E439" i="16"/>
  <c r="D439" i="16"/>
  <c r="O438" i="16"/>
  <c r="M438" i="16"/>
  <c r="K438" i="16"/>
  <c r="I438" i="16"/>
  <c r="G438" i="16"/>
  <c r="F438" i="16"/>
  <c r="E438" i="16"/>
  <c r="D438" i="16"/>
  <c r="O437" i="16"/>
  <c r="M437" i="16"/>
  <c r="K437" i="16"/>
  <c r="I437" i="16"/>
  <c r="G437" i="16"/>
  <c r="F437" i="16"/>
  <c r="E437" i="16"/>
  <c r="D437" i="16"/>
  <c r="O436" i="16"/>
  <c r="M436" i="16"/>
  <c r="K436" i="16"/>
  <c r="I436" i="16"/>
  <c r="G436" i="16"/>
  <c r="F436" i="16"/>
  <c r="E436" i="16"/>
  <c r="D436" i="16"/>
  <c r="O435" i="16"/>
  <c r="M435" i="16"/>
  <c r="K435" i="16"/>
  <c r="I435" i="16"/>
  <c r="G435" i="16"/>
  <c r="F435" i="16"/>
  <c r="E435" i="16"/>
  <c r="D435" i="16"/>
  <c r="O434" i="16"/>
  <c r="M434" i="16"/>
  <c r="K434" i="16"/>
  <c r="I434" i="16"/>
  <c r="G434" i="16"/>
  <c r="F434" i="16"/>
  <c r="E434" i="16"/>
  <c r="D434" i="16"/>
  <c r="O433" i="16"/>
  <c r="M433" i="16"/>
  <c r="K433" i="16"/>
  <c r="I433" i="16"/>
  <c r="G433" i="16"/>
  <c r="F433" i="16"/>
  <c r="E433" i="16"/>
  <c r="D433" i="16"/>
  <c r="O432" i="16"/>
  <c r="M432" i="16"/>
  <c r="K432" i="16"/>
  <c r="I432" i="16"/>
  <c r="G432" i="16"/>
  <c r="F432" i="16"/>
  <c r="E432" i="16"/>
  <c r="D432" i="16"/>
  <c r="O431" i="16"/>
  <c r="M431" i="16"/>
  <c r="K431" i="16"/>
  <c r="I431" i="16"/>
  <c r="G431" i="16"/>
  <c r="F431" i="16"/>
  <c r="E431" i="16"/>
  <c r="D431" i="16"/>
  <c r="O430" i="16"/>
  <c r="M430" i="16"/>
  <c r="K430" i="16"/>
  <c r="I430" i="16"/>
  <c r="G430" i="16"/>
  <c r="F430" i="16"/>
  <c r="E430" i="16"/>
  <c r="D430" i="16"/>
  <c r="O429" i="16"/>
  <c r="M429" i="16"/>
  <c r="K429" i="16"/>
  <c r="I429" i="16"/>
  <c r="G429" i="16"/>
  <c r="F429" i="16"/>
  <c r="E429" i="16"/>
  <c r="D429" i="16"/>
  <c r="O428" i="16"/>
  <c r="M428" i="16"/>
  <c r="K428" i="16"/>
  <c r="I428" i="16"/>
  <c r="G428" i="16"/>
  <c r="F428" i="16"/>
  <c r="E428" i="16"/>
  <c r="D428" i="16"/>
  <c r="O427" i="16"/>
  <c r="M427" i="16"/>
  <c r="K427" i="16"/>
  <c r="I427" i="16"/>
  <c r="G427" i="16"/>
  <c r="F427" i="16"/>
  <c r="E427" i="16"/>
  <c r="D427" i="16"/>
  <c r="O426" i="16"/>
  <c r="M426" i="16"/>
  <c r="K426" i="16"/>
  <c r="I426" i="16"/>
  <c r="G426" i="16"/>
  <c r="F426" i="16"/>
  <c r="E426" i="16"/>
  <c r="D426" i="16"/>
  <c r="O425" i="16"/>
  <c r="M425" i="16"/>
  <c r="K425" i="16"/>
  <c r="I425" i="16"/>
  <c r="G425" i="16"/>
  <c r="F425" i="16"/>
  <c r="E425" i="16"/>
  <c r="D425" i="16"/>
  <c r="O424" i="16"/>
  <c r="M424" i="16"/>
  <c r="K424" i="16"/>
  <c r="I424" i="16"/>
  <c r="G424" i="16"/>
  <c r="F424" i="16"/>
  <c r="E424" i="16"/>
  <c r="D424" i="16"/>
  <c r="O423" i="16"/>
  <c r="M423" i="16"/>
  <c r="K423" i="16"/>
  <c r="I423" i="16"/>
  <c r="G423" i="16"/>
  <c r="F423" i="16"/>
  <c r="E423" i="16"/>
  <c r="D423" i="16"/>
  <c r="O422" i="16"/>
  <c r="M422" i="16"/>
  <c r="K422" i="16"/>
  <c r="I422" i="16"/>
  <c r="G422" i="16"/>
  <c r="F422" i="16"/>
  <c r="E422" i="16"/>
  <c r="D422" i="16"/>
  <c r="O421" i="16"/>
  <c r="M421" i="16"/>
  <c r="K421" i="16"/>
  <c r="I421" i="16"/>
  <c r="G421" i="16"/>
  <c r="F421" i="16"/>
  <c r="E421" i="16"/>
  <c r="D421" i="16"/>
  <c r="O420" i="16"/>
  <c r="M420" i="16"/>
  <c r="K420" i="16"/>
  <c r="I420" i="16"/>
  <c r="G420" i="16"/>
  <c r="F420" i="16"/>
  <c r="E420" i="16"/>
  <c r="D420" i="16"/>
  <c r="O419" i="16"/>
  <c r="M419" i="16"/>
  <c r="K419" i="16"/>
  <c r="I419" i="16"/>
  <c r="G419" i="16"/>
  <c r="F419" i="16"/>
  <c r="E419" i="16"/>
  <c r="D419" i="16"/>
  <c r="O418" i="16"/>
  <c r="M418" i="16"/>
  <c r="K418" i="16"/>
  <c r="I418" i="16"/>
  <c r="G418" i="16"/>
  <c r="F418" i="16"/>
  <c r="E418" i="16"/>
  <c r="D418" i="16"/>
  <c r="O417" i="16"/>
  <c r="M417" i="16"/>
  <c r="K417" i="16"/>
  <c r="I417" i="16"/>
  <c r="G417" i="16"/>
  <c r="F417" i="16"/>
  <c r="E417" i="16"/>
  <c r="D417" i="16"/>
  <c r="O416" i="16"/>
  <c r="M416" i="16"/>
  <c r="K416" i="16"/>
  <c r="I416" i="16"/>
  <c r="G416" i="16"/>
  <c r="F416" i="16"/>
  <c r="E416" i="16"/>
  <c r="D416" i="16"/>
  <c r="O415" i="16"/>
  <c r="M415" i="16"/>
  <c r="K415" i="16"/>
  <c r="I415" i="16"/>
  <c r="G415" i="16"/>
  <c r="F415" i="16"/>
  <c r="E415" i="16"/>
  <c r="D415" i="16"/>
  <c r="O414" i="16"/>
  <c r="M414" i="16"/>
  <c r="K414" i="16"/>
  <c r="I414" i="16"/>
  <c r="G414" i="16"/>
  <c r="F414" i="16"/>
  <c r="E414" i="16"/>
  <c r="D414" i="16"/>
  <c r="O413" i="16"/>
  <c r="M413" i="16"/>
  <c r="K413" i="16"/>
  <c r="I413" i="16"/>
  <c r="G413" i="16"/>
  <c r="F413" i="16"/>
  <c r="E413" i="16"/>
  <c r="D413" i="16"/>
  <c r="O412" i="16"/>
  <c r="M412" i="16"/>
  <c r="K412" i="16"/>
  <c r="I412" i="16"/>
  <c r="G412" i="16"/>
  <c r="F412" i="16"/>
  <c r="E412" i="16"/>
  <c r="D412" i="16"/>
  <c r="O411" i="16"/>
  <c r="M411" i="16"/>
  <c r="K411" i="16"/>
  <c r="I411" i="16"/>
  <c r="G411" i="16"/>
  <c r="F411" i="16"/>
  <c r="E411" i="16"/>
  <c r="D411" i="16"/>
  <c r="O410" i="16"/>
  <c r="M410" i="16"/>
  <c r="K410" i="16"/>
  <c r="I410" i="16"/>
  <c r="G410" i="16"/>
  <c r="F410" i="16"/>
  <c r="E410" i="16"/>
  <c r="D410" i="16"/>
  <c r="O409" i="16"/>
  <c r="M409" i="16"/>
  <c r="K409" i="16"/>
  <c r="I409" i="16"/>
  <c r="G409" i="16"/>
  <c r="F409" i="16"/>
  <c r="E409" i="16"/>
  <c r="D409" i="16"/>
  <c r="O408" i="16"/>
  <c r="M408" i="16"/>
  <c r="K408" i="16"/>
  <c r="I408" i="16"/>
  <c r="G408" i="16"/>
  <c r="F408" i="16"/>
  <c r="E408" i="16"/>
  <c r="D408" i="16"/>
  <c r="O407" i="16"/>
  <c r="M407" i="16"/>
  <c r="K407" i="16"/>
  <c r="I407" i="16"/>
  <c r="G407" i="16"/>
  <c r="F407" i="16"/>
  <c r="E407" i="16"/>
  <c r="D407" i="16"/>
  <c r="O406" i="16"/>
  <c r="M406" i="16"/>
  <c r="K406" i="16"/>
  <c r="I406" i="16"/>
  <c r="G406" i="16"/>
  <c r="F406" i="16"/>
  <c r="E406" i="16"/>
  <c r="D406" i="16"/>
  <c r="O405" i="16"/>
  <c r="M405" i="16"/>
  <c r="K405" i="16"/>
  <c r="I405" i="16"/>
  <c r="G405" i="16"/>
  <c r="F405" i="16"/>
  <c r="E405" i="16"/>
  <c r="D405" i="16"/>
  <c r="O404" i="16"/>
  <c r="M404" i="16"/>
  <c r="K404" i="16"/>
  <c r="I404" i="16"/>
  <c r="G404" i="16"/>
  <c r="F404" i="16"/>
  <c r="E404" i="16"/>
  <c r="D404" i="16"/>
  <c r="O403" i="16"/>
  <c r="M403" i="16"/>
  <c r="K403" i="16"/>
  <c r="I403" i="16"/>
  <c r="G403" i="16"/>
  <c r="F403" i="16"/>
  <c r="E403" i="16"/>
  <c r="D403" i="16"/>
  <c r="O402" i="16"/>
  <c r="M402" i="16"/>
  <c r="K402" i="16"/>
  <c r="I402" i="16"/>
  <c r="G402" i="16"/>
  <c r="F402" i="16"/>
  <c r="E402" i="16"/>
  <c r="D402" i="16"/>
  <c r="O401" i="16"/>
  <c r="M401" i="16"/>
  <c r="K401" i="16"/>
  <c r="I401" i="16"/>
  <c r="G401" i="16"/>
  <c r="F401" i="16"/>
  <c r="E401" i="16"/>
  <c r="D401" i="16"/>
  <c r="O400" i="16"/>
  <c r="M400" i="16"/>
  <c r="K400" i="16"/>
  <c r="I400" i="16"/>
  <c r="G400" i="16"/>
  <c r="F400" i="16"/>
  <c r="E400" i="16"/>
  <c r="D400" i="16"/>
  <c r="O399" i="16"/>
  <c r="M399" i="16"/>
  <c r="K399" i="16"/>
  <c r="I399" i="16"/>
  <c r="G399" i="16"/>
  <c r="F399" i="16"/>
  <c r="E399" i="16"/>
  <c r="D399" i="16"/>
  <c r="O398" i="16"/>
  <c r="M398" i="16"/>
  <c r="K398" i="16"/>
  <c r="I398" i="16"/>
  <c r="G398" i="16"/>
  <c r="F398" i="16"/>
  <c r="E398" i="16"/>
  <c r="D398" i="16"/>
  <c r="O397" i="16"/>
  <c r="M397" i="16"/>
  <c r="K397" i="16"/>
  <c r="I397" i="16"/>
  <c r="G397" i="16"/>
  <c r="F397" i="16"/>
  <c r="E397" i="16"/>
  <c r="D397" i="16"/>
  <c r="O396" i="16"/>
  <c r="M396" i="16"/>
  <c r="K396" i="16"/>
  <c r="I396" i="16"/>
  <c r="G396" i="16"/>
  <c r="F396" i="16"/>
  <c r="E396" i="16"/>
  <c r="D396" i="16"/>
  <c r="O395" i="16"/>
  <c r="M395" i="16"/>
  <c r="K395" i="16"/>
  <c r="I395" i="16"/>
  <c r="G395" i="16"/>
  <c r="F395" i="16"/>
  <c r="E395" i="16"/>
  <c r="D395" i="16"/>
  <c r="O394" i="16"/>
  <c r="M394" i="16"/>
  <c r="K394" i="16"/>
  <c r="I394" i="16"/>
  <c r="G394" i="16"/>
  <c r="F394" i="16"/>
  <c r="E394" i="16"/>
  <c r="D394" i="16"/>
  <c r="O393" i="16"/>
  <c r="M393" i="16"/>
  <c r="K393" i="16"/>
  <c r="I393" i="16"/>
  <c r="G393" i="16"/>
  <c r="F393" i="16"/>
  <c r="E393" i="16"/>
  <c r="D393" i="16"/>
  <c r="O392" i="16"/>
  <c r="M392" i="16"/>
  <c r="K392" i="16"/>
  <c r="I392" i="16"/>
  <c r="G392" i="16"/>
  <c r="F392" i="16"/>
  <c r="E392" i="16"/>
  <c r="D392" i="16"/>
  <c r="O391" i="16"/>
  <c r="M391" i="16"/>
  <c r="K391" i="16"/>
  <c r="I391" i="16"/>
  <c r="G391" i="16"/>
  <c r="F391" i="16"/>
  <c r="E391" i="16"/>
  <c r="D391" i="16"/>
  <c r="O390" i="16"/>
  <c r="M390" i="16"/>
  <c r="K390" i="16"/>
  <c r="I390" i="16"/>
  <c r="G390" i="16"/>
  <c r="F390" i="16"/>
  <c r="E390" i="16"/>
  <c r="D390" i="16"/>
  <c r="O389" i="16"/>
  <c r="M389" i="16"/>
  <c r="K389" i="16"/>
  <c r="I389" i="16"/>
  <c r="G389" i="16"/>
  <c r="F389" i="16"/>
  <c r="E389" i="16"/>
  <c r="D389" i="16"/>
  <c r="O388" i="16"/>
  <c r="M388" i="16"/>
  <c r="K388" i="16"/>
  <c r="I388" i="16"/>
  <c r="G388" i="16"/>
  <c r="F388" i="16"/>
  <c r="E388" i="16"/>
  <c r="D388" i="16"/>
  <c r="O387" i="16"/>
  <c r="M387" i="16"/>
  <c r="K387" i="16"/>
  <c r="I387" i="16"/>
  <c r="G387" i="16"/>
  <c r="F387" i="16"/>
  <c r="E387" i="16"/>
  <c r="D387" i="16"/>
  <c r="O386" i="16"/>
  <c r="M386" i="16"/>
  <c r="K386" i="16"/>
  <c r="I386" i="16"/>
  <c r="G386" i="16"/>
  <c r="F386" i="16"/>
  <c r="E386" i="16"/>
  <c r="D386" i="16"/>
  <c r="O385" i="16"/>
  <c r="M385" i="16"/>
  <c r="K385" i="16"/>
  <c r="I385" i="16"/>
  <c r="G385" i="16"/>
  <c r="F385" i="16"/>
  <c r="E385" i="16"/>
  <c r="D385" i="16"/>
  <c r="O384" i="16"/>
  <c r="M384" i="16"/>
  <c r="K384" i="16"/>
  <c r="I384" i="16"/>
  <c r="G384" i="16"/>
  <c r="F384" i="16"/>
  <c r="E384" i="16"/>
  <c r="D384" i="16"/>
  <c r="O383" i="16"/>
  <c r="M383" i="16"/>
  <c r="K383" i="16"/>
  <c r="I383" i="16"/>
  <c r="G383" i="16"/>
  <c r="F383" i="16"/>
  <c r="E383" i="16"/>
  <c r="D383" i="16"/>
  <c r="O382" i="16"/>
  <c r="M382" i="16"/>
  <c r="K382" i="16"/>
  <c r="I382" i="16"/>
  <c r="G382" i="16"/>
  <c r="F382" i="16"/>
  <c r="E382" i="16"/>
  <c r="D382" i="16"/>
  <c r="O381" i="16"/>
  <c r="M381" i="16"/>
  <c r="K381" i="16"/>
  <c r="I381" i="16"/>
  <c r="G381" i="16"/>
  <c r="F381" i="16"/>
  <c r="E381" i="16"/>
  <c r="D381" i="16"/>
  <c r="O380" i="16"/>
  <c r="M380" i="16"/>
  <c r="K380" i="16"/>
  <c r="I380" i="16"/>
  <c r="G380" i="16"/>
  <c r="F380" i="16"/>
  <c r="E380" i="16"/>
  <c r="D380" i="16"/>
  <c r="O379" i="16"/>
  <c r="M379" i="16"/>
  <c r="K379" i="16"/>
  <c r="I379" i="16"/>
  <c r="G379" i="16"/>
  <c r="F379" i="16"/>
  <c r="E379" i="16"/>
  <c r="D379" i="16"/>
  <c r="O378" i="16"/>
  <c r="M378" i="16"/>
  <c r="K378" i="16"/>
  <c r="I378" i="16"/>
  <c r="G378" i="16"/>
  <c r="F378" i="16"/>
  <c r="E378" i="16"/>
  <c r="D378" i="16"/>
  <c r="O377" i="16"/>
  <c r="M377" i="16"/>
  <c r="K377" i="16"/>
  <c r="I377" i="16"/>
  <c r="G377" i="16"/>
  <c r="F377" i="16"/>
  <c r="E377" i="16"/>
  <c r="D377" i="16"/>
  <c r="O376" i="16"/>
  <c r="M376" i="16"/>
  <c r="K376" i="16"/>
  <c r="I376" i="16"/>
  <c r="G376" i="16"/>
  <c r="F376" i="16"/>
  <c r="E376" i="16"/>
  <c r="D376" i="16"/>
  <c r="O375" i="16"/>
  <c r="M375" i="16"/>
  <c r="K375" i="16"/>
  <c r="I375" i="16"/>
  <c r="G375" i="16"/>
  <c r="F375" i="16"/>
  <c r="E375" i="16"/>
  <c r="D375" i="16"/>
  <c r="O374" i="16"/>
  <c r="M374" i="16"/>
  <c r="K374" i="16"/>
  <c r="I374" i="16"/>
  <c r="G374" i="16"/>
  <c r="F374" i="16"/>
  <c r="E374" i="16"/>
  <c r="D374" i="16"/>
  <c r="O373" i="16"/>
  <c r="M373" i="16"/>
  <c r="K373" i="16"/>
  <c r="I373" i="16"/>
  <c r="G373" i="16"/>
  <c r="F373" i="16"/>
  <c r="E373" i="16"/>
  <c r="D373" i="16"/>
  <c r="O372" i="16"/>
  <c r="M372" i="16"/>
  <c r="K372" i="16"/>
  <c r="I372" i="16"/>
  <c r="G372" i="16"/>
  <c r="F372" i="16"/>
  <c r="E372" i="16"/>
  <c r="D372" i="16"/>
  <c r="O371" i="16"/>
  <c r="M371" i="16"/>
  <c r="K371" i="16"/>
  <c r="I371" i="16"/>
  <c r="G371" i="16"/>
  <c r="F371" i="16"/>
  <c r="E371" i="16"/>
  <c r="D371" i="16"/>
  <c r="O370" i="16"/>
  <c r="M370" i="16"/>
  <c r="K370" i="16"/>
  <c r="I370" i="16"/>
  <c r="G370" i="16"/>
  <c r="F370" i="16"/>
  <c r="E370" i="16"/>
  <c r="D370" i="16"/>
  <c r="O369" i="16"/>
  <c r="M369" i="16"/>
  <c r="K369" i="16"/>
  <c r="I369" i="16"/>
  <c r="G369" i="16"/>
  <c r="F369" i="16"/>
  <c r="E369" i="16"/>
  <c r="D369" i="16"/>
  <c r="O368" i="16"/>
  <c r="M368" i="16"/>
  <c r="K368" i="16"/>
  <c r="I368" i="16"/>
  <c r="G368" i="16"/>
  <c r="F368" i="16"/>
  <c r="E368" i="16"/>
  <c r="D368" i="16"/>
  <c r="O367" i="16"/>
  <c r="M367" i="16"/>
  <c r="K367" i="16"/>
  <c r="I367" i="16"/>
  <c r="G367" i="16"/>
  <c r="F367" i="16"/>
  <c r="E367" i="16"/>
  <c r="D367" i="16"/>
  <c r="O366" i="16"/>
  <c r="M366" i="16"/>
  <c r="K366" i="16"/>
  <c r="I366" i="16"/>
  <c r="G366" i="16"/>
  <c r="F366" i="16"/>
  <c r="E366" i="16"/>
  <c r="D366" i="16"/>
  <c r="O365" i="16"/>
  <c r="M365" i="16"/>
  <c r="K365" i="16"/>
  <c r="I365" i="16"/>
  <c r="G365" i="16"/>
  <c r="F365" i="16"/>
  <c r="E365" i="16"/>
  <c r="D365" i="16"/>
  <c r="O364" i="16"/>
  <c r="M364" i="16"/>
  <c r="K364" i="16"/>
  <c r="I364" i="16"/>
  <c r="G364" i="16"/>
  <c r="F364" i="16"/>
  <c r="E364" i="16"/>
  <c r="D364" i="16"/>
  <c r="O363" i="16"/>
  <c r="M363" i="16"/>
  <c r="K363" i="16"/>
  <c r="I363" i="16"/>
  <c r="G363" i="16"/>
  <c r="F363" i="16"/>
  <c r="E363" i="16"/>
  <c r="D363" i="16"/>
  <c r="O362" i="16"/>
  <c r="M362" i="16"/>
  <c r="K362" i="16"/>
  <c r="I362" i="16"/>
  <c r="G362" i="16"/>
  <c r="F362" i="16"/>
  <c r="E362" i="16"/>
  <c r="D362" i="16"/>
  <c r="O361" i="16"/>
  <c r="M361" i="16"/>
  <c r="K361" i="16"/>
  <c r="I361" i="16"/>
  <c r="G361" i="16"/>
  <c r="F361" i="16"/>
  <c r="E361" i="16"/>
  <c r="D361" i="16"/>
  <c r="O360" i="16"/>
  <c r="M360" i="16"/>
  <c r="K360" i="16"/>
  <c r="I360" i="16"/>
  <c r="G360" i="16"/>
  <c r="F360" i="16"/>
  <c r="E360" i="16"/>
  <c r="D360" i="16"/>
  <c r="O359" i="16"/>
  <c r="M359" i="16"/>
  <c r="K359" i="16"/>
  <c r="I359" i="16"/>
  <c r="G359" i="16"/>
  <c r="F359" i="16"/>
  <c r="E359" i="16"/>
  <c r="D359" i="16"/>
  <c r="O358" i="16"/>
  <c r="M358" i="16"/>
  <c r="K358" i="16"/>
  <c r="I358" i="16"/>
  <c r="G358" i="16"/>
  <c r="F358" i="16"/>
  <c r="E358" i="16"/>
  <c r="D358" i="16"/>
  <c r="O357" i="16"/>
  <c r="M357" i="16"/>
  <c r="K357" i="16"/>
  <c r="I357" i="16"/>
  <c r="G357" i="16"/>
  <c r="F357" i="16"/>
  <c r="E357" i="16"/>
  <c r="D357" i="16"/>
  <c r="O356" i="16"/>
  <c r="M356" i="16"/>
  <c r="K356" i="16"/>
  <c r="I356" i="16"/>
  <c r="G356" i="16"/>
  <c r="F356" i="16"/>
  <c r="E356" i="16"/>
  <c r="D356" i="16"/>
  <c r="O355" i="16"/>
  <c r="M355" i="16"/>
  <c r="K355" i="16"/>
  <c r="I355" i="16"/>
  <c r="G355" i="16"/>
  <c r="F355" i="16"/>
  <c r="E355" i="16"/>
  <c r="D355" i="16"/>
  <c r="O354" i="16"/>
  <c r="M354" i="16"/>
  <c r="K354" i="16"/>
  <c r="I354" i="16"/>
  <c r="G354" i="16"/>
  <c r="F354" i="16"/>
  <c r="E354" i="16"/>
  <c r="D354" i="16"/>
  <c r="O353" i="16"/>
  <c r="M353" i="16"/>
  <c r="K353" i="16"/>
  <c r="I353" i="16"/>
  <c r="G353" i="16"/>
  <c r="F353" i="16"/>
  <c r="E353" i="16"/>
  <c r="D353" i="16"/>
  <c r="O352" i="16"/>
  <c r="M352" i="16"/>
  <c r="K352" i="16"/>
  <c r="I352" i="16"/>
  <c r="G352" i="16"/>
  <c r="F352" i="16"/>
  <c r="E352" i="16"/>
  <c r="D352" i="16"/>
  <c r="O351" i="16"/>
  <c r="M351" i="16"/>
  <c r="K351" i="16"/>
  <c r="I351" i="16"/>
  <c r="G351" i="16"/>
  <c r="F351" i="16"/>
  <c r="E351" i="16"/>
  <c r="D351" i="16"/>
  <c r="O350" i="16"/>
  <c r="M350" i="16"/>
  <c r="K350" i="16"/>
  <c r="I350" i="16"/>
  <c r="G350" i="16"/>
  <c r="F350" i="16"/>
  <c r="E350" i="16"/>
  <c r="D350" i="16"/>
  <c r="O349" i="16"/>
  <c r="M349" i="16"/>
  <c r="K349" i="16"/>
  <c r="I349" i="16"/>
  <c r="G349" i="16"/>
  <c r="F349" i="16"/>
  <c r="E349" i="16"/>
  <c r="D349" i="16"/>
  <c r="O348" i="16"/>
  <c r="M348" i="16"/>
  <c r="K348" i="16"/>
  <c r="I348" i="16"/>
  <c r="G348" i="16"/>
  <c r="F348" i="16"/>
  <c r="E348" i="16"/>
  <c r="D348" i="16"/>
  <c r="O347" i="16"/>
  <c r="M347" i="16"/>
  <c r="K347" i="16"/>
  <c r="I347" i="16"/>
  <c r="G347" i="16"/>
  <c r="F347" i="16"/>
  <c r="E347" i="16"/>
  <c r="D347" i="16"/>
  <c r="O346" i="16"/>
  <c r="M346" i="16"/>
  <c r="K346" i="16"/>
  <c r="I346" i="16"/>
  <c r="G346" i="16"/>
  <c r="F346" i="16"/>
  <c r="E346" i="16"/>
  <c r="D346" i="16"/>
  <c r="O345" i="16"/>
  <c r="M345" i="16"/>
  <c r="K345" i="16"/>
  <c r="I345" i="16"/>
  <c r="G345" i="16"/>
  <c r="F345" i="16"/>
  <c r="E345" i="16"/>
  <c r="D345" i="16"/>
  <c r="O344" i="16"/>
  <c r="M344" i="16"/>
  <c r="K344" i="16"/>
  <c r="I344" i="16"/>
  <c r="G344" i="16"/>
  <c r="F344" i="16"/>
  <c r="E344" i="16"/>
  <c r="D344" i="16"/>
  <c r="O343" i="16"/>
  <c r="M343" i="16"/>
  <c r="K343" i="16"/>
  <c r="I343" i="16"/>
  <c r="G343" i="16"/>
  <c r="F343" i="16"/>
  <c r="E343" i="16"/>
  <c r="D343" i="16"/>
  <c r="O342" i="16"/>
  <c r="M342" i="16"/>
  <c r="K342" i="16"/>
  <c r="I342" i="16"/>
  <c r="G342" i="16"/>
  <c r="F342" i="16"/>
  <c r="E342" i="16"/>
  <c r="D342" i="16"/>
  <c r="O341" i="16"/>
  <c r="M341" i="16"/>
  <c r="K341" i="16"/>
  <c r="I341" i="16"/>
  <c r="G341" i="16"/>
  <c r="F341" i="16"/>
  <c r="E341" i="16"/>
  <c r="D341" i="16"/>
  <c r="O340" i="16"/>
  <c r="M340" i="16"/>
  <c r="K340" i="16"/>
  <c r="I340" i="16"/>
  <c r="G340" i="16"/>
  <c r="F340" i="16"/>
  <c r="E340" i="16"/>
  <c r="D340" i="16"/>
  <c r="O339" i="16"/>
  <c r="M339" i="16"/>
  <c r="K339" i="16"/>
  <c r="I339" i="16"/>
  <c r="G339" i="16"/>
  <c r="F339" i="16"/>
  <c r="E339" i="16"/>
  <c r="D339" i="16"/>
  <c r="O338" i="16"/>
  <c r="M338" i="16"/>
  <c r="K338" i="16"/>
  <c r="I338" i="16"/>
  <c r="G338" i="16"/>
  <c r="F338" i="16"/>
  <c r="E338" i="16"/>
  <c r="D338" i="16"/>
  <c r="O337" i="16"/>
  <c r="M337" i="16"/>
  <c r="K337" i="16"/>
  <c r="I337" i="16"/>
  <c r="G337" i="16"/>
  <c r="F337" i="16"/>
  <c r="E337" i="16"/>
  <c r="D337" i="16"/>
  <c r="O336" i="16"/>
  <c r="M336" i="16"/>
  <c r="K336" i="16"/>
  <c r="I336" i="16"/>
  <c r="G336" i="16"/>
  <c r="F336" i="16"/>
  <c r="E336" i="16"/>
  <c r="D336" i="16"/>
  <c r="O335" i="16"/>
  <c r="M335" i="16"/>
  <c r="K335" i="16"/>
  <c r="I335" i="16"/>
  <c r="G335" i="16"/>
  <c r="F335" i="16"/>
  <c r="E335" i="16"/>
  <c r="D335" i="16"/>
  <c r="O334" i="16"/>
  <c r="M334" i="16"/>
  <c r="K334" i="16"/>
  <c r="I334" i="16"/>
  <c r="G334" i="16"/>
  <c r="F334" i="16"/>
  <c r="E334" i="16"/>
  <c r="D334" i="16"/>
  <c r="O333" i="16"/>
  <c r="M333" i="16"/>
  <c r="K333" i="16"/>
  <c r="I333" i="16"/>
  <c r="G333" i="16"/>
  <c r="F333" i="16"/>
  <c r="E333" i="16"/>
  <c r="D333" i="16"/>
  <c r="O332" i="16"/>
  <c r="M332" i="16"/>
  <c r="K332" i="16"/>
  <c r="I332" i="16"/>
  <c r="G332" i="16"/>
  <c r="F332" i="16"/>
  <c r="E332" i="16"/>
  <c r="D332" i="16"/>
  <c r="O331" i="16"/>
  <c r="M331" i="16"/>
  <c r="K331" i="16"/>
  <c r="I331" i="16"/>
  <c r="G331" i="16"/>
  <c r="F331" i="16"/>
  <c r="E331" i="16"/>
  <c r="D331" i="16"/>
  <c r="O330" i="16"/>
  <c r="M330" i="16"/>
  <c r="K330" i="16"/>
  <c r="I330" i="16"/>
  <c r="G330" i="16"/>
  <c r="F330" i="16"/>
  <c r="E330" i="16"/>
  <c r="D330" i="16"/>
  <c r="O329" i="16"/>
  <c r="M329" i="16"/>
  <c r="K329" i="16"/>
  <c r="I329" i="16"/>
  <c r="G329" i="16"/>
  <c r="F329" i="16"/>
  <c r="E329" i="16"/>
  <c r="D329" i="16"/>
  <c r="O328" i="16"/>
  <c r="M328" i="16"/>
  <c r="K328" i="16"/>
  <c r="I328" i="16"/>
  <c r="G328" i="16"/>
  <c r="F328" i="16"/>
  <c r="E328" i="16"/>
  <c r="D328" i="16"/>
  <c r="O327" i="16"/>
  <c r="M327" i="16"/>
  <c r="K327" i="16"/>
  <c r="I327" i="16"/>
  <c r="G327" i="16"/>
  <c r="F327" i="16"/>
  <c r="E327" i="16"/>
  <c r="D327" i="16"/>
  <c r="O326" i="16"/>
  <c r="M326" i="16"/>
  <c r="K326" i="16"/>
  <c r="I326" i="16"/>
  <c r="G326" i="16"/>
  <c r="F326" i="16"/>
  <c r="E326" i="16"/>
  <c r="D326" i="16"/>
  <c r="O325" i="16"/>
  <c r="M325" i="16"/>
  <c r="K325" i="16"/>
  <c r="I325" i="16"/>
  <c r="G325" i="16"/>
  <c r="F325" i="16"/>
  <c r="E325" i="16"/>
  <c r="D325" i="16"/>
  <c r="O324" i="16"/>
  <c r="M324" i="16"/>
  <c r="K324" i="16"/>
  <c r="I324" i="16"/>
  <c r="G324" i="16"/>
  <c r="F324" i="16"/>
  <c r="E324" i="16"/>
  <c r="D324" i="16"/>
  <c r="O323" i="16"/>
  <c r="M323" i="16"/>
  <c r="K323" i="16"/>
  <c r="I323" i="16"/>
  <c r="G323" i="16"/>
  <c r="F323" i="16"/>
  <c r="E323" i="16"/>
  <c r="D323" i="16"/>
  <c r="O322" i="16"/>
  <c r="M322" i="16"/>
  <c r="K322" i="16"/>
  <c r="I322" i="16"/>
  <c r="G322" i="16"/>
  <c r="F322" i="16"/>
  <c r="E322" i="16"/>
  <c r="D322" i="16"/>
  <c r="O321" i="16"/>
  <c r="M321" i="16"/>
  <c r="K321" i="16"/>
  <c r="I321" i="16"/>
  <c r="G321" i="16"/>
  <c r="F321" i="16"/>
  <c r="E321" i="16"/>
  <c r="D321" i="16"/>
  <c r="O320" i="16"/>
  <c r="M320" i="16"/>
  <c r="K320" i="16"/>
  <c r="I320" i="16"/>
  <c r="G320" i="16"/>
  <c r="F320" i="16"/>
  <c r="E320" i="16"/>
  <c r="D320" i="16"/>
  <c r="O319" i="16"/>
  <c r="M319" i="16"/>
  <c r="K319" i="16"/>
  <c r="I319" i="16"/>
  <c r="G319" i="16"/>
  <c r="F319" i="16"/>
  <c r="E319" i="16"/>
  <c r="D319" i="16"/>
  <c r="O318" i="16"/>
  <c r="M318" i="16"/>
  <c r="K318" i="16"/>
  <c r="I318" i="16"/>
  <c r="G318" i="16"/>
  <c r="F318" i="16"/>
  <c r="E318" i="16"/>
  <c r="D318" i="16"/>
  <c r="O317" i="16"/>
  <c r="M317" i="16"/>
  <c r="K317" i="16"/>
  <c r="I317" i="16"/>
  <c r="G317" i="16"/>
  <c r="F317" i="16"/>
  <c r="E317" i="16"/>
  <c r="D317" i="16"/>
  <c r="O316" i="16"/>
  <c r="M316" i="16"/>
  <c r="K316" i="16"/>
  <c r="I316" i="16"/>
  <c r="G316" i="16"/>
  <c r="F316" i="16"/>
  <c r="E316" i="16"/>
  <c r="D316" i="16"/>
  <c r="O315" i="16"/>
  <c r="M315" i="16"/>
  <c r="K315" i="16"/>
  <c r="I315" i="16"/>
  <c r="G315" i="16"/>
  <c r="F315" i="16"/>
  <c r="E315" i="16"/>
  <c r="D315" i="16"/>
  <c r="O314" i="16"/>
  <c r="M314" i="16"/>
  <c r="K314" i="16"/>
  <c r="I314" i="16"/>
  <c r="G314" i="16"/>
  <c r="F314" i="16"/>
  <c r="E314" i="16"/>
  <c r="D314" i="16"/>
  <c r="O313" i="16"/>
  <c r="M313" i="16"/>
  <c r="K313" i="16"/>
  <c r="I313" i="16"/>
  <c r="G313" i="16"/>
  <c r="F313" i="16"/>
  <c r="E313" i="16"/>
  <c r="D313" i="16"/>
  <c r="O312" i="16"/>
  <c r="M312" i="16"/>
  <c r="K312" i="16"/>
  <c r="I312" i="16"/>
  <c r="G312" i="16"/>
  <c r="F312" i="16"/>
  <c r="E312" i="16"/>
  <c r="D312" i="16"/>
  <c r="O311" i="16"/>
  <c r="M311" i="16"/>
  <c r="K311" i="16"/>
  <c r="I311" i="16"/>
  <c r="G311" i="16"/>
  <c r="F311" i="16"/>
  <c r="E311" i="16"/>
  <c r="D311" i="16"/>
  <c r="O310" i="16"/>
  <c r="M310" i="16"/>
  <c r="K310" i="16"/>
  <c r="I310" i="16"/>
  <c r="G310" i="16"/>
  <c r="F310" i="16"/>
  <c r="E310" i="16"/>
  <c r="D310" i="16"/>
  <c r="O309" i="16"/>
  <c r="M309" i="16"/>
  <c r="K309" i="16"/>
  <c r="I309" i="16"/>
  <c r="G309" i="16"/>
  <c r="F309" i="16"/>
  <c r="E309" i="16"/>
  <c r="D309" i="16"/>
  <c r="O308" i="16"/>
  <c r="M308" i="16"/>
  <c r="K308" i="16"/>
  <c r="I308" i="16"/>
  <c r="G308" i="16"/>
  <c r="F308" i="16"/>
  <c r="E308" i="16"/>
  <c r="D308" i="16"/>
  <c r="O307" i="16"/>
  <c r="M307" i="16"/>
  <c r="K307" i="16"/>
  <c r="I307" i="16"/>
  <c r="G307" i="16"/>
  <c r="F307" i="16"/>
  <c r="E307" i="16"/>
  <c r="D307" i="16"/>
  <c r="O306" i="16"/>
  <c r="M306" i="16"/>
  <c r="K306" i="16"/>
  <c r="I306" i="16"/>
  <c r="G306" i="16"/>
  <c r="F306" i="16"/>
  <c r="E306" i="16"/>
  <c r="D306" i="16"/>
  <c r="O305" i="16"/>
  <c r="M305" i="16"/>
  <c r="K305" i="16"/>
  <c r="I305" i="16"/>
  <c r="G305" i="16"/>
  <c r="F305" i="16"/>
  <c r="E305" i="16"/>
  <c r="D305" i="16"/>
  <c r="O304" i="16"/>
  <c r="M304" i="16"/>
  <c r="K304" i="16"/>
  <c r="I304" i="16"/>
  <c r="G304" i="16"/>
  <c r="F304" i="16"/>
  <c r="E304" i="16"/>
  <c r="D304" i="16"/>
  <c r="O303" i="16"/>
  <c r="M303" i="16"/>
  <c r="K303" i="16"/>
  <c r="I303" i="16"/>
  <c r="G303" i="16"/>
  <c r="F303" i="16"/>
  <c r="E303" i="16"/>
  <c r="D303" i="16"/>
  <c r="O302" i="16"/>
  <c r="M302" i="16"/>
  <c r="K302" i="16"/>
  <c r="I302" i="16"/>
  <c r="G302" i="16"/>
  <c r="F302" i="16"/>
  <c r="E302" i="16"/>
  <c r="D302" i="16"/>
  <c r="O301" i="16"/>
  <c r="M301" i="16"/>
  <c r="K301" i="16"/>
  <c r="I301" i="16"/>
  <c r="G301" i="16"/>
  <c r="F301" i="16"/>
  <c r="E301" i="16"/>
  <c r="D301" i="16"/>
  <c r="O300" i="16"/>
  <c r="M300" i="16"/>
  <c r="K300" i="16"/>
  <c r="I300" i="16"/>
  <c r="G300" i="16"/>
  <c r="F300" i="16"/>
  <c r="E300" i="16"/>
  <c r="D300" i="16"/>
  <c r="O299" i="16"/>
  <c r="M299" i="16"/>
  <c r="K299" i="16"/>
  <c r="I299" i="16"/>
  <c r="G299" i="16"/>
  <c r="F299" i="16"/>
  <c r="E299" i="16"/>
  <c r="D299" i="16"/>
  <c r="O298" i="16"/>
  <c r="M298" i="16"/>
  <c r="K298" i="16"/>
  <c r="I298" i="16"/>
  <c r="G298" i="16"/>
  <c r="F298" i="16"/>
  <c r="E298" i="16"/>
  <c r="D298" i="16"/>
  <c r="O297" i="16"/>
  <c r="M297" i="16"/>
  <c r="K297" i="16"/>
  <c r="I297" i="16"/>
  <c r="G297" i="16"/>
  <c r="F297" i="16"/>
  <c r="E297" i="16"/>
  <c r="D297" i="16"/>
  <c r="O296" i="16"/>
  <c r="M296" i="16"/>
  <c r="K296" i="16"/>
  <c r="I296" i="16"/>
  <c r="G296" i="16"/>
  <c r="F296" i="16"/>
  <c r="E296" i="16"/>
  <c r="D296" i="16"/>
  <c r="O295" i="16"/>
  <c r="M295" i="16"/>
  <c r="K295" i="16"/>
  <c r="I295" i="16"/>
  <c r="G295" i="16"/>
  <c r="F295" i="16"/>
  <c r="E295" i="16"/>
  <c r="D295" i="16"/>
  <c r="O294" i="16"/>
  <c r="M294" i="16"/>
  <c r="K294" i="16"/>
  <c r="I294" i="16"/>
  <c r="G294" i="16"/>
  <c r="F294" i="16"/>
  <c r="E294" i="16"/>
  <c r="D294" i="16"/>
  <c r="O293" i="16"/>
  <c r="M293" i="16"/>
  <c r="K293" i="16"/>
  <c r="I293" i="16"/>
  <c r="G293" i="16"/>
  <c r="F293" i="16"/>
  <c r="E293" i="16"/>
  <c r="D293" i="16"/>
  <c r="O292" i="16"/>
  <c r="M292" i="16"/>
  <c r="K292" i="16"/>
  <c r="I292" i="16"/>
  <c r="G292" i="16"/>
  <c r="F292" i="16"/>
  <c r="E292" i="16"/>
  <c r="D292" i="16"/>
  <c r="O291" i="16"/>
  <c r="M291" i="16"/>
  <c r="K291" i="16"/>
  <c r="I291" i="16"/>
  <c r="G291" i="16"/>
  <c r="F291" i="16"/>
  <c r="E291" i="16"/>
  <c r="D291" i="16"/>
  <c r="O290" i="16"/>
  <c r="M290" i="16"/>
  <c r="K290" i="16"/>
  <c r="I290" i="16"/>
  <c r="G290" i="16"/>
  <c r="F290" i="16"/>
  <c r="E290" i="16"/>
  <c r="D290" i="16"/>
  <c r="O289" i="16"/>
  <c r="M289" i="16"/>
  <c r="K289" i="16"/>
  <c r="I289" i="16"/>
  <c r="G289" i="16"/>
  <c r="F289" i="16"/>
  <c r="E289" i="16"/>
  <c r="D289" i="16"/>
  <c r="O288" i="16"/>
  <c r="M288" i="16"/>
  <c r="K288" i="16"/>
  <c r="I288" i="16"/>
  <c r="G288" i="16"/>
  <c r="F288" i="16"/>
  <c r="E288" i="16"/>
  <c r="D288" i="16"/>
  <c r="O287" i="16"/>
  <c r="M287" i="16"/>
  <c r="K287" i="16"/>
  <c r="I287" i="16"/>
  <c r="G287" i="16"/>
  <c r="F287" i="16"/>
  <c r="E287" i="16"/>
  <c r="D287" i="16"/>
  <c r="O286" i="16"/>
  <c r="M286" i="16"/>
  <c r="K286" i="16"/>
  <c r="I286" i="16"/>
  <c r="G286" i="16"/>
  <c r="F286" i="16"/>
  <c r="E286" i="16"/>
  <c r="D286" i="16"/>
  <c r="O285" i="16"/>
  <c r="M285" i="16"/>
  <c r="K285" i="16"/>
  <c r="I285" i="16"/>
  <c r="G285" i="16"/>
  <c r="F285" i="16"/>
  <c r="E285" i="16"/>
  <c r="D285" i="16"/>
  <c r="O284" i="16"/>
  <c r="M284" i="16"/>
  <c r="K284" i="16"/>
  <c r="I284" i="16"/>
  <c r="G284" i="16"/>
  <c r="F284" i="16"/>
  <c r="E284" i="16"/>
  <c r="D284" i="16"/>
  <c r="O283" i="16"/>
  <c r="M283" i="16"/>
  <c r="K283" i="16"/>
  <c r="I283" i="16"/>
  <c r="G283" i="16"/>
  <c r="F283" i="16"/>
  <c r="E283" i="16"/>
  <c r="D283" i="16"/>
  <c r="O282" i="16"/>
  <c r="M282" i="16"/>
  <c r="K282" i="16"/>
  <c r="I282" i="16"/>
  <c r="G282" i="16"/>
  <c r="F282" i="16"/>
  <c r="E282" i="16"/>
  <c r="D282" i="16"/>
  <c r="O281" i="16"/>
  <c r="M281" i="16"/>
  <c r="K281" i="16"/>
  <c r="I281" i="16"/>
  <c r="G281" i="16"/>
  <c r="F281" i="16"/>
  <c r="E281" i="16"/>
  <c r="D281" i="16"/>
  <c r="O280" i="16"/>
  <c r="M280" i="16"/>
  <c r="K280" i="16"/>
  <c r="I280" i="16"/>
  <c r="G280" i="16"/>
  <c r="F280" i="16"/>
  <c r="E280" i="16"/>
  <c r="D280" i="16"/>
  <c r="O279" i="16"/>
  <c r="M279" i="16"/>
  <c r="K279" i="16"/>
  <c r="I279" i="16"/>
  <c r="G279" i="16"/>
  <c r="F279" i="16"/>
  <c r="E279" i="16"/>
  <c r="D279" i="16"/>
  <c r="O278" i="16"/>
  <c r="M278" i="16"/>
  <c r="K278" i="16"/>
  <c r="I278" i="16"/>
  <c r="G278" i="16"/>
  <c r="F278" i="16"/>
  <c r="E278" i="16"/>
  <c r="D278" i="16"/>
  <c r="O277" i="16"/>
  <c r="M277" i="16"/>
  <c r="K277" i="16"/>
  <c r="I277" i="16"/>
  <c r="G277" i="16"/>
  <c r="F277" i="16"/>
  <c r="E277" i="16"/>
  <c r="D277" i="16"/>
  <c r="O276" i="16"/>
  <c r="M276" i="16"/>
  <c r="K276" i="16"/>
  <c r="I276" i="16"/>
  <c r="G276" i="16"/>
  <c r="F276" i="16"/>
  <c r="E276" i="16"/>
  <c r="D276" i="16"/>
  <c r="O275" i="16"/>
  <c r="M275" i="16"/>
  <c r="K275" i="16"/>
  <c r="I275" i="16"/>
  <c r="G275" i="16"/>
  <c r="F275" i="16"/>
  <c r="E275" i="16"/>
  <c r="D275" i="16"/>
  <c r="O274" i="16"/>
  <c r="M274" i="16"/>
  <c r="K274" i="16"/>
  <c r="I274" i="16"/>
  <c r="G274" i="16"/>
  <c r="F274" i="16"/>
  <c r="E274" i="16"/>
  <c r="D274" i="16"/>
  <c r="O273" i="16"/>
  <c r="M273" i="16"/>
  <c r="K273" i="16"/>
  <c r="I273" i="16"/>
  <c r="G273" i="16"/>
  <c r="F273" i="16"/>
  <c r="E273" i="16"/>
  <c r="D273" i="16"/>
  <c r="O272" i="16"/>
  <c r="M272" i="16"/>
  <c r="K272" i="16"/>
  <c r="I272" i="16"/>
  <c r="G272" i="16"/>
  <c r="F272" i="16"/>
  <c r="E272" i="16"/>
  <c r="D272" i="16"/>
  <c r="O271" i="16"/>
  <c r="M271" i="16"/>
  <c r="K271" i="16"/>
  <c r="I271" i="16"/>
  <c r="G271" i="16"/>
  <c r="F271" i="16"/>
  <c r="E271" i="16"/>
  <c r="D271" i="16"/>
  <c r="O270" i="16"/>
  <c r="M270" i="16"/>
  <c r="K270" i="16"/>
  <c r="I270" i="16"/>
  <c r="G270" i="16"/>
  <c r="F270" i="16"/>
  <c r="E270" i="16"/>
  <c r="D270" i="16"/>
  <c r="O269" i="16"/>
  <c r="M269" i="16"/>
  <c r="K269" i="16"/>
  <c r="I269" i="16"/>
  <c r="G269" i="16"/>
  <c r="F269" i="16"/>
  <c r="E269" i="16"/>
  <c r="D269" i="16"/>
  <c r="O268" i="16"/>
  <c r="M268" i="16"/>
  <c r="K268" i="16"/>
  <c r="I268" i="16"/>
  <c r="G268" i="16"/>
  <c r="F268" i="16"/>
  <c r="E268" i="16"/>
  <c r="D268" i="16"/>
  <c r="O267" i="16"/>
  <c r="M267" i="16"/>
  <c r="K267" i="16"/>
  <c r="I267" i="16"/>
  <c r="G267" i="16"/>
  <c r="F267" i="16"/>
  <c r="E267" i="16"/>
  <c r="D267" i="16"/>
  <c r="O266" i="16"/>
  <c r="M266" i="16"/>
  <c r="K266" i="16"/>
  <c r="I266" i="16"/>
  <c r="G266" i="16"/>
  <c r="F266" i="16"/>
  <c r="E266" i="16"/>
  <c r="D266" i="16"/>
  <c r="O265" i="16"/>
  <c r="M265" i="16"/>
  <c r="K265" i="16"/>
  <c r="I265" i="16"/>
  <c r="G265" i="16"/>
  <c r="F265" i="16"/>
  <c r="E265" i="16"/>
  <c r="D265" i="16"/>
  <c r="O264" i="16"/>
  <c r="M264" i="16"/>
  <c r="K264" i="16"/>
  <c r="I264" i="16"/>
  <c r="G264" i="16"/>
  <c r="F264" i="16"/>
  <c r="E264" i="16"/>
  <c r="D264" i="16"/>
  <c r="O263" i="16"/>
  <c r="M263" i="16"/>
  <c r="K263" i="16"/>
  <c r="I263" i="16"/>
  <c r="G263" i="16"/>
  <c r="F263" i="16"/>
  <c r="E263" i="16"/>
  <c r="D263" i="16"/>
  <c r="O262" i="16"/>
  <c r="M262" i="16"/>
  <c r="K262" i="16"/>
  <c r="I262" i="16"/>
  <c r="G262" i="16"/>
  <c r="F262" i="16"/>
  <c r="E262" i="16"/>
  <c r="D262" i="16"/>
  <c r="O261" i="16"/>
  <c r="M261" i="16"/>
  <c r="K261" i="16"/>
  <c r="I261" i="16"/>
  <c r="G261" i="16"/>
  <c r="F261" i="16"/>
  <c r="E261" i="16"/>
  <c r="D261" i="16"/>
  <c r="O260" i="16"/>
  <c r="M260" i="16"/>
  <c r="K260" i="16"/>
  <c r="I260" i="16"/>
  <c r="G260" i="16"/>
  <c r="F260" i="16"/>
  <c r="E260" i="16"/>
  <c r="D260" i="16"/>
  <c r="O259" i="16"/>
  <c r="M259" i="16"/>
  <c r="K259" i="16"/>
  <c r="I259" i="16"/>
  <c r="G259" i="16"/>
  <c r="F259" i="16"/>
  <c r="E259" i="16"/>
  <c r="D259" i="16"/>
  <c r="O258" i="16"/>
  <c r="M258" i="16"/>
  <c r="K258" i="16"/>
  <c r="I258" i="16"/>
  <c r="G258" i="16"/>
  <c r="F258" i="16"/>
  <c r="E258" i="16"/>
  <c r="D258" i="16"/>
  <c r="O257" i="16"/>
  <c r="M257" i="16"/>
  <c r="K257" i="16"/>
  <c r="I257" i="16"/>
  <c r="G257" i="16"/>
  <c r="F257" i="16"/>
  <c r="E257" i="16"/>
  <c r="D257" i="16"/>
  <c r="O256" i="16"/>
  <c r="M256" i="16"/>
  <c r="K256" i="16"/>
  <c r="I256" i="16"/>
  <c r="G256" i="16"/>
  <c r="F256" i="16"/>
  <c r="E256" i="16"/>
  <c r="D256" i="16"/>
  <c r="O255" i="16"/>
  <c r="M255" i="16"/>
  <c r="K255" i="16"/>
  <c r="I255" i="16"/>
  <c r="G255" i="16"/>
  <c r="F255" i="16"/>
  <c r="E255" i="16"/>
  <c r="D255" i="16"/>
  <c r="O254" i="16"/>
  <c r="M254" i="16"/>
  <c r="K254" i="16"/>
  <c r="I254" i="16"/>
  <c r="G254" i="16"/>
  <c r="F254" i="16"/>
  <c r="E254" i="16"/>
  <c r="D254" i="16"/>
  <c r="O253" i="16"/>
  <c r="M253" i="16"/>
  <c r="K253" i="16"/>
  <c r="I253" i="16"/>
  <c r="G253" i="16"/>
  <c r="F253" i="16"/>
  <c r="E253" i="16"/>
  <c r="D253" i="16"/>
  <c r="O252" i="16"/>
  <c r="M252" i="16"/>
  <c r="K252" i="16"/>
  <c r="I252" i="16"/>
  <c r="G252" i="16"/>
  <c r="F252" i="16"/>
  <c r="E252" i="16"/>
  <c r="D252" i="16"/>
  <c r="O251" i="16"/>
  <c r="M251" i="16"/>
  <c r="K251" i="16"/>
  <c r="I251" i="16"/>
  <c r="G251" i="16"/>
  <c r="F251" i="16"/>
  <c r="E251" i="16"/>
  <c r="D251" i="16"/>
  <c r="O250" i="16"/>
  <c r="M250" i="16"/>
  <c r="K250" i="16"/>
  <c r="I250" i="16"/>
  <c r="G250" i="16"/>
  <c r="F250" i="16"/>
  <c r="E250" i="16"/>
  <c r="D250" i="16"/>
  <c r="O249" i="16"/>
  <c r="M249" i="16"/>
  <c r="K249" i="16"/>
  <c r="I249" i="16"/>
  <c r="G249" i="16"/>
  <c r="F249" i="16"/>
  <c r="E249" i="16"/>
  <c r="D249" i="16"/>
  <c r="O248" i="16"/>
  <c r="M248" i="16"/>
  <c r="K248" i="16"/>
  <c r="I248" i="16"/>
  <c r="G248" i="16"/>
  <c r="F248" i="16"/>
  <c r="E248" i="16"/>
  <c r="D248" i="16"/>
  <c r="O247" i="16"/>
  <c r="M247" i="16"/>
  <c r="K247" i="16"/>
  <c r="I247" i="16"/>
  <c r="G247" i="16"/>
  <c r="F247" i="16"/>
  <c r="E247" i="16"/>
  <c r="D247" i="16"/>
  <c r="O246" i="16"/>
  <c r="M246" i="16"/>
  <c r="K246" i="16"/>
  <c r="I246" i="16"/>
  <c r="G246" i="16"/>
  <c r="F246" i="16"/>
  <c r="E246" i="16"/>
  <c r="D246" i="16"/>
  <c r="O245" i="16"/>
  <c r="M245" i="16"/>
  <c r="K245" i="16"/>
  <c r="I245" i="16"/>
  <c r="G245" i="16"/>
  <c r="F245" i="16"/>
  <c r="E245" i="16"/>
  <c r="D245" i="16"/>
  <c r="O244" i="16"/>
  <c r="M244" i="16"/>
  <c r="K244" i="16"/>
  <c r="I244" i="16"/>
  <c r="G244" i="16"/>
  <c r="F244" i="16"/>
  <c r="E244" i="16"/>
  <c r="D244" i="16"/>
  <c r="O243" i="16"/>
  <c r="M243" i="16"/>
  <c r="K243" i="16"/>
  <c r="I243" i="16"/>
  <c r="G243" i="16"/>
  <c r="F243" i="16"/>
  <c r="E243" i="16"/>
  <c r="D243" i="16"/>
  <c r="O242" i="16"/>
  <c r="M242" i="16"/>
  <c r="K242" i="16"/>
  <c r="I242" i="16"/>
  <c r="G242" i="16"/>
  <c r="F242" i="16"/>
  <c r="E242" i="16"/>
  <c r="D242" i="16"/>
  <c r="O241" i="16"/>
  <c r="M241" i="16"/>
  <c r="K241" i="16"/>
  <c r="I241" i="16"/>
  <c r="G241" i="16"/>
  <c r="F241" i="16"/>
  <c r="E241" i="16"/>
  <c r="D241" i="16"/>
  <c r="O240" i="16"/>
  <c r="M240" i="16"/>
  <c r="K240" i="16"/>
  <c r="I240" i="16"/>
  <c r="G240" i="16"/>
  <c r="F240" i="16"/>
  <c r="E240" i="16"/>
  <c r="D240" i="16"/>
  <c r="O239" i="16"/>
  <c r="M239" i="16"/>
  <c r="K239" i="16"/>
  <c r="I239" i="16"/>
  <c r="G239" i="16"/>
  <c r="F239" i="16"/>
  <c r="E239" i="16"/>
  <c r="D239" i="16"/>
  <c r="O238" i="16"/>
  <c r="M238" i="16"/>
  <c r="K238" i="16"/>
  <c r="I238" i="16"/>
  <c r="G238" i="16"/>
  <c r="F238" i="16"/>
  <c r="E238" i="16"/>
  <c r="D238" i="16"/>
  <c r="O237" i="16"/>
  <c r="M237" i="16"/>
  <c r="K237" i="16"/>
  <c r="I237" i="16"/>
  <c r="G237" i="16"/>
  <c r="F237" i="16"/>
  <c r="E237" i="16"/>
  <c r="D237" i="16"/>
  <c r="O236" i="16"/>
  <c r="M236" i="16"/>
  <c r="K236" i="16"/>
  <c r="I236" i="16"/>
  <c r="G236" i="16"/>
  <c r="F236" i="16"/>
  <c r="E236" i="16"/>
  <c r="D236" i="16"/>
  <c r="O235" i="16"/>
  <c r="M235" i="16"/>
  <c r="K235" i="16"/>
  <c r="I235" i="16"/>
  <c r="G235" i="16"/>
  <c r="F235" i="16"/>
  <c r="E235" i="16"/>
  <c r="D235" i="16"/>
  <c r="O234" i="16"/>
  <c r="M234" i="16"/>
  <c r="K234" i="16"/>
  <c r="I234" i="16"/>
  <c r="G234" i="16"/>
  <c r="F234" i="16"/>
  <c r="E234" i="16"/>
  <c r="D234" i="16"/>
  <c r="O233" i="16"/>
  <c r="M233" i="16"/>
  <c r="K233" i="16"/>
  <c r="I233" i="16"/>
  <c r="G233" i="16"/>
  <c r="F233" i="16"/>
  <c r="E233" i="16"/>
  <c r="D233" i="16"/>
  <c r="O232" i="16"/>
  <c r="M232" i="16"/>
  <c r="K232" i="16"/>
  <c r="I232" i="16"/>
  <c r="G232" i="16"/>
  <c r="F232" i="16"/>
  <c r="E232" i="16"/>
  <c r="D232" i="16"/>
  <c r="O231" i="16"/>
  <c r="M231" i="16"/>
  <c r="K231" i="16"/>
  <c r="I231" i="16"/>
  <c r="G231" i="16"/>
  <c r="F231" i="16"/>
  <c r="E231" i="16"/>
  <c r="D231" i="16"/>
  <c r="O230" i="16"/>
  <c r="M230" i="16"/>
  <c r="K230" i="16"/>
  <c r="I230" i="16"/>
  <c r="G230" i="16"/>
  <c r="F230" i="16"/>
  <c r="E230" i="16"/>
  <c r="D230" i="16"/>
  <c r="O229" i="16"/>
  <c r="M229" i="16"/>
  <c r="K229" i="16"/>
  <c r="I229" i="16"/>
  <c r="G229" i="16"/>
  <c r="F229" i="16"/>
  <c r="E229" i="16"/>
  <c r="D229" i="16"/>
  <c r="O228" i="16"/>
  <c r="M228" i="16"/>
  <c r="K228" i="16"/>
  <c r="I228" i="16"/>
  <c r="G228" i="16"/>
  <c r="F228" i="16"/>
  <c r="E228" i="16"/>
  <c r="D228" i="16"/>
  <c r="O227" i="16"/>
  <c r="M227" i="16"/>
  <c r="K227" i="16"/>
  <c r="I227" i="16"/>
  <c r="G227" i="16"/>
  <c r="F227" i="16"/>
  <c r="E227" i="16"/>
  <c r="D227" i="16"/>
  <c r="O226" i="16"/>
  <c r="M226" i="16"/>
  <c r="K226" i="16"/>
  <c r="I226" i="16"/>
  <c r="G226" i="16"/>
  <c r="F226" i="16"/>
  <c r="E226" i="16"/>
  <c r="D226" i="16"/>
  <c r="O225" i="16"/>
  <c r="M225" i="16"/>
  <c r="K225" i="16"/>
  <c r="I225" i="16"/>
  <c r="G225" i="16"/>
  <c r="F225" i="16"/>
  <c r="E225" i="16"/>
  <c r="D225" i="16"/>
  <c r="O224" i="16"/>
  <c r="M224" i="16"/>
  <c r="K224" i="16"/>
  <c r="I224" i="16"/>
  <c r="G224" i="16"/>
  <c r="F224" i="16"/>
  <c r="E224" i="16"/>
  <c r="D224" i="16"/>
  <c r="O223" i="16"/>
  <c r="M223" i="16"/>
  <c r="K223" i="16"/>
  <c r="I223" i="16"/>
  <c r="G223" i="16"/>
  <c r="F223" i="16"/>
  <c r="E223" i="16"/>
  <c r="D223" i="16"/>
  <c r="O222" i="16"/>
  <c r="M222" i="16"/>
  <c r="K222" i="16"/>
  <c r="I222" i="16"/>
  <c r="G222" i="16"/>
  <c r="F222" i="16"/>
  <c r="E222" i="16"/>
  <c r="D222" i="16"/>
  <c r="O221" i="16"/>
  <c r="M221" i="16"/>
  <c r="K221" i="16"/>
  <c r="I221" i="16"/>
  <c r="G221" i="16"/>
  <c r="F221" i="16"/>
  <c r="E221" i="16"/>
  <c r="D221" i="16"/>
  <c r="O220" i="16"/>
  <c r="M220" i="16"/>
  <c r="K220" i="16"/>
  <c r="I220" i="16"/>
  <c r="G220" i="16"/>
  <c r="F220" i="16"/>
  <c r="E220" i="16"/>
  <c r="D220" i="16"/>
  <c r="O219" i="16"/>
  <c r="M219" i="16"/>
  <c r="K219" i="16"/>
  <c r="I219" i="16"/>
  <c r="G219" i="16"/>
  <c r="F219" i="16"/>
  <c r="E219" i="16"/>
  <c r="D219" i="16"/>
  <c r="O218" i="16"/>
  <c r="M218" i="16"/>
  <c r="K218" i="16"/>
  <c r="I218" i="16"/>
  <c r="G218" i="16"/>
  <c r="F218" i="16"/>
  <c r="E218" i="16"/>
  <c r="D218" i="16"/>
  <c r="O217" i="16"/>
  <c r="M217" i="16"/>
  <c r="K217" i="16"/>
  <c r="I217" i="16"/>
  <c r="G217" i="16"/>
  <c r="F217" i="16"/>
  <c r="E217" i="16"/>
  <c r="D217" i="16"/>
  <c r="O216" i="16"/>
  <c r="M216" i="16"/>
  <c r="K216" i="16"/>
  <c r="I216" i="16"/>
  <c r="G216" i="16"/>
  <c r="F216" i="16"/>
  <c r="E216" i="16"/>
  <c r="D216" i="16"/>
  <c r="O215" i="16"/>
  <c r="M215" i="16"/>
  <c r="K215" i="16"/>
  <c r="I215" i="16"/>
  <c r="G215" i="16"/>
  <c r="F215" i="16"/>
  <c r="E215" i="16"/>
  <c r="D215" i="16"/>
  <c r="O214" i="16"/>
  <c r="M214" i="16"/>
  <c r="K214" i="16"/>
  <c r="I214" i="16"/>
  <c r="G214" i="16"/>
  <c r="F214" i="16"/>
  <c r="E214" i="16"/>
  <c r="D214" i="16"/>
  <c r="O213" i="16"/>
  <c r="M213" i="16"/>
  <c r="K213" i="16"/>
  <c r="I213" i="16"/>
  <c r="G213" i="16"/>
  <c r="F213" i="16"/>
  <c r="E213" i="16"/>
  <c r="D213" i="16"/>
  <c r="O212" i="16"/>
  <c r="M212" i="16"/>
  <c r="K212" i="16"/>
  <c r="I212" i="16"/>
  <c r="G212" i="16"/>
  <c r="F212" i="16"/>
  <c r="E212" i="16"/>
  <c r="D212" i="16"/>
  <c r="O211" i="16"/>
  <c r="M211" i="16"/>
  <c r="K211" i="16"/>
  <c r="I211" i="16"/>
  <c r="G211" i="16"/>
  <c r="F211" i="16"/>
  <c r="E211" i="16"/>
  <c r="D211" i="16"/>
  <c r="O210" i="16"/>
  <c r="M210" i="16"/>
  <c r="K210" i="16"/>
  <c r="I210" i="16"/>
  <c r="G210" i="16"/>
  <c r="F210" i="16"/>
  <c r="E210" i="16"/>
  <c r="D210" i="16"/>
  <c r="O209" i="16"/>
  <c r="M209" i="16"/>
  <c r="K209" i="16"/>
  <c r="I209" i="16"/>
  <c r="G209" i="16"/>
  <c r="F209" i="16"/>
  <c r="E209" i="16"/>
  <c r="D209" i="16"/>
  <c r="O208" i="16"/>
  <c r="M208" i="16"/>
  <c r="K208" i="16"/>
  <c r="I208" i="16"/>
  <c r="G208" i="16"/>
  <c r="F208" i="16"/>
  <c r="E208" i="16"/>
  <c r="D208" i="16"/>
  <c r="O207" i="16"/>
  <c r="M207" i="16"/>
  <c r="K207" i="16"/>
  <c r="I207" i="16"/>
  <c r="G207" i="16"/>
  <c r="F207" i="16"/>
  <c r="E207" i="16"/>
  <c r="D207" i="16"/>
  <c r="O206" i="16"/>
  <c r="M206" i="16"/>
  <c r="K206" i="16"/>
  <c r="I206" i="16"/>
  <c r="G206" i="16"/>
  <c r="F206" i="16"/>
  <c r="E206" i="16"/>
  <c r="D206" i="16"/>
  <c r="O205" i="16"/>
  <c r="M205" i="16"/>
  <c r="K205" i="16"/>
  <c r="I205" i="16"/>
  <c r="G205" i="16"/>
  <c r="F205" i="16"/>
  <c r="E205" i="16"/>
  <c r="D205" i="16"/>
  <c r="O204" i="16"/>
  <c r="M204" i="16"/>
  <c r="K204" i="16"/>
  <c r="I204" i="16"/>
  <c r="G204" i="16"/>
  <c r="F204" i="16"/>
  <c r="E204" i="16"/>
  <c r="D204" i="16"/>
  <c r="O203" i="16"/>
  <c r="M203" i="16"/>
  <c r="K203" i="16"/>
  <c r="I203" i="16"/>
  <c r="G203" i="16"/>
  <c r="F203" i="16"/>
  <c r="E203" i="16"/>
  <c r="D203" i="16"/>
  <c r="O202" i="16"/>
  <c r="M202" i="16"/>
  <c r="K202" i="16"/>
  <c r="I202" i="16"/>
  <c r="G202" i="16"/>
  <c r="F202" i="16"/>
  <c r="E202" i="16"/>
  <c r="D202" i="16"/>
  <c r="O201" i="16"/>
  <c r="M201" i="16"/>
  <c r="K201" i="16"/>
  <c r="I201" i="16"/>
  <c r="G201" i="16"/>
  <c r="F201" i="16"/>
  <c r="E201" i="16"/>
  <c r="D201" i="16"/>
  <c r="O200" i="16"/>
  <c r="M200" i="16"/>
  <c r="K200" i="16"/>
  <c r="I200" i="16"/>
  <c r="G200" i="16"/>
  <c r="F200" i="16"/>
  <c r="E200" i="16"/>
  <c r="D200" i="16"/>
  <c r="O199" i="16"/>
  <c r="M199" i="16"/>
  <c r="K199" i="16"/>
  <c r="I199" i="16"/>
  <c r="G199" i="16"/>
  <c r="F199" i="16"/>
  <c r="E199" i="16"/>
  <c r="D199" i="16"/>
  <c r="O198" i="16"/>
  <c r="M198" i="16"/>
  <c r="K198" i="16"/>
  <c r="I198" i="16"/>
  <c r="G198" i="16"/>
  <c r="F198" i="16"/>
  <c r="E198" i="16"/>
  <c r="D198" i="16"/>
  <c r="O197" i="16"/>
  <c r="M197" i="16"/>
  <c r="K197" i="16"/>
  <c r="I197" i="16"/>
  <c r="G197" i="16"/>
  <c r="F197" i="16"/>
  <c r="E197" i="16"/>
  <c r="D197" i="16"/>
  <c r="O196" i="16"/>
  <c r="M196" i="16"/>
  <c r="K196" i="16"/>
  <c r="I196" i="16"/>
  <c r="G196" i="16"/>
  <c r="F196" i="16"/>
  <c r="E196" i="16"/>
  <c r="D196" i="16"/>
  <c r="O195" i="16"/>
  <c r="M195" i="16"/>
  <c r="K195" i="16"/>
  <c r="I195" i="16"/>
  <c r="G195" i="16"/>
  <c r="F195" i="16"/>
  <c r="E195" i="16"/>
  <c r="D195" i="16"/>
  <c r="O194" i="16"/>
  <c r="M194" i="16"/>
  <c r="K194" i="16"/>
  <c r="I194" i="16"/>
  <c r="G194" i="16"/>
  <c r="F194" i="16"/>
  <c r="E194" i="16"/>
  <c r="D194" i="16"/>
  <c r="O193" i="16"/>
  <c r="M193" i="16"/>
  <c r="K193" i="16"/>
  <c r="I193" i="16"/>
  <c r="G193" i="16"/>
  <c r="F193" i="16"/>
  <c r="E193" i="16"/>
  <c r="D193" i="16"/>
  <c r="O192" i="16"/>
  <c r="M192" i="16"/>
  <c r="K192" i="16"/>
  <c r="I192" i="16"/>
  <c r="G192" i="16"/>
  <c r="F192" i="16"/>
  <c r="E192" i="16"/>
  <c r="D192" i="16"/>
  <c r="O191" i="16"/>
  <c r="M191" i="16"/>
  <c r="K191" i="16"/>
  <c r="I191" i="16"/>
  <c r="G191" i="16"/>
  <c r="F191" i="16"/>
  <c r="E191" i="16"/>
  <c r="D191" i="16"/>
  <c r="O190" i="16"/>
  <c r="M190" i="16"/>
  <c r="K190" i="16"/>
  <c r="I190" i="16"/>
  <c r="G190" i="16"/>
  <c r="F190" i="16"/>
  <c r="E190" i="16"/>
  <c r="D190" i="16"/>
  <c r="O189" i="16"/>
  <c r="M189" i="16"/>
  <c r="K189" i="16"/>
  <c r="I189" i="16"/>
  <c r="G189" i="16"/>
  <c r="F189" i="16"/>
  <c r="E189" i="16"/>
  <c r="D189" i="16"/>
  <c r="O188" i="16"/>
  <c r="M188" i="16"/>
  <c r="K188" i="16"/>
  <c r="I188" i="16"/>
  <c r="G188" i="16"/>
  <c r="F188" i="16"/>
  <c r="E188" i="16"/>
  <c r="D188" i="16"/>
  <c r="O187" i="16"/>
  <c r="M187" i="16"/>
  <c r="K187" i="16"/>
  <c r="I187" i="16"/>
  <c r="G187" i="16"/>
  <c r="F187" i="16"/>
  <c r="E187" i="16"/>
  <c r="D187" i="16"/>
  <c r="O186" i="16"/>
  <c r="M186" i="16"/>
  <c r="K186" i="16"/>
  <c r="I186" i="16"/>
  <c r="G186" i="16"/>
  <c r="F186" i="16"/>
  <c r="E186" i="16"/>
  <c r="D186" i="16"/>
  <c r="O185" i="16"/>
  <c r="M185" i="16"/>
  <c r="K185" i="16"/>
  <c r="I185" i="16"/>
  <c r="G185" i="16"/>
  <c r="F185" i="16"/>
  <c r="E185" i="16"/>
  <c r="D185" i="16"/>
  <c r="O184" i="16"/>
  <c r="M184" i="16"/>
  <c r="K184" i="16"/>
  <c r="I184" i="16"/>
  <c r="G184" i="16"/>
  <c r="F184" i="16"/>
  <c r="E184" i="16"/>
  <c r="D184" i="16"/>
  <c r="O183" i="16"/>
  <c r="M183" i="16"/>
  <c r="K183" i="16"/>
  <c r="I183" i="16"/>
  <c r="G183" i="16"/>
  <c r="F183" i="16"/>
  <c r="E183" i="16"/>
  <c r="D183" i="16"/>
  <c r="O182" i="16"/>
  <c r="M182" i="16"/>
  <c r="K182" i="16"/>
  <c r="I182" i="16"/>
  <c r="G182" i="16"/>
  <c r="F182" i="16"/>
  <c r="E182" i="16"/>
  <c r="D182" i="16"/>
  <c r="O181" i="16"/>
  <c r="M181" i="16"/>
  <c r="K181" i="16"/>
  <c r="I181" i="16"/>
  <c r="G181" i="16"/>
  <c r="F181" i="16"/>
  <c r="E181" i="16"/>
  <c r="D181" i="16"/>
  <c r="O180" i="16"/>
  <c r="M180" i="16"/>
  <c r="K180" i="16"/>
  <c r="I180" i="16"/>
  <c r="G180" i="16"/>
  <c r="F180" i="16"/>
  <c r="E180" i="16"/>
  <c r="D180" i="16"/>
  <c r="O179" i="16"/>
  <c r="M179" i="16"/>
  <c r="K179" i="16"/>
  <c r="I179" i="16"/>
  <c r="G179" i="16"/>
  <c r="F179" i="16"/>
  <c r="E179" i="16"/>
  <c r="D179" i="16"/>
  <c r="O178" i="16"/>
  <c r="M178" i="16"/>
  <c r="K178" i="16"/>
  <c r="I178" i="16"/>
  <c r="G178" i="16"/>
  <c r="F178" i="16"/>
  <c r="E178" i="16"/>
  <c r="D178" i="16"/>
  <c r="O177" i="16"/>
  <c r="M177" i="16"/>
  <c r="K177" i="16"/>
  <c r="I177" i="16"/>
  <c r="G177" i="16"/>
  <c r="F177" i="16"/>
  <c r="E177" i="16"/>
  <c r="D177" i="16"/>
  <c r="O176" i="16"/>
  <c r="M176" i="16"/>
  <c r="K176" i="16"/>
  <c r="I176" i="16"/>
  <c r="G176" i="16"/>
  <c r="F176" i="16"/>
  <c r="E176" i="16"/>
  <c r="D176" i="16"/>
  <c r="O175" i="16"/>
  <c r="M175" i="16"/>
  <c r="K175" i="16"/>
  <c r="I175" i="16"/>
  <c r="G175" i="16"/>
  <c r="F175" i="16"/>
  <c r="E175" i="16"/>
  <c r="D175" i="16"/>
  <c r="O174" i="16"/>
  <c r="M174" i="16"/>
  <c r="K174" i="16"/>
  <c r="I174" i="16"/>
  <c r="G174" i="16"/>
  <c r="F174" i="16"/>
  <c r="E174" i="16"/>
  <c r="D174" i="16"/>
  <c r="O173" i="16"/>
  <c r="M173" i="16"/>
  <c r="K173" i="16"/>
  <c r="I173" i="16"/>
  <c r="G173" i="16"/>
  <c r="F173" i="16"/>
  <c r="E173" i="16"/>
  <c r="D173" i="16"/>
  <c r="O172" i="16"/>
  <c r="M172" i="16"/>
  <c r="K172" i="16"/>
  <c r="I172" i="16"/>
  <c r="G172" i="16"/>
  <c r="F172" i="16"/>
  <c r="E172" i="16"/>
  <c r="D172" i="16"/>
  <c r="O171" i="16"/>
  <c r="M171" i="16"/>
  <c r="K171" i="16"/>
  <c r="I171" i="16"/>
  <c r="G171" i="16"/>
  <c r="F171" i="16"/>
  <c r="E171" i="16"/>
  <c r="D171" i="16"/>
  <c r="O170" i="16"/>
  <c r="M170" i="16"/>
  <c r="K170" i="16"/>
  <c r="I170" i="16"/>
  <c r="G170" i="16"/>
  <c r="F170" i="16"/>
  <c r="E170" i="16"/>
  <c r="D170" i="16"/>
  <c r="O169" i="16"/>
  <c r="M169" i="16"/>
  <c r="K169" i="16"/>
  <c r="I169" i="16"/>
  <c r="G169" i="16"/>
  <c r="F169" i="16"/>
  <c r="E169" i="16"/>
  <c r="D169" i="16"/>
  <c r="O168" i="16"/>
  <c r="M168" i="16"/>
  <c r="K168" i="16"/>
  <c r="I168" i="16"/>
  <c r="G168" i="16"/>
  <c r="F168" i="16"/>
  <c r="E168" i="16"/>
  <c r="D168" i="16"/>
  <c r="O167" i="16"/>
  <c r="M167" i="16"/>
  <c r="K167" i="16"/>
  <c r="I167" i="16"/>
  <c r="G167" i="16"/>
  <c r="F167" i="16"/>
  <c r="E167" i="16"/>
  <c r="D167" i="16"/>
  <c r="O166" i="16"/>
  <c r="M166" i="16"/>
  <c r="K166" i="16"/>
  <c r="I166" i="16"/>
  <c r="G166" i="16"/>
  <c r="F166" i="16"/>
  <c r="E166" i="16"/>
  <c r="D166" i="16"/>
  <c r="O165" i="16"/>
  <c r="M165" i="16"/>
  <c r="K165" i="16"/>
  <c r="I165" i="16"/>
  <c r="G165" i="16"/>
  <c r="F165" i="16"/>
  <c r="E165" i="16"/>
  <c r="D165" i="16"/>
  <c r="O164" i="16"/>
  <c r="M164" i="16"/>
  <c r="K164" i="16"/>
  <c r="I164" i="16"/>
  <c r="G164" i="16"/>
  <c r="F164" i="16"/>
  <c r="E164" i="16"/>
  <c r="D164" i="16"/>
  <c r="O163" i="16"/>
  <c r="M163" i="16"/>
  <c r="K163" i="16"/>
  <c r="I163" i="16"/>
  <c r="G163" i="16"/>
  <c r="F163" i="16"/>
  <c r="E163" i="16"/>
  <c r="D163" i="16"/>
  <c r="O162" i="16"/>
  <c r="M162" i="16"/>
  <c r="K162" i="16"/>
  <c r="I162" i="16"/>
  <c r="G162" i="16"/>
  <c r="F162" i="16"/>
  <c r="E162" i="16"/>
  <c r="D162" i="16"/>
  <c r="O161" i="16"/>
  <c r="M161" i="16"/>
  <c r="K161" i="16"/>
  <c r="I161" i="16"/>
  <c r="G161" i="16"/>
  <c r="F161" i="16"/>
  <c r="E161" i="16"/>
  <c r="D161" i="16"/>
  <c r="O160" i="16"/>
  <c r="M160" i="16"/>
  <c r="K160" i="16"/>
  <c r="I160" i="16"/>
  <c r="G160" i="16"/>
  <c r="F160" i="16"/>
  <c r="E160" i="16"/>
  <c r="D160" i="16"/>
  <c r="O159" i="16"/>
  <c r="M159" i="16"/>
  <c r="K159" i="16"/>
  <c r="I159" i="16"/>
  <c r="G159" i="16"/>
  <c r="F159" i="16"/>
  <c r="E159" i="16"/>
  <c r="D159" i="16"/>
  <c r="O158" i="16"/>
  <c r="M158" i="16"/>
  <c r="K158" i="16"/>
  <c r="I158" i="16"/>
  <c r="G158" i="16"/>
  <c r="F158" i="16"/>
  <c r="E158" i="16"/>
  <c r="D158" i="16"/>
  <c r="O157" i="16"/>
  <c r="M157" i="16"/>
  <c r="K157" i="16"/>
  <c r="I157" i="16"/>
  <c r="G157" i="16"/>
  <c r="F157" i="16"/>
  <c r="E157" i="16"/>
  <c r="D157" i="16"/>
  <c r="O156" i="16"/>
  <c r="M156" i="16"/>
  <c r="K156" i="16"/>
  <c r="I156" i="16"/>
  <c r="G156" i="16"/>
  <c r="F156" i="16"/>
  <c r="E156" i="16"/>
  <c r="D156" i="16"/>
  <c r="O155" i="16"/>
  <c r="M155" i="16"/>
  <c r="K155" i="16"/>
  <c r="I155" i="16"/>
  <c r="G155" i="16"/>
  <c r="F155" i="16"/>
  <c r="E155" i="16"/>
  <c r="D155" i="16"/>
  <c r="O154" i="16"/>
  <c r="M154" i="16"/>
  <c r="K154" i="16"/>
  <c r="I154" i="16"/>
  <c r="G154" i="16"/>
  <c r="F154" i="16"/>
  <c r="E154" i="16"/>
  <c r="D154" i="16"/>
  <c r="O153" i="16"/>
  <c r="M153" i="16"/>
  <c r="K153" i="16"/>
  <c r="I153" i="16"/>
  <c r="G153" i="16"/>
  <c r="F153" i="16"/>
  <c r="E153" i="16"/>
  <c r="D153" i="16"/>
  <c r="O152" i="16"/>
  <c r="M152" i="16"/>
  <c r="K152" i="16"/>
  <c r="I152" i="16"/>
  <c r="G152" i="16"/>
  <c r="F152" i="16"/>
  <c r="E152" i="16"/>
  <c r="D152" i="16"/>
  <c r="O151" i="16"/>
  <c r="M151" i="16"/>
  <c r="K151" i="16"/>
  <c r="I151" i="16"/>
  <c r="G151" i="16"/>
  <c r="F151" i="16"/>
  <c r="E151" i="16"/>
  <c r="D151" i="16"/>
  <c r="O150" i="16"/>
  <c r="M150" i="16"/>
  <c r="K150" i="16"/>
  <c r="I150" i="16"/>
  <c r="G150" i="16"/>
  <c r="F150" i="16"/>
  <c r="E150" i="16"/>
  <c r="D150" i="16"/>
  <c r="O149" i="16"/>
  <c r="M149" i="16"/>
  <c r="K149" i="16"/>
  <c r="I149" i="16"/>
  <c r="G149" i="16"/>
  <c r="F149" i="16"/>
  <c r="E149" i="16"/>
  <c r="D149" i="16"/>
  <c r="O148" i="16"/>
  <c r="M148" i="16"/>
  <c r="K148" i="16"/>
  <c r="I148" i="16"/>
  <c r="G148" i="16"/>
  <c r="F148" i="16"/>
  <c r="E148" i="16"/>
  <c r="D148" i="16"/>
  <c r="O147" i="16"/>
  <c r="M147" i="16"/>
  <c r="K147" i="16"/>
  <c r="I147" i="16"/>
  <c r="G147" i="16"/>
  <c r="F147" i="16"/>
  <c r="E147" i="16"/>
  <c r="D147" i="16"/>
  <c r="O146" i="16"/>
  <c r="M146" i="16"/>
  <c r="K146" i="16"/>
  <c r="I146" i="16"/>
  <c r="G146" i="16"/>
  <c r="F146" i="16"/>
  <c r="E146" i="16"/>
  <c r="D146" i="16"/>
  <c r="O145" i="16"/>
  <c r="M145" i="16"/>
  <c r="K145" i="16"/>
  <c r="I145" i="16"/>
  <c r="G145" i="16"/>
  <c r="F145" i="16"/>
  <c r="E145" i="16"/>
  <c r="D145" i="16"/>
  <c r="O144" i="16"/>
  <c r="M144" i="16"/>
  <c r="K144" i="16"/>
  <c r="I144" i="16"/>
  <c r="G144" i="16"/>
  <c r="F144" i="16"/>
  <c r="E144" i="16"/>
  <c r="D144" i="16"/>
  <c r="O143" i="16"/>
  <c r="M143" i="16"/>
  <c r="K143" i="16"/>
  <c r="I143" i="16"/>
  <c r="G143" i="16"/>
  <c r="F143" i="16"/>
  <c r="E143" i="16"/>
  <c r="D143" i="16"/>
  <c r="O142" i="16"/>
  <c r="M142" i="16"/>
  <c r="K142" i="16"/>
  <c r="I142" i="16"/>
  <c r="G142" i="16"/>
  <c r="F142" i="16"/>
  <c r="E142" i="16"/>
  <c r="D142" i="16"/>
  <c r="O141" i="16"/>
  <c r="M141" i="16"/>
  <c r="K141" i="16"/>
  <c r="I141" i="16"/>
  <c r="G141" i="16"/>
  <c r="F141" i="16"/>
  <c r="E141" i="16"/>
  <c r="D141" i="16"/>
  <c r="O140" i="16"/>
  <c r="M140" i="16"/>
  <c r="K140" i="16"/>
  <c r="I140" i="16"/>
  <c r="G140" i="16"/>
  <c r="F140" i="16"/>
  <c r="E140" i="16"/>
  <c r="D140" i="16"/>
  <c r="O139" i="16"/>
  <c r="M139" i="16"/>
  <c r="K139" i="16"/>
  <c r="I139" i="16"/>
  <c r="G139" i="16"/>
  <c r="F139" i="16"/>
  <c r="E139" i="16"/>
  <c r="D139" i="16"/>
  <c r="O138" i="16"/>
  <c r="M138" i="16"/>
  <c r="K138" i="16"/>
  <c r="I138" i="16"/>
  <c r="G138" i="16"/>
  <c r="F138" i="16"/>
  <c r="E138" i="16"/>
  <c r="D138" i="16"/>
  <c r="O137" i="16"/>
  <c r="M137" i="16"/>
  <c r="K137" i="16"/>
  <c r="I137" i="16"/>
  <c r="G137" i="16"/>
  <c r="F137" i="16"/>
  <c r="E137" i="16"/>
  <c r="D137" i="16"/>
  <c r="O136" i="16"/>
  <c r="M136" i="16"/>
  <c r="K136" i="16"/>
  <c r="I136" i="16"/>
  <c r="G136" i="16"/>
  <c r="F136" i="16"/>
  <c r="E136" i="16"/>
  <c r="D136" i="16"/>
  <c r="O135" i="16"/>
  <c r="M135" i="16"/>
  <c r="K135" i="16"/>
  <c r="I135" i="16"/>
  <c r="G135" i="16"/>
  <c r="F135" i="16"/>
  <c r="E135" i="16"/>
  <c r="D135" i="16"/>
  <c r="O134" i="16"/>
  <c r="M134" i="16"/>
  <c r="K134" i="16"/>
  <c r="I134" i="16"/>
  <c r="G134" i="16"/>
  <c r="F134" i="16"/>
  <c r="E134" i="16"/>
  <c r="D134" i="16"/>
  <c r="O133" i="16"/>
  <c r="M133" i="16"/>
  <c r="K133" i="16"/>
  <c r="I133" i="16"/>
  <c r="G133" i="16"/>
  <c r="F133" i="16"/>
  <c r="E133" i="16"/>
  <c r="D133" i="16"/>
  <c r="O132" i="16"/>
  <c r="M132" i="16"/>
  <c r="K132" i="16"/>
  <c r="I132" i="16"/>
  <c r="G132" i="16"/>
  <c r="F132" i="16"/>
  <c r="E132" i="16"/>
  <c r="D132" i="16"/>
  <c r="O131" i="16"/>
  <c r="M131" i="16"/>
  <c r="K131" i="16"/>
  <c r="I131" i="16"/>
  <c r="G131" i="16"/>
  <c r="F131" i="16"/>
  <c r="E131" i="16"/>
  <c r="D131" i="16"/>
  <c r="O130" i="16"/>
  <c r="M130" i="16"/>
  <c r="K130" i="16"/>
  <c r="I130" i="16"/>
  <c r="G130" i="16"/>
  <c r="F130" i="16"/>
  <c r="E130" i="16"/>
  <c r="D130" i="16"/>
  <c r="O129" i="16"/>
  <c r="M129" i="16"/>
  <c r="K129" i="16"/>
  <c r="I129" i="16"/>
  <c r="G129" i="16"/>
  <c r="F129" i="16"/>
  <c r="E129" i="16"/>
  <c r="D129" i="16"/>
  <c r="O128" i="16"/>
  <c r="M128" i="16"/>
  <c r="K128" i="16"/>
  <c r="I128" i="16"/>
  <c r="G128" i="16"/>
  <c r="F128" i="16"/>
  <c r="E128" i="16"/>
  <c r="D128" i="16"/>
  <c r="O127" i="16"/>
  <c r="M127" i="16"/>
  <c r="K127" i="16"/>
  <c r="I127" i="16"/>
  <c r="G127" i="16"/>
  <c r="F127" i="16"/>
  <c r="E127" i="16"/>
  <c r="D127" i="16"/>
  <c r="O126" i="16"/>
  <c r="M126" i="16"/>
  <c r="K126" i="16"/>
  <c r="I126" i="16"/>
  <c r="G126" i="16"/>
  <c r="F126" i="16"/>
  <c r="E126" i="16"/>
  <c r="D126" i="16"/>
  <c r="O125" i="16"/>
  <c r="M125" i="16"/>
  <c r="K125" i="16"/>
  <c r="I125" i="16"/>
  <c r="G125" i="16"/>
  <c r="F125" i="16"/>
  <c r="E125" i="16"/>
  <c r="D125" i="16"/>
  <c r="O124" i="16"/>
  <c r="M124" i="16"/>
  <c r="K124" i="16"/>
  <c r="I124" i="16"/>
  <c r="G124" i="16"/>
  <c r="F124" i="16"/>
  <c r="E124" i="16"/>
  <c r="D124" i="16"/>
  <c r="O123" i="16"/>
  <c r="M123" i="16"/>
  <c r="K123" i="16"/>
  <c r="I123" i="16"/>
  <c r="G123" i="16"/>
  <c r="F123" i="16"/>
  <c r="E123" i="16"/>
  <c r="D123" i="16"/>
  <c r="O122" i="16"/>
  <c r="M122" i="16"/>
  <c r="K122" i="16"/>
  <c r="I122" i="16"/>
  <c r="G122" i="16"/>
  <c r="F122" i="16"/>
  <c r="E122" i="16"/>
  <c r="D122" i="16"/>
  <c r="O121" i="16"/>
  <c r="M121" i="16"/>
  <c r="K121" i="16"/>
  <c r="I121" i="16"/>
  <c r="G121" i="16"/>
  <c r="F121" i="16"/>
  <c r="E121" i="16"/>
  <c r="D121" i="16"/>
  <c r="O120" i="16"/>
  <c r="M120" i="16"/>
  <c r="K120" i="16"/>
  <c r="I120" i="16"/>
  <c r="G120" i="16"/>
  <c r="F120" i="16"/>
  <c r="E120" i="16"/>
  <c r="D120" i="16"/>
  <c r="O119" i="16"/>
  <c r="M119" i="16"/>
  <c r="K119" i="16"/>
  <c r="I119" i="16"/>
  <c r="G119" i="16"/>
  <c r="F119" i="16"/>
  <c r="E119" i="16"/>
  <c r="D119" i="16"/>
  <c r="O118" i="16"/>
  <c r="M118" i="16"/>
  <c r="K118" i="16"/>
  <c r="I118" i="16"/>
  <c r="G118" i="16"/>
  <c r="F118" i="16"/>
  <c r="E118" i="16"/>
  <c r="D118" i="16"/>
  <c r="O117" i="16"/>
  <c r="M117" i="16"/>
  <c r="K117" i="16"/>
  <c r="I117" i="16"/>
  <c r="G117" i="16"/>
  <c r="F117" i="16"/>
  <c r="E117" i="16"/>
  <c r="D117" i="16"/>
  <c r="O116" i="16"/>
  <c r="M116" i="16"/>
  <c r="K116" i="16"/>
  <c r="I116" i="16"/>
  <c r="G116" i="16"/>
  <c r="F116" i="16"/>
  <c r="E116" i="16"/>
  <c r="D116" i="16"/>
  <c r="O115" i="16"/>
  <c r="M115" i="16"/>
  <c r="K115" i="16"/>
  <c r="I115" i="16"/>
  <c r="G115" i="16"/>
  <c r="F115" i="16"/>
  <c r="E115" i="16"/>
  <c r="D115" i="16"/>
  <c r="O114" i="16"/>
  <c r="M114" i="16"/>
  <c r="K114" i="16"/>
  <c r="I114" i="16"/>
  <c r="G114" i="16"/>
  <c r="F114" i="16"/>
  <c r="E114" i="16"/>
  <c r="D114" i="16"/>
  <c r="O113" i="16"/>
  <c r="M113" i="16"/>
  <c r="K113" i="16"/>
  <c r="I113" i="16"/>
  <c r="G113" i="16"/>
  <c r="F113" i="16"/>
  <c r="E113" i="16"/>
  <c r="D113" i="16"/>
  <c r="O112" i="16"/>
  <c r="M112" i="16"/>
  <c r="K112" i="16"/>
  <c r="I112" i="16"/>
  <c r="G112" i="16"/>
  <c r="F112" i="16"/>
  <c r="E112" i="16"/>
  <c r="D112" i="16"/>
  <c r="O111" i="16"/>
  <c r="M111" i="16"/>
  <c r="K111" i="16"/>
  <c r="I111" i="16"/>
  <c r="G111" i="16"/>
  <c r="F111" i="16"/>
  <c r="E111" i="16"/>
  <c r="D111" i="16"/>
  <c r="O110" i="16"/>
  <c r="M110" i="16"/>
  <c r="K110" i="16"/>
  <c r="I110" i="16"/>
  <c r="G110" i="16"/>
  <c r="F110" i="16"/>
  <c r="E110" i="16"/>
  <c r="D110" i="16"/>
  <c r="O109" i="16"/>
  <c r="M109" i="16"/>
  <c r="K109" i="16"/>
  <c r="I109" i="16"/>
  <c r="G109" i="16"/>
  <c r="F109" i="16"/>
  <c r="E109" i="16"/>
  <c r="D109" i="16"/>
  <c r="O108" i="16"/>
  <c r="M108" i="16"/>
  <c r="K108" i="16"/>
  <c r="I108" i="16"/>
  <c r="G108" i="16"/>
  <c r="F108" i="16"/>
  <c r="E108" i="16"/>
  <c r="D108" i="16"/>
  <c r="O107" i="16"/>
  <c r="M107" i="16"/>
  <c r="K107" i="16"/>
  <c r="I107" i="16"/>
  <c r="G107" i="16"/>
  <c r="F107" i="16"/>
  <c r="E107" i="16"/>
  <c r="D107" i="16"/>
  <c r="O106" i="16"/>
  <c r="M106" i="16"/>
  <c r="K106" i="16"/>
  <c r="I106" i="16"/>
  <c r="G106" i="16"/>
  <c r="F106" i="16"/>
  <c r="E106" i="16"/>
  <c r="D106" i="16"/>
  <c r="O105" i="16"/>
  <c r="M105" i="16"/>
  <c r="K105" i="16"/>
  <c r="I105" i="16"/>
  <c r="G105" i="16"/>
  <c r="F105" i="16"/>
  <c r="E105" i="16"/>
  <c r="D105" i="16"/>
  <c r="O104" i="16"/>
  <c r="M104" i="16"/>
  <c r="K104" i="16"/>
  <c r="I104" i="16"/>
  <c r="G104" i="16"/>
  <c r="F104" i="16"/>
  <c r="E104" i="16"/>
  <c r="D104" i="16"/>
  <c r="O103" i="16"/>
  <c r="M103" i="16"/>
  <c r="K103" i="16"/>
  <c r="I103" i="16"/>
  <c r="G103" i="16"/>
  <c r="F103" i="16"/>
  <c r="E103" i="16"/>
  <c r="D103" i="16"/>
  <c r="O102" i="16"/>
  <c r="M102" i="16"/>
  <c r="K102" i="16"/>
  <c r="I102" i="16"/>
  <c r="G102" i="16"/>
  <c r="F102" i="16"/>
  <c r="E102" i="16"/>
  <c r="D102" i="16"/>
  <c r="O101" i="16"/>
  <c r="M101" i="16"/>
  <c r="K101" i="16"/>
  <c r="I101" i="16"/>
  <c r="G101" i="16"/>
  <c r="F101" i="16"/>
  <c r="E101" i="16"/>
  <c r="D101" i="16"/>
  <c r="O100" i="16"/>
  <c r="M100" i="16"/>
  <c r="K100" i="16"/>
  <c r="I100" i="16"/>
  <c r="G100" i="16"/>
  <c r="F100" i="16"/>
  <c r="E100" i="16"/>
  <c r="D100" i="16"/>
  <c r="O99" i="16"/>
  <c r="M99" i="16"/>
  <c r="K99" i="16"/>
  <c r="I99" i="16"/>
  <c r="G99" i="16"/>
  <c r="F99" i="16"/>
  <c r="E99" i="16"/>
  <c r="D99" i="16"/>
  <c r="O98" i="16"/>
  <c r="M98" i="16"/>
  <c r="K98" i="16"/>
  <c r="I98" i="16"/>
  <c r="G98" i="16"/>
  <c r="F98" i="16"/>
  <c r="E98" i="16"/>
  <c r="D98" i="16"/>
  <c r="O97" i="16"/>
  <c r="M97" i="16"/>
  <c r="K97" i="16"/>
  <c r="I97" i="16"/>
  <c r="G97" i="16"/>
  <c r="F97" i="16"/>
  <c r="E97" i="16"/>
  <c r="D97" i="16"/>
  <c r="O96" i="16"/>
  <c r="M96" i="16"/>
  <c r="K96" i="16"/>
  <c r="I96" i="16"/>
  <c r="G96" i="16"/>
  <c r="F96" i="16"/>
  <c r="E96" i="16"/>
  <c r="D96" i="16"/>
  <c r="O95" i="16"/>
  <c r="M95" i="16"/>
  <c r="K95" i="16"/>
  <c r="I95" i="16"/>
  <c r="G95" i="16"/>
  <c r="F95" i="16"/>
  <c r="E95" i="16"/>
  <c r="D95" i="16"/>
  <c r="O94" i="16"/>
  <c r="M94" i="16"/>
  <c r="K94" i="16"/>
  <c r="I94" i="16"/>
  <c r="G94" i="16"/>
  <c r="F94" i="16"/>
  <c r="E94" i="16"/>
  <c r="D94" i="16"/>
  <c r="O93" i="16"/>
  <c r="M93" i="16"/>
  <c r="K93" i="16"/>
  <c r="I93" i="16"/>
  <c r="G93" i="16"/>
  <c r="F93" i="16"/>
  <c r="E93" i="16"/>
  <c r="D93" i="16"/>
  <c r="O92" i="16"/>
  <c r="M92" i="16"/>
  <c r="K92" i="16"/>
  <c r="I92" i="16"/>
  <c r="G92" i="16"/>
  <c r="F92" i="16"/>
  <c r="E92" i="16"/>
  <c r="D92" i="16"/>
  <c r="O91" i="16"/>
  <c r="M91" i="16"/>
  <c r="K91" i="16"/>
  <c r="I91" i="16"/>
  <c r="G91" i="16"/>
  <c r="F91" i="16"/>
  <c r="E91" i="16"/>
  <c r="D91" i="16"/>
  <c r="O90" i="16"/>
  <c r="M90" i="16"/>
  <c r="K90" i="16"/>
  <c r="I90" i="16"/>
  <c r="G90" i="16"/>
  <c r="F90" i="16"/>
  <c r="E90" i="16"/>
  <c r="D90" i="16"/>
  <c r="O89" i="16"/>
  <c r="M89" i="16"/>
  <c r="K89" i="16"/>
  <c r="I89" i="16"/>
  <c r="G89" i="16"/>
  <c r="F89" i="16"/>
  <c r="E89" i="16"/>
  <c r="D89" i="16"/>
  <c r="O88" i="16"/>
  <c r="M88" i="16"/>
  <c r="K88" i="16"/>
  <c r="I88" i="16"/>
  <c r="G88" i="16"/>
  <c r="F88" i="16"/>
  <c r="E88" i="16"/>
  <c r="D88" i="16"/>
  <c r="O87" i="16"/>
  <c r="M87" i="16"/>
  <c r="K87" i="16"/>
  <c r="I87" i="16"/>
  <c r="G87" i="16"/>
  <c r="F87" i="16"/>
  <c r="E87" i="16"/>
  <c r="D87" i="16"/>
  <c r="O86" i="16"/>
  <c r="M86" i="16"/>
  <c r="K86" i="16"/>
  <c r="I86" i="16"/>
  <c r="G86" i="16"/>
  <c r="F86" i="16"/>
  <c r="E86" i="16"/>
  <c r="D86" i="16"/>
  <c r="O85" i="16"/>
  <c r="M85" i="16"/>
  <c r="K85" i="16"/>
  <c r="I85" i="16"/>
  <c r="G85" i="16"/>
  <c r="F85" i="16"/>
  <c r="E85" i="16"/>
  <c r="D85" i="16"/>
  <c r="O84" i="16"/>
  <c r="M84" i="16"/>
  <c r="K84" i="16"/>
  <c r="I84" i="16"/>
  <c r="G84" i="16"/>
  <c r="F84" i="16"/>
  <c r="E84" i="16"/>
  <c r="D84" i="16"/>
  <c r="O83" i="16"/>
  <c r="M83" i="16"/>
  <c r="K83" i="16"/>
  <c r="I83" i="16"/>
  <c r="G83" i="16"/>
  <c r="F83" i="16"/>
  <c r="E83" i="16"/>
  <c r="D83" i="16"/>
  <c r="O82" i="16"/>
  <c r="M82" i="16"/>
  <c r="K82" i="16"/>
  <c r="I82" i="16"/>
  <c r="G82" i="16"/>
  <c r="F82" i="16"/>
  <c r="E82" i="16"/>
  <c r="D82" i="16"/>
  <c r="O81" i="16"/>
  <c r="M81" i="16"/>
  <c r="K81" i="16"/>
  <c r="I81" i="16"/>
  <c r="G81" i="16"/>
  <c r="F81" i="16"/>
  <c r="E81" i="16"/>
  <c r="D81" i="16"/>
  <c r="O80" i="16"/>
  <c r="M80" i="16"/>
  <c r="K80" i="16"/>
  <c r="I80" i="16"/>
  <c r="G80" i="16"/>
  <c r="F80" i="16"/>
  <c r="E80" i="16"/>
  <c r="D80" i="16"/>
  <c r="O79" i="16"/>
  <c r="M79" i="16"/>
  <c r="K79" i="16"/>
  <c r="I79" i="16"/>
  <c r="G79" i="16"/>
  <c r="F79" i="16"/>
  <c r="E79" i="16"/>
  <c r="D79" i="16"/>
  <c r="O78" i="16"/>
  <c r="M78" i="16"/>
  <c r="K78" i="16"/>
  <c r="I78" i="16"/>
  <c r="G78" i="16"/>
  <c r="F78" i="16"/>
  <c r="E78" i="16"/>
  <c r="D78" i="16"/>
  <c r="O77" i="16"/>
  <c r="M77" i="16"/>
  <c r="K77" i="16"/>
  <c r="I77" i="16"/>
  <c r="G77" i="16"/>
  <c r="F77" i="16"/>
  <c r="E77" i="16"/>
  <c r="D77" i="16"/>
  <c r="O76" i="16"/>
  <c r="M76" i="16"/>
  <c r="K76" i="16"/>
  <c r="I76" i="16"/>
  <c r="G76" i="16"/>
  <c r="F76" i="16"/>
  <c r="E76" i="16"/>
  <c r="D76" i="16"/>
  <c r="O75" i="16"/>
  <c r="M75" i="16"/>
  <c r="K75" i="16"/>
  <c r="I75" i="16"/>
  <c r="G75" i="16"/>
  <c r="F75" i="16"/>
  <c r="E75" i="16"/>
  <c r="D75" i="16"/>
  <c r="O74" i="16"/>
  <c r="M74" i="16"/>
  <c r="K74" i="16"/>
  <c r="I74" i="16"/>
  <c r="G74" i="16"/>
  <c r="F74" i="16"/>
  <c r="E74" i="16"/>
  <c r="D74" i="16"/>
  <c r="O73" i="16"/>
  <c r="M73" i="16"/>
  <c r="K73" i="16"/>
  <c r="I73" i="16"/>
  <c r="G73" i="16"/>
  <c r="F73" i="16"/>
  <c r="E73" i="16"/>
  <c r="D73" i="16"/>
  <c r="O72" i="16"/>
  <c r="M72" i="16"/>
  <c r="K72" i="16"/>
  <c r="I72" i="16"/>
  <c r="G72" i="16"/>
  <c r="F72" i="16"/>
  <c r="E72" i="16"/>
  <c r="D72" i="16"/>
  <c r="O71" i="16"/>
  <c r="M71" i="16"/>
  <c r="K71" i="16"/>
  <c r="I71" i="16"/>
  <c r="G71" i="16"/>
  <c r="F71" i="16"/>
  <c r="E71" i="16"/>
  <c r="D71" i="16"/>
  <c r="O70" i="16"/>
  <c r="M70" i="16"/>
  <c r="K70" i="16"/>
  <c r="I70" i="16"/>
  <c r="G70" i="16"/>
  <c r="F70" i="16"/>
  <c r="E70" i="16"/>
  <c r="D70" i="16"/>
  <c r="O69" i="16"/>
  <c r="M69" i="16"/>
  <c r="K69" i="16"/>
  <c r="I69" i="16"/>
  <c r="G69" i="16"/>
  <c r="F69" i="16"/>
  <c r="E69" i="16"/>
  <c r="D69" i="16"/>
  <c r="O68" i="16"/>
  <c r="M68" i="16"/>
  <c r="K68" i="16"/>
  <c r="I68" i="16"/>
  <c r="G68" i="16"/>
  <c r="F68" i="16"/>
  <c r="E68" i="16"/>
  <c r="D68" i="16"/>
  <c r="O67" i="16"/>
  <c r="M67" i="16"/>
  <c r="K67" i="16"/>
  <c r="I67" i="16"/>
  <c r="G67" i="16"/>
  <c r="F67" i="16"/>
  <c r="E67" i="16"/>
  <c r="D67" i="16"/>
  <c r="O66" i="16"/>
  <c r="M66" i="16"/>
  <c r="K66" i="16"/>
  <c r="I66" i="16"/>
  <c r="G66" i="16"/>
  <c r="F66" i="16"/>
  <c r="E66" i="16"/>
  <c r="D66" i="16"/>
  <c r="O65" i="16"/>
  <c r="M65" i="16"/>
  <c r="K65" i="16"/>
  <c r="I65" i="16"/>
  <c r="G65" i="16"/>
  <c r="F65" i="16"/>
  <c r="E65" i="16"/>
  <c r="D65" i="16"/>
  <c r="O64" i="16"/>
  <c r="M64" i="16"/>
  <c r="K64" i="16"/>
  <c r="I64" i="16"/>
  <c r="G64" i="16"/>
  <c r="F64" i="16"/>
  <c r="E64" i="16"/>
  <c r="D64" i="16"/>
  <c r="O63" i="16"/>
  <c r="M63" i="16"/>
  <c r="K63" i="16"/>
  <c r="I63" i="16"/>
  <c r="G63" i="16"/>
  <c r="F63" i="16"/>
  <c r="E63" i="16"/>
  <c r="D63" i="16"/>
  <c r="O62" i="16"/>
  <c r="M62" i="16"/>
  <c r="K62" i="16"/>
  <c r="I62" i="16"/>
  <c r="G62" i="16"/>
  <c r="F62" i="16"/>
  <c r="E62" i="16"/>
  <c r="D62" i="16"/>
  <c r="O61" i="16"/>
  <c r="M61" i="16"/>
  <c r="K61" i="16"/>
  <c r="I61" i="16"/>
  <c r="G61" i="16"/>
  <c r="F61" i="16"/>
  <c r="E61" i="16"/>
  <c r="D61" i="16"/>
  <c r="O60" i="16"/>
  <c r="M60" i="16"/>
  <c r="K60" i="16"/>
  <c r="I60" i="16"/>
  <c r="G60" i="16"/>
  <c r="F60" i="16"/>
  <c r="E60" i="16"/>
  <c r="D60" i="16"/>
  <c r="O59" i="16"/>
  <c r="M59" i="16"/>
  <c r="K59" i="16"/>
  <c r="I59" i="16"/>
  <c r="G59" i="16"/>
  <c r="F59" i="16"/>
  <c r="E59" i="16"/>
  <c r="D59" i="16"/>
  <c r="O58" i="16"/>
  <c r="M58" i="16"/>
  <c r="K58" i="16"/>
  <c r="I58" i="16"/>
  <c r="G58" i="16"/>
  <c r="F58" i="16"/>
  <c r="E58" i="16"/>
  <c r="D58" i="16"/>
  <c r="O57" i="16"/>
  <c r="M57" i="16"/>
  <c r="K57" i="16"/>
  <c r="I57" i="16"/>
  <c r="G57" i="16"/>
  <c r="F57" i="16"/>
  <c r="E57" i="16"/>
  <c r="D57" i="16"/>
  <c r="O56" i="16"/>
  <c r="M56" i="16"/>
  <c r="K56" i="16"/>
  <c r="I56" i="16"/>
  <c r="G56" i="16"/>
  <c r="F56" i="16"/>
  <c r="E56" i="16"/>
  <c r="D56" i="16"/>
  <c r="O55" i="16"/>
  <c r="M55" i="16"/>
  <c r="K55" i="16"/>
  <c r="I55" i="16"/>
  <c r="G55" i="16"/>
  <c r="F55" i="16"/>
  <c r="E55" i="16"/>
  <c r="D55" i="16"/>
  <c r="O54" i="16"/>
  <c r="M54" i="16"/>
  <c r="K54" i="16"/>
  <c r="I54" i="16"/>
  <c r="G54" i="16"/>
  <c r="F54" i="16"/>
  <c r="E54" i="16"/>
  <c r="D54" i="16"/>
  <c r="O53" i="16"/>
  <c r="M53" i="16"/>
  <c r="K53" i="16"/>
  <c r="I53" i="16"/>
  <c r="G53" i="16"/>
  <c r="F53" i="16"/>
  <c r="E53" i="16"/>
  <c r="D53" i="16"/>
  <c r="O52" i="16"/>
  <c r="M52" i="16"/>
  <c r="K52" i="16"/>
  <c r="I52" i="16"/>
  <c r="G52" i="16"/>
  <c r="F52" i="16"/>
  <c r="E52" i="16"/>
  <c r="D52" i="16"/>
  <c r="O51" i="16"/>
  <c r="M51" i="16"/>
  <c r="K51" i="16"/>
  <c r="I51" i="16"/>
  <c r="G51" i="16"/>
  <c r="F51" i="16"/>
  <c r="E51" i="16"/>
  <c r="D51" i="16"/>
  <c r="O50" i="16"/>
  <c r="M50" i="16"/>
  <c r="K50" i="16"/>
  <c r="I50" i="16"/>
  <c r="G50" i="16"/>
  <c r="F50" i="16"/>
  <c r="E50" i="16"/>
  <c r="D50" i="16"/>
  <c r="O49" i="16"/>
  <c r="M49" i="16"/>
  <c r="K49" i="16"/>
  <c r="I49" i="16"/>
  <c r="G49" i="16"/>
  <c r="F49" i="16"/>
  <c r="E49" i="16"/>
  <c r="D49" i="16"/>
  <c r="O48" i="16"/>
  <c r="M48" i="16"/>
  <c r="K48" i="16"/>
  <c r="I48" i="16"/>
  <c r="G48" i="16"/>
  <c r="F48" i="16"/>
  <c r="E48" i="16"/>
  <c r="D48" i="16"/>
  <c r="O47" i="16"/>
  <c r="M47" i="16"/>
  <c r="K47" i="16"/>
  <c r="I47" i="16"/>
  <c r="G47" i="16"/>
  <c r="F47" i="16"/>
  <c r="E47" i="16"/>
  <c r="D47" i="16"/>
  <c r="O46" i="16"/>
  <c r="M46" i="16"/>
  <c r="K46" i="16"/>
  <c r="I46" i="16"/>
  <c r="G46" i="16"/>
  <c r="F46" i="16"/>
  <c r="E46" i="16"/>
  <c r="D46" i="16"/>
  <c r="O45" i="16"/>
  <c r="M45" i="16"/>
  <c r="K45" i="16"/>
  <c r="I45" i="16"/>
  <c r="G45" i="16"/>
  <c r="F45" i="16"/>
  <c r="E45" i="16"/>
  <c r="D45" i="16"/>
  <c r="O44" i="16"/>
  <c r="M44" i="16"/>
  <c r="K44" i="16"/>
  <c r="I44" i="16"/>
  <c r="G44" i="16"/>
  <c r="F44" i="16"/>
  <c r="E44" i="16"/>
  <c r="D44" i="16"/>
  <c r="O43" i="16"/>
  <c r="M43" i="16"/>
  <c r="K43" i="16"/>
  <c r="I43" i="16"/>
  <c r="G43" i="16"/>
  <c r="F43" i="16"/>
  <c r="E43" i="16"/>
  <c r="D43" i="16"/>
  <c r="O42" i="16"/>
  <c r="M42" i="16"/>
  <c r="K42" i="16"/>
  <c r="I42" i="16"/>
  <c r="G42" i="16"/>
  <c r="F42" i="16"/>
  <c r="E42" i="16"/>
  <c r="D42" i="16"/>
  <c r="O41" i="16"/>
  <c r="M41" i="16"/>
  <c r="K41" i="16"/>
  <c r="I41" i="16"/>
  <c r="G41" i="16"/>
  <c r="F41" i="16"/>
  <c r="E41" i="16"/>
  <c r="D41" i="16"/>
  <c r="O40" i="16"/>
  <c r="M40" i="16"/>
  <c r="K40" i="16"/>
  <c r="I40" i="16"/>
  <c r="G40" i="16"/>
  <c r="F40" i="16"/>
  <c r="E40" i="16"/>
  <c r="D40" i="16"/>
  <c r="O39" i="16"/>
  <c r="M39" i="16"/>
  <c r="K39" i="16"/>
  <c r="I39" i="16"/>
  <c r="G39" i="16"/>
  <c r="F39" i="16"/>
  <c r="E39" i="16"/>
  <c r="D39" i="16"/>
  <c r="O38" i="16"/>
  <c r="M38" i="16"/>
  <c r="K38" i="16"/>
  <c r="I38" i="16"/>
  <c r="G38" i="16"/>
  <c r="F38" i="16"/>
  <c r="E38" i="16"/>
  <c r="D38" i="16"/>
  <c r="O37" i="16"/>
  <c r="M37" i="16"/>
  <c r="K37" i="16"/>
  <c r="I37" i="16"/>
  <c r="G37" i="16"/>
  <c r="F37" i="16"/>
  <c r="E37" i="16"/>
  <c r="D37" i="16"/>
  <c r="O36" i="16"/>
  <c r="M36" i="16"/>
  <c r="K36" i="16"/>
  <c r="I36" i="16"/>
  <c r="G36" i="16"/>
  <c r="F36" i="16"/>
  <c r="E36" i="16"/>
  <c r="D36" i="16"/>
  <c r="O35" i="16"/>
  <c r="M35" i="16"/>
  <c r="K35" i="16"/>
  <c r="I35" i="16"/>
  <c r="G35" i="16"/>
  <c r="F35" i="16"/>
  <c r="E35" i="16"/>
  <c r="D35" i="16"/>
  <c r="O34" i="16"/>
  <c r="M34" i="16"/>
  <c r="K34" i="16"/>
  <c r="I34" i="16"/>
  <c r="G34" i="16"/>
  <c r="F34" i="16"/>
  <c r="E34" i="16"/>
  <c r="D34" i="16"/>
  <c r="O33" i="16"/>
  <c r="M33" i="16"/>
  <c r="K33" i="16"/>
  <c r="I33" i="16"/>
  <c r="G33" i="16"/>
  <c r="F33" i="16"/>
  <c r="E33" i="16"/>
  <c r="D33" i="16"/>
  <c r="O32" i="16"/>
  <c r="M32" i="16"/>
  <c r="K32" i="16"/>
  <c r="I32" i="16"/>
  <c r="G32" i="16"/>
  <c r="F32" i="16"/>
  <c r="E32" i="16"/>
  <c r="D32" i="16"/>
  <c r="O31" i="16"/>
  <c r="M31" i="16"/>
  <c r="K31" i="16"/>
  <c r="I31" i="16"/>
  <c r="G31" i="16"/>
  <c r="F31" i="16"/>
  <c r="E31" i="16"/>
  <c r="D31" i="16"/>
  <c r="O30" i="16"/>
  <c r="M30" i="16"/>
  <c r="K30" i="16"/>
  <c r="I30" i="16"/>
  <c r="G30" i="16"/>
  <c r="F30" i="16"/>
  <c r="E30" i="16"/>
  <c r="D30" i="16"/>
  <c r="O29" i="16"/>
  <c r="M29" i="16"/>
  <c r="K29" i="16"/>
  <c r="I29" i="16"/>
  <c r="G29" i="16"/>
  <c r="F29" i="16"/>
  <c r="E29" i="16"/>
  <c r="D29" i="16"/>
  <c r="O28" i="16"/>
  <c r="M28" i="16"/>
  <c r="K28" i="16"/>
  <c r="I28" i="16"/>
  <c r="G28" i="16"/>
  <c r="F28" i="16"/>
  <c r="E28" i="16"/>
  <c r="D28" i="16"/>
  <c r="O27" i="16"/>
  <c r="M27" i="16"/>
  <c r="K27" i="16"/>
  <c r="I27" i="16"/>
  <c r="G27" i="16"/>
  <c r="F27" i="16"/>
  <c r="E27" i="16"/>
  <c r="D27" i="16"/>
  <c r="O26" i="16"/>
  <c r="M26" i="16"/>
  <c r="K26" i="16"/>
  <c r="I26" i="16"/>
  <c r="G26" i="16"/>
  <c r="F26" i="16"/>
  <c r="E26" i="16"/>
  <c r="D26" i="16"/>
  <c r="O25" i="16"/>
  <c r="M25" i="16"/>
  <c r="K25" i="16"/>
  <c r="I25" i="16"/>
  <c r="G25" i="16"/>
  <c r="F25" i="16"/>
  <c r="E25" i="16"/>
  <c r="D25" i="16"/>
  <c r="O24" i="16"/>
  <c r="M24" i="16"/>
  <c r="K24" i="16"/>
  <c r="I24" i="16"/>
  <c r="G24" i="16"/>
  <c r="F24" i="16"/>
  <c r="E24" i="16"/>
  <c r="D24" i="16"/>
  <c r="O23" i="16"/>
  <c r="M23" i="16"/>
  <c r="K23" i="16"/>
  <c r="I23" i="16"/>
  <c r="G23" i="16"/>
  <c r="F23" i="16"/>
  <c r="E23" i="16"/>
  <c r="D23" i="16"/>
  <c r="O22" i="16"/>
  <c r="M22" i="16"/>
  <c r="K22" i="16"/>
  <c r="I22" i="16"/>
  <c r="G22" i="16"/>
  <c r="F22" i="16"/>
  <c r="E22" i="16"/>
  <c r="D22" i="16"/>
  <c r="O21" i="16"/>
  <c r="M21" i="16"/>
  <c r="K21" i="16"/>
  <c r="I21" i="16"/>
  <c r="G21" i="16"/>
  <c r="F21" i="16"/>
  <c r="E21" i="16"/>
  <c r="D21" i="16"/>
  <c r="O20" i="16"/>
  <c r="M20" i="16"/>
  <c r="K20" i="16"/>
  <c r="I20" i="16"/>
  <c r="G20" i="16"/>
  <c r="F20" i="16"/>
  <c r="E20" i="16"/>
  <c r="D20" i="16"/>
  <c r="O19" i="16"/>
  <c r="M19" i="16"/>
  <c r="K19" i="16"/>
  <c r="I19" i="16"/>
  <c r="G19" i="16"/>
  <c r="F19" i="16"/>
  <c r="E19" i="16"/>
  <c r="D19" i="16"/>
  <c r="O18" i="16"/>
  <c r="M18" i="16"/>
  <c r="K18" i="16"/>
  <c r="I18" i="16"/>
  <c r="G18" i="16"/>
  <c r="F18" i="16"/>
  <c r="E18" i="16"/>
  <c r="D18" i="16"/>
  <c r="O17" i="16"/>
  <c r="M17" i="16"/>
  <c r="K17" i="16"/>
  <c r="I17" i="16"/>
  <c r="G17" i="16"/>
  <c r="F17" i="16"/>
  <c r="E17" i="16"/>
  <c r="D17" i="16"/>
  <c r="O16" i="16"/>
  <c r="M16" i="16"/>
  <c r="K16" i="16"/>
  <c r="I16" i="16"/>
  <c r="G16" i="16"/>
  <c r="F16" i="16"/>
  <c r="E16" i="16"/>
  <c r="D16" i="16"/>
  <c r="O15" i="16"/>
  <c r="M15" i="16"/>
  <c r="K15" i="16"/>
  <c r="I15" i="16"/>
  <c r="G15" i="16"/>
  <c r="F15" i="16"/>
  <c r="E15" i="16"/>
  <c r="D15" i="16"/>
  <c r="O14" i="16"/>
  <c r="M14" i="16"/>
  <c r="K14" i="16"/>
  <c r="I14" i="16"/>
  <c r="G14" i="16"/>
  <c r="F14" i="16"/>
  <c r="E14" i="16"/>
  <c r="D14" i="16"/>
  <c r="O13" i="16"/>
  <c r="M13" i="16"/>
  <c r="K13" i="16"/>
  <c r="I13" i="16"/>
  <c r="G13" i="16"/>
  <c r="F13" i="16"/>
  <c r="E13" i="16"/>
  <c r="D13" i="16"/>
  <c r="O12" i="16"/>
  <c r="M12" i="16"/>
  <c r="K12" i="16"/>
  <c r="I12" i="16"/>
  <c r="G12" i="16"/>
  <c r="F12" i="16"/>
  <c r="E12" i="16"/>
  <c r="D12" i="16"/>
  <c r="O11" i="16"/>
  <c r="M11" i="16"/>
  <c r="K11" i="16"/>
  <c r="I11" i="16"/>
  <c r="G11" i="16"/>
  <c r="F11" i="16"/>
  <c r="E11" i="16"/>
  <c r="D11" i="16"/>
  <c r="O10" i="16"/>
  <c r="M10" i="16"/>
  <c r="K10" i="16"/>
  <c r="I10" i="16"/>
  <c r="G10" i="16"/>
  <c r="F10" i="16"/>
  <c r="E10" i="16"/>
  <c r="D10" i="16"/>
  <c r="O9" i="16"/>
  <c r="M9" i="16"/>
  <c r="K9" i="16"/>
  <c r="I9" i="16"/>
  <c r="G9" i="16"/>
  <c r="F9" i="16"/>
  <c r="E9" i="16"/>
  <c r="D9" i="16"/>
  <c r="O8" i="16"/>
  <c r="M8" i="16"/>
  <c r="K8" i="16"/>
  <c r="I8" i="16"/>
  <c r="G8" i="16"/>
  <c r="F8" i="16"/>
  <c r="E8" i="16"/>
  <c r="D8" i="16"/>
  <c r="O7" i="16"/>
  <c r="M7" i="16"/>
  <c r="K7" i="16"/>
  <c r="I7" i="16"/>
  <c r="G7" i="16"/>
  <c r="F7" i="16"/>
  <c r="E7" i="16"/>
  <c r="D7" i="16"/>
  <c r="O6" i="16"/>
  <c r="M6" i="16"/>
  <c r="K6" i="16"/>
  <c r="I6" i="16"/>
  <c r="G6" i="16"/>
  <c r="F6" i="16"/>
  <c r="E6" i="16"/>
  <c r="D6" i="16"/>
  <c r="J5" i="15"/>
  <c r="J6" i="15" s="1"/>
  <c r="I5" i="15"/>
  <c r="I6" i="15" s="1"/>
  <c r="G5" i="15"/>
  <c r="D5" i="15" s="1"/>
  <c r="F5" i="15"/>
  <c r="F6" i="15" s="1"/>
  <c r="J4" i="15"/>
  <c r="H4" i="15" s="1"/>
  <c r="I4" i="15"/>
  <c r="G4" i="15"/>
  <c r="D4" i="15" s="1"/>
  <c r="F4" i="15"/>
  <c r="E4" i="15" s="1"/>
  <c r="C4" i="15" l="1"/>
  <c r="B4" i="15"/>
  <c r="E5" i="15"/>
  <c r="E6" i="15" s="1"/>
  <c r="D7" i="15"/>
  <c r="D6" i="15"/>
  <c r="H5" i="15"/>
  <c r="H6" i="15" s="1"/>
  <c r="G6" i="15"/>
  <c r="C5" i="15"/>
  <c r="Q6" i="16"/>
  <c r="C7" i="15" l="1"/>
  <c r="C6" i="15"/>
  <c r="B5" i="15"/>
  <c r="BC35" i="14"/>
  <c r="BB35" i="14"/>
  <c r="BC27" i="14"/>
  <c r="BC25" i="14"/>
  <c r="BC23" i="14"/>
  <c r="BC21" i="14"/>
  <c r="BC19" i="14"/>
  <c r="BB27" i="14"/>
  <c r="BB28" i="14" s="1"/>
  <c r="BB25" i="14"/>
  <c r="BB26" i="14" s="1"/>
  <c r="BB23" i="14"/>
  <c r="BB24" i="14" s="1"/>
  <c r="BB21" i="14"/>
  <c r="BB22" i="14" s="1"/>
  <c r="BB19" i="14"/>
  <c r="BB20" i="14" s="1"/>
  <c r="BD14" i="14"/>
  <c r="BD12" i="14"/>
  <c r="BD10" i="14"/>
  <c r="BD8" i="14"/>
  <c r="BD6" i="14"/>
  <c r="BA28" i="14"/>
  <c r="BA26" i="14"/>
  <c r="BA24" i="14"/>
  <c r="BA22" i="14"/>
  <c r="BA20" i="14"/>
  <c r="B7" i="15" l="1"/>
  <c r="B6" i="15"/>
  <c r="BD19" i="14"/>
  <c r="BC20" i="14"/>
  <c r="BD20" i="14" s="1"/>
  <c r="BD21" i="14"/>
  <c r="BC22" i="14"/>
  <c r="BD22" i="14" s="1"/>
  <c r="BD23" i="14"/>
  <c r="BC24" i="14"/>
  <c r="BD24" i="14" s="1"/>
  <c r="BD25" i="14"/>
  <c r="BC26" i="14"/>
  <c r="BD26" i="14" s="1"/>
  <c r="BD27" i="14"/>
  <c r="BC28" i="14"/>
  <c r="BD28" i="14" s="1"/>
  <c r="BD35" i="14"/>
  <c r="BD15" i="14"/>
  <c r="BD13" i="14"/>
  <c r="BD11" i="14"/>
  <c r="BD9" i="14"/>
  <c r="BD7" i="14"/>
  <c r="BC14" i="14"/>
  <c r="BC15" i="14" s="1"/>
  <c r="BC12" i="14"/>
  <c r="BC13" i="14" s="1"/>
  <c r="BC10" i="14"/>
  <c r="BC11" i="14" s="1"/>
  <c r="BE11" i="14" s="1"/>
  <c r="BC8" i="14"/>
  <c r="BC9" i="14" s="1"/>
  <c r="BE9" i="14" s="1"/>
  <c r="BC6" i="14"/>
  <c r="BE6" i="14" s="1"/>
  <c r="AD25" i="38"/>
  <c r="AC28" i="38"/>
  <c r="AB28" i="38"/>
  <c r="AA71" i="38"/>
  <c r="Z81" i="38"/>
  <c r="W25" i="38"/>
  <c r="V28" i="38"/>
  <c r="U29" i="38"/>
  <c r="T72" i="38"/>
  <c r="S81" i="38"/>
  <c r="BB15" i="14"/>
  <c r="BB13" i="14"/>
  <c r="BB11" i="14"/>
  <c r="BB9" i="14"/>
  <c r="BB7" i="14"/>
  <c r="O5" i="38"/>
  <c r="O6" i="38"/>
  <c r="O7" i="38"/>
  <c r="O8" i="38"/>
  <c r="O9" i="38"/>
  <c r="O10" i="38"/>
  <c r="O11" i="38"/>
  <c r="O12" i="38"/>
  <c r="O13" i="38"/>
  <c r="O14" i="38"/>
  <c r="O15" i="38"/>
  <c r="O16" i="38"/>
  <c r="O17" i="38"/>
  <c r="O18" i="38"/>
  <c r="O19" i="38"/>
  <c r="O20" i="38"/>
  <c r="O21" i="38"/>
  <c r="O4" i="38"/>
  <c r="O22" i="38" s="1"/>
  <c r="BE13" i="14" l="1"/>
  <c r="BE15" i="14"/>
  <c r="BC7" i="14"/>
  <c r="BE7" i="14" s="1"/>
  <c r="BE14" i="14"/>
  <c r="BE12" i="14"/>
  <c r="BE10" i="14"/>
  <c r="BE8" i="14"/>
  <c r="Q6" i="18"/>
  <c r="AT46" i="14" s="1"/>
  <c r="Q7" i="18"/>
  <c r="Q8" i="18"/>
  <c r="Q9" i="18"/>
  <c r="AU44" i="14" s="1"/>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Q233" i="18"/>
  <c r="Q234" i="18"/>
  <c r="Q235" i="18"/>
  <c r="Q236" i="18"/>
  <c r="Q237" i="18"/>
  <c r="Q238" i="18"/>
  <c r="Q239" i="18"/>
  <c r="Q240" i="18"/>
  <c r="Q241" i="18"/>
  <c r="Q242" i="18"/>
  <c r="Q243" i="18"/>
  <c r="Q244" i="18"/>
  <c r="Q245" i="18"/>
  <c r="Q246" i="18"/>
  <c r="Q247" i="18"/>
  <c r="Q248" i="18"/>
  <c r="Q249" i="18"/>
  <c r="Q250" i="18"/>
  <c r="Q251" i="18"/>
  <c r="Q252" i="18"/>
  <c r="Q253" i="18"/>
  <c r="Q254" i="18"/>
  <c r="Q255" i="18"/>
  <c r="Q256" i="18"/>
  <c r="Q257"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Q356" i="18"/>
  <c r="Q357" i="18"/>
  <c r="Q358" i="18"/>
  <c r="Q359" i="18"/>
  <c r="Q360" i="18"/>
  <c r="Q361" i="18"/>
  <c r="Q362" i="18"/>
  <c r="Q363" i="18"/>
  <c r="Q364" i="18"/>
  <c r="Q365" i="18"/>
  <c r="Q366" i="18"/>
  <c r="Q367" i="18"/>
  <c r="Q368" i="18"/>
  <c r="Q369" i="18"/>
  <c r="Q370" i="18"/>
  <c r="Q371" i="18"/>
  <c r="Q372" i="18"/>
  <c r="Q373" i="18"/>
  <c r="Q374" i="18"/>
  <c r="Q375" i="18"/>
  <c r="Q376" i="18"/>
  <c r="Q377" i="18"/>
  <c r="Q378"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Q477" i="18"/>
  <c r="Q478" i="18"/>
  <c r="Q479" i="18"/>
  <c r="Q480" i="18"/>
  <c r="Q481" i="18"/>
  <c r="Q482" i="18"/>
  <c r="Q483" i="18"/>
  <c r="Q484" i="18"/>
  <c r="Q485" i="18"/>
  <c r="Q486" i="18"/>
  <c r="Q487" i="18"/>
  <c r="Q488" i="18"/>
  <c r="Q489" i="18"/>
  <c r="Q490" i="18"/>
  <c r="Q491" i="18"/>
  <c r="Q492" i="18"/>
  <c r="Q493" i="18"/>
  <c r="Q494" i="18"/>
  <c r="Q495" i="18"/>
  <c r="Q496" i="18"/>
  <c r="Q497" i="18"/>
  <c r="Q498" i="18"/>
  <c r="Q499" i="18"/>
  <c r="Q500" i="18"/>
  <c r="Q501"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Q600" i="18"/>
  <c r="Q601" i="18"/>
  <c r="Q602" i="18"/>
  <c r="Q603" i="18"/>
  <c r="Q604" i="18"/>
  <c r="Q605" i="18"/>
  <c r="Q606" i="18"/>
  <c r="Q607" i="18"/>
  <c r="Q608" i="18"/>
  <c r="Q609" i="18"/>
  <c r="Q610" i="18"/>
  <c r="Q611" i="18"/>
  <c r="Q612" i="18"/>
  <c r="Q613" i="18"/>
  <c r="Q614" i="18"/>
  <c r="Q615" i="18"/>
  <c r="Q616" i="18"/>
  <c r="Q617" i="18"/>
  <c r="Q618" i="18"/>
  <c r="Q619" i="18"/>
  <c r="Q620" i="18"/>
  <c r="Q621" i="18"/>
  <c r="Q622" i="18"/>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Q721" i="18"/>
  <c r="Q722" i="18"/>
  <c r="Q723" i="18"/>
  <c r="Q724" i="18"/>
  <c r="Q725" i="18"/>
  <c r="Q726" i="18"/>
  <c r="Q727" i="18"/>
  <c r="Q728" i="18"/>
  <c r="Q729" i="18"/>
  <c r="Q730" i="18"/>
  <c r="Q731" i="18"/>
  <c r="Q732" i="18"/>
  <c r="Q733" i="18"/>
  <c r="Q734" i="18"/>
  <c r="Q735" i="18"/>
  <c r="Q736" i="18"/>
  <c r="Q737" i="18"/>
  <c r="Q738" i="18"/>
  <c r="Q739" i="18"/>
  <c r="Q740" i="18"/>
  <c r="Q741" i="18"/>
  <c r="Q742" i="18"/>
  <c r="Q743" i="18"/>
  <c r="Q744" i="18"/>
  <c r="Q745" i="18"/>
  <c r="Q746" i="18"/>
  <c r="Q747" i="18"/>
  <c r="Q748" i="18"/>
  <c r="Q749" i="18"/>
  <c r="Q750" i="18"/>
  <c r="Q751" i="18"/>
  <c r="Q752" i="18"/>
  <c r="Q753" i="18"/>
  <c r="Q754" i="18"/>
  <c r="Q755" i="18"/>
  <c r="Q756" i="18"/>
  <c r="Q757" i="18"/>
  <c r="Q758" i="18"/>
  <c r="Q759" i="18"/>
  <c r="Q760" i="18"/>
  <c r="Q761" i="18"/>
  <c r="Q762" i="18"/>
  <c r="Q763" i="18"/>
  <c r="Q764" i="18"/>
  <c r="Q765" i="18"/>
  <c r="Q766" i="18"/>
  <c r="Q767" i="18"/>
  <c r="Q768" i="18"/>
  <c r="Q769" i="18"/>
  <c r="Q770" i="18"/>
  <c r="Q771" i="18"/>
  <c r="Q772" i="18"/>
  <c r="Q773" i="18"/>
  <c r="Q774" i="18"/>
  <c r="Q775" i="18"/>
  <c r="Q776" i="18"/>
  <c r="Q777" i="18"/>
  <c r="Q778" i="18"/>
  <c r="Q779" i="18"/>
  <c r="Q780" i="18"/>
  <c r="Q781" i="18"/>
  <c r="Q782" i="18"/>
  <c r="Q783" i="18"/>
  <c r="Q784" i="18"/>
  <c r="Q785" i="18"/>
  <c r="Q786" i="18"/>
  <c r="Q787" i="18"/>
  <c r="Q788" i="18"/>
  <c r="Q789" i="18"/>
  <c r="Q790" i="18"/>
  <c r="Q791" i="18"/>
  <c r="Q792" i="18"/>
  <c r="Q793" i="18"/>
  <c r="Q794" i="18"/>
  <c r="Q795" i="18"/>
  <c r="Q796" i="18"/>
  <c r="Q797" i="18"/>
  <c r="Q798" i="18"/>
  <c r="Q799" i="18"/>
  <c r="Q800" i="18"/>
  <c r="Q801" i="18"/>
  <c r="Q802" i="18"/>
  <c r="Q803" i="18"/>
  <c r="Q804" i="18"/>
  <c r="Q805" i="18"/>
  <c r="Q806" i="18"/>
  <c r="Q807" i="18"/>
  <c r="Q808" i="18"/>
  <c r="Q809" i="18"/>
  <c r="Q810" i="18"/>
  <c r="Q811" i="18"/>
  <c r="Q812" i="18"/>
  <c r="Q813" i="18"/>
  <c r="Q814" i="18"/>
  <c r="Q815" i="18"/>
  <c r="Q816" i="18"/>
  <c r="Q817" i="18"/>
  <c r="Q818" i="18"/>
  <c r="Q819" i="18"/>
  <c r="Q820" i="18"/>
  <c r="Q821" i="18"/>
  <c r="Q822" i="18"/>
  <c r="Q823" i="18"/>
  <c r="Q824" i="18"/>
  <c r="Q825" i="18"/>
  <c r="Q826" i="18"/>
  <c r="Q827" i="18"/>
  <c r="Q828" i="18"/>
  <c r="Q829" i="18"/>
  <c r="Q830" i="18"/>
  <c r="Q831" i="18"/>
  <c r="Q832" i="18"/>
  <c r="Q833" i="18"/>
  <c r="Q834" i="18"/>
  <c r="Q835" i="18"/>
  <c r="Q836" i="18"/>
  <c r="Q837" i="18"/>
  <c r="Q838" i="18"/>
  <c r="Q839" i="18"/>
  <c r="Q840" i="18"/>
  <c r="Q841" i="18"/>
  <c r="Q842" i="18"/>
  <c r="Q843" i="18"/>
  <c r="Q844" i="18"/>
  <c r="Q845" i="18"/>
  <c r="Q846" i="18"/>
  <c r="Q847" i="18"/>
  <c r="Q848" i="18"/>
  <c r="Q849" i="18"/>
  <c r="Q850" i="18"/>
  <c r="Q851" i="18"/>
  <c r="Q852" i="18"/>
  <c r="Q853" i="18"/>
  <c r="Q854" i="18"/>
  <c r="Q855" i="18"/>
  <c r="Q856" i="18"/>
  <c r="Q857" i="18"/>
  <c r="Q858" i="18"/>
  <c r="Q859" i="18"/>
  <c r="Q860" i="18"/>
  <c r="Q861" i="18"/>
  <c r="Q862" i="18"/>
  <c r="Q863" i="18"/>
  <c r="Q864" i="18"/>
  <c r="Q865" i="18"/>
  <c r="Q866" i="18"/>
  <c r="Q867" i="18"/>
  <c r="Q868" i="18"/>
  <c r="Q869" i="18"/>
  <c r="Q870" i="18"/>
  <c r="Q871" i="18"/>
  <c r="Q872" i="18"/>
  <c r="Q873" i="18"/>
  <c r="Q874" i="18"/>
  <c r="Q875" i="18"/>
  <c r="Q876" i="18"/>
  <c r="Q877" i="18"/>
  <c r="Q878" i="18"/>
  <c r="Q879" i="18"/>
  <c r="Q880" i="18"/>
  <c r="Q881" i="18"/>
  <c r="Q882" i="18"/>
  <c r="Q883" i="18"/>
  <c r="Q884" i="18"/>
  <c r="Q885" i="18"/>
  <c r="Q886" i="18"/>
  <c r="Q887" i="18"/>
  <c r="Q888" i="18"/>
  <c r="Q889" i="18"/>
  <c r="Q890" i="18"/>
  <c r="Q891" i="18"/>
  <c r="Q892" i="18"/>
  <c r="Q893" i="18"/>
  <c r="Q894" i="18"/>
  <c r="Q895" i="18"/>
  <c r="Q896" i="18"/>
  <c r="Q897" i="18"/>
  <c r="Q898" i="18"/>
  <c r="Q899" i="18"/>
  <c r="Q900" i="18"/>
  <c r="Q901" i="18"/>
  <c r="Q902" i="18"/>
  <c r="Q903" i="18"/>
  <c r="Q904" i="18"/>
  <c r="Q905" i="18"/>
  <c r="Q906" i="18"/>
  <c r="Q907" i="18"/>
  <c r="Q908" i="18"/>
  <c r="Q909" i="18"/>
  <c r="Q910" i="18"/>
  <c r="Q911" i="18"/>
  <c r="Q912" i="18"/>
  <c r="Q913" i="18"/>
  <c r="Q914" i="18"/>
  <c r="Q915" i="18"/>
  <c r="Q916" i="18"/>
  <c r="Q917" i="18"/>
  <c r="Q918" i="18"/>
  <c r="Q919" i="18"/>
  <c r="Q920" i="18"/>
  <c r="Q921" i="18"/>
  <c r="Q922" i="18"/>
  <c r="Q923" i="18"/>
  <c r="Q924" i="18"/>
  <c r="Q925" i="18"/>
  <c r="Q926" i="18"/>
  <c r="Q927" i="18"/>
  <c r="Q928" i="18"/>
  <c r="Q929" i="18"/>
  <c r="Q930" i="18"/>
  <c r="Q931" i="18"/>
  <c r="Q932" i="18"/>
  <c r="Q933" i="18"/>
  <c r="Q934" i="18"/>
  <c r="Q935" i="18"/>
  <c r="Q936" i="18"/>
  <c r="Q937" i="18"/>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P7" i="25"/>
  <c r="P8" i="25"/>
  <c r="P9" i="25"/>
  <c r="P10" i="25"/>
  <c r="P11" i="25"/>
  <c r="P12" i="25"/>
  <c r="P13" i="25"/>
  <c r="P14" i="25"/>
  <c r="P15" i="25"/>
  <c r="P16" i="25"/>
  <c r="P17" i="25"/>
  <c r="P18" i="25"/>
  <c r="P19" i="25"/>
  <c r="P20" i="25"/>
  <c r="P21" i="25"/>
  <c r="P22" i="25"/>
  <c r="P23" i="25"/>
  <c r="P24" i="25"/>
  <c r="P25" i="25"/>
  <c r="P26" i="25"/>
  <c r="P27" i="25"/>
  <c r="P28" i="25"/>
  <c r="P29" i="25"/>
  <c r="P30" i="25"/>
  <c r="P31" i="25"/>
  <c r="P32" i="25"/>
  <c r="P33" i="25"/>
  <c r="P34" i="25"/>
  <c r="P35" i="25"/>
  <c r="P36" i="25"/>
  <c r="P37" i="25"/>
  <c r="P38" i="25"/>
  <c r="P39" i="25"/>
  <c r="P40" i="25"/>
  <c r="P41" i="25"/>
  <c r="P42" i="25"/>
  <c r="P43" i="25"/>
  <c r="P44" i="25"/>
  <c r="P45" i="25"/>
  <c r="P46" i="25"/>
  <c r="P47" i="25"/>
  <c r="P48" i="25"/>
  <c r="P49" i="25"/>
  <c r="P50" i="25"/>
  <c r="P51" i="25"/>
  <c r="P52" i="25"/>
  <c r="P53" i="25"/>
  <c r="P54" i="25"/>
  <c r="P55" i="25"/>
  <c r="P56" i="25"/>
  <c r="P57" i="25"/>
  <c r="P58" i="25"/>
  <c r="P59" i="25"/>
  <c r="P60" i="25"/>
  <c r="P61" i="25"/>
  <c r="P62" i="25"/>
  <c r="P63" i="25"/>
  <c r="P64" i="25"/>
  <c r="P65" i="25"/>
  <c r="P66" i="25"/>
  <c r="P67" i="25"/>
  <c r="P68" i="25"/>
  <c r="P69" i="25"/>
  <c r="P70" i="25"/>
  <c r="P71" i="25"/>
  <c r="P72" i="25"/>
  <c r="P73" i="25"/>
  <c r="P74" i="25"/>
  <c r="P75" i="25"/>
  <c r="P76" i="25"/>
  <c r="P77" i="25"/>
  <c r="P78" i="25"/>
  <c r="P79" i="25"/>
  <c r="P80" i="25"/>
  <c r="P81" i="25"/>
  <c r="P82" i="25"/>
  <c r="P83" i="25"/>
  <c r="P84" i="25"/>
  <c r="P85" i="25"/>
  <c r="P86" i="25"/>
  <c r="P87" i="25"/>
  <c r="P88" i="25"/>
  <c r="P89" i="25"/>
  <c r="P90" i="25"/>
  <c r="P91" i="25"/>
  <c r="P92" i="25"/>
  <c r="P93" i="25"/>
  <c r="P94" i="25"/>
  <c r="P95" i="25"/>
  <c r="P96" i="25"/>
  <c r="P97" i="25"/>
  <c r="P98" i="25"/>
  <c r="P99" i="25"/>
  <c r="P100" i="25"/>
  <c r="P101" i="25"/>
  <c r="P102" i="25"/>
  <c r="P103" i="25"/>
  <c r="P104" i="25"/>
  <c r="P105" i="25"/>
  <c r="P106" i="25"/>
  <c r="P107" i="25"/>
  <c r="P108" i="25"/>
  <c r="P109" i="25"/>
  <c r="P110" i="25"/>
  <c r="P111" i="25"/>
  <c r="P112" i="25"/>
  <c r="P113" i="25"/>
  <c r="P114" i="25"/>
  <c r="P115" i="25"/>
  <c r="P116" i="25"/>
  <c r="P117" i="25"/>
  <c r="P118" i="25"/>
  <c r="P119" i="25"/>
  <c r="P120" i="25"/>
  <c r="P121" i="25"/>
  <c r="P122" i="25"/>
  <c r="P123" i="25"/>
  <c r="P124" i="25"/>
  <c r="P125" i="25"/>
  <c r="P126" i="25"/>
  <c r="P127" i="25"/>
  <c r="P128" i="25"/>
  <c r="P129" i="25"/>
  <c r="P130" i="25"/>
  <c r="P131" i="25"/>
  <c r="P132" i="25"/>
  <c r="P133" i="25"/>
  <c r="P134" i="25"/>
  <c r="P135" i="25"/>
  <c r="P136" i="25"/>
  <c r="P137" i="25"/>
  <c r="P138" i="25"/>
  <c r="P139" i="25"/>
  <c r="P140" i="25"/>
  <c r="P141" i="25"/>
  <c r="P142" i="25"/>
  <c r="P143" i="25"/>
  <c r="P144" i="25"/>
  <c r="P145" i="25"/>
  <c r="P146" i="25"/>
  <c r="P147" i="25"/>
  <c r="P148" i="25"/>
  <c r="P149" i="25"/>
  <c r="P150" i="25"/>
  <c r="P151" i="25"/>
  <c r="P152" i="25"/>
  <c r="P153" i="25"/>
  <c r="P154" i="25"/>
  <c r="P155" i="25"/>
  <c r="P156" i="25"/>
  <c r="P157" i="25"/>
  <c r="P158" i="25"/>
  <c r="P159" i="25"/>
  <c r="P160" i="25"/>
  <c r="P161" i="25"/>
  <c r="P162" i="25"/>
  <c r="P163" i="25"/>
  <c r="P164" i="25"/>
  <c r="P165" i="25"/>
  <c r="P166" i="25"/>
  <c r="P167" i="25"/>
  <c r="P168" i="25"/>
  <c r="P169" i="25"/>
  <c r="P170" i="25"/>
  <c r="P171" i="25"/>
  <c r="P172" i="25"/>
  <c r="P173" i="25"/>
  <c r="P174" i="25"/>
  <c r="P175" i="25"/>
  <c r="P176" i="25"/>
  <c r="P177" i="25"/>
  <c r="P178" i="25"/>
  <c r="P179" i="25"/>
  <c r="P180" i="25"/>
  <c r="P181" i="25"/>
  <c r="P182" i="25"/>
  <c r="P183" i="25"/>
  <c r="P184" i="25"/>
  <c r="P185" i="25"/>
  <c r="P186" i="25"/>
  <c r="P187" i="25"/>
  <c r="P188" i="25"/>
  <c r="P189" i="25"/>
  <c r="P190" i="25"/>
  <c r="P191" i="25"/>
  <c r="P192" i="25"/>
  <c r="P193" i="25"/>
  <c r="P194" i="25"/>
  <c r="P195" i="25"/>
  <c r="P196" i="25"/>
  <c r="P197" i="25"/>
  <c r="P198" i="25"/>
  <c r="P199" i="25"/>
  <c r="P200" i="25"/>
  <c r="P201" i="25"/>
  <c r="P202" i="25"/>
  <c r="P203" i="25"/>
  <c r="P204" i="25"/>
  <c r="P205" i="25"/>
  <c r="P206" i="25"/>
  <c r="P207" i="25"/>
  <c r="P208" i="25"/>
  <c r="P209" i="25"/>
  <c r="P210" i="25"/>
  <c r="P211" i="25"/>
  <c r="P212" i="25"/>
  <c r="P213" i="25"/>
  <c r="P214" i="25"/>
  <c r="P215" i="25"/>
  <c r="P216" i="25"/>
  <c r="P217" i="25"/>
  <c r="P218" i="25"/>
  <c r="P219" i="25"/>
  <c r="P220" i="25"/>
  <c r="P221" i="25"/>
  <c r="P222" i="25"/>
  <c r="P223" i="25"/>
  <c r="P224" i="25"/>
  <c r="P225" i="25"/>
  <c r="P226" i="25"/>
  <c r="P227" i="25"/>
  <c r="P228" i="25"/>
  <c r="P229" i="25"/>
  <c r="P230" i="25"/>
  <c r="P231" i="25"/>
  <c r="P232" i="25"/>
  <c r="P233" i="25"/>
  <c r="P234" i="25"/>
  <c r="P235" i="25"/>
  <c r="P236" i="25"/>
  <c r="P237" i="25"/>
  <c r="P238" i="25"/>
  <c r="P239" i="25"/>
  <c r="P240" i="25"/>
  <c r="P241" i="25"/>
  <c r="P242" i="25"/>
  <c r="P243" i="25"/>
  <c r="P244" i="25"/>
  <c r="P245" i="25"/>
  <c r="P246" i="25"/>
  <c r="P247" i="25"/>
  <c r="P248" i="25"/>
  <c r="P249" i="25"/>
  <c r="P250" i="25"/>
  <c r="P251" i="25"/>
  <c r="P252" i="25"/>
  <c r="P253" i="25"/>
  <c r="P254" i="25"/>
  <c r="P255" i="25"/>
  <c r="P256" i="25"/>
  <c r="P257" i="25"/>
  <c r="P258" i="25"/>
  <c r="P259" i="25"/>
  <c r="P260" i="25"/>
  <c r="P261" i="25"/>
  <c r="P262" i="25"/>
  <c r="P263" i="25"/>
  <c r="P264" i="25"/>
  <c r="P265" i="25"/>
  <c r="P266" i="25"/>
  <c r="P267" i="25"/>
  <c r="P268" i="25"/>
  <c r="P269" i="25"/>
  <c r="P270" i="25"/>
  <c r="P271" i="25"/>
  <c r="P272" i="25"/>
  <c r="P273" i="25"/>
  <c r="P274" i="25"/>
  <c r="P275" i="25"/>
  <c r="P276" i="25"/>
  <c r="P277" i="25"/>
  <c r="P278" i="25"/>
  <c r="P279" i="25"/>
  <c r="P280" i="25"/>
  <c r="P281" i="25"/>
  <c r="P282" i="25"/>
  <c r="P283" i="25"/>
  <c r="P284" i="25"/>
  <c r="P285" i="25"/>
  <c r="P286" i="25"/>
  <c r="P287" i="25"/>
  <c r="P288" i="25"/>
  <c r="P289" i="25"/>
  <c r="P290" i="25"/>
  <c r="P291" i="25"/>
  <c r="P292" i="25"/>
  <c r="P293" i="25"/>
  <c r="P294" i="25"/>
  <c r="P295" i="25"/>
  <c r="P296" i="25"/>
  <c r="P297" i="25"/>
  <c r="P298" i="25"/>
  <c r="P299" i="25"/>
  <c r="P300" i="25"/>
  <c r="P301" i="25"/>
  <c r="P302" i="25"/>
  <c r="P303" i="25"/>
  <c r="P304" i="25"/>
  <c r="P305" i="25"/>
  <c r="P306" i="25"/>
  <c r="P307" i="25"/>
  <c r="P308" i="25"/>
  <c r="P309" i="25"/>
  <c r="P310" i="25"/>
  <c r="P311" i="25"/>
  <c r="P312" i="25"/>
  <c r="P313" i="25"/>
  <c r="P314" i="25"/>
  <c r="P315" i="25"/>
  <c r="P316" i="25"/>
  <c r="P317" i="25"/>
  <c r="P318" i="25"/>
  <c r="P319" i="25"/>
  <c r="P320" i="25"/>
  <c r="P321" i="25"/>
  <c r="P322" i="25"/>
  <c r="P323" i="25"/>
  <c r="P324" i="25"/>
  <c r="P325" i="25"/>
  <c r="P326" i="25"/>
  <c r="P327" i="25"/>
  <c r="P328" i="25"/>
  <c r="P329" i="25"/>
  <c r="P330" i="25"/>
  <c r="P331" i="25"/>
  <c r="P332" i="25"/>
  <c r="P333" i="25"/>
  <c r="P334" i="25"/>
  <c r="P335" i="25"/>
  <c r="P336" i="25"/>
  <c r="P337" i="25"/>
  <c r="P338" i="25"/>
  <c r="P339" i="25"/>
  <c r="P340" i="25"/>
  <c r="P341" i="25"/>
  <c r="P342" i="25"/>
  <c r="P343" i="25"/>
  <c r="P344" i="25"/>
  <c r="P345" i="25"/>
  <c r="P346" i="25"/>
  <c r="P347" i="25"/>
  <c r="P348" i="25"/>
  <c r="P349" i="25"/>
  <c r="P350" i="25"/>
  <c r="P351" i="25"/>
  <c r="P352" i="25"/>
  <c r="P353" i="25"/>
  <c r="P354" i="25"/>
  <c r="P355" i="25"/>
  <c r="P356" i="25"/>
  <c r="P357" i="25"/>
  <c r="P358" i="25"/>
  <c r="P359" i="25"/>
  <c r="P360" i="25"/>
  <c r="P361" i="25"/>
  <c r="P362" i="25"/>
  <c r="P363" i="25"/>
  <c r="P364" i="25"/>
  <c r="P365" i="25"/>
  <c r="P366" i="25"/>
  <c r="P367" i="25"/>
  <c r="P368" i="25"/>
  <c r="P369" i="25"/>
  <c r="P370" i="25"/>
  <c r="P371" i="25"/>
  <c r="P372" i="25"/>
  <c r="P373" i="25"/>
  <c r="P374" i="25"/>
  <c r="P375" i="25"/>
  <c r="P376" i="25"/>
  <c r="P377" i="25"/>
  <c r="P378" i="25"/>
  <c r="P379" i="25"/>
  <c r="P380" i="25"/>
  <c r="P381" i="25"/>
  <c r="P382" i="25"/>
  <c r="P383" i="25"/>
  <c r="P384" i="25"/>
  <c r="P385" i="25"/>
  <c r="P386" i="25"/>
  <c r="P387" i="25"/>
  <c r="P388" i="25"/>
  <c r="P389" i="25"/>
  <c r="P390" i="25"/>
  <c r="P391" i="25"/>
  <c r="P392" i="25"/>
  <c r="P393" i="25"/>
  <c r="P394" i="25"/>
  <c r="P395" i="25"/>
  <c r="P396" i="25"/>
  <c r="P397" i="25"/>
  <c r="P398" i="25"/>
  <c r="P399" i="25"/>
  <c r="P400" i="25"/>
  <c r="P401" i="25"/>
  <c r="P402" i="25"/>
  <c r="P403" i="25"/>
  <c r="P404" i="25"/>
  <c r="P405" i="25"/>
  <c r="P406" i="25"/>
  <c r="P407" i="25"/>
  <c r="P408" i="25"/>
  <c r="P409" i="25"/>
  <c r="P410" i="25"/>
  <c r="P6" i="25"/>
  <c r="P411" i="25"/>
  <c r="P412" i="25"/>
  <c r="P413" i="25"/>
  <c r="P414" i="25"/>
  <c r="P415" i="25"/>
  <c r="P416" i="25"/>
  <c r="P417" i="25"/>
  <c r="P418" i="25"/>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U42" i="14"/>
  <c r="U40" i="14"/>
  <c r="T42" i="14"/>
  <c r="T40" i="14"/>
  <c r="W31" i="14"/>
  <c r="W30" i="14"/>
  <c r="U32" i="14"/>
  <c r="V30" i="14"/>
  <c r="U31" i="14"/>
  <c r="U30" i="14"/>
  <c r="U18" i="14"/>
  <c r="U16" i="14"/>
  <c r="T18" i="14"/>
  <c r="W6" i="14"/>
  <c r="W7" i="14"/>
  <c r="V7" i="14"/>
  <c r="V6" i="14"/>
  <c r="U7" i="14"/>
  <c r="U6" i="14"/>
  <c r="U43" i="14" l="1"/>
  <c r="T43" i="14"/>
  <c r="U17" i="14"/>
  <c r="T41" i="14"/>
  <c r="U41" i="14"/>
  <c r="T19" i="14"/>
  <c r="T17" i="14"/>
  <c r="U19" i="14"/>
  <c r="AU28" i="14"/>
  <c r="AU30" i="14"/>
  <c r="AU46" i="14"/>
  <c r="AU45" i="14" s="1"/>
  <c r="AS28" i="14"/>
  <c r="AS44" i="14"/>
  <c r="AS30" i="14"/>
  <c r="AS46" i="14"/>
  <c r="AT28" i="14"/>
  <c r="AT44" i="14"/>
  <c r="AT45" i="14" s="1"/>
  <c r="AT30" i="14"/>
  <c r="AS42" i="14"/>
  <c r="AS24" i="14"/>
  <c r="AS40" i="14"/>
  <c r="AT40" i="14"/>
  <c r="AS26" i="14"/>
  <c r="AT24" i="14"/>
  <c r="AU24" i="14"/>
  <c r="AU42" i="14"/>
  <c r="AT42" i="14"/>
  <c r="AT26" i="14"/>
  <c r="AU26" i="14"/>
  <c r="AU40" i="14"/>
  <c r="T6" i="14"/>
  <c r="AL21" i="14"/>
  <c r="AB23" i="14"/>
  <c r="AB20" i="14"/>
  <c r="AD22" i="14"/>
  <c r="AF19" i="14"/>
  <c r="AF21" i="14"/>
  <c r="AI23" i="14"/>
  <c r="AI20" i="14"/>
  <c r="AL22" i="14"/>
  <c r="AB19" i="14"/>
  <c r="AB21" i="14"/>
  <c r="AD23" i="14"/>
  <c r="AD20" i="14"/>
  <c r="AF22" i="14"/>
  <c r="AI19" i="14"/>
  <c r="AI21" i="14"/>
  <c r="AL23" i="14"/>
  <c r="AL20" i="14"/>
  <c r="AB22" i="14"/>
  <c r="AD19" i="14"/>
  <c r="AD21" i="14"/>
  <c r="AF23" i="14"/>
  <c r="AF20" i="14"/>
  <c r="AI22" i="14"/>
  <c r="AL19" i="14"/>
  <c r="T30" i="14"/>
  <c r="T7" i="14"/>
  <c r="T31" i="14"/>
  <c r="V16" i="14"/>
  <c r="AS31" i="14" l="1"/>
  <c r="AT31" i="14"/>
  <c r="AU31" i="14"/>
  <c r="AT47" i="14"/>
  <c r="AS45" i="14"/>
  <c r="AS29" i="14"/>
  <c r="AS50" i="14"/>
  <c r="AU47" i="14"/>
  <c r="AS47" i="14"/>
  <c r="AS48" i="14"/>
  <c r="AU29" i="14"/>
  <c r="AT29" i="14"/>
  <c r="AI24" i="14"/>
  <c r="AJ22" i="14" s="1"/>
  <c r="AF24" i="14"/>
  <c r="AG22" i="14" s="1"/>
  <c r="AD24" i="14"/>
  <c r="AE21" i="14" s="1"/>
  <c r="AB24" i="14"/>
  <c r="AC20" i="14" s="1"/>
  <c r="AT34" i="14"/>
  <c r="AT27" i="14"/>
  <c r="AU25" i="14"/>
  <c r="AU32" i="14"/>
  <c r="AT41" i="14"/>
  <c r="AT48" i="14"/>
  <c r="AU41" i="14"/>
  <c r="AU48" i="14"/>
  <c r="AT50" i="14"/>
  <c r="AT43" i="14"/>
  <c r="AT25" i="14"/>
  <c r="AT32" i="14"/>
  <c r="AS43" i="14"/>
  <c r="AS41" i="14"/>
  <c r="AU27" i="14"/>
  <c r="AU34" i="14"/>
  <c r="AU50" i="14"/>
  <c r="AU43" i="14"/>
  <c r="AS27" i="14"/>
  <c r="AS34" i="14"/>
  <c r="AS25" i="14"/>
  <c r="AS32" i="14"/>
  <c r="AS52" i="14"/>
  <c r="AS51" i="14" s="1"/>
  <c r="AL24" i="14"/>
  <c r="AM21" i="14" s="1"/>
  <c r="AK22" i="14" l="1"/>
  <c r="AC22" i="14"/>
  <c r="AH22" i="14" s="1"/>
  <c r="AJ23" i="14"/>
  <c r="AK23" i="14" s="1"/>
  <c r="AJ21" i="14"/>
  <c r="AK21" i="14" s="1"/>
  <c r="AG23" i="14"/>
  <c r="AH23" i="14" s="1"/>
  <c r="AG19" i="14"/>
  <c r="AH19" i="14" s="1"/>
  <c r="AJ20" i="14"/>
  <c r="AK20" i="14" s="1"/>
  <c r="AE22" i="14"/>
  <c r="AG20" i="14"/>
  <c r="AH20" i="14" s="1"/>
  <c r="AG21" i="14"/>
  <c r="AH21" i="14" s="1"/>
  <c r="AJ19" i="14"/>
  <c r="AE19" i="14"/>
  <c r="AE20" i="14"/>
  <c r="AE23" i="14"/>
  <c r="AM23" i="14"/>
  <c r="AC21" i="14"/>
  <c r="AC23" i="14"/>
  <c r="AT36" i="14"/>
  <c r="AT35" i="14" s="1"/>
  <c r="AT52" i="14"/>
  <c r="AT51" i="14" s="1"/>
  <c r="AU52" i="14"/>
  <c r="AU51" i="14" s="1"/>
  <c r="AC19" i="14"/>
  <c r="AM19" i="14"/>
  <c r="AS36" i="14"/>
  <c r="AS33" i="14" s="1"/>
  <c r="AU36" i="14"/>
  <c r="AU35" i="14" s="1"/>
  <c r="AS49" i="14"/>
  <c r="AM20" i="14"/>
  <c r="AM22" i="14"/>
  <c r="AK19" i="14" l="1"/>
  <c r="AU49" i="14"/>
  <c r="AU33" i="14"/>
  <c r="AS35" i="14"/>
  <c r="AT33" i="14"/>
  <c r="AT49" i="14"/>
  <c r="P6"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Q6"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6" i="23"/>
  <c r="Q7" i="23"/>
  <c r="Q8" i="23"/>
  <c r="Q9" i="23"/>
  <c r="Q10" i="23"/>
  <c r="Q11" i="23"/>
  <c r="Q12" i="23"/>
  <c r="Q13" i="23"/>
  <c r="Q14" i="23"/>
  <c r="Q15" i="23"/>
  <c r="Q16" i="23"/>
  <c r="Q17" i="23"/>
  <c r="Q18" i="23"/>
  <c r="Q19" i="23"/>
  <c r="Q20" i="23"/>
  <c r="Q21" i="23"/>
  <c r="Q22" i="23"/>
  <c r="Q23" i="23"/>
  <c r="Q24" i="23"/>
  <c r="Q25" i="23"/>
  <c r="Q26" i="23"/>
  <c r="Q27"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19" i="23"/>
  <c r="Q120" i="23"/>
  <c r="Q121" i="23"/>
  <c r="Q122" i="23"/>
  <c r="Q123" i="23"/>
  <c r="Q124" i="23"/>
  <c r="Q125" i="23"/>
  <c r="Q126" i="23"/>
  <c r="Q127" i="23"/>
  <c r="Q128" i="23"/>
  <c r="Q129" i="23"/>
  <c r="Q130" i="23"/>
  <c r="Q131" i="23"/>
  <c r="Q132" i="23"/>
  <c r="Q133" i="23"/>
  <c r="Q134" i="23"/>
  <c r="Q135" i="23"/>
  <c r="Q136" i="23"/>
  <c r="Q137" i="23"/>
  <c r="Q138" i="23"/>
  <c r="Q139" i="23"/>
  <c r="Q140" i="23"/>
  <c r="Q141" i="23"/>
  <c r="Q142" i="23"/>
  <c r="Q143" i="23"/>
  <c r="Q144" i="23"/>
  <c r="Q145" i="23"/>
  <c r="Q146" i="23"/>
  <c r="Q147" i="23"/>
  <c r="Q148" i="23"/>
  <c r="Q149" i="23"/>
  <c r="Q150" i="23"/>
  <c r="Q151" i="23"/>
  <c r="Q152" i="23"/>
  <c r="Q153" i="23"/>
  <c r="Q154" i="23"/>
  <c r="Q155" i="23"/>
  <c r="Q156" i="23"/>
  <c r="Q157" i="23"/>
  <c r="Q158" i="23"/>
  <c r="Q159" i="23"/>
  <c r="Q160" i="23"/>
  <c r="Q161" i="23"/>
  <c r="Q162" i="23"/>
  <c r="Q163" i="23"/>
  <c r="Q164" i="23"/>
  <c r="Q165" i="23"/>
  <c r="Q166" i="23"/>
  <c r="Q167" i="23"/>
  <c r="Q168" i="23"/>
  <c r="Q169" i="23"/>
  <c r="Q170" i="23"/>
  <c r="Q171" i="23"/>
  <c r="Q172" i="23"/>
  <c r="Q173" i="23"/>
  <c r="Q174" i="23"/>
  <c r="Q175" i="23"/>
  <c r="Q176" i="23"/>
  <c r="Q177" i="23"/>
  <c r="Q178" i="23"/>
  <c r="Q179" i="23"/>
  <c r="Q180" i="23"/>
  <c r="Q181" i="23"/>
  <c r="Q182" i="23"/>
  <c r="Q183" i="23"/>
  <c r="Q184" i="23"/>
  <c r="Q185" i="23"/>
  <c r="Q186" i="23"/>
  <c r="Q187" i="23"/>
  <c r="Q188" i="23"/>
  <c r="Q189" i="23"/>
  <c r="Q190" i="23"/>
  <c r="Q191" i="23"/>
  <c r="Q192" i="23"/>
  <c r="Q193" i="23"/>
  <c r="Q194" i="23"/>
  <c r="Q195" i="23"/>
  <c r="Q196" i="23"/>
  <c r="Q197" i="23"/>
  <c r="Q198" i="23"/>
  <c r="Q199" i="23"/>
  <c r="Q200" i="23"/>
  <c r="Q201" i="23"/>
  <c r="Q202" i="23"/>
  <c r="Q203" i="23"/>
  <c r="Q204" i="23"/>
  <c r="Q205" i="23"/>
  <c r="Q206" i="23"/>
  <c r="Q207" i="23"/>
  <c r="Q208" i="23"/>
  <c r="Q209" i="23"/>
  <c r="Q210" i="23"/>
  <c r="Q211" i="23"/>
  <c r="Q212" i="23"/>
  <c r="Q213" i="23"/>
  <c r="Q214" i="23"/>
  <c r="Q215" i="23"/>
  <c r="Q216" i="23"/>
  <c r="Q217" i="23"/>
  <c r="Q218" i="23"/>
  <c r="Q219" i="23"/>
  <c r="Q220" i="23"/>
  <c r="Q221" i="23"/>
  <c r="Q222" i="23"/>
  <c r="Q223" i="23"/>
  <c r="Q224" i="23"/>
  <c r="Q225" i="23"/>
  <c r="Q226" i="23"/>
  <c r="Q227" i="23"/>
  <c r="Q228" i="23"/>
  <c r="Q229" i="23"/>
  <c r="Q230" i="23"/>
  <c r="Q231" i="23"/>
  <c r="Q232" i="23"/>
  <c r="Q233" i="23"/>
  <c r="Q234" i="23"/>
  <c r="Q235" i="23"/>
  <c r="Q236" i="23"/>
  <c r="Q237" i="23"/>
  <c r="Q238" i="23"/>
  <c r="Q239" i="23"/>
  <c r="Q240" i="23"/>
  <c r="Q241" i="23"/>
  <c r="Q242" i="23"/>
  <c r="Q243" i="23"/>
  <c r="Q244" i="23"/>
  <c r="Q245" i="23"/>
  <c r="Q246" i="23"/>
  <c r="Q247" i="23"/>
  <c r="Q248" i="23"/>
  <c r="Q249" i="23"/>
  <c r="Q250" i="23"/>
  <c r="Q251" i="23"/>
  <c r="Q252" i="23"/>
  <c r="Q253" i="23"/>
  <c r="Q254" i="23"/>
  <c r="Q255" i="23"/>
  <c r="Q256" i="23"/>
  <c r="Q257" i="23"/>
  <c r="Q258" i="23"/>
  <c r="Q259" i="23"/>
  <c r="Q260" i="23"/>
  <c r="Q261" i="23"/>
  <c r="Q262" i="23"/>
  <c r="Q263" i="23"/>
  <c r="Q264" i="23"/>
  <c r="Q265" i="23"/>
  <c r="Q266" i="23"/>
  <c r="Q267" i="23"/>
  <c r="Q268" i="23"/>
  <c r="Q269" i="23"/>
  <c r="Q270" i="23"/>
  <c r="Q271" i="23"/>
  <c r="Q272" i="23"/>
  <c r="Q273" i="23"/>
  <c r="Q274" i="23"/>
  <c r="Q275" i="23"/>
  <c r="Q276" i="23"/>
  <c r="Q277" i="23"/>
  <c r="Q278" i="23"/>
  <c r="Q279" i="23"/>
  <c r="Q280" i="23"/>
  <c r="Q281" i="23"/>
  <c r="Q282" i="23"/>
  <c r="Q283" i="23"/>
  <c r="Q284" i="23"/>
  <c r="Q285" i="23"/>
  <c r="Q286" i="23"/>
  <c r="Q287" i="23"/>
  <c r="Q288" i="23"/>
  <c r="Q289" i="23"/>
  <c r="Q290" i="23"/>
  <c r="Q291" i="23"/>
  <c r="Q292" i="23"/>
  <c r="Q293" i="23"/>
  <c r="Q294" i="23"/>
  <c r="Q295" i="23"/>
  <c r="Q296" i="23"/>
  <c r="Q297" i="23"/>
  <c r="Q298" i="23"/>
  <c r="Q299" i="23"/>
  <c r="Q300" i="23"/>
  <c r="Q301" i="23"/>
  <c r="Q302" i="23"/>
  <c r="Q303" i="23"/>
  <c r="Q304" i="23"/>
  <c r="Q305" i="23"/>
  <c r="Q306" i="23"/>
  <c r="Q307" i="23"/>
  <c r="Q308" i="23"/>
  <c r="Q309" i="23"/>
  <c r="Q310" i="23"/>
  <c r="Q311" i="23"/>
  <c r="Q312" i="23"/>
  <c r="Q313" i="23"/>
  <c r="Q314" i="23"/>
  <c r="Q315" i="23"/>
  <c r="Q316" i="23"/>
  <c r="Q317" i="23"/>
  <c r="Q318" i="23"/>
  <c r="Q319" i="23"/>
  <c r="Q320" i="23"/>
  <c r="Q321" i="23"/>
  <c r="Q322" i="23"/>
  <c r="Q323" i="23"/>
  <c r="Q324" i="23"/>
  <c r="Q325" i="23"/>
  <c r="Q326" i="23"/>
  <c r="Q327" i="23"/>
  <c r="Q328" i="23"/>
  <c r="Q329" i="23"/>
  <c r="Q330" i="23"/>
  <c r="Q331" i="23"/>
  <c r="Q332" i="23"/>
  <c r="Q333" i="23"/>
  <c r="Q334" i="23"/>
  <c r="Q335" i="23"/>
  <c r="Q336" i="23"/>
  <c r="Q337" i="23"/>
  <c r="Q338" i="23"/>
  <c r="Q339" i="23"/>
  <c r="Q340" i="23"/>
  <c r="Q341" i="23"/>
  <c r="Q342" i="23"/>
  <c r="Q343" i="23"/>
  <c r="Q344" i="23"/>
  <c r="Q345" i="23"/>
  <c r="Q346" i="23"/>
  <c r="Q347" i="23"/>
  <c r="Q348" i="23"/>
  <c r="Q349" i="23"/>
  <c r="Q350" i="23"/>
  <c r="Q351" i="23"/>
  <c r="Q352" i="23"/>
  <c r="Q353" i="23"/>
  <c r="Q354" i="23"/>
  <c r="Q355" i="23"/>
  <c r="Q356" i="23"/>
  <c r="Q357" i="23"/>
  <c r="Q358" i="23"/>
  <c r="Q359" i="23"/>
  <c r="Q360" i="23"/>
  <c r="Q361" i="23"/>
  <c r="Q362" i="23"/>
  <c r="Q363" i="23"/>
  <c r="Q364" i="23"/>
  <c r="Q365" i="23"/>
  <c r="Q366" i="23"/>
  <c r="Q367" i="23"/>
  <c r="Q368" i="23"/>
  <c r="Q369" i="23"/>
  <c r="Q370" i="23"/>
  <c r="Q371" i="23"/>
  <c r="Q372" i="23"/>
  <c r="Q373" i="23"/>
  <c r="Q374" i="23"/>
  <c r="Q375" i="23"/>
  <c r="Q376" i="23"/>
  <c r="Q377" i="23"/>
  <c r="Q378" i="23"/>
  <c r="Q379" i="23"/>
  <c r="Q380" i="23"/>
  <c r="Q381" i="23"/>
  <c r="Q382" i="23"/>
  <c r="Q383" i="23"/>
  <c r="Q384" i="23"/>
  <c r="Q385" i="23"/>
  <c r="Q386" i="23"/>
  <c r="Q387" i="23"/>
  <c r="Q388" i="23"/>
  <c r="Q389" i="23"/>
  <c r="Q390" i="23"/>
  <c r="Q391" i="23"/>
  <c r="Q392" i="23"/>
  <c r="Q393" i="23"/>
  <c r="Q394" i="23"/>
  <c r="Q395" i="23"/>
  <c r="Q396" i="23"/>
  <c r="Q397" i="23"/>
  <c r="Q398" i="23"/>
  <c r="Q399" i="23"/>
  <c r="Q400" i="23"/>
  <c r="Q401" i="23"/>
  <c r="Q402" i="23"/>
  <c r="Q403" i="23"/>
  <c r="Q404" i="23"/>
  <c r="Q405" i="23"/>
  <c r="Q406" i="23"/>
  <c r="Q407" i="23"/>
  <c r="Q408" i="23"/>
  <c r="Q409" i="23"/>
  <c r="Q410" i="23"/>
  <c r="Q411" i="23"/>
  <c r="Q412" i="23"/>
  <c r="Q413" i="23"/>
  <c r="Q414" i="23"/>
  <c r="Q415" i="23"/>
  <c r="Q416" i="23"/>
  <c r="Q417" i="23"/>
  <c r="Q418" i="23"/>
  <c r="Q419" i="23"/>
  <c r="Q420" i="23"/>
  <c r="Q421" i="23"/>
  <c r="Q422" i="23"/>
  <c r="Q423" i="23"/>
  <c r="R30" i="23"/>
  <c r="R28" i="23"/>
  <c r="R36" i="23"/>
  <c r="R35" i="23"/>
  <c r="R33" i="23"/>
  <c r="R6" i="23"/>
  <c r="R7" i="23"/>
  <c r="R8" i="23"/>
  <c r="R9" i="23"/>
  <c r="R10" i="23"/>
  <c r="R11" i="23"/>
  <c r="R12" i="23"/>
  <c r="R13" i="23"/>
  <c r="R14" i="23"/>
  <c r="R15" i="23"/>
  <c r="R16" i="23"/>
  <c r="R17" i="23"/>
  <c r="R18" i="23"/>
  <c r="R19" i="23"/>
  <c r="R20" i="23"/>
  <c r="R21" i="23"/>
  <c r="R22" i="23"/>
  <c r="R23" i="23"/>
  <c r="R24" i="23"/>
  <c r="R25" i="23"/>
  <c r="R26" i="23"/>
  <c r="R27" i="23"/>
  <c r="R29" i="23"/>
  <c r="R31" i="23"/>
  <c r="R32" i="23"/>
  <c r="R34"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R120" i="23"/>
  <c r="R121" i="23"/>
  <c r="R122" i="23"/>
  <c r="R123" i="23"/>
  <c r="R124" i="23"/>
  <c r="R125" i="23"/>
  <c r="R126" i="23"/>
  <c r="R127" i="23"/>
  <c r="R128" i="23"/>
  <c r="R129" i="23"/>
  <c r="R130" i="23"/>
  <c r="R131" i="23"/>
  <c r="R132" i="23"/>
  <c r="R133" i="23"/>
  <c r="R134" i="23"/>
  <c r="R135" i="23"/>
  <c r="R136" i="23"/>
  <c r="R137" i="23"/>
  <c r="R138" i="23"/>
  <c r="R139" i="23"/>
  <c r="R140" i="23"/>
  <c r="R141" i="23"/>
  <c r="R142" i="23"/>
  <c r="R143" i="23"/>
  <c r="R144" i="23"/>
  <c r="R145" i="23"/>
  <c r="R146" i="23"/>
  <c r="R147" i="23"/>
  <c r="R148" i="23"/>
  <c r="R149" i="23"/>
  <c r="R150" i="23"/>
  <c r="R151" i="23"/>
  <c r="R152" i="23"/>
  <c r="R153" i="23"/>
  <c r="R154" i="23"/>
  <c r="R155" i="23"/>
  <c r="R156" i="23"/>
  <c r="R157" i="23"/>
  <c r="R158" i="23"/>
  <c r="R159" i="23"/>
  <c r="R160" i="23"/>
  <c r="R161" i="23"/>
  <c r="R162" i="23"/>
  <c r="R163" i="23"/>
  <c r="R164" i="23"/>
  <c r="R165" i="23"/>
  <c r="R166" i="23"/>
  <c r="R167" i="23"/>
  <c r="R168" i="23"/>
  <c r="R169" i="23"/>
  <c r="R170" i="23"/>
  <c r="R171" i="23"/>
  <c r="R172" i="23"/>
  <c r="R173" i="23"/>
  <c r="R174" i="23"/>
  <c r="R175" i="23"/>
  <c r="R176" i="23"/>
  <c r="R177" i="23"/>
  <c r="R178" i="23"/>
  <c r="R179" i="23"/>
  <c r="R180" i="23"/>
  <c r="R181" i="23"/>
  <c r="R182" i="23"/>
  <c r="R183" i="23"/>
  <c r="R184" i="23"/>
  <c r="R185" i="23"/>
  <c r="R186" i="23"/>
  <c r="R187" i="23"/>
  <c r="R188" i="23"/>
  <c r="R189" i="23"/>
  <c r="R190" i="23"/>
  <c r="R191" i="23"/>
  <c r="R192" i="23"/>
  <c r="R193" i="23"/>
  <c r="R194" i="23"/>
  <c r="R195" i="23"/>
  <c r="R196" i="23"/>
  <c r="R197" i="23"/>
  <c r="R198" i="23"/>
  <c r="R199" i="23"/>
  <c r="R200" i="23"/>
  <c r="R201" i="23"/>
  <c r="R202" i="23"/>
  <c r="R203" i="23"/>
  <c r="R204" i="23"/>
  <c r="R205" i="23"/>
  <c r="R206" i="23"/>
  <c r="R207" i="23"/>
  <c r="R208" i="23"/>
  <c r="R209" i="23"/>
  <c r="R210" i="23"/>
  <c r="R211" i="23"/>
  <c r="R212" i="23"/>
  <c r="R213" i="23"/>
  <c r="R214" i="23"/>
  <c r="R215" i="23"/>
  <c r="R216" i="23"/>
  <c r="R217" i="23"/>
  <c r="R218" i="23"/>
  <c r="R219" i="23"/>
  <c r="R220" i="23"/>
  <c r="R221" i="23"/>
  <c r="R222" i="23"/>
  <c r="R223" i="23"/>
  <c r="R224" i="23"/>
  <c r="R225" i="23"/>
  <c r="R226" i="23"/>
  <c r="R227" i="23"/>
  <c r="R228" i="23"/>
  <c r="R229" i="23"/>
  <c r="R230" i="23"/>
  <c r="R231" i="23"/>
  <c r="R232" i="23"/>
  <c r="R233" i="23"/>
  <c r="R234" i="23"/>
  <c r="R235" i="23"/>
  <c r="R236" i="23"/>
  <c r="R237" i="23"/>
  <c r="R238" i="23"/>
  <c r="R239" i="23"/>
  <c r="R240" i="23"/>
  <c r="R241" i="23"/>
  <c r="R242" i="23"/>
  <c r="R243" i="23"/>
  <c r="R244" i="23"/>
  <c r="R245" i="23"/>
  <c r="R246" i="23"/>
  <c r="R247" i="23"/>
  <c r="R248" i="23"/>
  <c r="R249" i="23"/>
  <c r="R250" i="23"/>
  <c r="R251" i="23"/>
  <c r="R252" i="23"/>
  <c r="R253" i="23"/>
  <c r="R254" i="23"/>
  <c r="R255" i="23"/>
  <c r="R256" i="23"/>
  <c r="R257" i="23"/>
  <c r="R258" i="23"/>
  <c r="R259" i="23"/>
  <c r="R260" i="23"/>
  <c r="R261" i="23"/>
  <c r="R262" i="23"/>
  <c r="R263" i="23"/>
  <c r="R264" i="23"/>
  <c r="R265" i="23"/>
  <c r="R266" i="23"/>
  <c r="R267" i="23"/>
  <c r="R268" i="23"/>
  <c r="R269" i="23"/>
  <c r="R270" i="23"/>
  <c r="R271" i="23"/>
  <c r="R272" i="23"/>
  <c r="R273" i="23"/>
  <c r="R274" i="23"/>
  <c r="R275" i="23"/>
  <c r="R276" i="23"/>
  <c r="R277" i="23"/>
  <c r="R278" i="23"/>
  <c r="R279" i="23"/>
  <c r="R280" i="23"/>
  <c r="R281" i="23"/>
  <c r="R282" i="23"/>
  <c r="R283" i="23"/>
  <c r="R284" i="23"/>
  <c r="R285" i="23"/>
  <c r="R286" i="23"/>
  <c r="R287" i="23"/>
  <c r="R288" i="23"/>
  <c r="R289" i="23"/>
  <c r="R290" i="23"/>
  <c r="R291" i="23"/>
  <c r="R292" i="23"/>
  <c r="R293" i="23"/>
  <c r="R294" i="23"/>
  <c r="R295" i="23"/>
  <c r="R296" i="23"/>
  <c r="R297" i="23"/>
  <c r="R298" i="23"/>
  <c r="R299" i="23"/>
  <c r="R300" i="23"/>
  <c r="R301" i="23"/>
  <c r="R302" i="23"/>
  <c r="R303" i="23"/>
  <c r="R304" i="23"/>
  <c r="R305" i="23"/>
  <c r="R306" i="23"/>
  <c r="R307" i="23"/>
  <c r="R308" i="23"/>
  <c r="R309" i="23"/>
  <c r="R310" i="23"/>
  <c r="R311" i="23"/>
  <c r="R312" i="23"/>
  <c r="R313" i="23"/>
  <c r="R314" i="23"/>
  <c r="R315" i="23"/>
  <c r="R316" i="23"/>
  <c r="R317" i="23"/>
  <c r="R318" i="23"/>
  <c r="R319" i="23"/>
  <c r="R320" i="23"/>
  <c r="R321" i="23"/>
  <c r="R322" i="23"/>
  <c r="R323" i="23"/>
  <c r="R324" i="23"/>
  <c r="R325" i="23"/>
  <c r="R326" i="23"/>
  <c r="R327" i="23"/>
  <c r="R328" i="23"/>
  <c r="R329" i="23"/>
  <c r="R330" i="23"/>
  <c r="R331" i="23"/>
  <c r="R332" i="23"/>
  <c r="R333" i="23"/>
  <c r="R334" i="23"/>
  <c r="R335" i="23"/>
  <c r="R336" i="23"/>
  <c r="R337" i="23"/>
  <c r="R338" i="23"/>
  <c r="R339" i="23"/>
  <c r="R340" i="23"/>
  <c r="R341" i="23"/>
  <c r="R342" i="23"/>
  <c r="R343" i="23"/>
  <c r="R344" i="23"/>
  <c r="R345" i="23"/>
  <c r="R346" i="23"/>
  <c r="R347" i="23"/>
  <c r="R348" i="23"/>
  <c r="R349" i="23"/>
  <c r="R350" i="23"/>
  <c r="R351" i="23"/>
  <c r="R352" i="23"/>
  <c r="R353" i="23"/>
  <c r="R354" i="23"/>
  <c r="R355" i="23"/>
  <c r="R356" i="23"/>
  <c r="R357" i="23"/>
  <c r="R358" i="23"/>
  <c r="R359" i="23"/>
  <c r="R360" i="23"/>
  <c r="R361" i="23"/>
  <c r="R362" i="23"/>
  <c r="R363" i="23"/>
  <c r="R364" i="23"/>
  <c r="R365" i="23"/>
  <c r="R366" i="23"/>
  <c r="R367" i="23"/>
  <c r="R368" i="23"/>
  <c r="R369" i="23"/>
  <c r="R370" i="23"/>
  <c r="R371" i="23"/>
  <c r="R372" i="23"/>
  <c r="R373" i="23"/>
  <c r="R374" i="23"/>
  <c r="R375" i="23"/>
  <c r="R376" i="23"/>
  <c r="R377" i="23"/>
  <c r="R378" i="23"/>
  <c r="R379" i="23"/>
  <c r="R380" i="23"/>
  <c r="R381" i="23"/>
  <c r="R382" i="23"/>
  <c r="R383" i="23"/>
  <c r="R384" i="23"/>
  <c r="R385" i="23"/>
  <c r="R386" i="23"/>
  <c r="R387" i="23"/>
  <c r="R388" i="23"/>
  <c r="R389" i="23"/>
  <c r="R390" i="23"/>
  <c r="R391" i="23"/>
  <c r="R392" i="23"/>
  <c r="R393" i="23"/>
  <c r="R394" i="23"/>
  <c r="R395" i="23"/>
  <c r="R396" i="23"/>
  <c r="R397" i="23"/>
  <c r="R398" i="23"/>
  <c r="R399" i="23"/>
  <c r="R400" i="23"/>
  <c r="R401" i="23"/>
  <c r="R402" i="23"/>
  <c r="R403" i="23"/>
  <c r="R404" i="23"/>
  <c r="R405" i="23"/>
  <c r="R406" i="23"/>
  <c r="R407" i="23"/>
  <c r="R408" i="23"/>
  <c r="R409" i="23"/>
  <c r="R410" i="23"/>
  <c r="R411" i="23"/>
  <c r="R412" i="23"/>
  <c r="R413" i="23"/>
  <c r="R414" i="23"/>
  <c r="R415" i="23"/>
  <c r="R416" i="23"/>
  <c r="R417" i="23"/>
  <c r="R418" i="23"/>
  <c r="R419" i="23"/>
  <c r="R420" i="23"/>
  <c r="R421" i="23"/>
  <c r="R422" i="23"/>
  <c r="R423" i="23"/>
  <c r="P233" i="17"/>
  <c r="Q233"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P186" i="17"/>
  <c r="P232" i="17"/>
  <c r="Q147" i="16"/>
  <c r="Q347" i="16"/>
  <c r="Q354" i="16"/>
  <c r="Q355" i="16"/>
  <c r="Q484" i="16"/>
  <c r="Q586" i="16"/>
  <c r="Q720" i="16"/>
  <c r="Q778" i="16"/>
  <c r="Q937"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3" i="16"/>
  <c r="R174" i="16"/>
  <c r="R175" i="16"/>
  <c r="R176" i="16"/>
  <c r="R177" i="16"/>
  <c r="R178" i="16"/>
  <c r="R179" i="16"/>
  <c r="R180" i="16"/>
  <c r="R181" i="16"/>
  <c r="R182" i="16"/>
  <c r="R183" i="16"/>
  <c r="R184" i="16"/>
  <c r="R185" i="16"/>
  <c r="R186" i="16"/>
  <c r="R187" i="16"/>
  <c r="R188" i="16"/>
  <c r="R189" i="16"/>
  <c r="R190" i="16"/>
  <c r="R191" i="16"/>
  <c r="R192" i="16"/>
  <c r="R193" i="16"/>
  <c r="R194" i="16"/>
  <c r="R195" i="16"/>
  <c r="R196" i="16"/>
  <c r="R197" i="16"/>
  <c r="R198" i="16"/>
  <c r="R199" i="16"/>
  <c r="R200" i="16"/>
  <c r="R201" i="16"/>
  <c r="R202" i="16"/>
  <c r="R203" i="16"/>
  <c r="R204" i="16"/>
  <c r="R205" i="16"/>
  <c r="R206" i="16"/>
  <c r="R207" i="16"/>
  <c r="R208" i="16"/>
  <c r="R209" i="16"/>
  <c r="R210" i="16"/>
  <c r="R211" i="16"/>
  <c r="R212" i="16"/>
  <c r="R213" i="16"/>
  <c r="R214" i="16"/>
  <c r="R215" i="16"/>
  <c r="R216" i="16"/>
  <c r="R217" i="16"/>
  <c r="R218" i="16"/>
  <c r="R219" i="16"/>
  <c r="R220" i="16"/>
  <c r="R221" i="16"/>
  <c r="R222" i="16"/>
  <c r="R223" i="16"/>
  <c r="R224" i="16"/>
  <c r="R225" i="16"/>
  <c r="R226" i="16"/>
  <c r="R227" i="16"/>
  <c r="R228" i="16"/>
  <c r="R229" i="16"/>
  <c r="R230" i="16"/>
  <c r="R231" i="16"/>
  <c r="R232" i="16"/>
  <c r="R233" i="16"/>
  <c r="R234" i="16"/>
  <c r="R235" i="16"/>
  <c r="R236" i="16"/>
  <c r="R237" i="16"/>
  <c r="R238" i="16"/>
  <c r="R239" i="16"/>
  <c r="R240" i="16"/>
  <c r="R241" i="16"/>
  <c r="R242" i="16"/>
  <c r="R243" i="16"/>
  <c r="R244" i="16"/>
  <c r="R245" i="16"/>
  <c r="R246" i="16"/>
  <c r="R247" i="16"/>
  <c r="R248" i="16"/>
  <c r="R249" i="16"/>
  <c r="R250" i="16"/>
  <c r="R251" i="16"/>
  <c r="R252" i="16"/>
  <c r="R253" i="16"/>
  <c r="R254" i="16"/>
  <c r="R255" i="16"/>
  <c r="R256" i="16"/>
  <c r="R257" i="16"/>
  <c r="R258" i="16"/>
  <c r="R259" i="16"/>
  <c r="R260" i="16"/>
  <c r="R261" i="16"/>
  <c r="R262" i="16"/>
  <c r="R263" i="16"/>
  <c r="R264" i="16"/>
  <c r="R265" i="16"/>
  <c r="R266" i="16"/>
  <c r="R267" i="16"/>
  <c r="R268" i="16"/>
  <c r="R269" i="16"/>
  <c r="R270" i="16"/>
  <c r="R271" i="16"/>
  <c r="R272" i="16"/>
  <c r="R273" i="16"/>
  <c r="R274" i="16"/>
  <c r="R275" i="16"/>
  <c r="R276" i="16"/>
  <c r="R277" i="16"/>
  <c r="R278" i="16"/>
  <c r="R279" i="16"/>
  <c r="R280" i="16"/>
  <c r="R281" i="16"/>
  <c r="R282" i="16"/>
  <c r="R283" i="16"/>
  <c r="R284" i="16"/>
  <c r="R285" i="16"/>
  <c r="R286" i="16"/>
  <c r="R287" i="16"/>
  <c r="R288" i="16"/>
  <c r="R289" i="16"/>
  <c r="R290" i="16"/>
  <c r="R291" i="16"/>
  <c r="R292" i="16"/>
  <c r="R293" i="16"/>
  <c r="R294" i="16"/>
  <c r="R295" i="16"/>
  <c r="R296" i="16"/>
  <c r="R297" i="16"/>
  <c r="R298" i="16"/>
  <c r="R299" i="16"/>
  <c r="R300" i="16"/>
  <c r="R301" i="16"/>
  <c r="R302" i="16"/>
  <c r="R303" i="16"/>
  <c r="R304" i="16"/>
  <c r="R305" i="16"/>
  <c r="R306" i="16"/>
  <c r="R307" i="16"/>
  <c r="R308" i="16"/>
  <c r="R309" i="16"/>
  <c r="R310" i="16"/>
  <c r="R311" i="16"/>
  <c r="R312" i="16"/>
  <c r="R313" i="16"/>
  <c r="R314" i="16"/>
  <c r="R315" i="16"/>
  <c r="R316" i="16"/>
  <c r="R317" i="16"/>
  <c r="R318" i="16"/>
  <c r="R319" i="16"/>
  <c r="R320" i="16"/>
  <c r="R321" i="16"/>
  <c r="R322" i="16"/>
  <c r="R323" i="16"/>
  <c r="R324" i="16"/>
  <c r="R325" i="16"/>
  <c r="R326" i="16"/>
  <c r="R327" i="16"/>
  <c r="R328" i="16"/>
  <c r="R329" i="16"/>
  <c r="R330" i="16"/>
  <c r="R331" i="16"/>
  <c r="R332" i="16"/>
  <c r="R333" i="16"/>
  <c r="R334" i="16"/>
  <c r="R335" i="16"/>
  <c r="R336" i="16"/>
  <c r="R337" i="16"/>
  <c r="R338" i="16"/>
  <c r="R339" i="16"/>
  <c r="R340" i="16"/>
  <c r="R341" i="16"/>
  <c r="R342" i="16"/>
  <c r="R343" i="16"/>
  <c r="R344" i="16"/>
  <c r="R345" i="16"/>
  <c r="R346" i="16"/>
  <c r="R347" i="16"/>
  <c r="R348" i="16"/>
  <c r="R349" i="16"/>
  <c r="R350" i="16"/>
  <c r="R351" i="16"/>
  <c r="R352" i="16"/>
  <c r="R353" i="16"/>
  <c r="R354" i="16"/>
  <c r="R355" i="16"/>
  <c r="R356" i="16"/>
  <c r="R357" i="16"/>
  <c r="R358" i="16"/>
  <c r="R359" i="16"/>
  <c r="R360" i="16"/>
  <c r="R361" i="16"/>
  <c r="R362" i="16"/>
  <c r="R363" i="16"/>
  <c r="R364" i="16"/>
  <c r="R365" i="16"/>
  <c r="R366" i="16"/>
  <c r="R367" i="16"/>
  <c r="R368" i="16"/>
  <c r="R369" i="16"/>
  <c r="R370" i="16"/>
  <c r="R371" i="16"/>
  <c r="R372" i="16"/>
  <c r="R373" i="16"/>
  <c r="R374" i="16"/>
  <c r="R375" i="16"/>
  <c r="R376" i="16"/>
  <c r="R377" i="16"/>
  <c r="R378" i="16"/>
  <c r="R379" i="16"/>
  <c r="R380" i="16"/>
  <c r="R381" i="16"/>
  <c r="R382" i="16"/>
  <c r="R383" i="16"/>
  <c r="R384" i="16"/>
  <c r="R385" i="16"/>
  <c r="R386" i="16"/>
  <c r="R387" i="16"/>
  <c r="R388" i="16"/>
  <c r="R389" i="16"/>
  <c r="R390" i="16"/>
  <c r="R391" i="16"/>
  <c r="R392" i="16"/>
  <c r="R393" i="16"/>
  <c r="R394" i="16"/>
  <c r="R395" i="16"/>
  <c r="R396" i="16"/>
  <c r="R397" i="16"/>
  <c r="R398" i="16"/>
  <c r="R399" i="16"/>
  <c r="R400" i="16"/>
  <c r="R401" i="16"/>
  <c r="R402" i="16"/>
  <c r="R403" i="16"/>
  <c r="R404" i="16"/>
  <c r="R405" i="16"/>
  <c r="R406" i="16"/>
  <c r="R407" i="16"/>
  <c r="R408" i="16"/>
  <c r="R409" i="16"/>
  <c r="R410" i="16"/>
  <c r="R411" i="16"/>
  <c r="R412" i="16"/>
  <c r="R413" i="16"/>
  <c r="R414" i="16"/>
  <c r="R415" i="16"/>
  <c r="R416" i="16"/>
  <c r="R417" i="16"/>
  <c r="R418" i="16"/>
  <c r="R419" i="16"/>
  <c r="R420" i="16"/>
  <c r="R421" i="16"/>
  <c r="R422" i="16"/>
  <c r="R423" i="16"/>
  <c r="R424" i="16"/>
  <c r="R425" i="16"/>
  <c r="R426" i="16"/>
  <c r="R427" i="16"/>
  <c r="R428" i="16"/>
  <c r="R429" i="16"/>
  <c r="R430" i="16"/>
  <c r="R431" i="16"/>
  <c r="R432" i="16"/>
  <c r="R433" i="16"/>
  <c r="R434" i="16"/>
  <c r="R435" i="16"/>
  <c r="R436" i="16"/>
  <c r="R437" i="16"/>
  <c r="R438" i="16"/>
  <c r="R439" i="16"/>
  <c r="R440" i="16"/>
  <c r="R441" i="16"/>
  <c r="R442" i="16"/>
  <c r="R443" i="16"/>
  <c r="R444" i="16"/>
  <c r="R445" i="16"/>
  <c r="R446" i="16"/>
  <c r="R447" i="16"/>
  <c r="R448" i="16"/>
  <c r="R449" i="16"/>
  <c r="R450" i="16"/>
  <c r="R451" i="16"/>
  <c r="R452" i="16"/>
  <c r="R453" i="16"/>
  <c r="R454" i="16"/>
  <c r="R455" i="16"/>
  <c r="R456" i="16"/>
  <c r="R457" i="16"/>
  <c r="R458" i="16"/>
  <c r="R459" i="16"/>
  <c r="R460" i="16"/>
  <c r="R461" i="16"/>
  <c r="R462" i="16"/>
  <c r="R463" i="16"/>
  <c r="R464" i="16"/>
  <c r="R465" i="16"/>
  <c r="R466" i="16"/>
  <c r="R467" i="16"/>
  <c r="R468" i="16"/>
  <c r="R469" i="16"/>
  <c r="R470" i="16"/>
  <c r="R471" i="16"/>
  <c r="R472" i="16"/>
  <c r="R473" i="16"/>
  <c r="R474" i="16"/>
  <c r="R475" i="16"/>
  <c r="R476" i="16"/>
  <c r="R477" i="16"/>
  <c r="R478" i="16"/>
  <c r="R479" i="16"/>
  <c r="R480" i="16"/>
  <c r="R481" i="16"/>
  <c r="R482" i="16"/>
  <c r="R483" i="16"/>
  <c r="R484" i="16"/>
  <c r="R485" i="16"/>
  <c r="R486" i="16"/>
  <c r="R487" i="16"/>
  <c r="R488" i="16"/>
  <c r="R489" i="16"/>
  <c r="R490" i="16"/>
  <c r="R491" i="16"/>
  <c r="R492" i="16"/>
  <c r="R493" i="16"/>
  <c r="R494" i="16"/>
  <c r="R495" i="16"/>
  <c r="R496" i="16"/>
  <c r="R497" i="16"/>
  <c r="R498" i="16"/>
  <c r="R499" i="16"/>
  <c r="R500" i="16"/>
  <c r="R501" i="16"/>
  <c r="R502" i="16"/>
  <c r="R503" i="16"/>
  <c r="R504" i="16"/>
  <c r="R505" i="16"/>
  <c r="R506" i="16"/>
  <c r="R507" i="16"/>
  <c r="R508" i="16"/>
  <c r="R509" i="16"/>
  <c r="R510" i="16"/>
  <c r="R511" i="16"/>
  <c r="R512" i="16"/>
  <c r="R513" i="16"/>
  <c r="R514" i="16"/>
  <c r="R515" i="16"/>
  <c r="R516" i="16"/>
  <c r="R517" i="16"/>
  <c r="R518" i="16"/>
  <c r="R519" i="16"/>
  <c r="R520" i="16"/>
  <c r="R521" i="16"/>
  <c r="R522" i="16"/>
  <c r="R523" i="16"/>
  <c r="R524" i="16"/>
  <c r="R525" i="16"/>
  <c r="R526" i="16"/>
  <c r="R527" i="16"/>
  <c r="R528" i="16"/>
  <c r="R529" i="16"/>
  <c r="R530" i="16"/>
  <c r="R531" i="16"/>
  <c r="R532" i="16"/>
  <c r="R533" i="16"/>
  <c r="R534" i="16"/>
  <c r="R535" i="16"/>
  <c r="R536" i="16"/>
  <c r="R537" i="16"/>
  <c r="R538" i="16"/>
  <c r="R539" i="16"/>
  <c r="R540" i="16"/>
  <c r="R541" i="16"/>
  <c r="R542" i="16"/>
  <c r="R543" i="16"/>
  <c r="R544" i="16"/>
  <c r="R545" i="16"/>
  <c r="R546" i="16"/>
  <c r="R547" i="16"/>
  <c r="R548" i="16"/>
  <c r="R549" i="16"/>
  <c r="R550" i="16"/>
  <c r="R551" i="16"/>
  <c r="R552" i="16"/>
  <c r="R553" i="16"/>
  <c r="R554" i="16"/>
  <c r="R555" i="16"/>
  <c r="R556" i="16"/>
  <c r="R557" i="16"/>
  <c r="R558" i="16"/>
  <c r="R559" i="16"/>
  <c r="R560" i="16"/>
  <c r="R561" i="16"/>
  <c r="R562" i="16"/>
  <c r="R563" i="16"/>
  <c r="R564" i="16"/>
  <c r="R565" i="16"/>
  <c r="R566" i="16"/>
  <c r="R567" i="16"/>
  <c r="R568" i="16"/>
  <c r="R569" i="16"/>
  <c r="R570" i="16"/>
  <c r="R571" i="16"/>
  <c r="R572" i="16"/>
  <c r="R573" i="16"/>
  <c r="R574" i="16"/>
  <c r="R575" i="16"/>
  <c r="R576" i="16"/>
  <c r="R577" i="16"/>
  <c r="R578" i="16"/>
  <c r="R579" i="16"/>
  <c r="R580" i="16"/>
  <c r="R581" i="16"/>
  <c r="R582" i="16"/>
  <c r="R583" i="16"/>
  <c r="R584" i="16"/>
  <c r="R585" i="16"/>
  <c r="R586" i="16"/>
  <c r="R587" i="16"/>
  <c r="R588" i="16"/>
  <c r="R589" i="16"/>
  <c r="R590" i="16"/>
  <c r="R591" i="16"/>
  <c r="R592" i="16"/>
  <c r="R593" i="16"/>
  <c r="R594" i="16"/>
  <c r="R595" i="16"/>
  <c r="R596" i="16"/>
  <c r="R597" i="16"/>
  <c r="R598" i="16"/>
  <c r="R599" i="16"/>
  <c r="R600" i="16"/>
  <c r="R601" i="16"/>
  <c r="R602" i="16"/>
  <c r="R603" i="16"/>
  <c r="R604" i="16"/>
  <c r="R605" i="16"/>
  <c r="R606" i="16"/>
  <c r="R607" i="16"/>
  <c r="R608" i="16"/>
  <c r="R609" i="16"/>
  <c r="R610" i="16"/>
  <c r="R611" i="16"/>
  <c r="R612" i="16"/>
  <c r="R613" i="16"/>
  <c r="R614" i="16"/>
  <c r="R615" i="16"/>
  <c r="R616" i="16"/>
  <c r="R617" i="16"/>
  <c r="R618" i="16"/>
  <c r="R619" i="16"/>
  <c r="R620" i="16"/>
  <c r="R621" i="16"/>
  <c r="R622" i="16"/>
  <c r="R623" i="16"/>
  <c r="R624" i="16"/>
  <c r="R625" i="16"/>
  <c r="R626" i="16"/>
  <c r="R627" i="16"/>
  <c r="R628" i="16"/>
  <c r="R629" i="16"/>
  <c r="R630" i="16"/>
  <c r="R631" i="16"/>
  <c r="R632" i="16"/>
  <c r="R633" i="16"/>
  <c r="R634" i="16"/>
  <c r="R635" i="16"/>
  <c r="R636" i="16"/>
  <c r="R637" i="16"/>
  <c r="R638" i="16"/>
  <c r="R639" i="16"/>
  <c r="R640" i="16"/>
  <c r="R641" i="16"/>
  <c r="R642" i="16"/>
  <c r="R643" i="16"/>
  <c r="R644" i="16"/>
  <c r="R645" i="16"/>
  <c r="R646" i="16"/>
  <c r="R647" i="16"/>
  <c r="R648" i="16"/>
  <c r="R649" i="16"/>
  <c r="R650" i="16"/>
  <c r="R651" i="16"/>
  <c r="R652" i="16"/>
  <c r="R653" i="16"/>
  <c r="R654" i="16"/>
  <c r="R655" i="16"/>
  <c r="R656" i="16"/>
  <c r="R657" i="16"/>
  <c r="R658" i="16"/>
  <c r="R659" i="16"/>
  <c r="R660" i="16"/>
  <c r="R661" i="16"/>
  <c r="R662" i="16"/>
  <c r="R663" i="16"/>
  <c r="R664" i="16"/>
  <c r="R665" i="16"/>
  <c r="R666" i="16"/>
  <c r="R667" i="16"/>
  <c r="R668" i="16"/>
  <c r="R669" i="16"/>
  <c r="R670" i="16"/>
  <c r="R671" i="16"/>
  <c r="R672" i="16"/>
  <c r="R673" i="16"/>
  <c r="R674" i="16"/>
  <c r="R675" i="16"/>
  <c r="R676" i="16"/>
  <c r="R677" i="16"/>
  <c r="R678" i="16"/>
  <c r="R679" i="16"/>
  <c r="R680" i="16"/>
  <c r="R681" i="16"/>
  <c r="R682" i="16"/>
  <c r="R683" i="16"/>
  <c r="R684" i="16"/>
  <c r="R685" i="16"/>
  <c r="R686" i="16"/>
  <c r="R687" i="16"/>
  <c r="R688" i="16"/>
  <c r="R689" i="16"/>
  <c r="R690" i="16"/>
  <c r="R691" i="16"/>
  <c r="R692" i="16"/>
  <c r="R693" i="16"/>
  <c r="R694" i="16"/>
  <c r="R695" i="16"/>
  <c r="R696" i="16"/>
  <c r="R697" i="16"/>
  <c r="R698" i="16"/>
  <c r="R699" i="16"/>
  <c r="R700" i="16"/>
  <c r="R701" i="16"/>
  <c r="R702" i="16"/>
  <c r="R703" i="16"/>
  <c r="R704" i="16"/>
  <c r="R705" i="16"/>
  <c r="R706" i="16"/>
  <c r="R707" i="16"/>
  <c r="R708" i="16"/>
  <c r="R709" i="16"/>
  <c r="R710" i="16"/>
  <c r="R711" i="16"/>
  <c r="R712" i="16"/>
  <c r="R713" i="16"/>
  <c r="R714" i="16"/>
  <c r="R715" i="16"/>
  <c r="R716" i="16"/>
  <c r="R717" i="16"/>
  <c r="R718" i="16"/>
  <c r="R719" i="16"/>
  <c r="R720" i="16"/>
  <c r="R721" i="16"/>
  <c r="R722" i="16"/>
  <c r="R723" i="16"/>
  <c r="R724" i="16"/>
  <c r="R725" i="16"/>
  <c r="R726" i="16"/>
  <c r="R727" i="16"/>
  <c r="R728" i="16"/>
  <c r="R729" i="16"/>
  <c r="R730" i="16"/>
  <c r="R731" i="16"/>
  <c r="R732" i="16"/>
  <c r="R733" i="16"/>
  <c r="R734" i="16"/>
  <c r="R735" i="16"/>
  <c r="R736" i="16"/>
  <c r="R737" i="16"/>
  <c r="R738" i="16"/>
  <c r="R739" i="16"/>
  <c r="R740" i="16"/>
  <c r="R741" i="16"/>
  <c r="R742" i="16"/>
  <c r="R743" i="16"/>
  <c r="R744" i="16"/>
  <c r="R745" i="16"/>
  <c r="R746" i="16"/>
  <c r="R747" i="16"/>
  <c r="R748" i="16"/>
  <c r="R749" i="16"/>
  <c r="R750" i="16"/>
  <c r="R751" i="16"/>
  <c r="R752" i="16"/>
  <c r="R753" i="16"/>
  <c r="R754" i="16"/>
  <c r="R755" i="16"/>
  <c r="R756" i="16"/>
  <c r="R757" i="16"/>
  <c r="R758" i="16"/>
  <c r="R759" i="16"/>
  <c r="R760" i="16"/>
  <c r="R761" i="16"/>
  <c r="R762" i="16"/>
  <c r="R763" i="16"/>
  <c r="R764" i="16"/>
  <c r="R765" i="16"/>
  <c r="R766" i="16"/>
  <c r="R767" i="16"/>
  <c r="R768" i="16"/>
  <c r="R769" i="16"/>
  <c r="R770" i="16"/>
  <c r="R771" i="16"/>
  <c r="R772" i="16"/>
  <c r="R773" i="16"/>
  <c r="R774" i="16"/>
  <c r="R775" i="16"/>
  <c r="R776" i="16"/>
  <c r="R777" i="16"/>
  <c r="R778" i="16"/>
  <c r="R779" i="16"/>
  <c r="R780" i="16"/>
  <c r="R781" i="16"/>
  <c r="R782" i="16"/>
  <c r="R783" i="16"/>
  <c r="R784" i="16"/>
  <c r="R785" i="16"/>
  <c r="R786" i="16"/>
  <c r="R787" i="16"/>
  <c r="R788" i="16"/>
  <c r="R789" i="16"/>
  <c r="R790" i="16"/>
  <c r="R791" i="16"/>
  <c r="R792" i="16"/>
  <c r="R793" i="16"/>
  <c r="R794" i="16"/>
  <c r="R795" i="16"/>
  <c r="R796" i="16"/>
  <c r="R797" i="16"/>
  <c r="R798" i="16"/>
  <c r="R799" i="16"/>
  <c r="R800" i="16"/>
  <c r="R801" i="16"/>
  <c r="R802" i="16"/>
  <c r="R803" i="16"/>
  <c r="R804" i="16"/>
  <c r="R805" i="16"/>
  <c r="R806" i="16"/>
  <c r="R807" i="16"/>
  <c r="R808" i="16"/>
  <c r="R809" i="16"/>
  <c r="R810" i="16"/>
  <c r="R811" i="16"/>
  <c r="R812" i="16"/>
  <c r="R813" i="16"/>
  <c r="R814" i="16"/>
  <c r="R815" i="16"/>
  <c r="R816" i="16"/>
  <c r="R817" i="16"/>
  <c r="R818" i="16"/>
  <c r="R819" i="16"/>
  <c r="R820" i="16"/>
  <c r="R821" i="16"/>
  <c r="R822" i="16"/>
  <c r="R823" i="16"/>
  <c r="R824" i="16"/>
  <c r="R825" i="16"/>
  <c r="R826" i="16"/>
  <c r="R827" i="16"/>
  <c r="R828" i="16"/>
  <c r="R829" i="16"/>
  <c r="R830" i="16"/>
  <c r="R831" i="16"/>
  <c r="R832" i="16"/>
  <c r="R833" i="16"/>
  <c r="R834" i="16"/>
  <c r="R835" i="16"/>
  <c r="R836" i="16"/>
  <c r="R837" i="16"/>
  <c r="R838" i="16"/>
  <c r="R839" i="16"/>
  <c r="R840" i="16"/>
  <c r="R841" i="16"/>
  <c r="R842" i="16"/>
  <c r="R843" i="16"/>
  <c r="R844" i="16"/>
  <c r="R845" i="16"/>
  <c r="R846" i="16"/>
  <c r="R847" i="16"/>
  <c r="R848" i="16"/>
  <c r="R849" i="16"/>
  <c r="R850" i="16"/>
  <c r="R851" i="16"/>
  <c r="R852" i="16"/>
  <c r="R853" i="16"/>
  <c r="R854" i="16"/>
  <c r="R855" i="16"/>
  <c r="R856" i="16"/>
  <c r="R857" i="16"/>
  <c r="R858" i="16"/>
  <c r="R859" i="16"/>
  <c r="R860" i="16"/>
  <c r="R861" i="16"/>
  <c r="R862" i="16"/>
  <c r="R863" i="16"/>
  <c r="R864" i="16"/>
  <c r="R865" i="16"/>
  <c r="R866" i="16"/>
  <c r="R867" i="16"/>
  <c r="R868" i="16"/>
  <c r="R869" i="16"/>
  <c r="R870" i="16"/>
  <c r="R871" i="16"/>
  <c r="R872" i="16"/>
  <c r="R873" i="16"/>
  <c r="R874" i="16"/>
  <c r="R875" i="16"/>
  <c r="R876" i="16"/>
  <c r="R877" i="16"/>
  <c r="R878" i="16"/>
  <c r="R879" i="16"/>
  <c r="R880" i="16"/>
  <c r="R881" i="16"/>
  <c r="R882" i="16"/>
  <c r="R883" i="16"/>
  <c r="R884" i="16"/>
  <c r="R885" i="16"/>
  <c r="R886" i="16"/>
  <c r="R887" i="16"/>
  <c r="R888" i="16"/>
  <c r="R889" i="16"/>
  <c r="R890" i="16"/>
  <c r="R891" i="16"/>
  <c r="R892" i="16"/>
  <c r="R893" i="16"/>
  <c r="R894" i="16"/>
  <c r="R895" i="16"/>
  <c r="R896" i="16"/>
  <c r="R897" i="16"/>
  <c r="R898" i="16"/>
  <c r="R899" i="16"/>
  <c r="R900" i="16"/>
  <c r="R901" i="16"/>
  <c r="R902" i="16"/>
  <c r="R903" i="16"/>
  <c r="R904" i="16"/>
  <c r="R905" i="16"/>
  <c r="R906" i="16"/>
  <c r="R907" i="16"/>
  <c r="R908" i="16"/>
  <c r="R909" i="16"/>
  <c r="R910" i="16"/>
  <c r="R911" i="16"/>
  <c r="R912" i="16"/>
  <c r="R913" i="16"/>
  <c r="R914" i="16"/>
  <c r="R915" i="16"/>
  <c r="R916" i="16"/>
  <c r="R917" i="16"/>
  <c r="R918" i="16"/>
  <c r="R919" i="16"/>
  <c r="R920" i="16"/>
  <c r="R921" i="16"/>
  <c r="R922" i="16"/>
  <c r="R923" i="16"/>
  <c r="R924" i="16"/>
  <c r="R925" i="16"/>
  <c r="R926" i="16"/>
  <c r="R927" i="16"/>
  <c r="R928" i="16"/>
  <c r="R929" i="16"/>
  <c r="R930" i="16"/>
  <c r="R931" i="16"/>
  <c r="R932" i="16"/>
  <c r="R933" i="16"/>
  <c r="R934" i="16"/>
  <c r="R935" i="16"/>
  <c r="R936" i="16"/>
  <c r="R937" i="16"/>
  <c r="X2" i="31"/>
  <c r="K18" i="27"/>
  <c r="K19" i="27"/>
  <c r="K20" i="27"/>
  <c r="Q697" i="16" s="1"/>
  <c r="K21" i="27"/>
  <c r="Q698" i="16" s="1"/>
  <c r="K22" i="27"/>
  <c r="Q699" i="16" s="1"/>
  <c r="K23" i="27"/>
  <c r="Q700" i="16" s="1"/>
  <c r="K24" i="27"/>
  <c r="Q701" i="16" s="1"/>
  <c r="K25" i="27"/>
  <c r="Q702" i="16" s="1"/>
  <c r="K26" i="27"/>
  <c r="Q703" i="16" s="1"/>
  <c r="K27" i="27"/>
  <c r="Q704" i="16" s="1"/>
  <c r="K28" i="27"/>
  <c r="Q705" i="16" s="1"/>
  <c r="K29" i="27"/>
  <c r="Q706" i="16" s="1"/>
  <c r="K30" i="27"/>
  <c r="K31" i="27"/>
  <c r="Q708" i="16" s="1"/>
  <c r="K32" i="27"/>
  <c r="Q709" i="16" s="1"/>
  <c r="K33" i="27"/>
  <c r="K34" i="27"/>
  <c r="Q711" i="16" s="1"/>
  <c r="K35" i="27"/>
  <c r="Q712" i="16" s="1"/>
  <c r="K36" i="27"/>
  <c r="Q713" i="16" s="1"/>
  <c r="K37" i="27"/>
  <c r="Q714" i="16" s="1"/>
  <c r="K38" i="27"/>
  <c r="Q715" i="16" s="1"/>
  <c r="K39" i="27"/>
  <c r="Q716" i="16" s="1"/>
  <c r="K40" i="27"/>
  <c r="Q717" i="16" s="1"/>
  <c r="K41" i="27"/>
  <c r="Q718" i="16" s="1"/>
  <c r="K42" i="27"/>
  <c r="Q156" i="16" s="1"/>
  <c r="K43" i="27"/>
  <c r="Q157" i="16" s="1"/>
  <c r="K44" i="27"/>
  <c r="K45" i="27"/>
  <c r="Q159" i="16" s="1"/>
  <c r="K46" i="27"/>
  <c r="Q160" i="16" s="1"/>
  <c r="K47" i="27"/>
  <c r="K48" i="27"/>
  <c r="Q491" i="16" s="1"/>
  <c r="K49" i="27"/>
  <c r="K50" i="27"/>
  <c r="K51" i="27"/>
  <c r="K52" i="27"/>
  <c r="Q549" i="16" s="1"/>
  <c r="K53" i="27"/>
  <c r="Q550" i="16" s="1"/>
  <c r="K54" i="27"/>
  <c r="Q551" i="16" s="1"/>
  <c r="K55" i="27"/>
  <c r="K56" i="27"/>
  <c r="Q553" i="16" s="1"/>
  <c r="K57" i="27"/>
  <c r="Q554" i="16" s="1"/>
  <c r="K58" i="27"/>
  <c r="Q555" i="16" s="1"/>
  <c r="K59" i="27"/>
  <c r="Q556" i="16" s="1"/>
  <c r="K60" i="27"/>
  <c r="Q557" i="16" s="1"/>
  <c r="K61" i="27"/>
  <c r="K62" i="27"/>
  <c r="Q559" i="16" s="1"/>
  <c r="K63" i="27"/>
  <c r="Q560" i="16" s="1"/>
  <c r="K64" i="27"/>
  <c r="Q561" i="16" s="1"/>
  <c r="K65" i="27"/>
  <c r="Q562" i="16" s="1"/>
  <c r="K66" i="27"/>
  <c r="Q563" i="16" s="1"/>
  <c r="K67" i="27"/>
  <c r="K68" i="27"/>
  <c r="Q564" i="16" s="1"/>
  <c r="K69" i="27"/>
  <c r="K70" i="27"/>
  <c r="Q566" i="16" s="1"/>
  <c r="K71" i="27"/>
  <c r="Q567" i="16" s="1"/>
  <c r="K72" i="27"/>
  <c r="K73" i="27"/>
  <c r="Q888" i="16" s="1"/>
  <c r="K74" i="27"/>
  <c r="K75" i="27"/>
  <c r="Q890" i="16" s="1"/>
  <c r="K76" i="27"/>
  <c r="Q569" i="16" s="1"/>
  <c r="K77" i="27"/>
  <c r="K78" i="27"/>
  <c r="Q868" i="16" s="1"/>
  <c r="K79" i="27"/>
  <c r="K80" i="27"/>
  <c r="Q870" i="16" s="1"/>
  <c r="K81" i="27"/>
  <c r="K82" i="27"/>
  <c r="Q872" i="16" s="1"/>
  <c r="K83" i="27"/>
  <c r="Q873" i="16" s="1"/>
  <c r="K84" i="27"/>
  <c r="K85" i="27"/>
  <c r="Q874" i="16" s="1"/>
  <c r="K86" i="27"/>
  <c r="K87" i="27"/>
  <c r="K88" i="27"/>
  <c r="K89" i="27"/>
  <c r="Q875" i="16" s="1"/>
  <c r="K90" i="27"/>
  <c r="K91" i="27"/>
  <c r="K92" i="27"/>
  <c r="K93" i="27"/>
  <c r="K94" i="27"/>
  <c r="K95" i="27"/>
  <c r="K96"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K130" i="27"/>
  <c r="K131" i="27"/>
  <c r="K132" i="27"/>
  <c r="K133" i="27"/>
  <c r="K134" i="27"/>
  <c r="K135" i="27"/>
  <c r="K136" i="27"/>
  <c r="K137" i="27"/>
  <c r="K138" i="27"/>
  <c r="K139" i="27"/>
  <c r="K140" i="27"/>
  <c r="K141" i="27"/>
  <c r="K142" i="27"/>
  <c r="K143" i="27"/>
  <c r="K144" i="27"/>
  <c r="K145" i="27"/>
  <c r="K146" i="27"/>
  <c r="K147" i="27"/>
  <c r="K148" i="27"/>
  <c r="K149" i="27"/>
  <c r="K150" i="27"/>
  <c r="K151" i="27"/>
  <c r="K152" i="27"/>
  <c r="K153" i="27"/>
  <c r="K154" i="27"/>
  <c r="K155" i="27"/>
  <c r="K156" i="27"/>
  <c r="K157" i="27"/>
  <c r="K158" i="27"/>
  <c r="K159" i="27"/>
  <c r="Q442" i="16" s="1"/>
  <c r="K160" i="27"/>
  <c r="K161" i="27"/>
  <c r="Q862" i="16" s="1"/>
  <c r="K162" i="27"/>
  <c r="Q444" i="16" s="1"/>
  <c r="K163" i="27"/>
  <c r="K164" i="27"/>
  <c r="K165" i="27"/>
  <c r="K166" i="27"/>
  <c r="K167" i="27"/>
  <c r="K168" i="27"/>
  <c r="K169" i="27"/>
  <c r="Q445" i="16" s="1"/>
  <c r="K170" i="27"/>
  <c r="K171" i="27"/>
  <c r="K172" i="27"/>
  <c r="K173" i="27"/>
  <c r="K174" i="27"/>
  <c r="K175" i="27"/>
  <c r="Q78" i="16" s="1"/>
  <c r="K176" i="27"/>
  <c r="K177" i="27"/>
  <c r="K178" i="27"/>
  <c r="Q136" i="16" s="1"/>
  <c r="K179" i="27"/>
  <c r="Q137" i="16" s="1"/>
  <c r="K180" i="27"/>
  <c r="Q138" i="16" s="1"/>
  <c r="K181" i="27"/>
  <c r="K182" i="27"/>
  <c r="K183" i="27"/>
  <c r="Q141" i="16" s="1"/>
  <c r="K184" i="27"/>
  <c r="K185" i="27"/>
  <c r="Q143" i="16" s="1"/>
  <c r="K186" i="27"/>
  <c r="K187" i="27"/>
  <c r="K188" i="27"/>
  <c r="K189" i="27"/>
  <c r="Q148" i="16" s="1"/>
  <c r="K190" i="27"/>
  <c r="Q149" i="16" s="1"/>
  <c r="K191" i="27"/>
  <c r="K192" i="27"/>
  <c r="Q496" i="16" s="1"/>
  <c r="K193" i="27"/>
  <c r="K194" i="27"/>
  <c r="K195" i="27"/>
  <c r="K196" i="27"/>
  <c r="K197" i="27"/>
  <c r="Q537" i="16" s="1"/>
  <c r="K198" i="27"/>
  <c r="K199" i="27"/>
  <c r="Q539" i="16" s="1"/>
  <c r="K200" i="27"/>
  <c r="Q540" i="16" s="1"/>
  <c r="K201" i="27"/>
  <c r="K202" i="27"/>
  <c r="K203" i="27"/>
  <c r="Q621" i="16" s="1"/>
  <c r="K204" i="27"/>
  <c r="K205" i="27"/>
  <c r="Q623" i="16" s="1"/>
  <c r="K206" i="27"/>
  <c r="K207" i="27"/>
  <c r="Q625" i="16" s="1"/>
  <c r="K208" i="27"/>
  <c r="K209" i="27"/>
  <c r="K210" i="27"/>
  <c r="K211" i="27"/>
  <c r="K212" i="27"/>
  <c r="K213" i="27"/>
  <c r="Q23" i="16" s="1"/>
  <c r="K214" i="27"/>
  <c r="K215" i="27"/>
  <c r="Q61" i="16" s="1"/>
  <c r="K216" i="27"/>
  <c r="Q62" i="16" s="1"/>
  <c r="K217" i="27"/>
  <c r="Q63" i="16" s="1"/>
  <c r="K218" i="27"/>
  <c r="K219" i="27"/>
  <c r="K220" i="27"/>
  <c r="Q66" i="16" s="1"/>
  <c r="K221" i="27"/>
  <c r="Q67" i="16" s="1"/>
  <c r="K222" i="27"/>
  <c r="Q68" i="16" s="1"/>
  <c r="K223" i="27"/>
  <c r="K224" i="27"/>
  <c r="Q70" i="16" s="1"/>
  <c r="K225" i="27"/>
  <c r="K226" i="27"/>
  <c r="K227" i="27"/>
  <c r="Q73" i="16" s="1"/>
  <c r="K228" i="27"/>
  <c r="K229" i="27"/>
  <c r="K230" i="27"/>
  <c r="K231" i="27"/>
  <c r="Q467" i="16" s="1"/>
  <c r="K232" i="27"/>
  <c r="Q468" i="16" s="1"/>
  <c r="K233" i="27"/>
  <c r="Q469" i="16" s="1"/>
  <c r="K234" i="27"/>
  <c r="Q470" i="16" s="1"/>
  <c r="K235" i="27"/>
  <c r="Q471" i="16" s="1"/>
  <c r="K236" i="27"/>
  <c r="K237" i="27"/>
  <c r="Q473" i="16" s="1"/>
  <c r="K238" i="27"/>
  <c r="K239" i="27"/>
  <c r="Q475" i="16" s="1"/>
  <c r="K240" i="27"/>
  <c r="K241" i="27"/>
  <c r="Q477" i="16" s="1"/>
  <c r="K242" i="27"/>
  <c r="Q478" i="16" s="1"/>
  <c r="K243" i="27"/>
  <c r="Q479" i="16" s="1"/>
  <c r="K244" i="27"/>
  <c r="K245" i="27"/>
  <c r="Q481" i="16" s="1"/>
  <c r="K246" i="27"/>
  <c r="K247" i="27"/>
  <c r="K248" i="27"/>
  <c r="Q485" i="16" s="1"/>
  <c r="K249" i="27"/>
  <c r="Q486" i="16" s="1"/>
  <c r="K250" i="27"/>
  <c r="Q588" i="16" s="1"/>
  <c r="K251" i="27"/>
  <c r="K252" i="27"/>
  <c r="K253" i="27"/>
  <c r="Q591" i="16" s="1"/>
  <c r="K254" i="27"/>
  <c r="Q674" i="16" s="1"/>
  <c r="K255" i="27"/>
  <c r="Q675" i="16" s="1"/>
  <c r="K256" i="27"/>
  <c r="Q676" i="16" s="1"/>
  <c r="K257" i="27"/>
  <c r="K258" i="27"/>
  <c r="K259" i="27"/>
  <c r="Q679" i="16" s="1"/>
  <c r="K260" i="27"/>
  <c r="Q680" i="16" s="1"/>
  <c r="K261" i="27"/>
  <c r="K262" i="27"/>
  <c r="K263" i="27"/>
  <c r="Q683" i="16" s="1"/>
  <c r="K264" i="27"/>
  <c r="K265" i="27"/>
  <c r="K266" i="27"/>
  <c r="Q225" i="16" s="1"/>
  <c r="K267" i="27"/>
  <c r="K268" i="27"/>
  <c r="K269" i="27"/>
  <c r="K270" i="27"/>
  <c r="K271" i="27"/>
  <c r="Q14" i="16" s="1"/>
  <c r="K272" i="27"/>
  <c r="K273" i="27"/>
  <c r="Q16" i="16" s="1"/>
  <c r="K274" i="27"/>
  <c r="K275" i="27"/>
  <c r="Q96" i="16" s="1"/>
  <c r="K276" i="27"/>
  <c r="Q650" i="16" s="1"/>
  <c r="K277" i="27"/>
  <c r="K278" i="27"/>
  <c r="Q652" i="16" s="1"/>
  <c r="K279" i="27"/>
  <c r="K280" i="27"/>
  <c r="Q654" i="16" s="1"/>
  <c r="K281" i="27"/>
  <c r="Q655" i="16" s="1"/>
  <c r="K282" i="27"/>
  <c r="K283" i="27"/>
  <c r="Q245" i="16" s="1"/>
  <c r="K284" i="27"/>
  <c r="Q909" i="16" s="1"/>
  <c r="K285" i="27"/>
  <c r="K286" i="27"/>
  <c r="Q40" i="16" s="1"/>
  <c r="K287" i="27"/>
  <c r="K288" i="27"/>
  <c r="K289" i="27"/>
  <c r="Q43" i="16" s="1"/>
  <c r="K290" i="27"/>
  <c r="K291" i="27"/>
  <c r="Q912" i="16" s="1"/>
  <c r="K292" i="27"/>
  <c r="K293" i="27"/>
  <c r="Q914" i="16" s="1"/>
  <c r="K294" i="27"/>
  <c r="Q915" i="16" s="1"/>
  <c r="K295" i="27"/>
  <c r="Q916" i="16" s="1"/>
  <c r="K296" i="27"/>
  <c r="Q917" i="16" s="1"/>
  <c r="K297" i="27"/>
  <c r="Q918" i="16" s="1"/>
  <c r="K298" i="27"/>
  <c r="Q920" i="16" s="1"/>
  <c r="K299" i="27"/>
  <c r="Q921" i="16" s="1"/>
  <c r="K300" i="27"/>
  <c r="K301" i="27"/>
  <c r="K302" i="27"/>
  <c r="K303" i="27"/>
  <c r="K304" i="27"/>
  <c r="Q204" i="16" s="1"/>
  <c r="K305" i="27"/>
  <c r="Q205" i="16" s="1"/>
  <c r="K306" i="27"/>
  <c r="Q206" i="16" s="1"/>
  <c r="K307" i="27"/>
  <c r="K308" i="27"/>
  <c r="Q208" i="16" s="1"/>
  <c r="K309" i="27"/>
  <c r="K310" i="27"/>
  <c r="Q210" i="16" s="1"/>
  <c r="K311" i="27"/>
  <c r="Q211" i="16" s="1"/>
  <c r="K312" i="27"/>
  <c r="Q212" i="16" s="1"/>
  <c r="K313" i="27"/>
  <c r="Q213" i="16" s="1"/>
  <c r="K314" i="27"/>
  <c r="Q214" i="16" s="1"/>
  <c r="K315" i="27"/>
  <c r="K316" i="27"/>
  <c r="K317" i="27"/>
  <c r="K318" i="27"/>
  <c r="K319" i="27"/>
  <c r="K320" i="27"/>
  <c r="Q663" i="16" s="1"/>
  <c r="K321" i="27"/>
  <c r="Q664" i="16" s="1"/>
  <c r="K322" i="27"/>
  <c r="K323" i="27"/>
  <c r="Q627" i="16" s="1"/>
  <c r="K324" i="27"/>
  <c r="K325" i="27"/>
  <c r="Q876" i="16" s="1"/>
  <c r="K326" i="27"/>
  <c r="Q877" i="16" s="1"/>
  <c r="K327" i="27"/>
  <c r="Q878" i="16" s="1"/>
  <c r="K328" i="27"/>
  <c r="Q879" i="16" s="1"/>
  <c r="K329" i="27"/>
  <c r="Q880" i="16" s="1"/>
  <c r="K330" i="27"/>
  <c r="K331" i="27"/>
  <c r="K332" i="27"/>
  <c r="Q524" i="16" s="1"/>
  <c r="K333" i="27"/>
  <c r="Q525" i="16" s="1"/>
  <c r="K334" i="27"/>
  <c r="K335" i="27"/>
  <c r="K336" i="27"/>
  <c r="Q528" i="16" s="1"/>
  <c r="K337" i="27"/>
  <c r="Q529" i="16" s="1"/>
  <c r="K338" i="27"/>
  <c r="Q839" i="16" s="1"/>
  <c r="K339" i="27"/>
  <c r="K340" i="27"/>
  <c r="Q841" i="16" s="1"/>
  <c r="K341" i="27"/>
  <c r="Q842" i="16" s="1"/>
  <c r="K342" i="27"/>
  <c r="Q843" i="16" s="1"/>
  <c r="K343" i="27"/>
  <c r="Q844" i="16" s="1"/>
  <c r="K344" i="27"/>
  <c r="K345" i="27"/>
  <c r="K346" i="27"/>
  <c r="K347" i="27"/>
  <c r="Q848" i="16" s="1"/>
  <c r="K348" i="27"/>
  <c r="K349" i="27"/>
  <c r="Q850" i="16" s="1"/>
  <c r="K350" i="27"/>
  <c r="Q851" i="16" s="1"/>
  <c r="K351" i="27"/>
  <c r="Q852" i="16" s="1"/>
  <c r="K352" i="27"/>
  <c r="Q853" i="16" s="1"/>
  <c r="K353" i="27"/>
  <c r="Q854" i="16" s="1"/>
  <c r="K354" i="27"/>
  <c r="P215" i="17" s="1"/>
  <c r="K355" i="27"/>
  <c r="Q287" i="16" s="1"/>
  <c r="K356" i="27"/>
  <c r="Q288" i="16" s="1"/>
  <c r="K357" i="27"/>
  <c r="Q289" i="16" s="1"/>
  <c r="K358" i="27"/>
  <c r="Q290" i="16" s="1"/>
  <c r="K359" i="27"/>
  <c r="Q291" i="16" s="1"/>
  <c r="K360" i="27"/>
  <c r="Q292" i="16" s="1"/>
  <c r="K361" i="27"/>
  <c r="Q293" i="16" s="1"/>
  <c r="K362" i="27"/>
  <c r="Q294" i="16" s="1"/>
  <c r="K363" i="27"/>
  <c r="Q295" i="16" s="1"/>
  <c r="K364" i="27"/>
  <c r="Q296" i="16" s="1"/>
  <c r="K365" i="27"/>
  <c r="Q297" i="16" s="1"/>
  <c r="K366" i="27"/>
  <c r="Q298" i="16" s="1"/>
  <c r="K367" i="27"/>
  <c r="Q299" i="16" s="1"/>
  <c r="K368" i="27"/>
  <c r="Q300" i="16" s="1"/>
  <c r="K369" i="27"/>
  <c r="K370" i="27"/>
  <c r="Q302" i="16" s="1"/>
  <c r="K371" i="27"/>
  <c r="Q303" i="16" s="1"/>
  <c r="K372" i="27"/>
  <c r="Q304" i="16" s="1"/>
  <c r="K373" i="27"/>
  <c r="Q305" i="16" s="1"/>
  <c r="K374" i="27"/>
  <c r="Q306" i="16" s="1"/>
  <c r="K375" i="27"/>
  <c r="Q307" i="16" s="1"/>
  <c r="K376" i="27"/>
  <c r="K377" i="27"/>
  <c r="Q309" i="16" s="1"/>
  <c r="K378" i="27"/>
  <c r="Q310" i="16" s="1"/>
  <c r="K379" i="27"/>
  <c r="Q311" i="16" s="1"/>
  <c r="K380" i="27"/>
  <c r="Q312" i="16" s="1"/>
  <c r="K381" i="27"/>
  <c r="K382" i="27"/>
  <c r="Q314" i="16" s="1"/>
  <c r="K383" i="27"/>
  <c r="Q315" i="16" s="1"/>
  <c r="K384" i="27"/>
  <c r="Q316" i="16" s="1"/>
  <c r="K385" i="27"/>
  <c r="Q317" i="16" s="1"/>
  <c r="K386" i="27"/>
  <c r="Q318" i="16" s="1"/>
  <c r="K387" i="27"/>
  <c r="Q319" i="16" s="1"/>
  <c r="K388" i="27"/>
  <c r="Q320" i="16" s="1"/>
  <c r="K389" i="27"/>
  <c r="Q174" i="16" s="1"/>
  <c r="K390" i="27"/>
  <c r="K391" i="27"/>
  <c r="Q176" i="16" s="1"/>
  <c r="K392" i="27"/>
  <c r="K393" i="27"/>
  <c r="Q178" i="16" s="1"/>
  <c r="K394" i="27"/>
  <c r="K395" i="27"/>
  <c r="K396" i="27"/>
  <c r="Q181" i="16" s="1"/>
  <c r="K397" i="27"/>
  <c r="Q182" i="16" s="1"/>
  <c r="K398" i="27"/>
  <c r="Q183" i="16" s="1"/>
  <c r="K399" i="27"/>
  <c r="Q184" i="16" s="1"/>
  <c r="K400" i="27"/>
  <c r="Q185" i="16" s="1"/>
  <c r="K401" i="27"/>
  <c r="Q186" i="16" s="1"/>
  <c r="K402" i="27"/>
  <c r="Q187" i="16" s="1"/>
  <c r="K403" i="27"/>
  <c r="K404" i="27"/>
  <c r="K405" i="27"/>
  <c r="Q378" i="16" s="1"/>
  <c r="K406" i="27"/>
  <c r="Q379" i="16" s="1"/>
  <c r="K407" i="27"/>
  <c r="Q380" i="16" s="1"/>
  <c r="K408" i="27"/>
  <c r="Q381" i="16" s="1"/>
  <c r="K409" i="27"/>
  <c r="Q382" i="16" s="1"/>
  <c r="K410" i="27"/>
  <c r="Q383" i="16" s="1"/>
  <c r="K411" i="27"/>
  <c r="Q384" i="16" s="1"/>
  <c r="K412" i="27"/>
  <c r="K413" i="27"/>
  <c r="Q386" i="16" s="1"/>
  <c r="K414" i="27"/>
  <c r="K415" i="27"/>
  <c r="Q388" i="16" s="1"/>
  <c r="K416" i="27"/>
  <c r="Q389" i="16" s="1"/>
  <c r="K417" i="27"/>
  <c r="K418" i="27"/>
  <c r="K419" i="27"/>
  <c r="Q236" i="16" s="1"/>
  <c r="K420" i="27"/>
  <c r="K421" i="27"/>
  <c r="Q238" i="16" s="1"/>
  <c r="K422" i="27"/>
  <c r="K423" i="27"/>
  <c r="Q240" i="16" s="1"/>
  <c r="K424" i="27"/>
  <c r="K425" i="27"/>
  <c r="K426" i="27"/>
  <c r="Q216" i="16" s="1"/>
  <c r="K427" i="27"/>
  <c r="K428" i="27"/>
  <c r="Q322" i="16" s="1"/>
  <c r="K429" i="27"/>
  <c r="Q323" i="16" s="1"/>
  <c r="K430" i="27"/>
  <c r="Q324" i="16" s="1"/>
  <c r="K431" i="27"/>
  <c r="Q325" i="16" s="1"/>
  <c r="K432" i="27"/>
  <c r="K433" i="27"/>
  <c r="K434" i="27"/>
  <c r="K435" i="27"/>
  <c r="Q513" i="16" s="1"/>
  <c r="K436" i="27"/>
  <c r="K437" i="27"/>
  <c r="K438" i="27"/>
  <c r="Q516" i="16" s="1"/>
  <c r="K439" i="27"/>
  <c r="K440" i="27"/>
  <c r="K441" i="27"/>
  <c r="K442" i="27"/>
  <c r="K443" i="27"/>
  <c r="K444" i="27"/>
  <c r="K445" i="27"/>
  <c r="K446" i="27"/>
  <c r="K447" i="27"/>
  <c r="K448" i="27"/>
  <c r="K449" i="27"/>
  <c r="K450" i="27"/>
  <c r="Q329" i="16" s="1"/>
  <c r="K451" i="27"/>
  <c r="K452" i="27"/>
  <c r="K453" i="27"/>
  <c r="K454" i="27"/>
  <c r="K455" i="27"/>
  <c r="K456" i="27"/>
  <c r="K457" i="27"/>
  <c r="K458" i="27"/>
  <c r="Q749" i="16" s="1"/>
  <c r="K459" i="27"/>
  <c r="Q750" i="16" s="1"/>
  <c r="K460" i="27"/>
  <c r="K461" i="27"/>
  <c r="Q752" i="16" s="1"/>
  <c r="K462" i="27"/>
  <c r="Q753" i="16" s="1"/>
  <c r="K463" i="27"/>
  <c r="Q754" i="16" s="1"/>
  <c r="K464" i="27"/>
  <c r="K465" i="27"/>
  <c r="Q756" i="16" s="1"/>
  <c r="K466" i="27"/>
  <c r="K467" i="27"/>
  <c r="Q758" i="16" s="1"/>
  <c r="K468" i="27"/>
  <c r="K469" i="27"/>
  <c r="K470" i="27"/>
  <c r="Q929" i="16" s="1"/>
  <c r="K471" i="27"/>
  <c r="K472" i="27"/>
  <c r="K473" i="27"/>
  <c r="Q831" i="16" s="1"/>
  <c r="K474" i="27"/>
  <c r="K475" i="27"/>
  <c r="K476" i="27"/>
  <c r="Q834" i="16" s="1"/>
  <c r="K477" i="27"/>
  <c r="Q931" i="16" s="1"/>
  <c r="K478" i="27"/>
  <c r="K479" i="27"/>
  <c r="K480" i="27"/>
  <c r="K481" i="27"/>
  <c r="Q596" i="16" s="1"/>
  <c r="K482" i="27"/>
  <c r="K483" i="27"/>
  <c r="Q427" i="16" s="1"/>
  <c r="K484" i="27"/>
  <c r="K485" i="27"/>
  <c r="K486" i="27"/>
  <c r="Q430" i="16" s="1"/>
  <c r="K487" i="27"/>
  <c r="K488" i="27"/>
  <c r="Q432" i="16" s="1"/>
  <c r="K489" i="27"/>
  <c r="Q433" i="16" s="1"/>
  <c r="K490" i="27"/>
  <c r="Q434" i="16" s="1"/>
  <c r="K491" i="27"/>
  <c r="Q435" i="16" s="1"/>
  <c r="K492" i="27"/>
  <c r="Q436" i="16" s="1"/>
  <c r="K493" i="27"/>
  <c r="Q437" i="16" s="1"/>
  <c r="K494" i="27"/>
  <c r="K495" i="27"/>
  <c r="K496" i="27"/>
  <c r="Q171" i="16" s="1"/>
  <c r="K497" i="27"/>
  <c r="K498" i="27"/>
  <c r="Q602" i="16" s="1"/>
  <c r="K499" i="27"/>
  <c r="Q131" i="16" s="1"/>
  <c r="K500" i="27"/>
  <c r="Q132" i="16" s="1"/>
  <c r="K501" i="27"/>
  <c r="K502" i="27"/>
  <c r="K503" i="27"/>
  <c r="K504" i="27"/>
  <c r="K505" i="27"/>
  <c r="K506" i="27"/>
  <c r="K507" i="27"/>
  <c r="K508" i="27"/>
  <c r="K509" i="27"/>
  <c r="Q110" i="16" s="1"/>
  <c r="K510" i="27"/>
  <c r="K511" i="27"/>
  <c r="K512" i="27"/>
  <c r="K513" i="27"/>
  <c r="K514" i="27"/>
  <c r="K515" i="27"/>
  <c r="K516" i="27"/>
  <c r="K517" i="27"/>
  <c r="K518" i="27"/>
  <c r="Q440" i="16" s="1"/>
  <c r="K519" i="27"/>
  <c r="K520" i="27"/>
  <c r="Q637" i="16" s="1"/>
  <c r="K521" i="27"/>
  <c r="K522" i="27"/>
  <c r="K523" i="27"/>
  <c r="Q638" i="16" s="1"/>
  <c r="K524" i="27"/>
  <c r="Q639" i="16" s="1"/>
  <c r="K525" i="27"/>
  <c r="K526" i="27"/>
  <c r="K527" i="27"/>
  <c r="K528" i="27"/>
  <c r="K529" i="27"/>
  <c r="K530" i="27"/>
  <c r="K531" i="27"/>
  <c r="K532" i="27"/>
  <c r="K533" i="27"/>
  <c r="K534" i="27"/>
  <c r="K535" i="27"/>
  <c r="K536" i="27"/>
  <c r="K537" i="27"/>
  <c r="K538" i="27"/>
  <c r="K539" i="27"/>
  <c r="K540" i="27"/>
  <c r="K541" i="27"/>
  <c r="K542" i="27"/>
  <c r="K543" i="27"/>
  <c r="K544" i="27"/>
  <c r="K545" i="27"/>
  <c r="K546" i="27"/>
  <c r="K547" i="27"/>
  <c r="K548" i="27"/>
  <c r="K549" i="27"/>
  <c r="K550" i="27"/>
  <c r="K551" i="27"/>
  <c r="K552" i="27"/>
  <c r="K553" i="27"/>
  <c r="K554" i="27"/>
  <c r="K555" i="27"/>
  <c r="K556" i="27"/>
  <c r="K557" i="27"/>
  <c r="K558" i="27"/>
  <c r="K559" i="27"/>
  <c r="K560" i="27"/>
  <c r="K561" i="27"/>
  <c r="K562" i="27"/>
  <c r="K563" i="27"/>
  <c r="K564" i="27"/>
  <c r="K565" i="27"/>
  <c r="K566" i="27"/>
  <c r="K567" i="27"/>
  <c r="K568" i="27"/>
  <c r="K569" i="27"/>
  <c r="K570" i="27"/>
  <c r="K571" i="27"/>
  <c r="K572" i="27"/>
  <c r="K573" i="27"/>
  <c r="K574" i="27"/>
  <c r="K575" i="27"/>
  <c r="K576" i="27"/>
  <c r="K577" i="27"/>
  <c r="K578" i="27"/>
  <c r="K579" i="27"/>
  <c r="K580" i="27"/>
  <c r="K581" i="27"/>
  <c r="K582" i="27"/>
  <c r="K583" i="27"/>
  <c r="K584" i="27"/>
  <c r="K585" i="27"/>
  <c r="K586" i="27"/>
  <c r="K587" i="27"/>
  <c r="K588" i="27"/>
  <c r="K589" i="27"/>
  <c r="K590" i="27"/>
  <c r="K591" i="27"/>
  <c r="K592" i="27"/>
  <c r="K593" i="27"/>
  <c r="K594" i="27"/>
  <c r="K595" i="27"/>
  <c r="K596" i="27"/>
  <c r="Q101" i="16" s="1"/>
  <c r="K597" i="27"/>
  <c r="K598" i="27"/>
  <c r="K599" i="27"/>
  <c r="K600" i="27"/>
  <c r="K601" i="27"/>
  <c r="Q402" i="16" s="1"/>
  <c r="K602" i="27"/>
  <c r="Q403" i="16" s="1"/>
  <c r="K603" i="27"/>
  <c r="Q404" i="16" s="1"/>
  <c r="K604" i="27"/>
  <c r="Q405" i="16" s="1"/>
  <c r="K605" i="27"/>
  <c r="Q406" i="16" s="1"/>
  <c r="K606" i="27"/>
  <c r="Q407" i="16" s="1"/>
  <c r="K607" i="27"/>
  <c r="Q408" i="16" s="1"/>
  <c r="K608" i="27"/>
  <c r="Q409" i="16" s="1"/>
  <c r="K609" i="27"/>
  <c r="Q410" i="16" s="1"/>
  <c r="K610" i="27"/>
  <c r="Q411" i="16" s="1"/>
  <c r="K611" i="27"/>
  <c r="Q412" i="16" s="1"/>
  <c r="K612" i="27"/>
  <c r="K613" i="27"/>
  <c r="K614" i="27"/>
  <c r="Q415" i="16" s="1"/>
  <c r="K615" i="27"/>
  <c r="Q416" i="16" s="1"/>
  <c r="K616" i="27"/>
  <c r="K617" i="27"/>
  <c r="K618" i="27"/>
  <c r="K619" i="27"/>
  <c r="K620" i="27"/>
  <c r="K621" i="27"/>
  <c r="Q419" i="16" s="1"/>
  <c r="K622" i="27"/>
  <c r="K623" i="27"/>
  <c r="K624" i="27"/>
  <c r="Q420" i="16" s="1"/>
  <c r="K625" i="27"/>
  <c r="K626" i="27"/>
  <c r="K627" i="27"/>
  <c r="K628" i="27"/>
  <c r="K629" i="27"/>
  <c r="K630" i="27"/>
  <c r="K631" i="27"/>
  <c r="K632" i="27"/>
  <c r="K633" i="27"/>
  <c r="K634" i="27"/>
  <c r="K635" i="27"/>
  <c r="Q52" i="16" s="1"/>
  <c r="K636" i="27"/>
  <c r="K637" i="27"/>
  <c r="K638" i="27"/>
  <c r="Q55" i="16" s="1"/>
  <c r="K639" i="27"/>
  <c r="Q56" i="16" s="1"/>
  <c r="K640" i="27"/>
  <c r="Q57" i="16" s="1"/>
  <c r="K641" i="27"/>
  <c r="K642" i="27"/>
  <c r="K643" i="27"/>
  <c r="K644" i="27"/>
  <c r="Q274" i="16" s="1"/>
  <c r="K645" i="27"/>
  <c r="Q275" i="16" s="1"/>
  <c r="K646" i="27"/>
  <c r="K647" i="27"/>
  <c r="Q277" i="16" s="1"/>
  <c r="K648" i="27"/>
  <c r="K649" i="27"/>
  <c r="Q371" i="16" s="1"/>
  <c r="K650" i="27"/>
  <c r="K651" i="27"/>
  <c r="Q373" i="16" s="1"/>
  <c r="K652" i="27"/>
  <c r="K653" i="27"/>
  <c r="K654" i="27"/>
  <c r="Q103" i="16" s="1"/>
  <c r="K655" i="27"/>
  <c r="Q104" i="16" s="1"/>
  <c r="K656" i="27"/>
  <c r="Q105" i="16" s="1"/>
  <c r="K657" i="27"/>
  <c r="K658" i="27"/>
  <c r="K659" i="27"/>
  <c r="K660" i="27"/>
  <c r="K661" i="27"/>
  <c r="K662" i="27"/>
  <c r="Q459" i="16" s="1"/>
  <c r="K663" i="27"/>
  <c r="K664" i="27"/>
  <c r="K665" i="27"/>
  <c r="K666" i="27"/>
  <c r="K667" i="27"/>
  <c r="K668" i="27"/>
  <c r="K669" i="27"/>
  <c r="Q669" i="16" s="1"/>
  <c r="K670" i="27"/>
  <c r="Q670" i="16" s="1"/>
  <c r="K671" i="27"/>
  <c r="Q671" i="16" s="1"/>
  <c r="K672" i="27"/>
  <c r="K673" i="27"/>
  <c r="K674" i="27"/>
  <c r="K675" i="27"/>
  <c r="Q793" i="16" s="1"/>
  <c r="K676" i="27"/>
  <c r="Q794" i="16" s="1"/>
  <c r="K677" i="27"/>
  <c r="Q795" i="16" s="1"/>
  <c r="K678" i="27"/>
  <c r="Q796" i="16" s="1"/>
  <c r="K679" i="27"/>
  <c r="Q797" i="16" s="1"/>
  <c r="K680" i="27"/>
  <c r="Q798" i="16" s="1"/>
  <c r="K681" i="27"/>
  <c r="K682" i="27"/>
  <c r="Q800" i="16" s="1"/>
  <c r="K683" i="27"/>
  <c r="Q801" i="16" s="1"/>
  <c r="K684" i="27"/>
  <c r="Q802" i="16" s="1"/>
  <c r="K685" i="27"/>
  <c r="Q803" i="16" s="1"/>
  <c r="K686" i="27"/>
  <c r="Q804" i="16" s="1"/>
  <c r="K687" i="27"/>
  <c r="Q805" i="16" s="1"/>
  <c r="K688" i="27"/>
  <c r="K689" i="27"/>
  <c r="K690" i="27"/>
  <c r="Q808" i="16" s="1"/>
  <c r="K691" i="27"/>
  <c r="K692" i="27"/>
  <c r="Q810" i="16" s="1"/>
  <c r="K693" i="27"/>
  <c r="K694" i="27"/>
  <c r="Q812" i="16" s="1"/>
  <c r="K695" i="27"/>
  <c r="Q813" i="16" s="1"/>
  <c r="K696" i="27"/>
  <c r="Q814" i="16" s="1"/>
  <c r="K697" i="27"/>
  <c r="Q815" i="16" s="1"/>
  <c r="K698" i="27"/>
  <c r="K699" i="27"/>
  <c r="Q817" i="16" s="1"/>
  <c r="K700" i="27"/>
  <c r="K701" i="27"/>
  <c r="K702" i="27"/>
  <c r="Q926" i="16" s="1"/>
  <c r="K703" i="27"/>
  <c r="Q927" i="16" s="1"/>
  <c r="K704" i="27"/>
  <c r="Q928" i="16" s="1"/>
  <c r="K705" i="27"/>
  <c r="K706" i="27"/>
  <c r="K707" i="27"/>
  <c r="K708" i="27"/>
  <c r="K709" i="27"/>
  <c r="K710" i="27"/>
  <c r="K711" i="27"/>
  <c r="K712" i="27"/>
  <c r="Q503" i="16" s="1"/>
  <c r="K713" i="27"/>
  <c r="K714" i="27"/>
  <c r="Q505" i="16" s="1"/>
  <c r="K715" i="27"/>
  <c r="Q506" i="16" s="1"/>
  <c r="K716" i="27"/>
  <c r="K717" i="27"/>
  <c r="K718" i="27"/>
  <c r="K719" i="27"/>
  <c r="Q824" i="16" s="1"/>
  <c r="K720" i="27"/>
  <c r="K721" i="27"/>
  <c r="Q826" i="16" s="1"/>
  <c r="K722" i="27"/>
  <c r="K723" i="27"/>
  <c r="K724" i="27"/>
  <c r="K725" i="27"/>
  <c r="K726" i="27"/>
  <c r="K727" i="27"/>
  <c r="K728" i="27"/>
  <c r="K729" i="27"/>
  <c r="K730" i="27"/>
  <c r="K731" i="27"/>
  <c r="K732" i="27"/>
  <c r="Q603" i="16" s="1"/>
  <c r="K733" i="27"/>
  <c r="K734" i="27"/>
  <c r="K735" i="27"/>
  <c r="Q353" i="16" s="1"/>
  <c r="K736" i="27"/>
  <c r="K737" i="27"/>
  <c r="K738" i="27"/>
  <c r="Q268" i="16" s="1"/>
  <c r="K739" i="27"/>
  <c r="K740" i="27"/>
  <c r="Q269" i="16" s="1"/>
  <c r="K741" i="27"/>
  <c r="Q270" i="16" s="1"/>
  <c r="K742" i="27"/>
  <c r="K743" i="27"/>
  <c r="K744" i="27"/>
  <c r="K745" i="27"/>
  <c r="Q725" i="16" s="1"/>
  <c r="K746" i="27"/>
  <c r="Q726" i="16" s="1"/>
  <c r="K747" i="27"/>
  <c r="K748" i="27"/>
  <c r="Q728" i="16" s="1"/>
  <c r="K749" i="27"/>
  <c r="Q729" i="16" s="1"/>
  <c r="K750" i="27"/>
  <c r="K751" i="27"/>
  <c r="K752" i="27"/>
  <c r="K753" i="27"/>
  <c r="K754" i="27"/>
  <c r="K755" i="27"/>
  <c r="K756" i="27"/>
  <c r="K757" i="27"/>
  <c r="K758" i="27"/>
  <c r="Q115" i="16" s="1"/>
  <c r="K759" i="27"/>
  <c r="K760" i="27"/>
  <c r="K761" i="27"/>
  <c r="K762" i="27"/>
  <c r="Q190" i="16" s="1"/>
  <c r="K763" i="27"/>
  <c r="K764" i="27"/>
  <c r="K765" i="27"/>
  <c r="K766" i="27"/>
  <c r="K767" i="27"/>
  <c r="K768" i="27"/>
  <c r="K769" i="27"/>
  <c r="Q192" i="16" s="1"/>
  <c r="K770" i="27"/>
  <c r="Q193" i="16" s="1"/>
  <c r="K771" i="27"/>
  <c r="Q194" i="16" s="1"/>
  <c r="K772" i="27"/>
  <c r="K773" i="27"/>
  <c r="K774" i="27"/>
  <c r="K775" i="27"/>
  <c r="K776" i="27"/>
  <c r="K777" i="27"/>
  <c r="K778" i="27"/>
  <c r="K779" i="27"/>
  <c r="K780" i="27"/>
  <c r="Q772" i="16" s="1"/>
  <c r="K781" i="27"/>
  <c r="K782" i="27"/>
  <c r="K783" i="27"/>
  <c r="K784" i="27"/>
  <c r="Q744" i="16" s="1"/>
  <c r="K785" i="27"/>
  <c r="K786" i="27"/>
  <c r="K787" i="27"/>
  <c r="K788" i="27"/>
  <c r="K789" i="27"/>
  <c r="K790" i="27"/>
  <c r="K791" i="27"/>
  <c r="K792" i="27"/>
  <c r="K793" i="27"/>
  <c r="K794" i="27"/>
  <c r="Q394" i="16" s="1"/>
  <c r="K795" i="27"/>
  <c r="K796" i="27"/>
  <c r="K797" i="27"/>
  <c r="K798" i="27"/>
  <c r="K799" i="27"/>
  <c r="K800" i="27"/>
  <c r="Q902" i="16" s="1"/>
  <c r="K801" i="27"/>
  <c r="Q903" i="16" s="1"/>
  <c r="K802" i="27"/>
  <c r="K803" i="27"/>
  <c r="Q905" i="16" s="1"/>
  <c r="K804" i="27"/>
  <c r="Q906" i="16" s="1"/>
  <c r="K805" i="27"/>
  <c r="K806" i="27"/>
  <c r="K807" i="27"/>
  <c r="K808" i="27"/>
  <c r="K809" i="27"/>
  <c r="K810" i="27"/>
  <c r="Q739" i="16" s="1"/>
  <c r="K811" i="27"/>
  <c r="K812" i="27"/>
  <c r="Q935" i="16" s="1"/>
  <c r="K813" i="27"/>
  <c r="K814" i="27"/>
  <c r="K815" i="27"/>
  <c r="K816" i="27"/>
  <c r="K817" i="27"/>
  <c r="Q343" i="16" s="1"/>
  <c r="K818" i="27"/>
  <c r="K819" i="27"/>
  <c r="K820" i="27"/>
  <c r="K821" i="27"/>
  <c r="K822" i="27"/>
  <c r="K823" i="27"/>
  <c r="K12" i="27"/>
  <c r="Q257" i="16" s="1"/>
  <c r="K13" i="27"/>
  <c r="K14" i="27"/>
  <c r="Q259" i="16" s="1"/>
  <c r="K15" i="27"/>
  <c r="K16" i="27"/>
  <c r="Q261" i="16" s="1"/>
  <c r="K17" i="27"/>
  <c r="K6" i="27"/>
  <c r="K7" i="27"/>
  <c r="Q252" i="16" s="1"/>
  <c r="K8" i="27"/>
  <c r="K9" i="27"/>
  <c r="Q254" i="16" s="1"/>
  <c r="K10" i="27"/>
  <c r="Q255" i="16" s="1"/>
  <c r="K11" i="27"/>
  <c r="Q256" i="16" s="1"/>
  <c r="K3" i="27"/>
  <c r="K4" i="27"/>
  <c r="Q249" i="16" s="1"/>
  <c r="K5" i="27"/>
  <c r="K2" i="27"/>
  <c r="Q247" i="16" s="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I569" i="12" s="1"/>
  <c r="H570" i="12"/>
  <c r="H571" i="12"/>
  <c r="H572" i="12"/>
  <c r="I572" i="12" s="1"/>
  <c r="H573" i="12"/>
  <c r="H574" i="12"/>
  <c r="H575" i="12"/>
  <c r="I575" i="12" s="1"/>
  <c r="H576" i="12"/>
  <c r="H577" i="12"/>
  <c r="H578" i="12"/>
  <c r="I578" i="12" s="1"/>
  <c r="H579" i="12"/>
  <c r="H580" i="12"/>
  <c r="H581" i="12"/>
  <c r="I581" i="12" s="1"/>
  <c r="H582" i="12"/>
  <c r="H583" i="12"/>
  <c r="H584" i="12"/>
  <c r="I584" i="12" s="1"/>
  <c r="H585" i="12"/>
  <c r="H586" i="12"/>
  <c r="H587" i="12"/>
  <c r="I587" i="12" s="1"/>
  <c r="H588" i="12"/>
  <c r="H589" i="12"/>
  <c r="H590" i="12"/>
  <c r="I590" i="12" s="1"/>
  <c r="H591" i="12"/>
  <c r="H592" i="12"/>
  <c r="H593" i="12"/>
  <c r="I593" i="12" s="1"/>
  <c r="H594" i="12"/>
  <c r="H595" i="12"/>
  <c r="H596" i="12"/>
  <c r="I596" i="12" s="1"/>
  <c r="H597" i="12"/>
  <c r="H598" i="12"/>
  <c r="H599" i="12"/>
  <c r="I599" i="12" s="1"/>
  <c r="H600" i="12"/>
  <c r="H601" i="12"/>
  <c r="H602" i="12"/>
  <c r="I602" i="12" s="1"/>
  <c r="H603" i="12"/>
  <c r="H604" i="12"/>
  <c r="H605" i="12"/>
  <c r="I605" i="12" s="1"/>
  <c r="H606" i="12"/>
  <c r="H607" i="12"/>
  <c r="H608" i="12"/>
  <c r="I608" i="12" s="1"/>
  <c r="H609" i="12"/>
  <c r="H610" i="12"/>
  <c r="H611" i="12"/>
  <c r="I611" i="12" s="1"/>
  <c r="H612" i="12"/>
  <c r="H613" i="12"/>
  <c r="H614" i="12"/>
  <c r="I614" i="12" s="1"/>
  <c r="H615" i="12"/>
  <c r="H616" i="12"/>
  <c r="H617" i="12"/>
  <c r="I617" i="12" s="1"/>
  <c r="H618" i="12"/>
  <c r="H619" i="12"/>
  <c r="H620" i="12"/>
  <c r="I620" i="12" s="1"/>
  <c r="H621" i="12"/>
  <c r="H622" i="12"/>
  <c r="H623" i="12"/>
  <c r="I623" i="12" s="1"/>
  <c r="H624" i="12"/>
  <c r="H625" i="12"/>
  <c r="H626" i="12"/>
  <c r="I626" i="12" s="1"/>
  <c r="H627" i="12"/>
  <c r="H628" i="12"/>
  <c r="H629" i="12"/>
  <c r="I629" i="12" s="1"/>
  <c r="H630" i="12"/>
  <c r="H631" i="12"/>
  <c r="H632" i="12"/>
  <c r="I632" i="12" s="1"/>
  <c r="H633" i="12"/>
  <c r="H634" i="12"/>
  <c r="H635" i="12"/>
  <c r="I635" i="12" s="1"/>
  <c r="H636" i="12"/>
  <c r="H637" i="12"/>
  <c r="H638" i="12"/>
  <c r="I638" i="12" s="1"/>
  <c r="H639" i="12"/>
  <c r="H640" i="12"/>
  <c r="H641" i="12"/>
  <c r="I641" i="12" s="1"/>
  <c r="H642" i="12"/>
  <c r="H643" i="12"/>
  <c r="H644" i="12"/>
  <c r="I644" i="12" s="1"/>
  <c r="H645" i="12"/>
  <c r="H646" i="12"/>
  <c r="H647" i="12"/>
  <c r="I647" i="12" s="1"/>
  <c r="H648" i="12"/>
  <c r="H649" i="12"/>
  <c r="H650" i="12"/>
  <c r="I650" i="12" s="1"/>
  <c r="H651" i="12"/>
  <c r="H652" i="12"/>
  <c r="H653" i="12"/>
  <c r="I653" i="12" s="1"/>
  <c r="H654" i="12"/>
  <c r="H655" i="12"/>
  <c r="H656" i="12"/>
  <c r="I656" i="12" s="1"/>
  <c r="H657" i="12"/>
  <c r="H658" i="12"/>
  <c r="H659" i="12"/>
  <c r="I659" i="12" s="1"/>
  <c r="H660" i="12"/>
  <c r="H661" i="12"/>
  <c r="H662" i="12"/>
  <c r="I662" i="12" s="1"/>
  <c r="H663" i="12"/>
  <c r="H664" i="12"/>
  <c r="H665" i="12"/>
  <c r="I665" i="12" s="1"/>
  <c r="H666" i="12"/>
  <c r="H667" i="12"/>
  <c r="H668" i="12"/>
  <c r="I668" i="12" s="1"/>
  <c r="H669" i="12"/>
  <c r="H670" i="12"/>
  <c r="H671" i="12"/>
  <c r="I671" i="12" s="1"/>
  <c r="H672" i="12"/>
  <c r="H673" i="12"/>
  <c r="H674" i="12"/>
  <c r="I674" i="12" s="1"/>
  <c r="H675" i="12"/>
  <c r="H676" i="12"/>
  <c r="H677" i="12"/>
  <c r="I677" i="12" s="1"/>
  <c r="H678" i="12"/>
  <c r="H679" i="12"/>
  <c r="H680" i="12"/>
  <c r="I680" i="12" s="1"/>
  <c r="H681" i="12"/>
  <c r="H682" i="12"/>
  <c r="H683" i="12"/>
  <c r="I683" i="12" s="1"/>
  <c r="H684" i="12"/>
  <c r="H685" i="12"/>
  <c r="H686" i="12"/>
  <c r="I686" i="12" s="1"/>
  <c r="H687" i="12"/>
  <c r="H688" i="12"/>
  <c r="H689" i="12"/>
  <c r="I689" i="12" s="1"/>
  <c r="H690" i="12"/>
  <c r="H691" i="12"/>
  <c r="H692" i="12"/>
  <c r="I692" i="12" s="1"/>
  <c r="H693" i="12"/>
  <c r="H694" i="12"/>
  <c r="H695" i="12"/>
  <c r="I695" i="12" s="1"/>
  <c r="H696" i="12"/>
  <c r="H697" i="12"/>
  <c r="H698" i="12"/>
  <c r="I698" i="12" s="1"/>
  <c r="H699" i="12"/>
  <c r="H700" i="12"/>
  <c r="H701" i="12"/>
  <c r="I701" i="12" s="1"/>
  <c r="H702" i="12"/>
  <c r="H703" i="12"/>
  <c r="H704" i="12"/>
  <c r="I704" i="12" s="1"/>
  <c r="H705" i="12"/>
  <c r="H706" i="12"/>
  <c r="H707" i="12"/>
  <c r="I707" i="12" s="1"/>
  <c r="H708" i="12"/>
  <c r="I708" i="12" s="1"/>
  <c r="H709" i="12"/>
  <c r="H710" i="12"/>
  <c r="I710" i="12" s="1"/>
  <c r="H711" i="12"/>
  <c r="I711" i="12" s="1"/>
  <c r="H712" i="12"/>
  <c r="H713" i="12"/>
  <c r="I713" i="12" s="1"/>
  <c r="H714" i="12"/>
  <c r="H715" i="12"/>
  <c r="H716" i="12"/>
  <c r="I716" i="12" s="1"/>
  <c r="H717" i="12"/>
  <c r="I717" i="12" s="1"/>
  <c r="H718" i="12"/>
  <c r="H719" i="12"/>
  <c r="I719" i="12" s="1"/>
  <c r="H720" i="12"/>
  <c r="I720" i="12" s="1"/>
  <c r="H721" i="12"/>
  <c r="I721" i="12" s="1"/>
  <c r="H722" i="12"/>
  <c r="I722" i="12" s="1"/>
  <c r="H723" i="12"/>
  <c r="H724" i="12"/>
  <c r="H725" i="12"/>
  <c r="I725" i="12" s="1"/>
  <c r="H726" i="12"/>
  <c r="I726" i="12" s="1"/>
  <c r="H727" i="12"/>
  <c r="I727" i="12" s="1"/>
  <c r="H728" i="12"/>
  <c r="I728" i="12" s="1"/>
  <c r="H729" i="12"/>
  <c r="I729" i="12" s="1"/>
  <c r="H730" i="12"/>
  <c r="I730" i="12" s="1"/>
  <c r="H731" i="12"/>
  <c r="I731" i="12" s="1"/>
  <c r="H732" i="12"/>
  <c r="H733" i="12"/>
  <c r="I733" i="12" s="1"/>
  <c r="H734" i="12"/>
  <c r="I734" i="12" s="1"/>
  <c r="H735" i="12"/>
  <c r="I735" i="12" s="1"/>
  <c r="H736" i="12"/>
  <c r="I736" i="12" s="1"/>
  <c r="H737" i="12"/>
  <c r="I737" i="12" s="1"/>
  <c r="H738" i="12"/>
  <c r="I738" i="12" s="1"/>
  <c r="H739" i="12"/>
  <c r="H740" i="12"/>
  <c r="I740" i="12" s="1"/>
  <c r="H741" i="12"/>
  <c r="H742" i="12"/>
  <c r="I742" i="12" s="1"/>
  <c r="H743" i="12"/>
  <c r="I743" i="12" s="1"/>
  <c r="H744" i="12"/>
  <c r="I744" i="12" s="1"/>
  <c r="H745" i="12"/>
  <c r="H746" i="12"/>
  <c r="I746" i="12" s="1"/>
  <c r="H747" i="12"/>
  <c r="I747" i="12" s="1"/>
  <c r="H748" i="12"/>
  <c r="I748" i="12" s="1"/>
  <c r="H749" i="12"/>
  <c r="I749" i="12" s="1"/>
  <c r="H750" i="12"/>
  <c r="H751" i="12"/>
  <c r="H752" i="12"/>
  <c r="I752" i="12" s="1"/>
  <c r="H753" i="12"/>
  <c r="I753" i="12" s="1"/>
  <c r="H754" i="12"/>
  <c r="I754" i="12" s="1"/>
  <c r="H755" i="12"/>
  <c r="I755" i="12" s="1"/>
  <c r="H756" i="12"/>
  <c r="I756" i="12" s="1"/>
  <c r="H757" i="12"/>
  <c r="I757" i="12" s="1"/>
  <c r="H758" i="12"/>
  <c r="I758" i="12" s="1"/>
  <c r="H759" i="12"/>
  <c r="H760" i="12"/>
  <c r="I760" i="12" s="1"/>
  <c r="H761" i="12"/>
  <c r="I761" i="12" s="1"/>
  <c r="H762" i="12"/>
  <c r="I762" i="12" s="1"/>
  <c r="H763" i="12"/>
  <c r="I763" i="12" s="1"/>
  <c r="H764" i="12"/>
  <c r="I764" i="12" s="1"/>
  <c r="H765" i="12"/>
  <c r="I765" i="12" s="1"/>
  <c r="H766" i="12"/>
  <c r="H767" i="12"/>
  <c r="I767" i="12" s="1"/>
  <c r="H768" i="12"/>
  <c r="H769" i="12"/>
  <c r="I769" i="12" s="1"/>
  <c r="H770" i="12"/>
  <c r="I770" i="12" s="1"/>
  <c r="H771" i="12"/>
  <c r="I771" i="12" s="1"/>
  <c r="H772" i="12"/>
  <c r="H773" i="12"/>
  <c r="I773" i="12" s="1"/>
  <c r="H774" i="12"/>
  <c r="I774" i="12" s="1"/>
  <c r="H775" i="12"/>
  <c r="I775" i="12" s="1"/>
  <c r="H776" i="12"/>
  <c r="I776" i="12" s="1"/>
  <c r="H777" i="12"/>
  <c r="H778" i="12"/>
  <c r="H779" i="12"/>
  <c r="I779" i="12" s="1"/>
  <c r="H780" i="12"/>
  <c r="I780" i="12" s="1"/>
  <c r="H781" i="12"/>
  <c r="I781" i="12" s="1"/>
  <c r="H782" i="12"/>
  <c r="I782" i="12" s="1"/>
  <c r="H783" i="12"/>
  <c r="I783" i="12" s="1"/>
  <c r="H784" i="12"/>
  <c r="I784" i="12" s="1"/>
  <c r="H785" i="12"/>
  <c r="I785" i="12" s="1"/>
  <c r="H786" i="12"/>
  <c r="H787" i="12"/>
  <c r="I787" i="12" s="1"/>
  <c r="H788" i="12"/>
  <c r="I788" i="12" s="1"/>
  <c r="H789" i="12"/>
  <c r="I789" i="12" s="1"/>
  <c r="H790" i="12"/>
  <c r="I790" i="12" s="1"/>
  <c r="H791" i="12"/>
  <c r="I791" i="12" s="1"/>
  <c r="H792" i="12"/>
  <c r="I792" i="12" s="1"/>
  <c r="H793" i="12"/>
  <c r="H794" i="12"/>
  <c r="I794" i="12" s="1"/>
  <c r="H795" i="12"/>
  <c r="H796" i="12"/>
  <c r="I796" i="12" s="1"/>
  <c r="H797" i="12"/>
  <c r="I797" i="12" s="1"/>
  <c r="H798" i="12"/>
  <c r="I798" i="12" s="1"/>
  <c r="H799" i="12"/>
  <c r="H800" i="12"/>
  <c r="I800" i="12" s="1"/>
  <c r="H801" i="12"/>
  <c r="I801" i="12" s="1"/>
  <c r="H802" i="12"/>
  <c r="I802" i="12" s="1"/>
  <c r="H803" i="12"/>
  <c r="I803" i="12" s="1"/>
  <c r="H804" i="12"/>
  <c r="H805" i="12"/>
  <c r="H806" i="12"/>
  <c r="I806" i="12" s="1"/>
  <c r="H807" i="12"/>
  <c r="I807" i="12" s="1"/>
  <c r="H808" i="12"/>
  <c r="I808" i="12" s="1"/>
  <c r="H809" i="12"/>
  <c r="I809" i="12" s="1"/>
  <c r="H810" i="12"/>
  <c r="I810" i="12" s="1"/>
  <c r="H811" i="12"/>
  <c r="I811" i="12" s="1"/>
  <c r="H812" i="12"/>
  <c r="I812" i="12" s="1"/>
  <c r="H813" i="12"/>
  <c r="H814" i="12"/>
  <c r="I814" i="12" s="1"/>
  <c r="H815" i="12"/>
  <c r="I815" i="12" s="1"/>
  <c r="H816" i="12"/>
  <c r="I816" i="12" s="1"/>
  <c r="H817" i="12"/>
  <c r="I817" i="12" s="1"/>
  <c r="H818" i="12"/>
  <c r="I818" i="12" s="1"/>
  <c r="H819" i="12"/>
  <c r="I819" i="12" s="1"/>
  <c r="H820" i="12"/>
  <c r="H821" i="12"/>
  <c r="I821" i="12" s="1"/>
  <c r="H822" i="12"/>
  <c r="I822" i="12" s="1"/>
  <c r="H823" i="12"/>
  <c r="I823" i="12" s="1"/>
  <c r="H824" i="12"/>
  <c r="H825" i="12"/>
  <c r="I825" i="12" s="1"/>
  <c r="H3" i="12"/>
  <c r="I3" i="12" s="1"/>
  <c r="I824" i="12"/>
  <c r="I820" i="12"/>
  <c r="I813" i="12"/>
  <c r="I805" i="12"/>
  <c r="I804" i="12"/>
  <c r="I799" i="12"/>
  <c r="I795" i="12"/>
  <c r="I793" i="12"/>
  <c r="I786" i="12"/>
  <c r="I778" i="12"/>
  <c r="I777" i="12"/>
  <c r="I772" i="12"/>
  <c r="I768" i="12"/>
  <c r="I766" i="12"/>
  <c r="I759" i="12"/>
  <c r="I751" i="12"/>
  <c r="I750" i="12"/>
  <c r="I745" i="12"/>
  <c r="I741" i="12"/>
  <c r="I739" i="12"/>
  <c r="I732" i="12"/>
  <c r="I724" i="12"/>
  <c r="I723" i="12"/>
  <c r="I718" i="12"/>
  <c r="I715" i="12"/>
  <c r="I714" i="12"/>
  <c r="I712" i="12"/>
  <c r="I709" i="12"/>
  <c r="I706" i="12"/>
  <c r="I705" i="12"/>
  <c r="I703" i="12"/>
  <c r="I702" i="12"/>
  <c r="I700" i="12"/>
  <c r="I699" i="12"/>
  <c r="I697" i="12"/>
  <c r="I696" i="12"/>
  <c r="I694" i="12"/>
  <c r="I693" i="12"/>
  <c r="I691" i="12"/>
  <c r="I690" i="12"/>
  <c r="I688" i="12"/>
  <c r="I687" i="12"/>
  <c r="I685" i="12"/>
  <c r="I684" i="12"/>
  <c r="I682" i="12"/>
  <c r="I681" i="12"/>
  <c r="I679" i="12"/>
  <c r="I678" i="12"/>
  <c r="I676" i="12"/>
  <c r="I675" i="12"/>
  <c r="I673" i="12"/>
  <c r="I672" i="12"/>
  <c r="I670" i="12"/>
  <c r="I669" i="12"/>
  <c r="I667" i="12"/>
  <c r="I666" i="12"/>
  <c r="I664" i="12"/>
  <c r="I663" i="12"/>
  <c r="I661" i="12"/>
  <c r="I660" i="12"/>
  <c r="I658" i="12"/>
  <c r="I657" i="12"/>
  <c r="I655" i="12"/>
  <c r="I654" i="12"/>
  <c r="I652" i="12"/>
  <c r="I651" i="12"/>
  <c r="I649" i="12"/>
  <c r="I648" i="12"/>
  <c r="I646" i="12"/>
  <c r="I645" i="12"/>
  <c r="I643" i="12"/>
  <c r="I642" i="12"/>
  <c r="I640" i="12"/>
  <c r="I639" i="12"/>
  <c r="I637" i="12"/>
  <c r="I636" i="12"/>
  <c r="I634" i="12"/>
  <c r="I633" i="12"/>
  <c r="I631" i="12"/>
  <c r="I630" i="12"/>
  <c r="I628" i="12"/>
  <c r="I627" i="12"/>
  <c r="I625" i="12"/>
  <c r="I624" i="12"/>
  <c r="I622" i="12"/>
  <c r="I621" i="12"/>
  <c r="I619" i="12"/>
  <c r="I618" i="12"/>
  <c r="I616" i="12"/>
  <c r="I615" i="12"/>
  <c r="I613" i="12"/>
  <c r="I612" i="12"/>
  <c r="I610" i="12"/>
  <c r="I609" i="12"/>
  <c r="I607" i="12"/>
  <c r="I606" i="12"/>
  <c r="I604" i="12"/>
  <c r="I603" i="12"/>
  <c r="I601" i="12"/>
  <c r="I600" i="12"/>
  <c r="I598" i="12"/>
  <c r="I597" i="12"/>
  <c r="I595" i="12"/>
  <c r="I594" i="12"/>
  <c r="I592" i="12"/>
  <c r="I591" i="12"/>
  <c r="I589" i="12"/>
  <c r="I588" i="12"/>
  <c r="I586" i="12"/>
  <c r="I585" i="12"/>
  <c r="I583" i="12"/>
  <c r="I582" i="12"/>
  <c r="I580" i="12"/>
  <c r="I579" i="12"/>
  <c r="I577" i="12"/>
  <c r="I576" i="12"/>
  <c r="I574" i="12"/>
  <c r="I573" i="12"/>
  <c r="I571" i="12"/>
  <c r="I570" i="12"/>
  <c r="I568" i="12"/>
  <c r="I567" i="12"/>
  <c r="I566" i="12"/>
  <c r="I565" i="12"/>
  <c r="I564" i="12"/>
  <c r="I563" i="12"/>
  <c r="I562" i="12"/>
  <c r="I561" i="12"/>
  <c r="I560" i="12"/>
  <c r="I559" i="12"/>
  <c r="I558" i="12"/>
  <c r="I557" i="12"/>
  <c r="I556" i="12"/>
  <c r="I555" i="12"/>
  <c r="I554" i="12"/>
  <c r="I553" i="12"/>
  <c r="I552" i="12"/>
  <c r="I551" i="12"/>
  <c r="I550" i="12"/>
  <c r="I549" i="12"/>
  <c r="I548" i="12"/>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AU10" i="14" l="1"/>
  <c r="AU12" i="14"/>
  <c r="AT12" i="14"/>
  <c r="AT10" i="14"/>
  <c r="Q250" i="16"/>
  <c r="Q693" i="16"/>
  <c r="P77" i="17"/>
  <c r="Q253" i="16"/>
  <c r="P183" i="17"/>
  <c r="Q694" i="16"/>
  <c r="Q483" i="16"/>
  <c r="P150" i="17"/>
  <c r="Q585" i="16"/>
  <c r="P31" i="17"/>
  <c r="Q94" i="16"/>
  <c r="Q582" i="16"/>
  <c r="P158" i="17"/>
  <c r="Q611" i="16"/>
  <c r="P231" i="17"/>
  <c r="Q740" i="16"/>
  <c r="Q597" i="16"/>
  <c r="Q609" i="16"/>
  <c r="P7" i="17"/>
  <c r="Q9" i="16"/>
  <c r="P33" i="17"/>
  <c r="Q100" i="16"/>
  <c r="Q397" i="16"/>
  <c r="Q907" i="16"/>
  <c r="P225" i="17"/>
  <c r="Q904" i="16"/>
  <c r="P182" i="17"/>
  <c r="Q658" i="16"/>
  <c r="Q692" i="16"/>
  <c r="Q765" i="16"/>
  <c r="P105" i="17"/>
  <c r="Q396" i="16"/>
  <c r="Q901" i="16"/>
  <c r="Q99" i="16"/>
  <c r="Q393" i="16"/>
  <c r="Q8" i="16"/>
  <c r="Q129" i="16"/>
  <c r="P173" i="17"/>
  <c r="Q202" i="16"/>
  <c r="Q656" i="16"/>
  <c r="Q391" i="16"/>
  <c r="Q773" i="16"/>
  <c r="Q667" i="16"/>
  <c r="Q770" i="16"/>
  <c r="P19" i="17"/>
  <c r="Q7" i="16"/>
  <c r="Q50" i="16"/>
  <c r="Q336" i="16"/>
  <c r="Q399" i="16"/>
  <c r="Q120" i="16"/>
  <c r="Q510" i="16"/>
  <c r="Q828" i="16"/>
  <c r="P59" i="17"/>
  <c r="Q191" i="16"/>
  <c r="Q361" i="16"/>
  <c r="Q451" i="16"/>
  <c r="P40" i="17"/>
  <c r="Q335" i="16"/>
  <c r="Q350" i="16"/>
  <c r="Q117" i="16"/>
  <c r="P97" i="17"/>
  <c r="Q266" i="16"/>
  <c r="Q360" i="16"/>
  <c r="P201" i="17"/>
  <c r="Q545" i="16"/>
  <c r="Q776" i="16"/>
  <c r="P187" i="17"/>
  <c r="Q271" i="16"/>
  <c r="Q722" i="16"/>
  <c r="Q267" i="16"/>
  <c r="Q721" i="16"/>
  <c r="P156" i="17"/>
  <c r="Q604" i="16"/>
  <c r="Q357" i="16"/>
  <c r="Q508" i="16"/>
  <c r="Q823" i="16"/>
  <c r="P144" i="17"/>
  <c r="Q573" i="16"/>
  <c r="P210" i="17"/>
  <c r="Q818" i="16"/>
  <c r="Q464" i="16"/>
  <c r="Q809" i="16"/>
  <c r="P207" i="17"/>
  <c r="Q806" i="16"/>
  <c r="P176" i="17"/>
  <c r="Q673" i="16"/>
  <c r="P157" i="17"/>
  <c r="Q107" i="16"/>
  <c r="Q791" i="16"/>
  <c r="Q606" i="16"/>
  <c r="P122" i="17"/>
  <c r="Q424" i="16"/>
  <c r="Q461" i="16"/>
  <c r="P120" i="17"/>
  <c r="Q458" i="16"/>
  <c r="P110" i="17"/>
  <c r="Q422" i="16"/>
  <c r="Q456" i="16"/>
  <c r="P11" i="17"/>
  <c r="Q21" i="16"/>
  <c r="P82" i="17"/>
  <c r="Q276" i="16"/>
  <c r="Q370" i="16"/>
  <c r="P21" i="17"/>
  <c r="Q54" i="16"/>
  <c r="Q26" i="16"/>
  <c r="Q417" i="16"/>
  <c r="P108" i="17"/>
  <c r="Q414" i="16"/>
  <c r="P168" i="17"/>
  <c r="Q641" i="16"/>
  <c r="P216" i="17"/>
  <c r="Q857" i="16"/>
  <c r="P93" i="17"/>
  <c r="Q349" i="16"/>
  <c r="P38" i="17"/>
  <c r="Q112" i="16"/>
  <c r="P36" i="17"/>
  <c r="Q109" i="16"/>
  <c r="Q114" i="16"/>
  <c r="Q167" i="16"/>
  <c r="Q632" i="16"/>
  <c r="P111" i="17"/>
  <c r="Q425" i="16"/>
  <c r="Q438" i="16"/>
  <c r="P114" i="17"/>
  <c r="Q431" i="16"/>
  <c r="P112" i="17"/>
  <c r="Q428" i="16"/>
  <c r="Q38" i="16"/>
  <c r="P230" i="17"/>
  <c r="Q835" i="16"/>
  <c r="Q789" i="16"/>
  <c r="P213" i="17"/>
  <c r="Q833" i="16"/>
  <c r="Q332" i="16"/>
  <c r="Q736" i="16"/>
  <c r="Q593" i="16"/>
  <c r="P224" i="17"/>
  <c r="Q759" i="16"/>
  <c r="P195" i="17"/>
  <c r="Q757" i="16"/>
  <c r="Q331" i="16"/>
  <c r="Q751" i="16"/>
  <c r="P193" i="17"/>
  <c r="Q748" i="16"/>
  <c r="P99" i="17"/>
  <c r="Q366" i="16"/>
  <c r="Q734" i="16"/>
  <c r="P88" i="17"/>
  <c r="Q330" i="16"/>
  <c r="P41" i="17"/>
  <c r="Q121" i="16"/>
  <c r="P204" i="17"/>
  <c r="Q784" i="16"/>
  <c r="Q518" i="16"/>
  <c r="Q788" i="16"/>
  <c r="P43" i="17"/>
  <c r="Q91" i="16"/>
  <c r="Q126" i="16"/>
  <c r="Q781" i="16"/>
  <c r="P141" i="17"/>
  <c r="Q89" i="16"/>
  <c r="Q543" i="16"/>
  <c r="P27" i="17"/>
  <c r="P134" i="17"/>
  <c r="Q82" i="16"/>
  <c r="Q514" i="16"/>
  <c r="Q648" i="16"/>
  <c r="P132" i="17"/>
  <c r="Q511" i="16"/>
  <c r="Q321" i="16"/>
  <c r="Q919" i="16"/>
  <c r="P106" i="17"/>
  <c r="Q398" i="16"/>
  <c r="P70" i="17"/>
  <c r="Q235" i="16"/>
  <c r="Q334" i="16"/>
  <c r="Q47" i="16"/>
  <c r="Q385" i="16"/>
  <c r="Q376" i="16"/>
  <c r="Q767" i="16"/>
  <c r="P57" i="17"/>
  <c r="Q179" i="16"/>
  <c r="P86" i="17"/>
  <c r="Q308" i="16"/>
  <c r="Q285" i="16"/>
  <c r="Q173" i="16"/>
  <c r="Q847" i="16"/>
  <c r="Q526" i="16"/>
  <c r="Q489" i="16"/>
  <c r="P136" i="17"/>
  <c r="Q523" i="16"/>
  <c r="P174" i="17"/>
  <c r="Q375" i="16"/>
  <c r="Q665" i="16"/>
  <c r="Q766" i="16"/>
  <c r="Q662" i="16"/>
  <c r="Q215" i="16"/>
  <c r="Q196" i="16"/>
  <c r="Q659" i="16"/>
  <c r="P64" i="17"/>
  <c r="Q207" i="16"/>
  <c r="Q165" i="16"/>
  <c r="Q731" i="16"/>
  <c r="P227" i="17"/>
  <c r="Q45" i="16"/>
  <c r="Q913" i="16"/>
  <c r="Q97" i="16"/>
  <c r="P172" i="17"/>
  <c r="Q651" i="16"/>
  <c r="P32" i="17"/>
  <c r="Q95" i="16"/>
  <c r="Q649" i="16"/>
  <c r="Q11" i="16"/>
  <c r="Q227" i="16"/>
  <c r="Q224" i="16"/>
  <c r="Q488" i="16"/>
  <c r="P179" i="17"/>
  <c r="Q76" i="16"/>
  <c r="Q682" i="16"/>
  <c r="P125" i="17"/>
  <c r="Q480" i="16"/>
  <c r="P124" i="17"/>
  <c r="Q474" i="16"/>
  <c r="Q87" i="16"/>
  <c r="Q221" i="16"/>
  <c r="Q328" i="16"/>
  <c r="Q72" i="16"/>
  <c r="Q219" i="16"/>
  <c r="P25" i="17"/>
  <c r="Q69" i="16"/>
  <c r="P13" i="17"/>
  <c r="Q24" i="16"/>
  <c r="Q465" i="16"/>
  <c r="P87" i="17"/>
  <c r="Q17" i="16"/>
  <c r="Q326" i="16"/>
  <c r="Q243" i="16"/>
  <c r="P161" i="17"/>
  <c r="Q155" i="16"/>
  <c r="Q626" i="16"/>
  <c r="P160" i="17"/>
  <c r="Q616" i="16"/>
  <c r="P139" i="17"/>
  <c r="Q536" i="16"/>
  <c r="Q151" i="16"/>
  <c r="P127" i="17"/>
  <c r="Q497" i="16"/>
  <c r="Q645" i="16"/>
  <c r="Q145" i="16"/>
  <c r="Q494" i="16"/>
  <c r="P47" i="17"/>
  <c r="Q142" i="16"/>
  <c r="Q139" i="16"/>
  <c r="Q33" i="16"/>
  <c r="P15" i="17"/>
  <c r="Q29" i="16"/>
  <c r="P115" i="17"/>
  <c r="Q443" i="16"/>
  <c r="Q531" i="16"/>
  <c r="P218" i="17"/>
  <c r="Q869" i="16"/>
  <c r="Q865" i="16"/>
  <c r="Q558" i="16"/>
  <c r="Q887" i="16"/>
  <c r="Q552" i="16"/>
  <c r="Q492" i="16"/>
  <c r="Q546" i="16"/>
  <c r="P184" i="17"/>
  <c r="Q696" i="16"/>
  <c r="Q932" i="16"/>
  <c r="Q900" i="16"/>
  <c r="Q891" i="16"/>
  <c r="Q882" i="16"/>
  <c r="Q864" i="16"/>
  <c r="Q855" i="16"/>
  <c r="P78" i="17"/>
  <c r="Q258" i="16"/>
  <c r="P149" i="17"/>
  <c r="Q346" i="16"/>
  <c r="Q584" i="16"/>
  <c r="Q719" i="16"/>
  <c r="P28" i="17"/>
  <c r="Q84" i="16"/>
  <c r="Q362" i="16"/>
  <c r="Q600" i="16"/>
  <c r="P91" i="17"/>
  <c r="Q342" i="16"/>
  <c r="Q613" i="16"/>
  <c r="P154" i="17"/>
  <c r="Q83" i="16"/>
  <c r="Q610" i="16"/>
  <c r="Q599" i="16"/>
  <c r="P167" i="17"/>
  <c r="Q93" i="16"/>
  <c r="Q908" i="16"/>
  <c r="Q636" i="16"/>
  <c r="Q687" i="16"/>
  <c r="P197" i="17"/>
  <c r="Q691" i="16"/>
  <c r="Q764" i="16"/>
  <c r="Q884" i="16"/>
  <c r="P104" i="17"/>
  <c r="Q395" i="16"/>
  <c r="P42" i="17"/>
  <c r="Q124" i="16"/>
  <c r="Q338" i="16"/>
  <c r="P221" i="17"/>
  <c r="Q392" i="16"/>
  <c r="Q883" i="16"/>
  <c r="Q689" i="16"/>
  <c r="P63" i="17"/>
  <c r="Q201" i="16"/>
  <c r="Q688" i="16"/>
  <c r="Q745" i="16"/>
  <c r="P192" i="17"/>
  <c r="Q743" i="16"/>
  <c r="P198" i="17"/>
  <c r="Q769" i="16"/>
  <c r="P6" i="17"/>
  <c r="Q49" i="16"/>
  <c r="Q829" i="16"/>
  <c r="Q453" i="16"/>
  <c r="P39" i="17"/>
  <c r="Q116" i="16"/>
  <c r="P69" i="17"/>
  <c r="Q231" i="16"/>
  <c r="Q686" i="16"/>
  <c r="Q359" i="16"/>
  <c r="Q265" i="16"/>
  <c r="P142" i="17"/>
  <c r="Q544" i="16"/>
  <c r="Q605" i="16"/>
  <c r="P188" i="17"/>
  <c r="Q727" i="16"/>
  <c r="Q273" i="16"/>
  <c r="Q724" i="16"/>
  <c r="P117" i="17"/>
  <c r="Q189" i="16"/>
  <c r="Q449" i="16"/>
  <c r="Q509" i="16"/>
  <c r="Q447" i="16"/>
  <c r="Q825" i="16"/>
  <c r="P211" i="17"/>
  <c r="Q822" i="16"/>
  <c r="Q502" i="16"/>
  <c r="Q821" i="16"/>
  <c r="P100" i="17"/>
  <c r="Q369" i="16"/>
  <c r="Q572" i="16"/>
  <c r="P229" i="17"/>
  <c r="Q820" i="16"/>
  <c r="P209" i="17"/>
  <c r="Q811" i="16"/>
  <c r="Q836" i="16"/>
  <c r="P206" i="17"/>
  <c r="Q799" i="16"/>
  <c r="P175" i="17"/>
  <c r="Q672" i="16"/>
  <c r="Q580" i="16"/>
  <c r="Q668" i="16"/>
  <c r="Q462" i="16"/>
  <c r="P121" i="17"/>
  <c r="Q460" i="16"/>
  <c r="Q578" i="16"/>
  <c r="Q457" i="16"/>
  <c r="Q790" i="16"/>
  <c r="P34" i="17"/>
  <c r="Q106" i="16"/>
  <c r="Q163" i="16"/>
  <c r="Q278" i="16"/>
  <c r="P20" i="17"/>
  <c r="Q53" i="16"/>
  <c r="P107" i="17"/>
  <c r="Q413" i="16"/>
  <c r="Q20" i="16"/>
  <c r="Q640" i="16"/>
  <c r="P147" i="17"/>
  <c r="Q576" i="16"/>
  <c r="P66" i="17"/>
  <c r="Q217" i="16"/>
  <c r="P37" i="17"/>
  <c r="Q111" i="16"/>
  <c r="P35" i="17"/>
  <c r="Q108" i="16"/>
  <c r="P83" i="17"/>
  <c r="Q172" i="16"/>
  <c r="Q348" i="16"/>
  <c r="Q280" i="16"/>
  <c r="Q439" i="16"/>
  <c r="P45" i="17"/>
  <c r="Q133" i="16"/>
  <c r="Q113" i="16"/>
  <c r="Q170" i="16"/>
  <c r="P153" i="17"/>
  <c r="Q77" i="16"/>
  <c r="Q595" i="16"/>
  <c r="P212" i="17"/>
  <c r="Q832" i="16"/>
  <c r="P190" i="17"/>
  <c r="Q368" i="16"/>
  <c r="Q592" i="16"/>
  <c r="Q735" i="16"/>
  <c r="P223" i="17"/>
  <c r="Q19" i="16"/>
  <c r="Q122" i="16"/>
  <c r="Q899" i="16"/>
  <c r="P129" i="17"/>
  <c r="Q785" i="16"/>
  <c r="Q501" i="16"/>
  <c r="Q747" i="16"/>
  <c r="P98" i="17"/>
  <c r="Q365" i="16"/>
  <c r="Q746" i="16"/>
  <c r="P10" i="17"/>
  <c r="Q18" i="16"/>
  <c r="Q500" i="16"/>
  <c r="Q896" i="16"/>
  <c r="P90" i="17"/>
  <c r="Q128" i="16"/>
  <c r="Q341" i="16"/>
  <c r="Q517" i="16"/>
  <c r="Q644" i="16"/>
  <c r="Q783" i="16"/>
  <c r="P170" i="17"/>
  <c r="Q125" i="16"/>
  <c r="Q643" i="16"/>
  <c r="Q635" i="16"/>
  <c r="P23" i="17"/>
  <c r="Q59" i="16"/>
  <c r="P71" i="17"/>
  <c r="Q237" i="16"/>
  <c r="Q234" i="16"/>
  <c r="Q390" i="16"/>
  <c r="P103" i="17"/>
  <c r="Q387" i="16"/>
  <c r="P55" i="17"/>
  <c r="Q175" i="16"/>
  <c r="Q46" i="16"/>
  <c r="Q313" i="16"/>
  <c r="P85" i="17"/>
  <c r="Q301" i="16"/>
  <c r="Q286" i="16"/>
  <c r="Q849" i="16"/>
  <c r="Q284" i="16"/>
  <c r="Q846" i="16"/>
  <c r="P96" i="17"/>
  <c r="P196" i="17"/>
  <c r="P214" i="17"/>
  <c r="P68" i="17"/>
  <c r="P202" i="17"/>
  <c r="Q230" i="16"/>
  <c r="Q356" i="16"/>
  <c r="Q760" i="16"/>
  <c r="Q780" i="16"/>
  <c r="Q840" i="16"/>
  <c r="P220" i="17"/>
  <c r="Q629" i="16"/>
  <c r="Q881" i="16"/>
  <c r="Q522" i="16"/>
  <c r="P162" i="17"/>
  <c r="Q25" i="16"/>
  <c r="Q628" i="16"/>
  <c r="Q374" i="16"/>
  <c r="Q661" i="16"/>
  <c r="P60" i="17"/>
  <c r="Q195" i="16"/>
  <c r="P65" i="17"/>
  <c r="Q209" i="16"/>
  <c r="Q166" i="16"/>
  <c r="Q733" i="16"/>
  <c r="P228" i="17"/>
  <c r="Q922" i="16"/>
  <c r="P18" i="17"/>
  <c r="Q42" i="16"/>
  <c r="Q838" i="16"/>
  <c r="Q910" i="16"/>
  <c r="Q39" i="16"/>
  <c r="Q282" i="16"/>
  <c r="P74" i="17"/>
  <c r="Q327" i="16"/>
  <c r="Q244" i="16"/>
  <c r="Q98" i="16"/>
  <c r="Q653" i="16"/>
  <c r="P8" i="17"/>
  <c r="Q13" i="16"/>
  <c r="Q229" i="16"/>
  <c r="P67" i="17"/>
  <c r="Q226" i="16"/>
  <c r="Q223" i="16"/>
  <c r="Q487" i="16"/>
  <c r="Q837" i="16"/>
  <c r="P178" i="17"/>
  <c r="Q681" i="16"/>
  <c r="Q401" i="16"/>
  <c r="Q678" i="16"/>
  <c r="P152" i="17"/>
  <c r="Q222" i="16"/>
  <c r="Q590" i="16"/>
  <c r="Q472" i="16"/>
  <c r="Q482" i="16"/>
  <c r="Q476" i="16"/>
  <c r="Q521" i="16"/>
  <c r="P29" i="17"/>
  <c r="Q74" i="16"/>
  <c r="Q86" i="16"/>
  <c r="Q220" i="16"/>
  <c r="Q85" i="16"/>
  <c r="Q71" i="16"/>
  <c r="P24" i="17"/>
  <c r="Q65" i="16"/>
  <c r="Q154" i="16"/>
  <c r="Q622" i="16"/>
  <c r="Q617" i="16"/>
  <c r="Q153" i="16"/>
  <c r="Q620" i="16"/>
  <c r="Q615" i="16"/>
  <c r="Q35" i="16"/>
  <c r="Q538" i="16"/>
  <c r="Q446" i="16"/>
  <c r="P138" i="17"/>
  <c r="Q535" i="16"/>
  <c r="P48" i="17"/>
  <c r="Q144" i="16"/>
  <c r="Q32" i="16"/>
  <c r="Q80" i="16"/>
  <c r="Q534" i="16"/>
  <c r="Q31" i="16"/>
  <c r="Q532" i="16"/>
  <c r="Q28" i="16"/>
  <c r="Q134" i="16"/>
  <c r="P217" i="17"/>
  <c r="Q614" i="16"/>
  <c r="Q860" i="16"/>
  <c r="Q893" i="16"/>
  <c r="Q571" i="16"/>
  <c r="Q871" i="16"/>
  <c r="P143" i="17"/>
  <c r="Q568" i="16"/>
  <c r="Q565" i="16"/>
  <c r="Q866" i="16"/>
  <c r="Q548" i="16"/>
  <c r="Q863" i="16"/>
  <c r="P185" i="17"/>
  <c r="Q710" i="16"/>
  <c r="Q263" i="16"/>
  <c r="Q707" i="16"/>
  <c r="Q262" i="16"/>
  <c r="Q695" i="16"/>
  <c r="Q934" i="16"/>
  <c r="Q924" i="16"/>
  <c r="Q897" i="16"/>
  <c r="Q861" i="16"/>
  <c r="P75" i="17"/>
  <c r="Q248" i="16"/>
  <c r="P76" i="17"/>
  <c r="Q251" i="16"/>
  <c r="P79" i="17"/>
  <c r="Q260" i="16"/>
  <c r="Q345" i="16"/>
  <c r="Q583" i="16"/>
  <c r="P92" i="17"/>
  <c r="Q344" i="16"/>
  <c r="P159" i="17"/>
  <c r="Q612" i="16"/>
  <c r="Q741" i="16"/>
  <c r="P61" i="17"/>
  <c r="Q10" i="16"/>
  <c r="Q198" i="16"/>
  <c r="Q598" i="16"/>
  <c r="P191" i="17"/>
  <c r="Q738" i="16"/>
  <c r="P84" i="17"/>
  <c r="Q281" i="16"/>
  <c r="P181" i="17"/>
  <c r="Q763" i="16"/>
  <c r="Q690" i="16"/>
  <c r="P44" i="17"/>
  <c r="Q130" i="16"/>
  <c r="Q123" i="16"/>
  <c r="Q762" i="16"/>
  <c r="Q203" i="16"/>
  <c r="Q657" i="16"/>
  <c r="P200" i="17"/>
  <c r="P62" i="17"/>
  <c r="Q200" i="16"/>
  <c r="Q775" i="16"/>
  <c r="Q51" i="16"/>
  <c r="Q742" i="16"/>
  <c r="Q774" i="16"/>
  <c r="P199" i="17"/>
  <c r="Q761" i="16"/>
  <c r="Q771" i="16"/>
  <c r="Q199" i="16"/>
  <c r="Q768" i="16"/>
  <c r="P89" i="17"/>
  <c r="Q48" i="16"/>
  <c r="Q337" i="16"/>
  <c r="Q400" i="16"/>
  <c r="P118" i="17"/>
  <c r="Q452" i="16"/>
  <c r="P94" i="17"/>
  <c r="Q119" i="16"/>
  <c r="Q351" i="16"/>
  <c r="Q232" i="16"/>
  <c r="P165" i="17"/>
  <c r="Q118" i="16"/>
  <c r="Q450" i="16"/>
  <c r="Q633" i="16"/>
  <c r="P180" i="17"/>
  <c r="Q685" i="16"/>
  <c r="P80" i="17"/>
  <c r="Q264" i="16"/>
  <c r="Q358" i="16"/>
  <c r="Q581" i="16"/>
  <c r="Q777" i="16"/>
  <c r="P81" i="17"/>
  <c r="Q272" i="16"/>
  <c r="Q723" i="16"/>
  <c r="P95" i="17"/>
  <c r="Q352" i="16"/>
  <c r="P116" i="17"/>
  <c r="Q448" i="16"/>
  <c r="Q827" i="16"/>
  <c r="P131" i="17"/>
  <c r="Q507" i="16"/>
  <c r="P130" i="17"/>
  <c r="Q504" i="16"/>
  <c r="P145" i="17"/>
  <c r="Q574" i="16"/>
  <c r="Q925" i="16"/>
  <c r="Q608" i="16"/>
  <c r="Q819" i="16"/>
  <c r="Q923" i="16"/>
  <c r="Q816" i="16"/>
  <c r="P208" i="17"/>
  <c r="Q807" i="16"/>
  <c r="P205" i="17"/>
  <c r="Q792" i="16"/>
  <c r="Q463" i="16"/>
  <c r="Q607" i="16"/>
  <c r="P148" i="17"/>
  <c r="Q579" i="16"/>
  <c r="Q577" i="16"/>
  <c r="Q423" i="16"/>
  <c r="Q102" i="16"/>
  <c r="Q421" i="16"/>
  <c r="Q684" i="16"/>
  <c r="P101" i="17"/>
  <c r="Q279" i="16"/>
  <c r="Q372" i="16"/>
  <c r="P22" i="17"/>
  <c r="Q58" i="16"/>
  <c r="P109" i="17"/>
  <c r="Q418" i="16"/>
  <c r="P14" i="17"/>
  <c r="Q27" i="16"/>
  <c r="P169" i="17"/>
  <c r="Q642" i="16"/>
  <c r="P146" i="17"/>
  <c r="Q218" i="16"/>
  <c r="Q575" i="16"/>
  <c r="P50" i="17"/>
  <c r="Q161" i="16"/>
  <c r="Q856" i="16"/>
  <c r="P53" i="17"/>
  <c r="Q168" i="16"/>
  <c r="P51" i="17"/>
  <c r="Q162" i="16"/>
  <c r="Q426" i="16"/>
  <c r="P155" i="17"/>
  <c r="Q241" i="16"/>
  <c r="Q601" i="16"/>
  <c r="P54" i="17"/>
  <c r="Q169" i="16"/>
  <c r="P113" i="17"/>
  <c r="Q429" i="16"/>
  <c r="P30" i="17"/>
  <c r="P140" i="17"/>
  <c r="Q92" i="16"/>
  <c r="Q542" i="16"/>
  <c r="Q333" i="16"/>
  <c r="Q737" i="16"/>
  <c r="Q594" i="16"/>
  <c r="P16" i="17"/>
  <c r="Q37" i="16"/>
  <c r="Q830" i="16"/>
  <c r="P194" i="17"/>
  <c r="Q898" i="16"/>
  <c r="Q755" i="16"/>
  <c r="P119" i="17"/>
  <c r="Q36" i="16"/>
  <c r="Q367" i="16"/>
  <c r="Q455" i="16"/>
  <c r="Q364" i="16"/>
  <c r="Q454" i="16"/>
  <c r="P73" i="17"/>
  <c r="Q242" i="16"/>
  <c r="Q363" i="16"/>
  <c r="Q541" i="16"/>
  <c r="P164" i="17"/>
  <c r="Q60" i="16"/>
  <c r="Q631" i="16"/>
  <c r="Q519" i="16"/>
  <c r="Q127" i="16"/>
  <c r="P203" i="17"/>
  <c r="Q340" i="16"/>
  <c r="Q787" i="16"/>
  <c r="Q782" i="16"/>
  <c r="P166" i="17"/>
  <c r="Q90" i="16"/>
  <c r="Q634" i="16"/>
  <c r="P135" i="17"/>
  <c r="Q339" i="16"/>
  <c r="Q515" i="16"/>
  <c r="Q786" i="16"/>
  <c r="P133" i="17"/>
  <c r="Q512" i="16"/>
  <c r="P163" i="17"/>
  <c r="Q630" i="16"/>
  <c r="P72" i="17"/>
  <c r="Q239" i="16"/>
  <c r="P102" i="17"/>
  <c r="Q188" i="16"/>
  <c r="Q377" i="16"/>
  <c r="Q666" i="16"/>
  <c r="P58" i="17"/>
  <c r="Q233" i="16"/>
  <c r="Q180" i="16"/>
  <c r="P56" i="17"/>
  <c r="Q177" i="16"/>
  <c r="Q283" i="16"/>
  <c r="Q845" i="16"/>
  <c r="P137" i="17"/>
  <c r="Q527" i="16"/>
  <c r="Q197" i="16"/>
  <c r="Q660" i="16"/>
  <c r="P189" i="17"/>
  <c r="Q732" i="16"/>
  <c r="Q44" i="16"/>
  <c r="P226" i="17"/>
  <c r="Q911" i="16"/>
  <c r="P17" i="17"/>
  <c r="Q41" i="16"/>
  <c r="P52" i="17"/>
  <c r="Q246" i="16"/>
  <c r="Q164" i="16"/>
  <c r="Q730" i="16"/>
  <c r="P9" i="17"/>
  <c r="Q15" i="16"/>
  <c r="Q88" i="16"/>
  <c r="Q12" i="16"/>
  <c r="Q228" i="16"/>
  <c r="P177" i="17"/>
  <c r="Q677" i="16"/>
  <c r="P151" i="17"/>
  <c r="Q75" i="16"/>
  <c r="Q589" i="16"/>
  <c r="P123" i="17"/>
  <c r="Q466" i="16"/>
  <c r="Q64" i="16"/>
  <c r="Q587" i="16"/>
  <c r="P12" i="17"/>
  <c r="Q22" i="16"/>
  <c r="Q520" i="16"/>
  <c r="P171" i="17"/>
  <c r="Q499" i="16"/>
  <c r="Q647" i="16"/>
  <c r="Q895" i="16"/>
  <c r="Q624" i="16"/>
  <c r="Q152" i="16"/>
  <c r="P128" i="17"/>
  <c r="Q646" i="16"/>
  <c r="Q498" i="16"/>
  <c r="Q81" i="16"/>
  <c r="Q150" i="16"/>
  <c r="Q146" i="16"/>
  <c r="Q495" i="16"/>
  <c r="P46" i="17"/>
  <c r="Q34" i="16"/>
  <c r="Q140" i="16"/>
  <c r="Q619" i="16"/>
  <c r="P26" i="17"/>
  <c r="Q79" i="16"/>
  <c r="Q533" i="16"/>
  <c r="Q30" i="16"/>
  <c r="Q135" i="16"/>
  <c r="Q530" i="16"/>
  <c r="Q441" i="16"/>
  <c r="P219" i="17"/>
  <c r="Q859" i="16"/>
  <c r="Q892" i="16"/>
  <c r="Q570" i="16"/>
  <c r="P222" i="17"/>
  <c r="Q889" i="16"/>
  <c r="Q618" i="16"/>
  <c r="Q493" i="16"/>
  <c r="Q547" i="16"/>
  <c r="Q886" i="16"/>
  <c r="P126" i="17"/>
  <c r="Q490" i="16"/>
  <c r="Q779" i="16"/>
  <c r="P49" i="17"/>
  <c r="Q158" i="16"/>
  <c r="Q936" i="16"/>
  <c r="Q933" i="16"/>
  <c r="Q930" i="16"/>
  <c r="Q894" i="16"/>
  <c r="Q885" i="16"/>
  <c r="Q867" i="16"/>
  <c r="Q858" i="16"/>
  <c r="AU11" i="14" l="1"/>
  <c r="AU13" i="14"/>
  <c r="AJ9" i="14"/>
  <c r="AH7" i="14"/>
  <c r="AG10" i="14"/>
  <c r="AJ10" i="14"/>
  <c r="AH8" i="14"/>
  <c r="AG6" i="14"/>
  <c r="AJ6" i="14"/>
  <c r="AH9" i="14"/>
  <c r="AI7" i="14"/>
  <c r="AH10" i="14"/>
  <c r="AI8" i="14"/>
  <c r="AH6" i="14"/>
  <c r="AG9" i="14"/>
  <c r="AI9" i="14"/>
  <c r="AG7" i="14"/>
  <c r="AJ7" i="14"/>
  <c r="AI10" i="14"/>
  <c r="AG8" i="14"/>
  <c r="AI6" i="14"/>
  <c r="AJ8" i="14"/>
  <c r="AT11" i="14"/>
  <c r="AT13" i="14"/>
  <c r="AI11" i="14" l="1"/>
  <c r="AJ11" i="14"/>
  <c r="AH11" i="14"/>
  <c r="AG11" i="14"/>
  <c r="U46" i="14"/>
  <c r="U44" i="14"/>
  <c r="T46" i="14"/>
  <c r="T44" i="14"/>
  <c r="W33" i="14"/>
  <c r="W32" i="14"/>
  <c r="U33" i="14"/>
  <c r="U22" i="14"/>
  <c r="U20" i="14"/>
  <c r="T22" i="14"/>
  <c r="T20" i="14"/>
  <c r="V18" i="14"/>
  <c r="W9" i="14"/>
  <c r="W8" i="14"/>
  <c r="V9" i="14"/>
  <c r="V8" i="14"/>
  <c r="U8" i="14"/>
  <c r="U9" i="14"/>
  <c r="T45" i="14" l="1"/>
  <c r="U45" i="14"/>
  <c r="U21" i="14"/>
  <c r="T47" i="14"/>
  <c r="U47" i="14"/>
  <c r="T23" i="14"/>
  <c r="T21" i="14"/>
  <c r="U23" i="14"/>
  <c r="U24" i="14"/>
  <c r="T24" i="14"/>
  <c r="V20" i="14"/>
  <c r="V40" i="14"/>
  <c r="V46" i="14"/>
  <c r="V22" i="14"/>
  <c r="V42" i="14"/>
  <c r="V44" i="14"/>
  <c r="V34" i="14"/>
  <c r="U48" i="14"/>
  <c r="T48" i="14"/>
  <c r="V10" i="14"/>
  <c r="U34" i="14"/>
  <c r="W34" i="14"/>
  <c r="U10" i="14"/>
  <c r="W10" i="14"/>
  <c r="V48" i="14" l="1"/>
  <c r="V49" i="14" s="1"/>
  <c r="N34" i="14"/>
  <c r="N32" i="14"/>
  <c r="N21" i="14"/>
  <c r="N19" i="14"/>
  <c r="M34" i="14"/>
  <c r="M32" i="14"/>
  <c r="M21" i="14"/>
  <c r="M19" i="14"/>
  <c r="F34" i="14"/>
  <c r="F32" i="14"/>
  <c r="F19" i="14"/>
  <c r="F8" i="14"/>
  <c r="F6" i="14"/>
  <c r="E34" i="14"/>
  <c r="E32" i="14"/>
  <c r="E19" i="14"/>
  <c r="E8" i="14"/>
  <c r="E6" i="14"/>
  <c r="AT6" i="14"/>
  <c r="AD10" i="14"/>
  <c r="AB9" i="14"/>
  <c r="AD8" i="14"/>
  <c r="AB8" i="14"/>
  <c r="P423" i="23"/>
  <c r="P422" i="23"/>
  <c r="P421" i="23"/>
  <c r="P420" i="23"/>
  <c r="P419" i="23"/>
  <c r="P418" i="23"/>
  <c r="P417" i="23"/>
  <c r="P416" i="23"/>
  <c r="P415" i="23"/>
  <c r="P414" i="23"/>
  <c r="P413" i="23"/>
  <c r="P412" i="23"/>
  <c r="P411" i="23"/>
  <c r="P410" i="23"/>
  <c r="P409" i="23"/>
  <c r="P408" i="23"/>
  <c r="P407" i="23"/>
  <c r="P406" i="23"/>
  <c r="P405" i="23"/>
  <c r="P404" i="23"/>
  <c r="P402" i="23"/>
  <c r="P401" i="23"/>
  <c r="P400" i="23"/>
  <c r="P399" i="23"/>
  <c r="P398" i="23"/>
  <c r="P397" i="23"/>
  <c r="P394" i="23"/>
  <c r="P393" i="23"/>
  <c r="P391" i="23"/>
  <c r="P390" i="23"/>
  <c r="P389" i="23"/>
  <c r="P388" i="23"/>
  <c r="P387" i="23"/>
  <c r="P386" i="23"/>
  <c r="P382" i="23"/>
  <c r="P380" i="23"/>
  <c r="P379" i="23"/>
  <c r="P378" i="23"/>
  <c r="P377" i="23"/>
  <c r="P374" i="23"/>
  <c r="P371" i="23"/>
  <c r="P366" i="23"/>
  <c r="P357" i="23"/>
  <c r="P356" i="23"/>
  <c r="P348" i="23"/>
  <c r="P347" i="23"/>
  <c r="P344" i="23"/>
  <c r="P343" i="23"/>
  <c r="P340" i="23"/>
  <c r="P339" i="23"/>
  <c r="P338" i="23"/>
  <c r="P336" i="23"/>
  <c r="P335" i="23"/>
  <c r="P332" i="23"/>
  <c r="P326" i="23"/>
  <c r="P316" i="23"/>
  <c r="P315" i="23"/>
  <c r="P314" i="23"/>
  <c r="P313" i="23"/>
  <c r="P312" i="23"/>
  <c r="P311" i="23"/>
  <c r="P310" i="23"/>
  <c r="P309" i="23"/>
  <c r="P308" i="23"/>
  <c r="P307" i="23"/>
  <c r="P306" i="23"/>
  <c r="P305" i="23"/>
  <c r="P304" i="23"/>
  <c r="P302" i="23"/>
  <c r="P301" i="23"/>
  <c r="P300" i="23"/>
  <c r="P299" i="23"/>
  <c r="P298" i="23"/>
  <c r="P297" i="23"/>
  <c r="P296" i="23"/>
  <c r="P295" i="23"/>
  <c r="P291" i="23"/>
  <c r="P290" i="23"/>
  <c r="P289" i="23"/>
  <c r="P288" i="23"/>
  <c r="P287" i="23"/>
  <c r="P286" i="23"/>
  <c r="P283" i="23"/>
  <c r="P282" i="23"/>
  <c r="P281" i="23"/>
  <c r="P279" i="23"/>
  <c r="P278" i="23"/>
  <c r="P277" i="23"/>
  <c r="P276" i="23"/>
  <c r="P275" i="23"/>
  <c r="P274" i="23"/>
  <c r="P273" i="23"/>
  <c r="P272" i="23"/>
  <c r="P271" i="23"/>
  <c r="P270" i="23"/>
  <c r="P269" i="23"/>
  <c r="P268" i="23"/>
  <c r="P263" i="23"/>
  <c r="P255" i="23"/>
  <c r="P254" i="23"/>
  <c r="P253" i="23"/>
  <c r="P252" i="23"/>
  <c r="P251" i="23"/>
  <c r="P247" i="23"/>
  <c r="P242" i="23"/>
  <c r="P240" i="23"/>
  <c r="P239" i="23"/>
  <c r="P238" i="23"/>
  <c r="P237" i="23"/>
  <c r="P236" i="23"/>
  <c r="P235" i="23"/>
  <c r="P231" i="23"/>
  <c r="P228" i="23"/>
  <c r="P227" i="23"/>
  <c r="P226" i="23"/>
  <c r="P222" i="23"/>
  <c r="P218" i="23"/>
  <c r="P210" i="23"/>
  <c r="P209" i="23"/>
  <c r="P208" i="23"/>
  <c r="P207" i="23"/>
  <c r="P206" i="23"/>
  <c r="P205" i="23"/>
  <c r="P204" i="23"/>
  <c r="P203" i="23"/>
  <c r="P202" i="23"/>
  <c r="P201" i="23"/>
  <c r="P200" i="23"/>
  <c r="P199" i="23"/>
  <c r="P198" i="23"/>
  <c r="P197" i="23"/>
  <c r="P196" i="23"/>
  <c r="P195" i="23"/>
  <c r="P194" i="23"/>
  <c r="P193" i="23"/>
  <c r="P192" i="23"/>
  <c r="P190" i="23"/>
  <c r="P188" i="23"/>
  <c r="P185" i="23"/>
  <c r="P183" i="23"/>
  <c r="P181" i="23"/>
  <c r="P180" i="23"/>
  <c r="P175" i="23"/>
  <c r="P174" i="23"/>
  <c r="P172" i="23"/>
  <c r="P169" i="23"/>
  <c r="P167" i="23"/>
  <c r="P166" i="23"/>
  <c r="P165" i="23"/>
  <c r="P162" i="23"/>
  <c r="P161" i="23"/>
  <c r="P160" i="23"/>
  <c r="P159" i="23"/>
  <c r="P155" i="23"/>
  <c r="P151" i="23"/>
  <c r="P150" i="23"/>
  <c r="P149" i="23"/>
  <c r="P148" i="23"/>
  <c r="P139" i="23"/>
  <c r="P138" i="23"/>
  <c r="P137" i="23"/>
  <c r="P136" i="23"/>
  <c r="P133" i="23"/>
  <c r="P132" i="23"/>
  <c r="P131" i="23"/>
  <c r="P130" i="23"/>
  <c r="P129" i="23"/>
  <c r="P128" i="23"/>
  <c r="P127" i="23"/>
  <c r="P126" i="23"/>
  <c r="P125" i="23"/>
  <c r="P121" i="23"/>
  <c r="P120" i="23"/>
  <c r="P119" i="23"/>
  <c r="P118" i="23"/>
  <c r="P117" i="23"/>
  <c r="P116" i="23"/>
  <c r="P113" i="23"/>
  <c r="P112" i="23"/>
  <c r="P109" i="23"/>
  <c r="P108" i="23"/>
  <c r="P106" i="23"/>
  <c r="P105" i="23"/>
  <c r="P104" i="23"/>
  <c r="P103" i="23"/>
  <c r="P102" i="23"/>
  <c r="P101" i="23"/>
  <c r="P100" i="23"/>
  <c r="P98" i="23"/>
  <c r="P97" i="23"/>
  <c r="P96" i="23"/>
  <c r="P94" i="23"/>
  <c r="P93" i="23"/>
  <c r="P92" i="23"/>
  <c r="P91" i="23"/>
  <c r="P90" i="23"/>
  <c r="P89" i="23"/>
  <c r="P88" i="23"/>
  <c r="P87" i="23"/>
  <c r="P86" i="23"/>
  <c r="P85" i="23"/>
  <c r="P83" i="23"/>
  <c r="P81" i="23"/>
  <c r="P78" i="23"/>
  <c r="P76" i="23"/>
  <c r="P75" i="23"/>
  <c r="P74" i="23"/>
  <c r="P73" i="23"/>
  <c r="P72" i="23"/>
  <c r="P71" i="23"/>
  <c r="P67" i="23"/>
  <c r="P66" i="23"/>
  <c r="P65" i="23"/>
  <c r="P62" i="23"/>
  <c r="P60" i="23"/>
  <c r="P56" i="23"/>
  <c r="P55" i="23"/>
  <c r="P53" i="23"/>
  <c r="P52" i="23"/>
  <c r="P50" i="23"/>
  <c r="P45" i="23"/>
  <c r="P43" i="23"/>
  <c r="P42" i="23"/>
  <c r="P41" i="23"/>
  <c r="P40" i="23"/>
  <c r="P39" i="23"/>
  <c r="P37" i="23"/>
  <c r="P36" i="23"/>
  <c r="P35" i="23"/>
  <c r="P34" i="23"/>
  <c r="P33" i="23"/>
  <c r="P32" i="23"/>
  <c r="P31" i="23"/>
  <c r="P27" i="23"/>
  <c r="P26" i="23"/>
  <c r="P25" i="23"/>
  <c r="P24" i="23"/>
  <c r="P23" i="23"/>
  <c r="P22" i="23"/>
  <c r="P21" i="23"/>
  <c r="P20" i="23"/>
  <c r="P13" i="23"/>
  <c r="P12" i="23"/>
  <c r="P11" i="23"/>
  <c r="P9" i="23"/>
  <c r="P7" i="23"/>
  <c r="M22" i="14" l="1"/>
  <c r="F35" i="14"/>
  <c r="N35" i="14"/>
  <c r="N22" i="14"/>
  <c r="E33" i="14"/>
  <c r="M33" i="14"/>
  <c r="N20" i="14"/>
  <c r="F10" i="14"/>
  <c r="M35" i="14"/>
  <c r="F22" i="14"/>
  <c r="F20" i="14"/>
  <c r="E35" i="14"/>
  <c r="E7" i="14"/>
  <c r="E10" i="14"/>
  <c r="F33" i="14"/>
  <c r="N33" i="14"/>
  <c r="E22" i="14"/>
  <c r="E20" i="14"/>
  <c r="M20" i="14"/>
  <c r="G6" i="14"/>
  <c r="AD9" i="14"/>
  <c r="AU6" i="14"/>
  <c r="AB10" i="14"/>
  <c r="AB6" i="14"/>
  <c r="AT8" i="14"/>
  <c r="AB7" i="14"/>
  <c r="AT14" i="14"/>
  <c r="AD6" i="14"/>
  <c r="AU8" i="14"/>
  <c r="AD7" i="14"/>
  <c r="F9" i="14"/>
  <c r="E9" i="14"/>
  <c r="F7" i="14"/>
  <c r="W42" i="14"/>
  <c r="W40" i="14"/>
  <c r="W44" i="14"/>
  <c r="W46" i="14"/>
  <c r="N6" i="14"/>
  <c r="M6" i="14"/>
  <c r="G19" i="14"/>
  <c r="G34" i="14"/>
  <c r="O19" i="14"/>
  <c r="O34" i="14"/>
  <c r="O21" i="14"/>
  <c r="G32" i="14"/>
  <c r="M8" i="14"/>
  <c r="N8" i="14"/>
  <c r="N9" i="14" s="1"/>
  <c r="O32" i="14"/>
  <c r="G8" i="14"/>
  <c r="P184" i="23"/>
  <c r="P186" i="23"/>
  <c r="P28" i="23"/>
  <c r="P30" i="23"/>
  <c r="P38" i="23"/>
  <c r="P47" i="23"/>
  <c r="P57" i="23"/>
  <c r="P58" i="23"/>
  <c r="P59" i="23"/>
  <c r="P61" i="23"/>
  <c r="P63" i="23"/>
  <c r="P64" i="23"/>
  <c r="P80" i="23"/>
  <c r="P114" i="23"/>
  <c r="P134" i="23"/>
  <c r="P135" i="23"/>
  <c r="P143" i="23"/>
  <c r="P144" i="23"/>
  <c r="P145" i="23"/>
  <c r="P146" i="23"/>
  <c r="P147" i="23"/>
  <c r="P154" i="23"/>
  <c r="P156" i="23"/>
  <c r="P157" i="23"/>
  <c r="P158" i="23"/>
  <c r="P168" i="23"/>
  <c r="P170" i="23"/>
  <c r="P171" i="23"/>
  <c r="P176" i="23"/>
  <c r="P177" i="23"/>
  <c r="P178" i="23"/>
  <c r="P179" i="23"/>
  <c r="P292" i="23"/>
  <c r="P325" i="23"/>
  <c r="P327" i="23"/>
  <c r="P331" i="23"/>
  <c r="P350" i="23"/>
  <c r="P351" i="23"/>
  <c r="P352" i="23"/>
  <c r="P355" i="23"/>
  <c r="P373" i="23"/>
  <c r="P375" i="23"/>
  <c r="P182" i="23"/>
  <c r="P211" i="23"/>
  <c r="P213" i="23"/>
  <c r="P217" i="23"/>
  <c r="P219" i="23"/>
  <c r="P220" i="23"/>
  <c r="P221" i="23"/>
  <c r="P224" i="23"/>
  <c r="P234" i="23"/>
  <c r="P246" i="23"/>
  <c r="P248" i="23"/>
  <c r="P249" i="23"/>
  <c r="P250" i="23"/>
  <c r="P259" i="23"/>
  <c r="P260" i="23"/>
  <c r="P261" i="23"/>
  <c r="P262" i="23"/>
  <c r="P264" i="23"/>
  <c r="P303" i="23"/>
  <c r="P319" i="23"/>
  <c r="P320" i="23"/>
  <c r="P321" i="23"/>
  <c r="P360" i="23"/>
  <c r="P365" i="23"/>
  <c r="P367" i="23"/>
  <c r="P368" i="23"/>
  <c r="P370" i="23"/>
  <c r="P403" i="23"/>
  <c r="P6" i="23"/>
  <c r="P14" i="23"/>
  <c r="P15" i="23"/>
  <c r="P16" i="23"/>
  <c r="P8" i="23"/>
  <c r="P10" i="23"/>
  <c r="P17" i="23"/>
  <c r="P18" i="23"/>
  <c r="P19" i="23"/>
  <c r="P29" i="23"/>
  <c r="P44" i="23"/>
  <c r="P46" i="23"/>
  <c r="P48" i="23"/>
  <c r="P49" i="23"/>
  <c r="P51" i="23"/>
  <c r="P54" i="23"/>
  <c r="P68" i="23"/>
  <c r="P69" i="23"/>
  <c r="P70" i="23"/>
  <c r="P77" i="23"/>
  <c r="P79" i="23"/>
  <c r="P82" i="23"/>
  <c r="P84" i="23"/>
  <c r="P95" i="23"/>
  <c r="P99" i="23"/>
  <c r="P107" i="23"/>
  <c r="P110" i="23"/>
  <c r="P111" i="23"/>
  <c r="P115" i="23"/>
  <c r="P122" i="23"/>
  <c r="P123" i="23"/>
  <c r="P124" i="23"/>
  <c r="P140" i="23"/>
  <c r="P141" i="23"/>
  <c r="P142" i="23"/>
  <c r="P152" i="23"/>
  <c r="P153" i="23"/>
  <c r="P163" i="23"/>
  <c r="P164" i="23"/>
  <c r="P173" i="23"/>
  <c r="P187" i="23"/>
  <c r="P191" i="23"/>
  <c r="P214" i="23"/>
  <c r="P215" i="23"/>
  <c r="P216" i="23"/>
  <c r="P189" i="23"/>
  <c r="P212" i="23"/>
  <c r="P223" i="23"/>
  <c r="P229" i="23"/>
  <c r="P230" i="23"/>
  <c r="P243" i="23"/>
  <c r="P323" i="23"/>
  <c r="P324" i="23"/>
  <c r="P333" i="23"/>
  <c r="P334" i="23"/>
  <c r="P337" i="23"/>
  <c r="P345" i="23"/>
  <c r="P346" i="23"/>
  <c r="P349" i="23"/>
  <c r="P359" i="23"/>
  <c r="P362" i="23"/>
  <c r="P363" i="23"/>
  <c r="P364" i="23"/>
  <c r="P372" i="23"/>
  <c r="P376" i="23"/>
  <c r="P383" i="23"/>
  <c r="P384" i="23"/>
  <c r="P385" i="23"/>
  <c r="P225" i="23"/>
  <c r="P232" i="23"/>
  <c r="P233" i="23"/>
  <c r="P241" i="23"/>
  <c r="P244" i="23"/>
  <c r="P245" i="23"/>
  <c r="P256" i="23"/>
  <c r="P257" i="23"/>
  <c r="P258" i="23"/>
  <c r="P265" i="23"/>
  <c r="P266" i="23"/>
  <c r="P267" i="23"/>
  <c r="P280" i="23"/>
  <c r="P284" i="23"/>
  <c r="P285" i="23"/>
  <c r="P293" i="23"/>
  <c r="P294" i="23"/>
  <c r="P317" i="23"/>
  <c r="P318" i="23"/>
  <c r="P322" i="23"/>
  <c r="P328" i="23"/>
  <c r="P329" i="23"/>
  <c r="P330" i="23"/>
  <c r="P341" i="23"/>
  <c r="P342" i="23"/>
  <c r="P353" i="23"/>
  <c r="P354" i="23"/>
  <c r="P358" i="23"/>
  <c r="P361" i="23"/>
  <c r="P369" i="23"/>
  <c r="P381" i="23"/>
  <c r="P392" i="23"/>
  <c r="P395" i="23"/>
  <c r="P396" i="23"/>
  <c r="O6" i="14" l="1"/>
  <c r="M7" i="14"/>
  <c r="M9" i="14"/>
  <c r="N7" i="14"/>
  <c r="AT9" i="14"/>
  <c r="AT16" i="14"/>
  <c r="AB11" i="14"/>
  <c r="AC6" i="14" s="1"/>
  <c r="AU16" i="14"/>
  <c r="AU9" i="14"/>
  <c r="AD11" i="14"/>
  <c r="AT7" i="14"/>
  <c r="AU7" i="14"/>
  <c r="AU14" i="14"/>
  <c r="O8" i="14"/>
  <c r="N38" i="14"/>
  <c r="N36" i="14"/>
  <c r="N25" i="14"/>
  <c r="N23" i="14"/>
  <c r="N10" i="14"/>
  <c r="F38" i="14"/>
  <c r="F36" i="14"/>
  <c r="F25" i="14"/>
  <c r="M38" i="14"/>
  <c r="M36" i="14"/>
  <c r="M25" i="14"/>
  <c r="M23" i="14"/>
  <c r="E38" i="14"/>
  <c r="E36" i="14"/>
  <c r="E25" i="14"/>
  <c r="N12" i="14"/>
  <c r="N13" i="14" s="1"/>
  <c r="M10" i="14"/>
  <c r="M26" i="14" l="1"/>
  <c r="N26" i="14"/>
  <c r="M37" i="14"/>
  <c r="N37" i="14"/>
  <c r="F37" i="14"/>
  <c r="E37" i="14"/>
  <c r="M39" i="14"/>
  <c r="F26" i="14"/>
  <c r="F24" i="14"/>
  <c r="N39" i="14"/>
  <c r="F39" i="14"/>
  <c r="E26" i="14"/>
  <c r="E24" i="14"/>
  <c r="E39" i="14"/>
  <c r="N11" i="14"/>
  <c r="M24" i="14"/>
  <c r="N24" i="14"/>
  <c r="AU18" i="14"/>
  <c r="AU15" i="14" s="1"/>
  <c r="AE6" i="14"/>
  <c r="AF6" i="14" s="1"/>
  <c r="AE10" i="14"/>
  <c r="AE8" i="14"/>
  <c r="AE9" i="14"/>
  <c r="AC10" i="14"/>
  <c r="AC8" i="14"/>
  <c r="AC9" i="14"/>
  <c r="AE7" i="14"/>
  <c r="AC7" i="14"/>
  <c r="AT18" i="14"/>
  <c r="AT15" i="14" s="1"/>
  <c r="G36" i="14"/>
  <c r="O10" i="14"/>
  <c r="G25" i="14"/>
  <c r="O23" i="14"/>
  <c r="O25" i="14"/>
  <c r="O36" i="14"/>
  <c r="O38" i="14"/>
  <c r="G38" i="14"/>
  <c r="F13" i="14"/>
  <c r="F11" i="14"/>
  <c r="E11" i="14"/>
  <c r="E13" i="14"/>
  <c r="T9" i="14"/>
  <c r="T32" i="14"/>
  <c r="T8" i="14"/>
  <c r="T33" i="14"/>
  <c r="E40" i="14"/>
  <c r="M27" i="14"/>
  <c r="M40" i="14"/>
  <c r="N14" i="14"/>
  <c r="F40" i="14"/>
  <c r="N27" i="14"/>
  <c r="N40" i="14"/>
  <c r="M12" i="14"/>
  <c r="AF7" i="14" l="1"/>
  <c r="F14" i="14"/>
  <c r="AF9" i="14"/>
  <c r="AF8" i="14"/>
  <c r="AF10" i="14"/>
  <c r="E15" i="14"/>
  <c r="O12" i="14"/>
  <c r="M13" i="14"/>
  <c r="E14" i="14"/>
  <c r="F15" i="14"/>
  <c r="M11" i="14"/>
  <c r="AU17" i="14"/>
  <c r="AT17" i="14"/>
  <c r="F12" i="14"/>
  <c r="E12" i="14"/>
  <c r="O40" i="14"/>
  <c r="O41" i="14" s="1"/>
  <c r="O27" i="14"/>
  <c r="O28" i="14" s="1"/>
  <c r="G40" i="14"/>
  <c r="G41" i="14" s="1"/>
  <c r="G11" i="14"/>
  <c r="G13" i="14"/>
  <c r="T10" i="14"/>
  <c r="T34" i="14"/>
  <c r="M14" i="14"/>
  <c r="G10" i="14" l="1"/>
  <c r="H38" i="14"/>
  <c r="H34" i="14"/>
  <c r="H32" i="14"/>
  <c r="H36" i="14"/>
  <c r="P38" i="14"/>
  <c r="P34" i="14"/>
  <c r="P32" i="14"/>
  <c r="P36" i="14"/>
  <c r="P21" i="14"/>
  <c r="P19" i="14"/>
  <c r="P23" i="14"/>
  <c r="P25" i="14"/>
  <c r="O14" i="14"/>
  <c r="O15" i="14" s="1"/>
  <c r="G15" i="14"/>
  <c r="H11" i="14" s="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2" i="7"/>
  <c r="I3" i="7"/>
  <c r="I12" i="7"/>
  <c r="I30" i="7"/>
  <c r="I39" i="7"/>
  <c r="I57" i="7"/>
  <c r="I66" i="7"/>
  <c r="I84" i="7"/>
  <c r="I93" i="7"/>
  <c r="I111" i="7"/>
  <c r="I120" i="7"/>
  <c r="I138" i="7"/>
  <c r="I147" i="7"/>
  <c r="I165" i="7"/>
  <c r="I174" i="7"/>
  <c r="I192" i="7"/>
  <c r="I201" i="7"/>
  <c r="I219" i="7"/>
  <c r="I228" i="7"/>
  <c r="I246" i="7"/>
  <c r="I255" i="7"/>
  <c r="I273" i="7"/>
  <c r="I282" i="7"/>
  <c r="I300" i="7"/>
  <c r="I309" i="7"/>
  <c r="I327" i="7"/>
  <c r="I336" i="7"/>
  <c r="I354" i="7"/>
  <c r="I363" i="7"/>
  <c r="I381" i="7"/>
  <c r="I390" i="7"/>
  <c r="I408" i="7"/>
  <c r="I417" i="7"/>
  <c r="I435" i="7"/>
  <c r="I444" i="7"/>
  <c r="I462" i="7"/>
  <c r="I471" i="7"/>
  <c r="I489" i="7"/>
  <c r="I498" i="7"/>
  <c r="I516" i="7"/>
  <c r="I525" i="7"/>
  <c r="I543" i="7"/>
  <c r="I552" i="7"/>
  <c r="I570" i="7"/>
  <c r="I579" i="7"/>
  <c r="I597" i="7"/>
  <c r="I606" i="7"/>
  <c r="I624" i="7"/>
  <c r="I633" i="7"/>
  <c r="I651" i="7"/>
  <c r="I660"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2" i="7"/>
  <c r="G3" i="7"/>
  <c r="G4" i="7"/>
  <c r="I4" i="7" s="1"/>
  <c r="G5" i="7"/>
  <c r="I5" i="7" s="1"/>
  <c r="G6" i="7"/>
  <c r="I6" i="7" s="1"/>
  <c r="G7" i="7"/>
  <c r="I7" i="7" s="1"/>
  <c r="G8" i="7"/>
  <c r="I8" i="7" s="1"/>
  <c r="G9" i="7"/>
  <c r="I9" i="7" s="1"/>
  <c r="G10" i="7"/>
  <c r="I10" i="7" s="1"/>
  <c r="G11" i="7"/>
  <c r="I11" i="7" s="1"/>
  <c r="G12" i="7"/>
  <c r="G13" i="7"/>
  <c r="I13" i="7" s="1"/>
  <c r="G14" i="7"/>
  <c r="I14" i="7" s="1"/>
  <c r="G15" i="7"/>
  <c r="I15" i="7" s="1"/>
  <c r="G16" i="7"/>
  <c r="I16" i="7" s="1"/>
  <c r="G17" i="7"/>
  <c r="I17" i="7" s="1"/>
  <c r="G18" i="7"/>
  <c r="I18" i="7" s="1"/>
  <c r="G19" i="7"/>
  <c r="I19" i="7" s="1"/>
  <c r="G20" i="7"/>
  <c r="I20" i="7" s="1"/>
  <c r="G21" i="7"/>
  <c r="I21" i="7" s="1"/>
  <c r="G22" i="7"/>
  <c r="I22" i="7" s="1"/>
  <c r="G23" i="7"/>
  <c r="I23" i="7" s="1"/>
  <c r="G24" i="7"/>
  <c r="I24" i="7" s="1"/>
  <c r="G25" i="7"/>
  <c r="I25" i="7" s="1"/>
  <c r="G26" i="7"/>
  <c r="I26" i="7" s="1"/>
  <c r="G27" i="7"/>
  <c r="I27" i="7" s="1"/>
  <c r="G28" i="7"/>
  <c r="I28" i="7" s="1"/>
  <c r="G29" i="7"/>
  <c r="I29" i="7" s="1"/>
  <c r="G30" i="7"/>
  <c r="G31" i="7"/>
  <c r="I31" i="7" s="1"/>
  <c r="G32" i="7"/>
  <c r="I32" i="7" s="1"/>
  <c r="G33" i="7"/>
  <c r="I33" i="7" s="1"/>
  <c r="G34" i="7"/>
  <c r="I34" i="7" s="1"/>
  <c r="G35" i="7"/>
  <c r="I35" i="7" s="1"/>
  <c r="G36" i="7"/>
  <c r="I36" i="7" s="1"/>
  <c r="G37" i="7"/>
  <c r="I37" i="7" s="1"/>
  <c r="G38" i="7"/>
  <c r="I38" i="7" s="1"/>
  <c r="G39" i="7"/>
  <c r="G40" i="7"/>
  <c r="I40" i="7" s="1"/>
  <c r="G41" i="7"/>
  <c r="I41" i="7" s="1"/>
  <c r="G42" i="7"/>
  <c r="I42" i="7" s="1"/>
  <c r="G43" i="7"/>
  <c r="I43" i="7" s="1"/>
  <c r="G44" i="7"/>
  <c r="I44" i="7" s="1"/>
  <c r="G45" i="7"/>
  <c r="I45" i="7" s="1"/>
  <c r="G46" i="7"/>
  <c r="I46" i="7" s="1"/>
  <c r="G47" i="7"/>
  <c r="I47" i="7" s="1"/>
  <c r="G48" i="7"/>
  <c r="I48" i="7" s="1"/>
  <c r="G49" i="7"/>
  <c r="I49" i="7" s="1"/>
  <c r="G50" i="7"/>
  <c r="I50" i="7" s="1"/>
  <c r="G51" i="7"/>
  <c r="I51" i="7" s="1"/>
  <c r="G52" i="7"/>
  <c r="I52" i="7" s="1"/>
  <c r="G53" i="7"/>
  <c r="I53" i="7" s="1"/>
  <c r="G54" i="7"/>
  <c r="I54" i="7" s="1"/>
  <c r="G55" i="7"/>
  <c r="I55" i="7" s="1"/>
  <c r="G56" i="7"/>
  <c r="I56" i="7" s="1"/>
  <c r="G57" i="7"/>
  <c r="G58" i="7"/>
  <c r="I58" i="7" s="1"/>
  <c r="G59" i="7"/>
  <c r="I59" i="7" s="1"/>
  <c r="G60" i="7"/>
  <c r="I60" i="7" s="1"/>
  <c r="G61" i="7"/>
  <c r="I61" i="7" s="1"/>
  <c r="G62" i="7"/>
  <c r="I62" i="7" s="1"/>
  <c r="G63" i="7"/>
  <c r="I63" i="7" s="1"/>
  <c r="G64" i="7"/>
  <c r="I64" i="7" s="1"/>
  <c r="G65" i="7"/>
  <c r="I65" i="7" s="1"/>
  <c r="G66" i="7"/>
  <c r="G67" i="7"/>
  <c r="I67" i="7" s="1"/>
  <c r="G68" i="7"/>
  <c r="I68" i="7" s="1"/>
  <c r="G69" i="7"/>
  <c r="I69" i="7" s="1"/>
  <c r="G70" i="7"/>
  <c r="I70" i="7" s="1"/>
  <c r="G71" i="7"/>
  <c r="I71" i="7" s="1"/>
  <c r="G72" i="7"/>
  <c r="I72" i="7" s="1"/>
  <c r="G73" i="7"/>
  <c r="I73" i="7" s="1"/>
  <c r="G74" i="7"/>
  <c r="I74" i="7" s="1"/>
  <c r="G75" i="7"/>
  <c r="I75" i="7" s="1"/>
  <c r="G76" i="7"/>
  <c r="I76" i="7" s="1"/>
  <c r="G77" i="7"/>
  <c r="I77" i="7" s="1"/>
  <c r="G78" i="7"/>
  <c r="I78" i="7" s="1"/>
  <c r="G79" i="7"/>
  <c r="I79" i="7" s="1"/>
  <c r="G80" i="7"/>
  <c r="I80" i="7" s="1"/>
  <c r="G81" i="7"/>
  <c r="I81" i="7" s="1"/>
  <c r="G82" i="7"/>
  <c r="I82" i="7" s="1"/>
  <c r="G83" i="7"/>
  <c r="I83" i="7" s="1"/>
  <c r="G84" i="7"/>
  <c r="G85" i="7"/>
  <c r="I85" i="7" s="1"/>
  <c r="G86" i="7"/>
  <c r="I86" i="7" s="1"/>
  <c r="G87" i="7"/>
  <c r="I87" i="7" s="1"/>
  <c r="G88" i="7"/>
  <c r="I88" i="7" s="1"/>
  <c r="G89" i="7"/>
  <c r="I89" i="7" s="1"/>
  <c r="G90" i="7"/>
  <c r="I90" i="7" s="1"/>
  <c r="G91" i="7"/>
  <c r="I91" i="7" s="1"/>
  <c r="G92" i="7"/>
  <c r="I92" i="7" s="1"/>
  <c r="G93" i="7"/>
  <c r="G94" i="7"/>
  <c r="I94" i="7" s="1"/>
  <c r="G95" i="7"/>
  <c r="I95" i="7" s="1"/>
  <c r="G96" i="7"/>
  <c r="I96" i="7" s="1"/>
  <c r="G97" i="7"/>
  <c r="I97" i="7" s="1"/>
  <c r="G98" i="7"/>
  <c r="I98" i="7" s="1"/>
  <c r="G99" i="7"/>
  <c r="I99" i="7" s="1"/>
  <c r="G100" i="7"/>
  <c r="I100" i="7" s="1"/>
  <c r="G101" i="7"/>
  <c r="I101" i="7" s="1"/>
  <c r="G102" i="7"/>
  <c r="I102" i="7" s="1"/>
  <c r="G103" i="7"/>
  <c r="I103" i="7" s="1"/>
  <c r="G104" i="7"/>
  <c r="I104" i="7" s="1"/>
  <c r="G105" i="7"/>
  <c r="I105" i="7" s="1"/>
  <c r="G106" i="7"/>
  <c r="I106" i="7" s="1"/>
  <c r="G107" i="7"/>
  <c r="I107" i="7" s="1"/>
  <c r="G108" i="7"/>
  <c r="I108" i="7" s="1"/>
  <c r="G109" i="7"/>
  <c r="I109" i="7" s="1"/>
  <c r="G110" i="7"/>
  <c r="I110" i="7" s="1"/>
  <c r="G111" i="7"/>
  <c r="G112" i="7"/>
  <c r="I112" i="7" s="1"/>
  <c r="G113" i="7"/>
  <c r="I113" i="7" s="1"/>
  <c r="G114" i="7"/>
  <c r="I114" i="7" s="1"/>
  <c r="G115" i="7"/>
  <c r="I115" i="7" s="1"/>
  <c r="G116" i="7"/>
  <c r="I116" i="7" s="1"/>
  <c r="G117" i="7"/>
  <c r="I117" i="7" s="1"/>
  <c r="G118" i="7"/>
  <c r="I118" i="7" s="1"/>
  <c r="G119" i="7"/>
  <c r="I119" i="7" s="1"/>
  <c r="G120" i="7"/>
  <c r="G121" i="7"/>
  <c r="I121" i="7" s="1"/>
  <c r="G122" i="7"/>
  <c r="I122" i="7" s="1"/>
  <c r="G123" i="7"/>
  <c r="I123" i="7" s="1"/>
  <c r="G124" i="7"/>
  <c r="I124" i="7" s="1"/>
  <c r="G125" i="7"/>
  <c r="I125" i="7" s="1"/>
  <c r="G126" i="7"/>
  <c r="I126" i="7" s="1"/>
  <c r="G127" i="7"/>
  <c r="I127" i="7" s="1"/>
  <c r="G128" i="7"/>
  <c r="I128" i="7" s="1"/>
  <c r="G129" i="7"/>
  <c r="I129" i="7" s="1"/>
  <c r="G130" i="7"/>
  <c r="I130" i="7" s="1"/>
  <c r="G131" i="7"/>
  <c r="I131" i="7" s="1"/>
  <c r="G132" i="7"/>
  <c r="I132" i="7" s="1"/>
  <c r="G133" i="7"/>
  <c r="I133" i="7" s="1"/>
  <c r="G134" i="7"/>
  <c r="I134" i="7" s="1"/>
  <c r="G135" i="7"/>
  <c r="I135" i="7" s="1"/>
  <c r="G136" i="7"/>
  <c r="I136" i="7" s="1"/>
  <c r="G137" i="7"/>
  <c r="I137" i="7" s="1"/>
  <c r="G138" i="7"/>
  <c r="G139" i="7"/>
  <c r="I139" i="7" s="1"/>
  <c r="G140" i="7"/>
  <c r="I140" i="7" s="1"/>
  <c r="G141" i="7"/>
  <c r="I141" i="7" s="1"/>
  <c r="G142" i="7"/>
  <c r="I142" i="7" s="1"/>
  <c r="G143" i="7"/>
  <c r="I143" i="7" s="1"/>
  <c r="G144" i="7"/>
  <c r="I144" i="7" s="1"/>
  <c r="G145" i="7"/>
  <c r="I145" i="7" s="1"/>
  <c r="G146" i="7"/>
  <c r="I146" i="7" s="1"/>
  <c r="G147" i="7"/>
  <c r="G148" i="7"/>
  <c r="I148" i="7" s="1"/>
  <c r="G149" i="7"/>
  <c r="I149" i="7" s="1"/>
  <c r="G150" i="7"/>
  <c r="I150" i="7" s="1"/>
  <c r="G151" i="7"/>
  <c r="I151" i="7" s="1"/>
  <c r="G152" i="7"/>
  <c r="I152" i="7" s="1"/>
  <c r="G153" i="7"/>
  <c r="I153" i="7" s="1"/>
  <c r="G154" i="7"/>
  <c r="I154" i="7" s="1"/>
  <c r="G155" i="7"/>
  <c r="I155" i="7" s="1"/>
  <c r="G156" i="7"/>
  <c r="I156" i="7" s="1"/>
  <c r="G157" i="7"/>
  <c r="I157" i="7" s="1"/>
  <c r="G158" i="7"/>
  <c r="I158" i="7" s="1"/>
  <c r="G159" i="7"/>
  <c r="I159" i="7" s="1"/>
  <c r="G160" i="7"/>
  <c r="I160" i="7" s="1"/>
  <c r="G161" i="7"/>
  <c r="I161" i="7" s="1"/>
  <c r="G162" i="7"/>
  <c r="I162" i="7" s="1"/>
  <c r="G163" i="7"/>
  <c r="I163" i="7" s="1"/>
  <c r="G164" i="7"/>
  <c r="I164" i="7" s="1"/>
  <c r="G165" i="7"/>
  <c r="G166" i="7"/>
  <c r="I166" i="7" s="1"/>
  <c r="G167" i="7"/>
  <c r="I167" i="7" s="1"/>
  <c r="G168" i="7"/>
  <c r="I168" i="7" s="1"/>
  <c r="G169" i="7"/>
  <c r="I169" i="7" s="1"/>
  <c r="G170" i="7"/>
  <c r="I170" i="7" s="1"/>
  <c r="G171" i="7"/>
  <c r="I171" i="7" s="1"/>
  <c r="G172" i="7"/>
  <c r="I172" i="7" s="1"/>
  <c r="G173" i="7"/>
  <c r="I173" i="7" s="1"/>
  <c r="G174" i="7"/>
  <c r="G175" i="7"/>
  <c r="I175" i="7" s="1"/>
  <c r="G176" i="7"/>
  <c r="I176" i="7" s="1"/>
  <c r="G177" i="7"/>
  <c r="I177" i="7" s="1"/>
  <c r="G178" i="7"/>
  <c r="I178" i="7" s="1"/>
  <c r="G179" i="7"/>
  <c r="I179" i="7" s="1"/>
  <c r="G180" i="7"/>
  <c r="I180" i="7" s="1"/>
  <c r="G181" i="7"/>
  <c r="I181" i="7" s="1"/>
  <c r="G182" i="7"/>
  <c r="I182" i="7" s="1"/>
  <c r="G183" i="7"/>
  <c r="I183" i="7" s="1"/>
  <c r="G184" i="7"/>
  <c r="I184" i="7" s="1"/>
  <c r="G185" i="7"/>
  <c r="I185" i="7" s="1"/>
  <c r="G186" i="7"/>
  <c r="I186" i="7" s="1"/>
  <c r="G187" i="7"/>
  <c r="I187" i="7" s="1"/>
  <c r="G188" i="7"/>
  <c r="I188" i="7" s="1"/>
  <c r="G189" i="7"/>
  <c r="I189" i="7" s="1"/>
  <c r="G190" i="7"/>
  <c r="I190" i="7" s="1"/>
  <c r="G191" i="7"/>
  <c r="I191" i="7" s="1"/>
  <c r="G192" i="7"/>
  <c r="G193" i="7"/>
  <c r="I193" i="7" s="1"/>
  <c r="G194" i="7"/>
  <c r="I194" i="7" s="1"/>
  <c r="G195" i="7"/>
  <c r="I195" i="7" s="1"/>
  <c r="G196" i="7"/>
  <c r="I196" i="7" s="1"/>
  <c r="G197" i="7"/>
  <c r="I197" i="7" s="1"/>
  <c r="G198" i="7"/>
  <c r="I198" i="7" s="1"/>
  <c r="G199" i="7"/>
  <c r="I199" i="7" s="1"/>
  <c r="G200" i="7"/>
  <c r="I200" i="7" s="1"/>
  <c r="G201" i="7"/>
  <c r="G202" i="7"/>
  <c r="I202" i="7" s="1"/>
  <c r="G203" i="7"/>
  <c r="I203" i="7" s="1"/>
  <c r="G204" i="7"/>
  <c r="I204" i="7" s="1"/>
  <c r="G205" i="7"/>
  <c r="I205" i="7" s="1"/>
  <c r="G206" i="7"/>
  <c r="I206" i="7" s="1"/>
  <c r="G207" i="7"/>
  <c r="I207" i="7" s="1"/>
  <c r="G208" i="7"/>
  <c r="I208" i="7" s="1"/>
  <c r="G209" i="7"/>
  <c r="I209" i="7" s="1"/>
  <c r="G210" i="7"/>
  <c r="I210" i="7" s="1"/>
  <c r="G211" i="7"/>
  <c r="I211" i="7" s="1"/>
  <c r="G212" i="7"/>
  <c r="I212" i="7" s="1"/>
  <c r="G213" i="7"/>
  <c r="I213" i="7" s="1"/>
  <c r="G214" i="7"/>
  <c r="I214" i="7" s="1"/>
  <c r="G215" i="7"/>
  <c r="I215" i="7" s="1"/>
  <c r="G216" i="7"/>
  <c r="I216" i="7" s="1"/>
  <c r="G217" i="7"/>
  <c r="I217" i="7" s="1"/>
  <c r="G218" i="7"/>
  <c r="I218" i="7" s="1"/>
  <c r="G219" i="7"/>
  <c r="G220" i="7"/>
  <c r="I220" i="7" s="1"/>
  <c r="G221" i="7"/>
  <c r="I221" i="7" s="1"/>
  <c r="G222" i="7"/>
  <c r="I222" i="7" s="1"/>
  <c r="G223" i="7"/>
  <c r="I223" i="7" s="1"/>
  <c r="G224" i="7"/>
  <c r="I224" i="7" s="1"/>
  <c r="G225" i="7"/>
  <c r="I225" i="7" s="1"/>
  <c r="G226" i="7"/>
  <c r="I226" i="7" s="1"/>
  <c r="G227" i="7"/>
  <c r="I227" i="7" s="1"/>
  <c r="G228" i="7"/>
  <c r="G229" i="7"/>
  <c r="I229" i="7" s="1"/>
  <c r="G230" i="7"/>
  <c r="I230" i="7" s="1"/>
  <c r="G231" i="7"/>
  <c r="I231" i="7" s="1"/>
  <c r="G232" i="7"/>
  <c r="I232" i="7" s="1"/>
  <c r="G233" i="7"/>
  <c r="I233" i="7" s="1"/>
  <c r="G234" i="7"/>
  <c r="I234" i="7" s="1"/>
  <c r="G235" i="7"/>
  <c r="I235" i="7" s="1"/>
  <c r="G236" i="7"/>
  <c r="I236" i="7" s="1"/>
  <c r="G237" i="7"/>
  <c r="I237" i="7" s="1"/>
  <c r="G238" i="7"/>
  <c r="I238" i="7" s="1"/>
  <c r="G239" i="7"/>
  <c r="I239" i="7" s="1"/>
  <c r="G240" i="7"/>
  <c r="I240" i="7" s="1"/>
  <c r="G241" i="7"/>
  <c r="I241" i="7" s="1"/>
  <c r="G242" i="7"/>
  <c r="I242" i="7" s="1"/>
  <c r="G243" i="7"/>
  <c r="I243" i="7" s="1"/>
  <c r="G244" i="7"/>
  <c r="I244" i="7" s="1"/>
  <c r="G245" i="7"/>
  <c r="I245" i="7" s="1"/>
  <c r="G246" i="7"/>
  <c r="G247" i="7"/>
  <c r="I247" i="7" s="1"/>
  <c r="G248" i="7"/>
  <c r="I248" i="7" s="1"/>
  <c r="G249" i="7"/>
  <c r="I249" i="7" s="1"/>
  <c r="G250" i="7"/>
  <c r="I250" i="7" s="1"/>
  <c r="G251" i="7"/>
  <c r="I251" i="7" s="1"/>
  <c r="G252" i="7"/>
  <c r="I252" i="7" s="1"/>
  <c r="G253" i="7"/>
  <c r="I253" i="7" s="1"/>
  <c r="G254" i="7"/>
  <c r="I254" i="7" s="1"/>
  <c r="G255" i="7"/>
  <c r="G256" i="7"/>
  <c r="I256" i="7" s="1"/>
  <c r="G257" i="7"/>
  <c r="I257" i="7" s="1"/>
  <c r="G258" i="7"/>
  <c r="I258" i="7" s="1"/>
  <c r="G259" i="7"/>
  <c r="I259" i="7" s="1"/>
  <c r="G260" i="7"/>
  <c r="I260" i="7" s="1"/>
  <c r="G261" i="7"/>
  <c r="I261" i="7" s="1"/>
  <c r="G262" i="7"/>
  <c r="I262" i="7" s="1"/>
  <c r="G263" i="7"/>
  <c r="I263" i="7" s="1"/>
  <c r="G264" i="7"/>
  <c r="I264" i="7" s="1"/>
  <c r="G265" i="7"/>
  <c r="I265" i="7" s="1"/>
  <c r="G266" i="7"/>
  <c r="I266" i="7" s="1"/>
  <c r="G267" i="7"/>
  <c r="I267" i="7" s="1"/>
  <c r="G268" i="7"/>
  <c r="I268" i="7" s="1"/>
  <c r="G269" i="7"/>
  <c r="I269" i="7" s="1"/>
  <c r="G270" i="7"/>
  <c r="I270" i="7" s="1"/>
  <c r="G271" i="7"/>
  <c r="I271" i="7" s="1"/>
  <c r="G272" i="7"/>
  <c r="I272" i="7" s="1"/>
  <c r="G273" i="7"/>
  <c r="G274" i="7"/>
  <c r="I274" i="7" s="1"/>
  <c r="G275" i="7"/>
  <c r="I275" i="7" s="1"/>
  <c r="G276" i="7"/>
  <c r="I276" i="7" s="1"/>
  <c r="G277" i="7"/>
  <c r="I277" i="7" s="1"/>
  <c r="G278" i="7"/>
  <c r="I278" i="7" s="1"/>
  <c r="G279" i="7"/>
  <c r="I279" i="7" s="1"/>
  <c r="G280" i="7"/>
  <c r="I280" i="7" s="1"/>
  <c r="G281" i="7"/>
  <c r="I281" i="7" s="1"/>
  <c r="G282" i="7"/>
  <c r="G283" i="7"/>
  <c r="I283" i="7" s="1"/>
  <c r="G284" i="7"/>
  <c r="I284" i="7" s="1"/>
  <c r="G285" i="7"/>
  <c r="I285" i="7" s="1"/>
  <c r="G286" i="7"/>
  <c r="I286" i="7" s="1"/>
  <c r="G287" i="7"/>
  <c r="I287" i="7" s="1"/>
  <c r="G288" i="7"/>
  <c r="I288" i="7" s="1"/>
  <c r="G289" i="7"/>
  <c r="I289" i="7" s="1"/>
  <c r="G290" i="7"/>
  <c r="I290" i="7" s="1"/>
  <c r="G291" i="7"/>
  <c r="I291" i="7" s="1"/>
  <c r="G292" i="7"/>
  <c r="I292" i="7" s="1"/>
  <c r="G293" i="7"/>
  <c r="I293" i="7" s="1"/>
  <c r="G294" i="7"/>
  <c r="I294" i="7" s="1"/>
  <c r="G295" i="7"/>
  <c r="I295" i="7" s="1"/>
  <c r="G296" i="7"/>
  <c r="I296" i="7" s="1"/>
  <c r="G297" i="7"/>
  <c r="I297" i="7" s="1"/>
  <c r="G298" i="7"/>
  <c r="I298" i="7" s="1"/>
  <c r="G299" i="7"/>
  <c r="I299" i="7" s="1"/>
  <c r="G300" i="7"/>
  <c r="G301" i="7"/>
  <c r="I301" i="7" s="1"/>
  <c r="G302" i="7"/>
  <c r="I302" i="7" s="1"/>
  <c r="G303" i="7"/>
  <c r="I303" i="7" s="1"/>
  <c r="G304" i="7"/>
  <c r="I304" i="7" s="1"/>
  <c r="G305" i="7"/>
  <c r="I305" i="7" s="1"/>
  <c r="G306" i="7"/>
  <c r="I306" i="7" s="1"/>
  <c r="G307" i="7"/>
  <c r="I307" i="7" s="1"/>
  <c r="G308" i="7"/>
  <c r="I308" i="7" s="1"/>
  <c r="G309" i="7"/>
  <c r="G310" i="7"/>
  <c r="I310" i="7" s="1"/>
  <c r="G311" i="7"/>
  <c r="I311" i="7" s="1"/>
  <c r="G312" i="7"/>
  <c r="I312" i="7" s="1"/>
  <c r="G313" i="7"/>
  <c r="I313" i="7" s="1"/>
  <c r="G314" i="7"/>
  <c r="I314" i="7" s="1"/>
  <c r="G315" i="7"/>
  <c r="I315" i="7" s="1"/>
  <c r="G316" i="7"/>
  <c r="I316" i="7" s="1"/>
  <c r="G317" i="7"/>
  <c r="I317" i="7" s="1"/>
  <c r="G318" i="7"/>
  <c r="I318" i="7" s="1"/>
  <c r="G319" i="7"/>
  <c r="I319" i="7" s="1"/>
  <c r="G320" i="7"/>
  <c r="I320" i="7" s="1"/>
  <c r="G321" i="7"/>
  <c r="I321" i="7" s="1"/>
  <c r="G322" i="7"/>
  <c r="I322" i="7" s="1"/>
  <c r="G323" i="7"/>
  <c r="I323" i="7" s="1"/>
  <c r="G324" i="7"/>
  <c r="I324" i="7" s="1"/>
  <c r="G325" i="7"/>
  <c r="I325" i="7" s="1"/>
  <c r="G326" i="7"/>
  <c r="I326" i="7" s="1"/>
  <c r="G327" i="7"/>
  <c r="G328" i="7"/>
  <c r="I328" i="7" s="1"/>
  <c r="G329" i="7"/>
  <c r="I329" i="7" s="1"/>
  <c r="G330" i="7"/>
  <c r="I330" i="7" s="1"/>
  <c r="G331" i="7"/>
  <c r="I331" i="7" s="1"/>
  <c r="G332" i="7"/>
  <c r="I332" i="7" s="1"/>
  <c r="G333" i="7"/>
  <c r="I333" i="7" s="1"/>
  <c r="G334" i="7"/>
  <c r="I334" i="7" s="1"/>
  <c r="G335" i="7"/>
  <c r="I335" i="7" s="1"/>
  <c r="G336" i="7"/>
  <c r="G337" i="7"/>
  <c r="I337" i="7" s="1"/>
  <c r="G338" i="7"/>
  <c r="I338" i="7" s="1"/>
  <c r="G339" i="7"/>
  <c r="I339" i="7" s="1"/>
  <c r="G340" i="7"/>
  <c r="I340" i="7" s="1"/>
  <c r="G341" i="7"/>
  <c r="I341" i="7" s="1"/>
  <c r="G342" i="7"/>
  <c r="I342" i="7" s="1"/>
  <c r="G343" i="7"/>
  <c r="I343" i="7" s="1"/>
  <c r="G344" i="7"/>
  <c r="I344" i="7" s="1"/>
  <c r="G345" i="7"/>
  <c r="I345" i="7" s="1"/>
  <c r="G346" i="7"/>
  <c r="I346" i="7" s="1"/>
  <c r="G347" i="7"/>
  <c r="I347" i="7" s="1"/>
  <c r="G348" i="7"/>
  <c r="I348" i="7" s="1"/>
  <c r="G349" i="7"/>
  <c r="I349" i="7" s="1"/>
  <c r="G350" i="7"/>
  <c r="I350" i="7" s="1"/>
  <c r="G351" i="7"/>
  <c r="I351" i="7" s="1"/>
  <c r="G352" i="7"/>
  <c r="I352" i="7" s="1"/>
  <c r="G353" i="7"/>
  <c r="I353" i="7" s="1"/>
  <c r="G354" i="7"/>
  <c r="G355" i="7"/>
  <c r="I355" i="7" s="1"/>
  <c r="G356" i="7"/>
  <c r="I356" i="7" s="1"/>
  <c r="G357" i="7"/>
  <c r="I357" i="7" s="1"/>
  <c r="G358" i="7"/>
  <c r="I358" i="7" s="1"/>
  <c r="G359" i="7"/>
  <c r="I359" i="7" s="1"/>
  <c r="G360" i="7"/>
  <c r="I360" i="7" s="1"/>
  <c r="G361" i="7"/>
  <c r="I361" i="7" s="1"/>
  <c r="G362" i="7"/>
  <c r="I362" i="7" s="1"/>
  <c r="G363" i="7"/>
  <c r="G364" i="7"/>
  <c r="I364" i="7" s="1"/>
  <c r="G365" i="7"/>
  <c r="I365" i="7" s="1"/>
  <c r="G366" i="7"/>
  <c r="I366" i="7" s="1"/>
  <c r="G367" i="7"/>
  <c r="I367" i="7" s="1"/>
  <c r="G368" i="7"/>
  <c r="I368" i="7" s="1"/>
  <c r="G369" i="7"/>
  <c r="I369" i="7" s="1"/>
  <c r="G370" i="7"/>
  <c r="I370" i="7" s="1"/>
  <c r="G371" i="7"/>
  <c r="I371" i="7" s="1"/>
  <c r="G372" i="7"/>
  <c r="I372" i="7" s="1"/>
  <c r="G373" i="7"/>
  <c r="I373" i="7" s="1"/>
  <c r="G374" i="7"/>
  <c r="I374" i="7" s="1"/>
  <c r="G375" i="7"/>
  <c r="I375" i="7" s="1"/>
  <c r="G376" i="7"/>
  <c r="I376" i="7" s="1"/>
  <c r="G377" i="7"/>
  <c r="I377" i="7" s="1"/>
  <c r="G378" i="7"/>
  <c r="I378" i="7" s="1"/>
  <c r="G379" i="7"/>
  <c r="I379" i="7" s="1"/>
  <c r="G380" i="7"/>
  <c r="I380" i="7" s="1"/>
  <c r="G381" i="7"/>
  <c r="G382" i="7"/>
  <c r="I382" i="7" s="1"/>
  <c r="G383" i="7"/>
  <c r="I383" i="7" s="1"/>
  <c r="G384" i="7"/>
  <c r="I384" i="7" s="1"/>
  <c r="G385" i="7"/>
  <c r="I385" i="7" s="1"/>
  <c r="G386" i="7"/>
  <c r="I386" i="7" s="1"/>
  <c r="G387" i="7"/>
  <c r="I387" i="7" s="1"/>
  <c r="G388" i="7"/>
  <c r="I388" i="7" s="1"/>
  <c r="G389" i="7"/>
  <c r="I389" i="7" s="1"/>
  <c r="G390" i="7"/>
  <c r="G391" i="7"/>
  <c r="I391" i="7" s="1"/>
  <c r="G392" i="7"/>
  <c r="I392" i="7" s="1"/>
  <c r="G393" i="7"/>
  <c r="I393" i="7" s="1"/>
  <c r="G394" i="7"/>
  <c r="I394" i="7" s="1"/>
  <c r="G395" i="7"/>
  <c r="I395" i="7" s="1"/>
  <c r="G396" i="7"/>
  <c r="I396" i="7" s="1"/>
  <c r="G397" i="7"/>
  <c r="I397" i="7" s="1"/>
  <c r="G398" i="7"/>
  <c r="I398" i="7" s="1"/>
  <c r="G399" i="7"/>
  <c r="I399" i="7" s="1"/>
  <c r="G400" i="7"/>
  <c r="I400" i="7" s="1"/>
  <c r="G401" i="7"/>
  <c r="I401" i="7" s="1"/>
  <c r="G402" i="7"/>
  <c r="I402" i="7" s="1"/>
  <c r="G403" i="7"/>
  <c r="I403" i="7" s="1"/>
  <c r="G404" i="7"/>
  <c r="I404" i="7" s="1"/>
  <c r="G405" i="7"/>
  <c r="I405" i="7" s="1"/>
  <c r="G406" i="7"/>
  <c r="I406" i="7" s="1"/>
  <c r="G407" i="7"/>
  <c r="I407" i="7" s="1"/>
  <c r="G408" i="7"/>
  <c r="G409" i="7"/>
  <c r="I409" i="7" s="1"/>
  <c r="G410" i="7"/>
  <c r="I410" i="7" s="1"/>
  <c r="G411" i="7"/>
  <c r="I411" i="7" s="1"/>
  <c r="G412" i="7"/>
  <c r="I412" i="7" s="1"/>
  <c r="G413" i="7"/>
  <c r="I413" i="7" s="1"/>
  <c r="G414" i="7"/>
  <c r="I414" i="7" s="1"/>
  <c r="G415" i="7"/>
  <c r="I415" i="7" s="1"/>
  <c r="G416" i="7"/>
  <c r="I416" i="7" s="1"/>
  <c r="G417" i="7"/>
  <c r="G418" i="7"/>
  <c r="I418" i="7" s="1"/>
  <c r="G419" i="7"/>
  <c r="I419" i="7" s="1"/>
  <c r="G420" i="7"/>
  <c r="I420" i="7" s="1"/>
  <c r="G421" i="7"/>
  <c r="I421" i="7" s="1"/>
  <c r="G422" i="7"/>
  <c r="I422" i="7" s="1"/>
  <c r="G423" i="7"/>
  <c r="I423" i="7" s="1"/>
  <c r="G424" i="7"/>
  <c r="I424" i="7" s="1"/>
  <c r="G425" i="7"/>
  <c r="I425" i="7" s="1"/>
  <c r="G426" i="7"/>
  <c r="I426" i="7" s="1"/>
  <c r="G427" i="7"/>
  <c r="I427" i="7" s="1"/>
  <c r="G428" i="7"/>
  <c r="I428" i="7" s="1"/>
  <c r="G429" i="7"/>
  <c r="I429" i="7" s="1"/>
  <c r="G430" i="7"/>
  <c r="I430" i="7" s="1"/>
  <c r="G431" i="7"/>
  <c r="I431" i="7" s="1"/>
  <c r="G432" i="7"/>
  <c r="I432" i="7" s="1"/>
  <c r="G433" i="7"/>
  <c r="I433" i="7" s="1"/>
  <c r="G434" i="7"/>
  <c r="I434" i="7" s="1"/>
  <c r="G435" i="7"/>
  <c r="G436" i="7"/>
  <c r="I436" i="7" s="1"/>
  <c r="G437" i="7"/>
  <c r="I437" i="7" s="1"/>
  <c r="G438" i="7"/>
  <c r="I438" i="7" s="1"/>
  <c r="G439" i="7"/>
  <c r="I439" i="7" s="1"/>
  <c r="G440" i="7"/>
  <c r="I440" i="7" s="1"/>
  <c r="G441" i="7"/>
  <c r="I441" i="7" s="1"/>
  <c r="G442" i="7"/>
  <c r="I442" i="7" s="1"/>
  <c r="G443" i="7"/>
  <c r="I443" i="7" s="1"/>
  <c r="G444" i="7"/>
  <c r="G445" i="7"/>
  <c r="I445" i="7" s="1"/>
  <c r="G446" i="7"/>
  <c r="I446" i="7" s="1"/>
  <c r="G447" i="7"/>
  <c r="I447" i="7" s="1"/>
  <c r="G448" i="7"/>
  <c r="I448" i="7" s="1"/>
  <c r="G449" i="7"/>
  <c r="I449" i="7" s="1"/>
  <c r="G450" i="7"/>
  <c r="I450" i="7" s="1"/>
  <c r="G451" i="7"/>
  <c r="I451" i="7" s="1"/>
  <c r="G452" i="7"/>
  <c r="I452" i="7" s="1"/>
  <c r="G453" i="7"/>
  <c r="I453" i="7" s="1"/>
  <c r="G454" i="7"/>
  <c r="I454" i="7" s="1"/>
  <c r="G455" i="7"/>
  <c r="I455" i="7" s="1"/>
  <c r="G456" i="7"/>
  <c r="I456" i="7" s="1"/>
  <c r="G457" i="7"/>
  <c r="I457" i="7" s="1"/>
  <c r="G458" i="7"/>
  <c r="I458" i="7" s="1"/>
  <c r="G459" i="7"/>
  <c r="I459" i="7" s="1"/>
  <c r="G460" i="7"/>
  <c r="I460" i="7" s="1"/>
  <c r="G461" i="7"/>
  <c r="I461" i="7" s="1"/>
  <c r="G462" i="7"/>
  <c r="G463" i="7"/>
  <c r="I463" i="7" s="1"/>
  <c r="G464" i="7"/>
  <c r="I464" i="7" s="1"/>
  <c r="G465" i="7"/>
  <c r="I465" i="7" s="1"/>
  <c r="G466" i="7"/>
  <c r="I466" i="7" s="1"/>
  <c r="G467" i="7"/>
  <c r="I467" i="7" s="1"/>
  <c r="G468" i="7"/>
  <c r="I468" i="7" s="1"/>
  <c r="G469" i="7"/>
  <c r="I469" i="7" s="1"/>
  <c r="G470" i="7"/>
  <c r="I470" i="7" s="1"/>
  <c r="G471" i="7"/>
  <c r="G472" i="7"/>
  <c r="I472" i="7" s="1"/>
  <c r="G473" i="7"/>
  <c r="I473" i="7" s="1"/>
  <c r="G474" i="7"/>
  <c r="I474" i="7" s="1"/>
  <c r="G475" i="7"/>
  <c r="I475" i="7" s="1"/>
  <c r="G476" i="7"/>
  <c r="I476" i="7" s="1"/>
  <c r="G477" i="7"/>
  <c r="I477" i="7" s="1"/>
  <c r="G478" i="7"/>
  <c r="I478" i="7" s="1"/>
  <c r="G479" i="7"/>
  <c r="I479" i="7" s="1"/>
  <c r="G480" i="7"/>
  <c r="I480" i="7" s="1"/>
  <c r="G481" i="7"/>
  <c r="I481" i="7" s="1"/>
  <c r="G482" i="7"/>
  <c r="I482" i="7" s="1"/>
  <c r="G483" i="7"/>
  <c r="I483" i="7" s="1"/>
  <c r="G484" i="7"/>
  <c r="I484" i="7" s="1"/>
  <c r="G485" i="7"/>
  <c r="I485" i="7" s="1"/>
  <c r="G486" i="7"/>
  <c r="I486" i="7" s="1"/>
  <c r="G487" i="7"/>
  <c r="I487" i="7" s="1"/>
  <c r="G488" i="7"/>
  <c r="I488" i="7" s="1"/>
  <c r="G489" i="7"/>
  <c r="G490" i="7"/>
  <c r="I490" i="7" s="1"/>
  <c r="G491" i="7"/>
  <c r="I491" i="7" s="1"/>
  <c r="G492" i="7"/>
  <c r="I492" i="7" s="1"/>
  <c r="G493" i="7"/>
  <c r="I493" i="7" s="1"/>
  <c r="G494" i="7"/>
  <c r="I494" i="7" s="1"/>
  <c r="G495" i="7"/>
  <c r="I495" i="7" s="1"/>
  <c r="G496" i="7"/>
  <c r="I496" i="7" s="1"/>
  <c r="G497" i="7"/>
  <c r="I497" i="7" s="1"/>
  <c r="G498" i="7"/>
  <c r="G499" i="7"/>
  <c r="I499" i="7" s="1"/>
  <c r="G500" i="7"/>
  <c r="I500" i="7" s="1"/>
  <c r="G501" i="7"/>
  <c r="I501" i="7" s="1"/>
  <c r="G502" i="7"/>
  <c r="I502" i="7" s="1"/>
  <c r="G503" i="7"/>
  <c r="I503" i="7" s="1"/>
  <c r="G504" i="7"/>
  <c r="I504" i="7" s="1"/>
  <c r="G505" i="7"/>
  <c r="I505" i="7" s="1"/>
  <c r="G506" i="7"/>
  <c r="I506" i="7" s="1"/>
  <c r="G507" i="7"/>
  <c r="I507" i="7" s="1"/>
  <c r="G508" i="7"/>
  <c r="I508" i="7" s="1"/>
  <c r="G509" i="7"/>
  <c r="I509" i="7" s="1"/>
  <c r="G510" i="7"/>
  <c r="I510" i="7" s="1"/>
  <c r="G511" i="7"/>
  <c r="I511" i="7" s="1"/>
  <c r="G512" i="7"/>
  <c r="I512" i="7" s="1"/>
  <c r="G513" i="7"/>
  <c r="I513" i="7" s="1"/>
  <c r="G514" i="7"/>
  <c r="I514" i="7" s="1"/>
  <c r="G515" i="7"/>
  <c r="I515" i="7" s="1"/>
  <c r="G516" i="7"/>
  <c r="G517" i="7"/>
  <c r="I517" i="7" s="1"/>
  <c r="G518" i="7"/>
  <c r="I518" i="7" s="1"/>
  <c r="G519" i="7"/>
  <c r="I519" i="7" s="1"/>
  <c r="G520" i="7"/>
  <c r="I520" i="7" s="1"/>
  <c r="G521" i="7"/>
  <c r="I521" i="7" s="1"/>
  <c r="G522" i="7"/>
  <c r="I522" i="7" s="1"/>
  <c r="G523" i="7"/>
  <c r="I523" i="7" s="1"/>
  <c r="G524" i="7"/>
  <c r="I524" i="7" s="1"/>
  <c r="G525" i="7"/>
  <c r="G526" i="7"/>
  <c r="I526" i="7" s="1"/>
  <c r="G527" i="7"/>
  <c r="I527" i="7" s="1"/>
  <c r="G528" i="7"/>
  <c r="I528" i="7" s="1"/>
  <c r="G529" i="7"/>
  <c r="I529" i="7" s="1"/>
  <c r="G530" i="7"/>
  <c r="I530" i="7" s="1"/>
  <c r="G531" i="7"/>
  <c r="I531" i="7" s="1"/>
  <c r="G532" i="7"/>
  <c r="I532" i="7" s="1"/>
  <c r="G533" i="7"/>
  <c r="I533" i="7" s="1"/>
  <c r="G534" i="7"/>
  <c r="I534" i="7" s="1"/>
  <c r="G535" i="7"/>
  <c r="I535" i="7" s="1"/>
  <c r="G536" i="7"/>
  <c r="I536" i="7" s="1"/>
  <c r="G537" i="7"/>
  <c r="I537" i="7" s="1"/>
  <c r="G538" i="7"/>
  <c r="I538" i="7" s="1"/>
  <c r="G539" i="7"/>
  <c r="I539" i="7" s="1"/>
  <c r="G540" i="7"/>
  <c r="I540" i="7" s="1"/>
  <c r="G541" i="7"/>
  <c r="I541" i="7" s="1"/>
  <c r="G542" i="7"/>
  <c r="I542" i="7" s="1"/>
  <c r="G543" i="7"/>
  <c r="G544" i="7"/>
  <c r="I544" i="7" s="1"/>
  <c r="G545" i="7"/>
  <c r="I545" i="7" s="1"/>
  <c r="G546" i="7"/>
  <c r="I546" i="7" s="1"/>
  <c r="G547" i="7"/>
  <c r="I547" i="7" s="1"/>
  <c r="G548" i="7"/>
  <c r="I548" i="7" s="1"/>
  <c r="G549" i="7"/>
  <c r="I549" i="7" s="1"/>
  <c r="G550" i="7"/>
  <c r="I550" i="7" s="1"/>
  <c r="G551" i="7"/>
  <c r="I551" i="7" s="1"/>
  <c r="G552" i="7"/>
  <c r="G553" i="7"/>
  <c r="I553" i="7" s="1"/>
  <c r="G554" i="7"/>
  <c r="I554" i="7" s="1"/>
  <c r="G555" i="7"/>
  <c r="I555" i="7" s="1"/>
  <c r="G556" i="7"/>
  <c r="I556" i="7" s="1"/>
  <c r="G557" i="7"/>
  <c r="I557" i="7" s="1"/>
  <c r="G558" i="7"/>
  <c r="I558" i="7" s="1"/>
  <c r="G559" i="7"/>
  <c r="I559" i="7" s="1"/>
  <c r="G560" i="7"/>
  <c r="I560" i="7" s="1"/>
  <c r="G561" i="7"/>
  <c r="I561" i="7" s="1"/>
  <c r="G562" i="7"/>
  <c r="I562" i="7" s="1"/>
  <c r="G563" i="7"/>
  <c r="I563" i="7" s="1"/>
  <c r="G564" i="7"/>
  <c r="I564" i="7" s="1"/>
  <c r="G565" i="7"/>
  <c r="I565" i="7" s="1"/>
  <c r="G566" i="7"/>
  <c r="I566" i="7" s="1"/>
  <c r="G567" i="7"/>
  <c r="I567" i="7" s="1"/>
  <c r="G568" i="7"/>
  <c r="I568" i="7" s="1"/>
  <c r="G569" i="7"/>
  <c r="I569" i="7" s="1"/>
  <c r="G570" i="7"/>
  <c r="G571" i="7"/>
  <c r="I571" i="7" s="1"/>
  <c r="G572" i="7"/>
  <c r="I572" i="7" s="1"/>
  <c r="G573" i="7"/>
  <c r="I573" i="7" s="1"/>
  <c r="G574" i="7"/>
  <c r="I574" i="7" s="1"/>
  <c r="G575" i="7"/>
  <c r="I575" i="7" s="1"/>
  <c r="G576" i="7"/>
  <c r="I576" i="7" s="1"/>
  <c r="G577" i="7"/>
  <c r="I577" i="7" s="1"/>
  <c r="G578" i="7"/>
  <c r="I578" i="7" s="1"/>
  <c r="G579" i="7"/>
  <c r="G580" i="7"/>
  <c r="I580" i="7" s="1"/>
  <c r="G581" i="7"/>
  <c r="I581" i="7" s="1"/>
  <c r="G582" i="7"/>
  <c r="I582" i="7" s="1"/>
  <c r="G583" i="7"/>
  <c r="I583" i="7" s="1"/>
  <c r="G584" i="7"/>
  <c r="I584" i="7" s="1"/>
  <c r="G585" i="7"/>
  <c r="I585" i="7" s="1"/>
  <c r="G586" i="7"/>
  <c r="I586" i="7" s="1"/>
  <c r="G587" i="7"/>
  <c r="I587" i="7" s="1"/>
  <c r="G588" i="7"/>
  <c r="I588" i="7" s="1"/>
  <c r="G589" i="7"/>
  <c r="I589" i="7" s="1"/>
  <c r="G590" i="7"/>
  <c r="I590" i="7" s="1"/>
  <c r="G591" i="7"/>
  <c r="I591" i="7" s="1"/>
  <c r="G592" i="7"/>
  <c r="I592" i="7" s="1"/>
  <c r="G593" i="7"/>
  <c r="I593" i="7" s="1"/>
  <c r="G594" i="7"/>
  <c r="I594" i="7" s="1"/>
  <c r="G595" i="7"/>
  <c r="I595" i="7" s="1"/>
  <c r="G596" i="7"/>
  <c r="I596" i="7" s="1"/>
  <c r="G597" i="7"/>
  <c r="G598" i="7"/>
  <c r="I598" i="7" s="1"/>
  <c r="G599" i="7"/>
  <c r="I599" i="7" s="1"/>
  <c r="G600" i="7"/>
  <c r="I600" i="7" s="1"/>
  <c r="G601" i="7"/>
  <c r="I601" i="7" s="1"/>
  <c r="G602" i="7"/>
  <c r="I602" i="7" s="1"/>
  <c r="G603" i="7"/>
  <c r="I603" i="7" s="1"/>
  <c r="G604" i="7"/>
  <c r="I604" i="7" s="1"/>
  <c r="G605" i="7"/>
  <c r="I605" i="7" s="1"/>
  <c r="G606" i="7"/>
  <c r="G607" i="7"/>
  <c r="I607" i="7" s="1"/>
  <c r="G608" i="7"/>
  <c r="I608" i="7" s="1"/>
  <c r="G609" i="7"/>
  <c r="I609" i="7" s="1"/>
  <c r="G610" i="7"/>
  <c r="I610" i="7" s="1"/>
  <c r="G611" i="7"/>
  <c r="I611" i="7" s="1"/>
  <c r="G612" i="7"/>
  <c r="I612" i="7" s="1"/>
  <c r="G613" i="7"/>
  <c r="I613" i="7" s="1"/>
  <c r="G614" i="7"/>
  <c r="I614" i="7" s="1"/>
  <c r="G615" i="7"/>
  <c r="I615" i="7" s="1"/>
  <c r="G616" i="7"/>
  <c r="I616" i="7" s="1"/>
  <c r="G617" i="7"/>
  <c r="I617" i="7" s="1"/>
  <c r="G618" i="7"/>
  <c r="I618" i="7" s="1"/>
  <c r="G619" i="7"/>
  <c r="I619" i="7" s="1"/>
  <c r="G620" i="7"/>
  <c r="I620" i="7" s="1"/>
  <c r="G621" i="7"/>
  <c r="I621" i="7" s="1"/>
  <c r="G622" i="7"/>
  <c r="I622" i="7" s="1"/>
  <c r="G623" i="7"/>
  <c r="I623" i="7" s="1"/>
  <c r="G624" i="7"/>
  <c r="G625" i="7"/>
  <c r="I625" i="7" s="1"/>
  <c r="G626" i="7"/>
  <c r="I626" i="7" s="1"/>
  <c r="G627" i="7"/>
  <c r="I627" i="7" s="1"/>
  <c r="G628" i="7"/>
  <c r="I628" i="7" s="1"/>
  <c r="G629" i="7"/>
  <c r="I629" i="7" s="1"/>
  <c r="G630" i="7"/>
  <c r="I630" i="7" s="1"/>
  <c r="G631" i="7"/>
  <c r="I631" i="7" s="1"/>
  <c r="G632" i="7"/>
  <c r="I632" i="7" s="1"/>
  <c r="G633" i="7"/>
  <c r="G634" i="7"/>
  <c r="I634" i="7" s="1"/>
  <c r="G635" i="7"/>
  <c r="I635" i="7" s="1"/>
  <c r="G636" i="7"/>
  <c r="I636" i="7" s="1"/>
  <c r="G637" i="7"/>
  <c r="I637" i="7" s="1"/>
  <c r="G638" i="7"/>
  <c r="I638" i="7" s="1"/>
  <c r="G639" i="7"/>
  <c r="I639" i="7" s="1"/>
  <c r="G640" i="7"/>
  <c r="I640" i="7" s="1"/>
  <c r="G641" i="7"/>
  <c r="I641" i="7" s="1"/>
  <c r="G642" i="7"/>
  <c r="I642" i="7" s="1"/>
  <c r="G643" i="7"/>
  <c r="I643" i="7" s="1"/>
  <c r="G644" i="7"/>
  <c r="I644" i="7" s="1"/>
  <c r="G645" i="7"/>
  <c r="I645" i="7" s="1"/>
  <c r="G646" i="7"/>
  <c r="I646" i="7" s="1"/>
  <c r="G647" i="7"/>
  <c r="I647" i="7" s="1"/>
  <c r="G648" i="7"/>
  <c r="I648" i="7" s="1"/>
  <c r="G649" i="7"/>
  <c r="I649" i="7" s="1"/>
  <c r="G650" i="7"/>
  <c r="I650" i="7" s="1"/>
  <c r="G651" i="7"/>
  <c r="G652" i="7"/>
  <c r="I652" i="7" s="1"/>
  <c r="G653" i="7"/>
  <c r="I653" i="7" s="1"/>
  <c r="G654" i="7"/>
  <c r="I654" i="7" s="1"/>
  <c r="G655" i="7"/>
  <c r="I655" i="7" s="1"/>
  <c r="G656" i="7"/>
  <c r="I656" i="7" s="1"/>
  <c r="G657" i="7"/>
  <c r="I657" i="7" s="1"/>
  <c r="G658" i="7"/>
  <c r="I658" i="7" s="1"/>
  <c r="G659" i="7"/>
  <c r="I659" i="7" s="1"/>
  <c r="G660" i="7"/>
  <c r="G661" i="7"/>
  <c r="I661" i="7" s="1"/>
  <c r="G662" i="7"/>
  <c r="I662" i="7" s="1"/>
  <c r="G663" i="7"/>
  <c r="I663" i="7" s="1"/>
  <c r="G664" i="7"/>
  <c r="I664" i="7" s="1"/>
  <c r="G665" i="7"/>
  <c r="I665" i="7" s="1"/>
  <c r="G666" i="7"/>
  <c r="I666" i="7" s="1"/>
  <c r="G667" i="7"/>
  <c r="I667" i="7" s="1"/>
  <c r="G668" i="7"/>
  <c r="I668" i="7" s="1"/>
  <c r="G669" i="7"/>
  <c r="I669" i="7" s="1"/>
  <c r="G670" i="7"/>
  <c r="I670" i="7" s="1"/>
  <c r="G671" i="7"/>
  <c r="I671" i="7" s="1"/>
  <c r="G672" i="7"/>
  <c r="I672" i="7" s="1"/>
  <c r="G673" i="7"/>
  <c r="I673" i="7" s="1"/>
  <c r="G674" i="7"/>
  <c r="I674" i="7" s="1"/>
  <c r="G675" i="7"/>
  <c r="I675" i="7" s="1"/>
  <c r="G676" i="7"/>
  <c r="I676" i="7" s="1"/>
  <c r="G677" i="7"/>
  <c r="I677" i="7" s="1"/>
  <c r="G678" i="7"/>
  <c r="I678" i="7" s="1"/>
  <c r="G679" i="7"/>
  <c r="I679" i="7" s="1"/>
  <c r="G680" i="7"/>
  <c r="I680" i="7" s="1"/>
  <c r="G681" i="7"/>
  <c r="I681" i="7" s="1"/>
  <c r="G682" i="7"/>
  <c r="I682" i="7" s="1"/>
  <c r="G683" i="7"/>
  <c r="I683" i="7" s="1"/>
  <c r="G684" i="7"/>
  <c r="I684" i="7" s="1"/>
  <c r="G685" i="7"/>
  <c r="I685" i="7" s="1"/>
  <c r="G686" i="7"/>
  <c r="I686" i="7" s="1"/>
  <c r="G687" i="7"/>
  <c r="I687" i="7" s="1"/>
  <c r="G688" i="7"/>
  <c r="I688" i="7" s="1"/>
  <c r="G689" i="7"/>
  <c r="I689" i="7" s="1"/>
  <c r="G690" i="7"/>
  <c r="I690" i="7" s="1"/>
  <c r="G691" i="7"/>
  <c r="I691" i="7" s="1"/>
  <c r="G692" i="7"/>
  <c r="I692" i="7" s="1"/>
  <c r="G693" i="7"/>
  <c r="I693" i="7" s="1"/>
  <c r="G694" i="7"/>
  <c r="I694" i="7" s="1"/>
  <c r="G695" i="7"/>
  <c r="I695" i="7" s="1"/>
  <c r="G696" i="7"/>
  <c r="I696" i="7" s="1"/>
  <c r="G697" i="7"/>
  <c r="I697" i="7" s="1"/>
  <c r="G698" i="7"/>
  <c r="I698" i="7" s="1"/>
  <c r="G699" i="7"/>
  <c r="I699" i="7" s="1"/>
  <c r="G700" i="7"/>
  <c r="I700" i="7" s="1"/>
  <c r="G701" i="7"/>
  <c r="I701" i="7" s="1"/>
  <c r="G702" i="7"/>
  <c r="I702" i="7" s="1"/>
  <c r="G703" i="7"/>
  <c r="I703" i="7" s="1"/>
  <c r="G704" i="7"/>
  <c r="I704" i="7" s="1"/>
  <c r="G705" i="7"/>
  <c r="I705" i="7" s="1"/>
  <c r="G706" i="7"/>
  <c r="I706" i="7" s="1"/>
  <c r="G707" i="7"/>
  <c r="I707" i="7" s="1"/>
  <c r="G708" i="7"/>
  <c r="I708" i="7" s="1"/>
  <c r="G709" i="7"/>
  <c r="I709" i="7" s="1"/>
  <c r="G710" i="7"/>
  <c r="I710" i="7" s="1"/>
  <c r="G711" i="7"/>
  <c r="I711" i="7" s="1"/>
  <c r="G712" i="7"/>
  <c r="I712" i="7" s="1"/>
  <c r="G713" i="7"/>
  <c r="I713" i="7" s="1"/>
  <c r="G714" i="7"/>
  <c r="I714" i="7" s="1"/>
  <c r="G715" i="7"/>
  <c r="I715" i="7" s="1"/>
  <c r="G716" i="7"/>
  <c r="I716" i="7" s="1"/>
  <c r="G717" i="7"/>
  <c r="I717" i="7" s="1"/>
  <c r="G718" i="7"/>
  <c r="I718" i="7" s="1"/>
  <c r="G719" i="7"/>
  <c r="I719" i="7" s="1"/>
  <c r="G720" i="7"/>
  <c r="I720" i="7" s="1"/>
  <c r="G721" i="7"/>
  <c r="I721" i="7" s="1"/>
  <c r="G722" i="7"/>
  <c r="I722" i="7" s="1"/>
  <c r="G723" i="7"/>
  <c r="I723" i="7" s="1"/>
  <c r="G724" i="7"/>
  <c r="I724" i="7" s="1"/>
  <c r="G725" i="7"/>
  <c r="I725" i="7" s="1"/>
  <c r="G726" i="7"/>
  <c r="I726" i="7" s="1"/>
  <c r="G727" i="7"/>
  <c r="I727" i="7" s="1"/>
  <c r="G728" i="7"/>
  <c r="I728" i="7" s="1"/>
  <c r="G729" i="7"/>
  <c r="I729" i="7" s="1"/>
  <c r="G730" i="7"/>
  <c r="I730" i="7" s="1"/>
  <c r="G731" i="7"/>
  <c r="I731" i="7" s="1"/>
  <c r="G732" i="7"/>
  <c r="I732" i="7" s="1"/>
  <c r="G733" i="7"/>
  <c r="I733" i="7" s="1"/>
  <c r="G734" i="7"/>
  <c r="I734" i="7" s="1"/>
  <c r="G735" i="7"/>
  <c r="I735" i="7" s="1"/>
  <c r="G736" i="7"/>
  <c r="I736" i="7" s="1"/>
  <c r="G737" i="7"/>
  <c r="I737" i="7" s="1"/>
  <c r="G738" i="7"/>
  <c r="I738" i="7" s="1"/>
  <c r="G739" i="7"/>
  <c r="I739" i="7" s="1"/>
  <c r="G740" i="7"/>
  <c r="I740" i="7" s="1"/>
  <c r="G741" i="7"/>
  <c r="I741" i="7" s="1"/>
  <c r="G742" i="7"/>
  <c r="I742" i="7" s="1"/>
  <c r="G743" i="7"/>
  <c r="I743" i="7" s="1"/>
  <c r="G744" i="7"/>
  <c r="I744" i="7" s="1"/>
  <c r="G745" i="7"/>
  <c r="I745" i="7" s="1"/>
  <c r="G746" i="7"/>
  <c r="I746" i="7" s="1"/>
  <c r="G747" i="7"/>
  <c r="I747" i="7" s="1"/>
  <c r="G748" i="7"/>
  <c r="I748" i="7" s="1"/>
  <c r="G749" i="7"/>
  <c r="I749" i="7" s="1"/>
  <c r="G750" i="7"/>
  <c r="I750" i="7" s="1"/>
  <c r="G751" i="7"/>
  <c r="I751" i="7" s="1"/>
  <c r="G752" i="7"/>
  <c r="I752" i="7" s="1"/>
  <c r="G753" i="7"/>
  <c r="I753" i="7" s="1"/>
  <c r="G754" i="7"/>
  <c r="I754" i="7" s="1"/>
  <c r="G755" i="7"/>
  <c r="I755" i="7" s="1"/>
  <c r="G756" i="7"/>
  <c r="I756" i="7" s="1"/>
  <c r="G757" i="7"/>
  <c r="I757" i="7" s="1"/>
  <c r="G758" i="7"/>
  <c r="I758" i="7" s="1"/>
  <c r="G759" i="7"/>
  <c r="I759" i="7" s="1"/>
  <c r="G760" i="7"/>
  <c r="I760" i="7" s="1"/>
  <c r="G761" i="7"/>
  <c r="I761" i="7" s="1"/>
  <c r="G762" i="7"/>
  <c r="I762" i="7" s="1"/>
  <c r="G763" i="7"/>
  <c r="I763" i="7" s="1"/>
  <c r="G764" i="7"/>
  <c r="I764" i="7" s="1"/>
  <c r="G765" i="7"/>
  <c r="I765" i="7" s="1"/>
  <c r="G766" i="7"/>
  <c r="I766" i="7" s="1"/>
  <c r="G767" i="7"/>
  <c r="I767" i="7" s="1"/>
  <c r="G768" i="7"/>
  <c r="I768" i="7" s="1"/>
  <c r="G769" i="7"/>
  <c r="I769" i="7" s="1"/>
  <c r="G770" i="7"/>
  <c r="I770" i="7" s="1"/>
  <c r="G771" i="7"/>
  <c r="I771" i="7" s="1"/>
  <c r="G772" i="7"/>
  <c r="I772" i="7" s="1"/>
  <c r="G773" i="7"/>
  <c r="I773" i="7" s="1"/>
  <c r="G774" i="7"/>
  <c r="I774" i="7" s="1"/>
  <c r="G775" i="7"/>
  <c r="I775" i="7" s="1"/>
  <c r="G776" i="7"/>
  <c r="I776" i="7" s="1"/>
  <c r="G777" i="7"/>
  <c r="I777" i="7" s="1"/>
  <c r="G778" i="7"/>
  <c r="I778" i="7" s="1"/>
  <c r="G779" i="7"/>
  <c r="I779" i="7" s="1"/>
  <c r="G780" i="7"/>
  <c r="I780" i="7" s="1"/>
  <c r="G781" i="7"/>
  <c r="I781" i="7" s="1"/>
  <c r="G782" i="7"/>
  <c r="I782" i="7" s="1"/>
  <c r="G783" i="7"/>
  <c r="I783" i="7" s="1"/>
  <c r="G784" i="7"/>
  <c r="I784" i="7" s="1"/>
  <c r="G785" i="7"/>
  <c r="I785" i="7" s="1"/>
  <c r="G786" i="7"/>
  <c r="I786" i="7" s="1"/>
  <c r="G787" i="7"/>
  <c r="I787" i="7" s="1"/>
  <c r="G788" i="7"/>
  <c r="I788" i="7" s="1"/>
  <c r="G789" i="7"/>
  <c r="I789" i="7" s="1"/>
  <c r="G790" i="7"/>
  <c r="I790" i="7" s="1"/>
  <c r="G791" i="7"/>
  <c r="I791" i="7" s="1"/>
  <c r="G792" i="7"/>
  <c r="I792" i="7" s="1"/>
  <c r="G793" i="7"/>
  <c r="I793" i="7" s="1"/>
  <c r="G794" i="7"/>
  <c r="I794" i="7" s="1"/>
  <c r="G795" i="7"/>
  <c r="I795" i="7" s="1"/>
  <c r="G796" i="7"/>
  <c r="I796" i="7" s="1"/>
  <c r="G797" i="7"/>
  <c r="I797" i="7" s="1"/>
  <c r="G798" i="7"/>
  <c r="I798" i="7" s="1"/>
  <c r="G799" i="7"/>
  <c r="I799" i="7" s="1"/>
  <c r="G800" i="7"/>
  <c r="I800" i="7" s="1"/>
  <c r="G801" i="7"/>
  <c r="I801" i="7" s="1"/>
  <c r="G802" i="7"/>
  <c r="I802" i="7" s="1"/>
  <c r="G803" i="7"/>
  <c r="I803" i="7" s="1"/>
  <c r="G804" i="7"/>
  <c r="I804" i="7" s="1"/>
  <c r="G805" i="7"/>
  <c r="I805" i="7" s="1"/>
  <c r="G806" i="7"/>
  <c r="I806" i="7" s="1"/>
  <c r="G807" i="7"/>
  <c r="I807" i="7" s="1"/>
  <c r="G808" i="7"/>
  <c r="I808" i="7" s="1"/>
  <c r="G809" i="7"/>
  <c r="I809" i="7" s="1"/>
  <c r="G810" i="7"/>
  <c r="I810" i="7" s="1"/>
  <c r="G811" i="7"/>
  <c r="I811" i="7" s="1"/>
  <c r="G812" i="7"/>
  <c r="I812" i="7" s="1"/>
  <c r="G813" i="7"/>
  <c r="I813" i="7" s="1"/>
  <c r="G814" i="7"/>
  <c r="I814" i="7" s="1"/>
  <c r="G815" i="7"/>
  <c r="I815" i="7" s="1"/>
  <c r="G816" i="7"/>
  <c r="I816" i="7" s="1"/>
  <c r="G817" i="7"/>
  <c r="I817" i="7" s="1"/>
  <c r="G818" i="7"/>
  <c r="I818" i="7" s="1"/>
  <c r="G819" i="7"/>
  <c r="I819" i="7" s="1"/>
  <c r="G820" i="7"/>
  <c r="I820" i="7" s="1"/>
  <c r="G821" i="7"/>
  <c r="I821" i="7" s="1"/>
  <c r="G822" i="7"/>
  <c r="I822" i="7" s="1"/>
  <c r="G823" i="7"/>
  <c r="I823" i="7" s="1"/>
  <c r="G824" i="7"/>
  <c r="I824" i="7" s="1"/>
  <c r="G825" i="7"/>
  <c r="I825" i="7" s="1"/>
  <c r="G826" i="7"/>
  <c r="I826" i="7" s="1"/>
  <c r="G827" i="7"/>
  <c r="I827" i="7" s="1"/>
  <c r="G828" i="7"/>
  <c r="I828" i="7" s="1"/>
  <c r="G829" i="7"/>
  <c r="I829" i="7" s="1"/>
  <c r="G830" i="7"/>
  <c r="I830" i="7" s="1"/>
  <c r="G831" i="7"/>
  <c r="I831" i="7" s="1"/>
  <c r="G832" i="7"/>
  <c r="I832" i="7" s="1"/>
  <c r="G833" i="7"/>
  <c r="I833" i="7" s="1"/>
  <c r="G834" i="7"/>
  <c r="I834" i="7" s="1"/>
  <c r="G835" i="7"/>
  <c r="I835" i="7" s="1"/>
  <c r="G2" i="7"/>
  <c r="I2" i="7" s="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2" i="11"/>
  <c r="H2" i="11" s="1"/>
  <c r="D835" i="7"/>
  <c r="D834" i="7"/>
  <c r="E834" i="7" s="1"/>
  <c r="D833" i="7"/>
  <c r="E833" i="7" s="1"/>
  <c r="D832" i="7"/>
  <c r="E832" i="7" s="1"/>
  <c r="D831" i="7"/>
  <c r="E831" i="7" s="1"/>
  <c r="D830" i="7"/>
  <c r="E830" i="7" s="1"/>
  <c r="D829" i="7"/>
  <c r="E829" i="7" s="1"/>
  <c r="D369" i="7"/>
  <c r="E369" i="7" s="1"/>
  <c r="D287" i="7"/>
  <c r="E287" i="7" s="1"/>
  <c r="D235" i="7"/>
  <c r="E235" i="7" s="1"/>
  <c r="D290" i="7"/>
  <c r="E290" i="7" s="1"/>
  <c r="D764" i="7"/>
  <c r="E764" i="7" s="1"/>
  <c r="D485" i="7"/>
  <c r="E485" i="7" s="1"/>
  <c r="D559" i="7"/>
  <c r="E559" i="7" s="1"/>
  <c r="D328" i="7"/>
  <c r="E328" i="7" s="1"/>
  <c r="D696" i="7"/>
  <c r="E696" i="7" s="1"/>
  <c r="D192" i="7"/>
  <c r="E192" i="7" s="1"/>
  <c r="D227" i="7"/>
  <c r="E227" i="7" s="1"/>
  <c r="D304" i="7"/>
  <c r="E304" i="7" s="1"/>
  <c r="D668" i="7"/>
  <c r="E668" i="7" s="1"/>
  <c r="D401" i="7"/>
  <c r="E401" i="7" s="1"/>
  <c r="D223" i="7"/>
  <c r="E223" i="7" s="1"/>
  <c r="D653" i="7"/>
  <c r="E653" i="7" s="1"/>
  <c r="D534" i="7"/>
  <c r="E534" i="7" s="1"/>
  <c r="D540" i="7"/>
  <c r="E540" i="7" s="1"/>
  <c r="D634" i="7"/>
  <c r="E634" i="7" s="1"/>
  <c r="D476" i="7"/>
  <c r="E476" i="7" s="1"/>
  <c r="D752" i="7"/>
  <c r="E752" i="7" s="1"/>
  <c r="D344" i="7"/>
  <c r="E344" i="7" s="1"/>
  <c r="D407" i="7"/>
  <c r="E407" i="7" s="1"/>
  <c r="D479" i="7"/>
  <c r="E479" i="7" s="1"/>
  <c r="D492" i="7"/>
  <c r="E492" i="7" s="1"/>
  <c r="D242" i="7"/>
  <c r="E242" i="7" s="1"/>
  <c r="D195" i="7"/>
  <c r="E195" i="7" s="1"/>
  <c r="D158" i="7"/>
  <c r="E158" i="7" s="1"/>
  <c r="D43" i="7"/>
  <c r="E43" i="7" s="1"/>
  <c r="D419" i="7"/>
  <c r="E419" i="7" s="1"/>
  <c r="D553" i="7"/>
  <c r="E553" i="7" s="1"/>
  <c r="D536" i="7"/>
  <c r="E536" i="7" s="1"/>
  <c r="D522" i="7"/>
  <c r="E522" i="7" s="1"/>
  <c r="D270" i="7"/>
  <c r="E270" i="7" s="1"/>
  <c r="D283" i="7"/>
  <c r="E283" i="7" s="1"/>
  <c r="D28" i="7"/>
  <c r="E28" i="7" s="1"/>
  <c r="D193" i="7"/>
  <c r="E193" i="7" s="1"/>
  <c r="D498" i="7"/>
  <c r="E498" i="7" s="1"/>
  <c r="D657" i="7"/>
  <c r="E657" i="7" s="1"/>
  <c r="D520" i="7"/>
  <c r="E520" i="7" s="1"/>
  <c r="D565" i="7"/>
  <c r="E565" i="7" s="1"/>
  <c r="D400" i="7"/>
  <c r="E400" i="7" s="1"/>
  <c r="D317" i="7"/>
  <c r="E317" i="7" s="1"/>
  <c r="D444" i="7"/>
  <c r="E444" i="7" s="1"/>
  <c r="D434" i="7"/>
  <c r="E434" i="7" s="1"/>
  <c r="D295" i="7"/>
  <c r="E295" i="7" s="1"/>
  <c r="D355" i="7"/>
  <c r="E355" i="7" s="1"/>
  <c r="D654" i="7"/>
  <c r="E654" i="7" s="1"/>
  <c r="D548" i="7"/>
  <c r="E548" i="7" s="1"/>
  <c r="D257" i="7"/>
  <c r="E257" i="7" s="1"/>
  <c r="D455" i="7"/>
  <c r="E455" i="7" s="1"/>
  <c r="D474" i="7"/>
  <c r="E474" i="7" s="1"/>
  <c r="D356" i="7"/>
  <c r="E356" i="7" s="1"/>
  <c r="D359" i="7"/>
  <c r="E359" i="7" s="1"/>
  <c r="D561" i="7"/>
  <c r="E561" i="7" s="1"/>
  <c r="D153" i="7"/>
  <c r="E153" i="7" s="1"/>
  <c r="D284" i="7"/>
  <c r="E284" i="7" s="1"/>
  <c r="D267" i="7"/>
  <c r="E267" i="7" s="1"/>
  <c r="D131" i="7"/>
  <c r="E131" i="7" s="1"/>
  <c r="D77" i="7"/>
  <c r="E77" i="7" s="1"/>
  <c r="D217" i="7"/>
  <c r="E217" i="7" s="1"/>
  <c r="D233" i="7"/>
  <c r="E233" i="7" s="1"/>
  <c r="D30" i="7"/>
  <c r="E30" i="7" s="1"/>
  <c r="D106" i="7"/>
  <c r="E106" i="7" s="1"/>
  <c r="D76" i="7"/>
  <c r="E76" i="7" s="1"/>
  <c r="D70" i="7"/>
  <c r="E70" i="7" s="1"/>
  <c r="D44" i="7"/>
  <c r="E44" i="7" s="1"/>
  <c r="D8" i="7"/>
  <c r="E8" i="7" s="1"/>
  <c r="D89" i="7"/>
  <c r="E89" i="7" s="1"/>
  <c r="D35" i="7"/>
  <c r="E35" i="7" s="1"/>
  <c r="D72" i="7"/>
  <c r="E72" i="7" s="1"/>
  <c r="D151" i="7"/>
  <c r="E151" i="7" s="1"/>
  <c r="D63" i="7"/>
  <c r="E63" i="7" s="1"/>
  <c r="D170" i="7"/>
  <c r="E170" i="7" s="1"/>
  <c r="D92" i="7"/>
  <c r="E92" i="7" s="1"/>
  <c r="D362" i="7"/>
  <c r="E362" i="7" s="1"/>
  <c r="D198" i="7"/>
  <c r="E198" i="7" s="1"/>
  <c r="D129" i="7"/>
  <c r="E129" i="7" s="1"/>
  <c r="D276" i="7"/>
  <c r="E276" i="7" s="1"/>
  <c r="D252" i="7"/>
  <c r="E252" i="7" s="1"/>
  <c r="D226" i="7"/>
  <c r="E226" i="7" s="1"/>
  <c r="D174" i="7"/>
  <c r="E174" i="7" s="1"/>
  <c r="D210" i="7"/>
  <c r="E210" i="7" s="1"/>
  <c r="D160" i="7"/>
  <c r="E160" i="7" s="1"/>
  <c r="D218" i="7"/>
  <c r="E218" i="7" s="1"/>
  <c r="D157" i="7"/>
  <c r="E157" i="7" s="1"/>
  <c r="D104" i="7"/>
  <c r="E104" i="7" s="1"/>
  <c r="D718" i="7"/>
  <c r="E718" i="7" s="1"/>
  <c r="D395" i="7"/>
  <c r="E395" i="7" s="1"/>
  <c r="D4" i="7"/>
  <c r="E4" i="7" s="1"/>
  <c r="D659" i="7"/>
  <c r="E659" i="7" s="1"/>
  <c r="D591" i="7"/>
  <c r="E591" i="7" s="1"/>
  <c r="D691" i="7"/>
  <c r="E691" i="7" s="1"/>
  <c r="D323" i="7"/>
  <c r="E323" i="7" s="1"/>
  <c r="D75" i="7"/>
  <c r="E75" i="7" s="1"/>
  <c r="D475" i="7"/>
  <c r="E475" i="7" s="1"/>
  <c r="D33" i="7"/>
  <c r="E33" i="7" s="1"/>
  <c r="D568" i="7"/>
  <c r="E568" i="7" s="1"/>
  <c r="D12" i="7"/>
  <c r="E12" i="7" s="1"/>
  <c r="D279" i="7"/>
  <c r="E279" i="7" s="1"/>
  <c r="D100" i="7"/>
  <c r="E100" i="7" s="1"/>
  <c r="D509" i="7"/>
  <c r="E509" i="7" s="1"/>
  <c r="D114" i="7"/>
  <c r="E114" i="7" s="1"/>
  <c r="D186" i="7"/>
  <c r="E186" i="7" s="1"/>
  <c r="D463" i="7"/>
  <c r="E463" i="7" s="1"/>
  <c r="D51" i="7"/>
  <c r="E51" i="7" s="1"/>
  <c r="D431" i="7"/>
  <c r="E431" i="7" s="1"/>
  <c r="D326" i="7"/>
  <c r="E326" i="7" s="1"/>
  <c r="D41" i="7"/>
  <c r="E41" i="7" s="1"/>
  <c r="D660" i="7"/>
  <c r="E660" i="7" s="1"/>
  <c r="D603" i="7"/>
  <c r="E603" i="7" s="1"/>
  <c r="D571" i="7"/>
  <c r="E571" i="7" s="1"/>
  <c r="D229" i="7"/>
  <c r="E229" i="7" s="1"/>
  <c r="D329" i="7"/>
  <c r="E329" i="7" s="1"/>
  <c r="D18" i="7"/>
  <c r="E18" i="7" s="1"/>
  <c r="D102" i="7"/>
  <c r="E102" i="7" s="1"/>
  <c r="D682" i="7"/>
  <c r="E682" i="7" s="1"/>
  <c r="D2" i="7"/>
  <c r="E2" i="7" s="1"/>
  <c r="D738" i="7"/>
  <c r="E738" i="7" s="1"/>
  <c r="D271" i="7"/>
  <c r="E271" i="7" s="1"/>
  <c r="D263" i="7"/>
  <c r="E263" i="7" s="1"/>
  <c r="D487" i="7"/>
  <c r="E487" i="7" s="1"/>
  <c r="D118" i="7"/>
  <c r="E118" i="7" s="1"/>
  <c r="D414" i="7"/>
  <c r="E414" i="7" s="1"/>
  <c r="D306" i="7"/>
  <c r="E306" i="7" s="1"/>
  <c r="D470" i="7"/>
  <c r="E470" i="7" s="1"/>
  <c r="D116" i="7"/>
  <c r="E116" i="7" s="1"/>
  <c r="D551" i="7"/>
  <c r="E551" i="7" s="1"/>
  <c r="D501" i="7"/>
  <c r="E501" i="7" s="1"/>
  <c r="D537" i="7"/>
  <c r="E537" i="7" s="1"/>
  <c r="D386" i="7"/>
  <c r="E386" i="7" s="1"/>
  <c r="D141" i="7"/>
  <c r="E141" i="7" s="1"/>
  <c r="D173" i="7"/>
  <c r="E173" i="7" s="1"/>
  <c r="D144" i="7"/>
  <c r="E144" i="7" s="1"/>
  <c r="D420" i="7"/>
  <c r="E420" i="7" s="1"/>
  <c r="D246" i="7"/>
  <c r="E246" i="7" s="1"/>
  <c r="D133" i="7"/>
  <c r="E133" i="7" s="1"/>
  <c r="D542" i="7"/>
  <c r="E542" i="7" s="1"/>
  <c r="D417" i="7"/>
  <c r="E417" i="7" s="1"/>
  <c r="D143" i="7"/>
  <c r="E143" i="7" s="1"/>
  <c r="D437" i="7"/>
  <c r="E437" i="7" s="1"/>
  <c r="D335" i="7"/>
  <c r="E335" i="7" s="1"/>
  <c r="D648" i="7"/>
  <c r="E648" i="7" s="1"/>
  <c r="D546" i="7"/>
  <c r="E546" i="7" s="1"/>
  <c r="D666" i="7"/>
  <c r="E666" i="7" s="1"/>
  <c r="D278" i="7"/>
  <c r="E278" i="7" s="1"/>
  <c r="D436" i="7"/>
  <c r="E436" i="7" s="1"/>
  <c r="D471" i="7"/>
  <c r="E471" i="7" s="1"/>
  <c r="D181" i="7"/>
  <c r="E181" i="7" s="1"/>
  <c r="D167" i="7"/>
  <c r="E167" i="7" s="1"/>
  <c r="D71" i="7"/>
  <c r="E71" i="7" s="1"/>
  <c r="D154" i="7"/>
  <c r="E154" i="7" s="1"/>
  <c r="D105" i="7"/>
  <c r="E105" i="7" s="1"/>
  <c r="D433" i="7"/>
  <c r="E433" i="7" s="1"/>
  <c r="D452" i="7"/>
  <c r="E452" i="7" s="1"/>
  <c r="D389" i="7"/>
  <c r="E389" i="7" s="1"/>
  <c r="D590" i="7"/>
  <c r="E590" i="7" s="1"/>
  <c r="D588" i="7"/>
  <c r="E588" i="7" s="1"/>
  <c r="D593" i="7"/>
  <c r="E593" i="7" s="1"/>
  <c r="D610" i="7"/>
  <c r="E610" i="7" s="1"/>
  <c r="D625" i="7"/>
  <c r="E625" i="7" s="1"/>
  <c r="D557" i="7"/>
  <c r="E557" i="7" s="1"/>
  <c r="D478" i="7"/>
  <c r="E478" i="7" s="1"/>
  <c r="D728" i="7"/>
  <c r="E728" i="7" s="1"/>
  <c r="D761" i="7"/>
  <c r="E761" i="7" s="1"/>
  <c r="D490" i="7"/>
  <c r="E490" i="7" s="1"/>
  <c r="D460" i="7"/>
  <c r="E460" i="7" s="1"/>
  <c r="D358" i="7"/>
  <c r="E358" i="7" s="1"/>
  <c r="D770" i="7"/>
  <c r="E770" i="7" s="1"/>
  <c r="D517" i="7"/>
  <c r="E517" i="7" s="1"/>
  <c r="D464" i="7"/>
  <c r="E464" i="7" s="1"/>
  <c r="D291" i="7"/>
  <c r="E291" i="7" s="1"/>
  <c r="D424" i="7"/>
  <c r="E424" i="7" s="1"/>
  <c r="D381" i="7"/>
  <c r="E381" i="7" s="1"/>
  <c r="D739" i="7"/>
  <c r="E739" i="7" s="1"/>
  <c r="D785" i="7"/>
  <c r="E785" i="7" s="1"/>
  <c r="D786" i="7"/>
  <c r="E786" i="7" s="1"/>
  <c r="D799" i="7"/>
  <c r="E799" i="7" s="1"/>
  <c r="D802" i="7"/>
  <c r="E802" i="7" s="1"/>
  <c r="D824" i="7"/>
  <c r="E824" i="7" s="1"/>
  <c r="D796" i="7"/>
  <c r="E796" i="7" s="1"/>
  <c r="D705" i="7"/>
  <c r="E705" i="7" s="1"/>
  <c r="D750" i="7"/>
  <c r="E750" i="7" s="1"/>
  <c r="D512" i="7"/>
  <c r="E512" i="7" s="1"/>
  <c r="D567" i="7"/>
  <c r="E567" i="7" s="1"/>
  <c r="D600" i="7"/>
  <c r="E600" i="7" s="1"/>
  <c r="D645" i="7"/>
  <c r="E645" i="7" s="1"/>
  <c r="D699" i="7"/>
  <c r="E699" i="7" s="1"/>
  <c r="D554" i="7"/>
  <c r="E554" i="7" s="1"/>
  <c r="D309" i="7"/>
  <c r="E309" i="7" s="1"/>
  <c r="D644" i="7"/>
  <c r="E644" i="7" s="1"/>
  <c r="D594" i="7"/>
  <c r="E594" i="7" s="1"/>
  <c r="D383" i="7"/>
  <c r="E383" i="7" s="1"/>
  <c r="D685" i="7"/>
  <c r="E685" i="7" s="1"/>
  <c r="D818" i="7"/>
  <c r="E818" i="7" s="1"/>
  <c r="D801" i="7"/>
  <c r="E801" i="7" s="1"/>
  <c r="D468" i="7"/>
  <c r="E468" i="7" s="1"/>
  <c r="D633" i="7"/>
  <c r="E633" i="7" s="1"/>
  <c r="D510" i="7"/>
  <c r="E510" i="7" s="1"/>
  <c r="D528" i="7"/>
  <c r="E528" i="7" s="1"/>
  <c r="D258" i="7"/>
  <c r="E258" i="7" s="1"/>
  <c r="D348" i="7"/>
  <c r="E348" i="7" s="1"/>
  <c r="D80" i="7"/>
  <c r="E80" i="7" s="1"/>
  <c r="D9" i="7"/>
  <c r="E9" i="7" s="1"/>
  <c r="D232" i="7"/>
  <c r="E232" i="7" s="1"/>
  <c r="D438" i="7"/>
  <c r="E438" i="7" s="1"/>
  <c r="D678" i="7"/>
  <c r="E678" i="7" s="1"/>
  <c r="D368" i="7"/>
  <c r="E368" i="7" s="1"/>
  <c r="D339" i="7"/>
  <c r="E339" i="7" s="1"/>
  <c r="D86" i="7"/>
  <c r="E86" i="7" s="1"/>
  <c r="D606" i="7"/>
  <c r="E606" i="7" s="1"/>
  <c r="D684" i="7"/>
  <c r="E684" i="7" s="1"/>
  <c r="D828" i="7"/>
  <c r="E828" i="7" s="1"/>
  <c r="D584" i="7"/>
  <c r="E584" i="7" s="1"/>
  <c r="D481" i="7"/>
  <c r="E481" i="7" s="1"/>
  <c r="D664" i="7"/>
  <c r="E664" i="7" s="1"/>
  <c r="D677" i="7"/>
  <c r="E677" i="7" s="1"/>
  <c r="D599" i="7"/>
  <c r="E599" i="7" s="1"/>
  <c r="D319" i="7"/>
  <c r="E319" i="7" s="1"/>
  <c r="D327" i="7"/>
  <c r="E327" i="7" s="1"/>
  <c r="D496" i="7"/>
  <c r="E496" i="7" s="1"/>
  <c r="D234" i="7"/>
  <c r="E234" i="7" s="1"/>
  <c r="D155" i="7"/>
  <c r="E155" i="7" s="1"/>
  <c r="D275" i="7"/>
  <c r="E275" i="7" s="1"/>
  <c r="D598" i="7"/>
  <c r="E598" i="7" s="1"/>
  <c r="D607" i="7"/>
  <c r="E607" i="7" s="1"/>
  <c r="D686" i="7"/>
  <c r="E686" i="7" s="1"/>
  <c r="D698" i="7"/>
  <c r="E698" i="7" s="1"/>
  <c r="D298" i="7"/>
  <c r="E298" i="7" s="1"/>
  <c r="D96" i="7"/>
  <c r="E96" i="7" s="1"/>
  <c r="D266" i="7"/>
  <c r="E266" i="7" s="1"/>
  <c r="D132" i="7"/>
  <c r="E132" i="7" s="1"/>
  <c r="D110" i="7"/>
  <c r="E110" i="7" s="1"/>
  <c r="D530" i="7"/>
  <c r="E530" i="7" s="1"/>
  <c r="D516" i="7"/>
  <c r="E516" i="7" s="1"/>
  <c r="D646" i="7"/>
  <c r="E646" i="7" s="1"/>
  <c r="D787" i="7"/>
  <c r="E787" i="7" s="1"/>
  <c r="D707" i="7"/>
  <c r="E707" i="7" s="1"/>
  <c r="D308" i="7"/>
  <c r="E308" i="7" s="1"/>
  <c r="D508" i="7"/>
  <c r="E508" i="7" s="1"/>
  <c r="D768" i="7"/>
  <c r="E768" i="7" s="1"/>
  <c r="D775" i="7"/>
  <c r="E775" i="7" s="1"/>
  <c r="D754" i="7"/>
  <c r="E754" i="7" s="1"/>
  <c r="D687" i="7"/>
  <c r="E687" i="7" s="1"/>
  <c r="D345" i="7"/>
  <c r="E345" i="7" s="1"/>
  <c r="D409" i="7"/>
  <c r="E409" i="7" s="1"/>
  <c r="D580" i="7"/>
  <c r="E580" i="7" s="1"/>
  <c r="D473" i="7"/>
  <c r="E473" i="7" s="1"/>
  <c r="D175" i="7"/>
  <c r="E175" i="7" s="1"/>
  <c r="D135" i="7"/>
  <c r="E135" i="7" s="1"/>
  <c r="D207" i="7"/>
  <c r="E207" i="7" s="1"/>
  <c r="D292" i="7"/>
  <c r="E292" i="7" s="1"/>
  <c r="D240" i="7"/>
  <c r="E240" i="7" s="1"/>
  <c r="D376" i="7"/>
  <c r="E376" i="7" s="1"/>
  <c r="D285" i="7"/>
  <c r="E285" i="7" s="1"/>
  <c r="D467" i="7"/>
  <c r="E467" i="7" s="1"/>
  <c r="D538" i="7"/>
  <c r="E538" i="7" s="1"/>
  <c r="D379" i="7"/>
  <c r="E379" i="7" s="1"/>
  <c r="D119" i="7"/>
  <c r="E119" i="7" s="1"/>
  <c r="D147" i="7"/>
  <c r="E147" i="7" s="1"/>
  <c r="D488" i="7"/>
  <c r="E488" i="7" s="1"/>
  <c r="D413" i="7"/>
  <c r="E413" i="7" s="1"/>
  <c r="D453" i="7"/>
  <c r="E453" i="7" s="1"/>
  <c r="D230" i="7"/>
  <c r="E230" i="7" s="1"/>
  <c r="D216" i="7"/>
  <c r="E216" i="7" s="1"/>
  <c r="D103" i="7"/>
  <c r="E103" i="7" s="1"/>
  <c r="D204" i="7"/>
  <c r="E204" i="7" s="1"/>
  <c r="D69" i="7"/>
  <c r="E69" i="7" s="1"/>
  <c r="D166" i="7"/>
  <c r="E166" i="7" s="1"/>
  <c r="D138" i="7"/>
  <c r="E138" i="7" s="1"/>
  <c r="D264" i="7"/>
  <c r="E264" i="7" s="1"/>
  <c r="D817" i="7"/>
  <c r="E817" i="7" s="1"/>
  <c r="D780" i="7"/>
  <c r="E780" i="7" s="1"/>
  <c r="D81" i="7"/>
  <c r="E81" i="7" s="1"/>
  <c r="D161" i="7"/>
  <c r="E161" i="7" s="1"/>
  <c r="D47" i="7"/>
  <c r="E47" i="7" s="1"/>
  <c r="D22" i="7"/>
  <c r="E22" i="7" s="1"/>
  <c r="D36" i="7"/>
  <c r="E36" i="7" s="1"/>
  <c r="D64" i="7"/>
  <c r="E64" i="7" s="1"/>
  <c r="D182" i="7"/>
  <c r="E182" i="7" s="1"/>
  <c r="D781" i="7"/>
  <c r="E781" i="7" s="1"/>
  <c r="D145" i="7"/>
  <c r="E145" i="7" s="1"/>
  <c r="D26" i="7"/>
  <c r="E26" i="7" s="1"/>
  <c r="D84" i="7"/>
  <c r="E84" i="7" s="1"/>
  <c r="D66" i="7"/>
  <c r="E66" i="7" s="1"/>
  <c r="D79" i="7"/>
  <c r="E79" i="7" s="1"/>
  <c r="D87" i="7"/>
  <c r="E87" i="7" s="1"/>
  <c r="D15" i="7"/>
  <c r="E15" i="7" s="1"/>
  <c r="D810" i="7"/>
  <c r="E810" i="7" s="1"/>
  <c r="D117" i="7"/>
  <c r="E117" i="7" s="1"/>
  <c r="D32" i="7"/>
  <c r="E32" i="7" s="1"/>
  <c r="D21" i="7"/>
  <c r="E21" i="7" s="1"/>
  <c r="D60" i="7"/>
  <c r="E60" i="7" s="1"/>
  <c r="D93" i="7"/>
  <c r="E93" i="7" s="1"/>
  <c r="D38" i="7"/>
  <c r="E38" i="7" s="1"/>
  <c r="D122" i="7"/>
  <c r="E122" i="7" s="1"/>
  <c r="D650" i="7"/>
  <c r="E650" i="7" s="1"/>
  <c r="D791" i="7"/>
  <c r="E791" i="7" s="1"/>
  <c r="D7" i="7"/>
  <c r="E7" i="7" s="1"/>
  <c r="D17" i="7"/>
  <c r="E17" i="7" s="1"/>
  <c r="D50" i="7"/>
  <c r="E50" i="7" s="1"/>
  <c r="D16" i="7"/>
  <c r="E16" i="7" s="1"/>
  <c r="D31" i="7"/>
  <c r="E31" i="7" s="1"/>
  <c r="D6" i="7"/>
  <c r="E6" i="7" s="1"/>
  <c r="D819" i="7"/>
  <c r="E819" i="7" s="1"/>
  <c r="D11" i="7"/>
  <c r="E11" i="7" s="1"/>
  <c r="D827" i="7"/>
  <c r="E827" i="7" s="1"/>
  <c r="D187" i="7"/>
  <c r="E187" i="7" s="1"/>
  <c r="D73" i="7"/>
  <c r="E73" i="7" s="1"/>
  <c r="D29" i="7"/>
  <c r="E29" i="7" s="1"/>
  <c r="D14" i="7"/>
  <c r="E14" i="7" s="1"/>
  <c r="D27" i="7"/>
  <c r="E27" i="7" s="1"/>
  <c r="D789" i="7"/>
  <c r="E789" i="7" s="1"/>
  <c r="D762" i="7"/>
  <c r="E762" i="7" s="1"/>
  <c r="D563" i="7"/>
  <c r="E563" i="7" s="1"/>
  <c r="D784" i="7"/>
  <c r="E784" i="7" s="1"/>
  <c r="D745" i="7"/>
  <c r="E745" i="7" s="1"/>
  <c r="D769" i="7"/>
  <c r="E769" i="7" s="1"/>
  <c r="D421" i="7"/>
  <c r="E421" i="7" s="1"/>
  <c r="D792" i="7"/>
  <c r="E792" i="7" s="1"/>
  <c r="D622" i="7"/>
  <c r="E622" i="7" s="1"/>
  <c r="D423" i="7"/>
  <c r="E423" i="7" s="1"/>
  <c r="D228" i="7"/>
  <c r="E228" i="7" s="1"/>
  <c r="D743" i="7"/>
  <c r="E743" i="7" s="1"/>
  <c r="D729" i="7"/>
  <c r="E729" i="7" s="1"/>
  <c r="D753" i="7"/>
  <c r="E753" i="7" s="1"/>
  <c r="D614" i="7"/>
  <c r="E614" i="7" s="1"/>
  <c r="D333" i="7"/>
  <c r="E333" i="7" s="1"/>
  <c r="D208" i="7"/>
  <c r="E208" i="7" s="1"/>
  <c r="D384" i="7"/>
  <c r="E384" i="7" s="1"/>
  <c r="D477" i="7"/>
  <c r="E477" i="7" s="1"/>
  <c r="D377" i="7"/>
  <c r="E377" i="7" s="1"/>
  <c r="D357" i="7"/>
  <c r="E357" i="7" s="1"/>
  <c r="D547" i="7"/>
  <c r="E547" i="7" s="1"/>
  <c r="D334" i="7"/>
  <c r="E334" i="7" s="1"/>
  <c r="D497" i="7"/>
  <c r="E497" i="7" s="1"/>
  <c r="D632" i="7"/>
  <c r="E632" i="7" s="1"/>
  <c r="D505" i="7"/>
  <c r="E505" i="7" s="1"/>
  <c r="D429" i="7"/>
  <c r="E429" i="7" s="1"/>
  <c r="D314" i="7"/>
  <c r="E314" i="7" s="1"/>
  <c r="D524" i="7"/>
  <c r="E524" i="7" s="1"/>
  <c r="D570" i="7"/>
  <c r="E570" i="7" s="1"/>
  <c r="D531" i="7"/>
  <c r="E531" i="7" s="1"/>
  <c r="D378" i="7"/>
  <c r="E378" i="7" s="1"/>
  <c r="D324" i="7"/>
  <c r="E324" i="7" s="1"/>
  <c r="D641" i="7"/>
  <c r="E641" i="7" s="1"/>
  <c r="D535" i="7"/>
  <c r="E535" i="7" s="1"/>
  <c r="D771" i="7"/>
  <c r="E771" i="7" s="1"/>
  <c r="D670" i="7"/>
  <c r="E670" i="7" s="1"/>
  <c r="D671" i="7"/>
  <c r="E671" i="7" s="1"/>
  <c r="D398" i="7"/>
  <c r="E398" i="7" s="1"/>
  <c r="D411" i="7"/>
  <c r="E411" i="7" s="1"/>
  <c r="D592" i="7"/>
  <c r="E592" i="7" s="1"/>
  <c r="D514" i="7"/>
  <c r="E514" i="7" s="1"/>
  <c r="D315" i="7"/>
  <c r="E315" i="7" s="1"/>
  <c r="D674" i="7"/>
  <c r="E674" i="7" s="1"/>
  <c r="D533" i="7"/>
  <c r="E533" i="7" s="1"/>
  <c r="D450" i="7"/>
  <c r="E450" i="7" s="1"/>
  <c r="D206" i="7"/>
  <c r="E206" i="7" s="1"/>
  <c r="D68" i="7"/>
  <c r="E68" i="7" s="1"/>
  <c r="D342" i="7"/>
  <c r="E342" i="7" s="1"/>
  <c r="D385" i="7"/>
  <c r="E385" i="7" s="1"/>
  <c r="D288" i="7"/>
  <c r="E288" i="7" s="1"/>
  <c r="D643" i="7"/>
  <c r="E643" i="7" s="1"/>
  <c r="D647" i="7"/>
  <c r="E647" i="7" s="1"/>
  <c r="D701" i="7"/>
  <c r="E701" i="7" s="1"/>
  <c r="D265" i="7"/>
  <c r="E265" i="7" s="1"/>
  <c r="D456" i="7"/>
  <c r="E456" i="7" s="1"/>
  <c r="D239" i="7"/>
  <c r="E239" i="7" s="1"/>
  <c r="D325" i="7"/>
  <c r="E325" i="7" s="1"/>
  <c r="D360" i="7"/>
  <c r="E360" i="7" s="1"/>
  <c r="D396" i="7"/>
  <c r="E396" i="7" s="1"/>
  <c r="D629" i="7"/>
  <c r="E629" i="7" s="1"/>
  <c r="D519" i="7"/>
  <c r="E519" i="7" s="1"/>
  <c r="D692" i="7"/>
  <c r="E692" i="7" s="1"/>
  <c r="D399" i="7"/>
  <c r="E399" i="7" s="1"/>
  <c r="D518" i="7"/>
  <c r="E518" i="7" s="1"/>
  <c r="D405" i="7"/>
  <c r="E405" i="7" s="1"/>
  <c r="D683" i="7"/>
  <c r="E683" i="7" s="1"/>
  <c r="D375" i="7"/>
  <c r="E375" i="7" s="1"/>
  <c r="D241" i="7"/>
  <c r="E241" i="7" s="1"/>
  <c r="D299" i="7"/>
  <c r="E299" i="7" s="1"/>
  <c r="D597" i="7"/>
  <c r="E597" i="7" s="1"/>
  <c r="D638" i="7"/>
  <c r="E638" i="7" s="1"/>
  <c r="D711" i="7"/>
  <c r="E711" i="7" s="1"/>
  <c r="D564" i="7"/>
  <c r="E564" i="7" s="1"/>
  <c r="D741" i="7"/>
  <c r="E741" i="7" s="1"/>
  <c r="D760" i="7"/>
  <c r="E760" i="7" s="1"/>
  <c r="D527" i="7"/>
  <c r="E527" i="7" s="1"/>
  <c r="D758" i="7"/>
  <c r="E758" i="7" s="1"/>
  <c r="D726" i="7"/>
  <c r="E726" i="7" s="1"/>
  <c r="D353" i="7"/>
  <c r="E353" i="7" s="1"/>
  <c r="D675" i="7"/>
  <c r="E675" i="7" s="1"/>
  <c r="D767" i="7"/>
  <c r="E767" i="7" s="1"/>
  <c r="D635" i="7"/>
  <c r="E635" i="7" s="1"/>
  <c r="D794" i="7"/>
  <c r="E794" i="7" s="1"/>
  <c r="D716" i="7"/>
  <c r="E716" i="7" s="1"/>
  <c r="D529" i="7"/>
  <c r="E529" i="7" s="1"/>
  <c r="D617" i="7"/>
  <c r="E617" i="7" s="1"/>
  <c r="D380" i="7"/>
  <c r="E380" i="7" s="1"/>
  <c r="D426" i="7"/>
  <c r="E426" i="7" s="1"/>
  <c r="D608" i="7"/>
  <c r="E608" i="7" s="1"/>
  <c r="D575" i="7"/>
  <c r="E575" i="7" s="1"/>
  <c r="D800" i="7"/>
  <c r="E800" i="7" s="1"/>
  <c r="D804" i="7"/>
  <c r="E804" i="7" s="1"/>
  <c r="D759" i="7"/>
  <c r="E759" i="7" s="1"/>
  <c r="D772" i="7"/>
  <c r="E772" i="7" s="1"/>
  <c r="D803" i="7"/>
  <c r="E803" i="7" s="1"/>
  <c r="D808" i="7"/>
  <c r="E808" i="7" s="1"/>
  <c r="D150" i="7"/>
  <c r="E150" i="7" s="1"/>
  <c r="D243" i="7"/>
  <c r="E243" i="7" s="1"/>
  <c r="D532" i="7"/>
  <c r="E532" i="7" s="1"/>
  <c r="D194" i="7"/>
  <c r="E194" i="7" s="1"/>
  <c r="D388" i="7"/>
  <c r="E388" i="7" s="1"/>
  <c r="D168" i="7"/>
  <c r="E168" i="7" s="1"/>
  <c r="D406" i="7"/>
  <c r="E406" i="7" s="1"/>
  <c r="D337" i="7"/>
  <c r="E337" i="7" s="1"/>
  <c r="D427" i="7"/>
  <c r="E427" i="7" s="1"/>
  <c r="D578" i="7"/>
  <c r="E578" i="7" s="1"/>
  <c r="D604" i="7"/>
  <c r="E604" i="7" s="1"/>
  <c r="D371" i="7"/>
  <c r="E371" i="7" s="1"/>
  <c r="D416" i="7"/>
  <c r="E416" i="7" s="1"/>
  <c r="D268" i="7"/>
  <c r="E268" i="7" s="1"/>
  <c r="D755" i="7"/>
  <c r="E755" i="7" s="1"/>
  <c r="D447" i="7"/>
  <c r="E447" i="7" s="1"/>
  <c r="D212" i="7"/>
  <c r="E212" i="7" s="1"/>
  <c r="D662" i="7"/>
  <c r="E662" i="7" s="1"/>
  <c r="D574" i="7"/>
  <c r="E574" i="7" s="1"/>
  <c r="D458" i="7"/>
  <c r="E458" i="7" s="1"/>
  <c r="D717" i="7"/>
  <c r="E717" i="7" s="1"/>
  <c r="D363" i="7"/>
  <c r="E363" i="7" s="1"/>
  <c r="D669" i="7"/>
  <c r="E669" i="7" s="1"/>
  <c r="D489" i="7"/>
  <c r="E489" i="7" s="1"/>
  <c r="D302" i="7"/>
  <c r="E302" i="7" s="1"/>
  <c r="D714" i="7"/>
  <c r="E714" i="7" s="1"/>
  <c r="D756" i="7"/>
  <c r="E756" i="7" s="1"/>
  <c r="D573" i="7"/>
  <c r="E573" i="7" s="1"/>
  <c r="D585" i="7"/>
  <c r="E585" i="7" s="1"/>
  <c r="D690" i="7"/>
  <c r="E690" i="7" s="1"/>
  <c r="D397" i="7"/>
  <c r="E397" i="7" s="1"/>
  <c r="D331" i="7"/>
  <c r="E331" i="7" s="1"/>
  <c r="D410" i="7"/>
  <c r="E410" i="7" s="1"/>
  <c r="D562" i="7"/>
  <c r="E562" i="7" s="1"/>
  <c r="D715" i="7"/>
  <c r="E715" i="7" s="1"/>
  <c r="D365" i="7"/>
  <c r="E365" i="7" s="1"/>
  <c r="D351" i="7"/>
  <c r="E351" i="7" s="1"/>
  <c r="D272" i="7"/>
  <c r="E272" i="7" s="1"/>
  <c r="D486" i="7"/>
  <c r="E486" i="7" s="1"/>
  <c r="D255" i="7"/>
  <c r="E255" i="7" s="1"/>
  <c r="D448" i="7"/>
  <c r="E448" i="7" s="1"/>
  <c r="D826" i="7"/>
  <c r="E826" i="7" s="1"/>
  <c r="D57" i="7"/>
  <c r="E57" i="7" s="1"/>
  <c r="D61" i="7"/>
  <c r="E61" i="7" s="1"/>
  <c r="D245" i="7"/>
  <c r="E245" i="7" s="1"/>
  <c r="D127" i="7"/>
  <c r="E127" i="7" s="1"/>
  <c r="D45" i="7"/>
  <c r="E45" i="7" s="1"/>
  <c r="D172" i="7"/>
  <c r="E172" i="7" s="1"/>
  <c r="D541" i="7"/>
  <c r="E541" i="7" s="1"/>
  <c r="D83" i="7"/>
  <c r="E83" i="7" s="1"/>
  <c r="D78" i="7"/>
  <c r="E78" i="7" s="1"/>
  <c r="D42" i="7"/>
  <c r="E42" i="7" s="1"/>
  <c r="D101" i="7"/>
  <c r="E101" i="7" s="1"/>
  <c r="D53" i="7"/>
  <c r="E53" i="7" s="1"/>
  <c r="D162" i="7"/>
  <c r="E162" i="7" s="1"/>
  <c r="D164" i="7"/>
  <c r="E164" i="7" s="1"/>
  <c r="D134" i="7"/>
  <c r="E134" i="7" s="1"/>
  <c r="D52" i="7"/>
  <c r="E52" i="7" s="1"/>
  <c r="D120" i="7"/>
  <c r="E120" i="7" s="1"/>
  <c r="D62" i="7"/>
  <c r="E62" i="7" s="1"/>
  <c r="D736" i="7"/>
  <c r="E736" i="7" s="1"/>
  <c r="D667" i="7"/>
  <c r="E667" i="7" s="1"/>
  <c r="D148" i="7"/>
  <c r="E148" i="7" s="1"/>
  <c r="D459" i="7"/>
  <c r="E459" i="7" s="1"/>
  <c r="D169" i="7"/>
  <c r="E169" i="7" s="1"/>
  <c r="D480" i="7"/>
  <c r="E480" i="7" s="1"/>
  <c r="D439" i="7"/>
  <c r="E439" i="7" s="1"/>
  <c r="D139" i="7"/>
  <c r="E139" i="7" s="1"/>
  <c r="D221" i="7"/>
  <c r="E221" i="7" s="1"/>
  <c r="D366" i="7"/>
  <c r="E366" i="7" s="1"/>
  <c r="D321" i="7"/>
  <c r="E321" i="7" s="1"/>
  <c r="D408" i="7"/>
  <c r="E408" i="7" s="1"/>
  <c r="D219" i="7"/>
  <c r="E219" i="7" s="1"/>
  <c r="D312" i="7"/>
  <c r="E312" i="7" s="1"/>
  <c r="D274" i="7"/>
  <c r="E274" i="7" s="1"/>
  <c r="D589" i="7"/>
  <c r="E589" i="7" s="1"/>
  <c r="D722" i="7"/>
  <c r="E722" i="7" s="1"/>
  <c r="D430" i="7"/>
  <c r="E430" i="7" s="1"/>
  <c r="D507" i="7"/>
  <c r="E507" i="7" s="1"/>
  <c r="D403" i="7"/>
  <c r="E403" i="7" s="1"/>
  <c r="D189" i="7"/>
  <c r="E189" i="7" s="1"/>
  <c r="D196" i="7"/>
  <c r="E196" i="7" s="1"/>
  <c r="D99" i="7"/>
  <c r="E99" i="7" s="1"/>
  <c r="D576" i="7"/>
  <c r="E576" i="7" s="1"/>
  <c r="D504" i="7"/>
  <c r="E504" i="7" s="1"/>
  <c r="D494" i="7"/>
  <c r="E494" i="7" s="1"/>
  <c r="D254" i="7"/>
  <c r="E254" i="7" s="1"/>
  <c r="D354" i="7"/>
  <c r="E354" i="7" s="1"/>
  <c r="D577" i="7"/>
  <c r="E577" i="7" s="1"/>
  <c r="D307" i="7"/>
  <c r="E307" i="7" s="1"/>
  <c r="D809" i="7"/>
  <c r="E809" i="7" s="1"/>
  <c r="D811" i="7"/>
  <c r="E811" i="7" s="1"/>
  <c r="D190" i="7"/>
  <c r="E190" i="7" s="1"/>
  <c r="D281" i="7"/>
  <c r="E281" i="7" s="1"/>
  <c r="D201" i="7"/>
  <c r="E201" i="7" s="1"/>
  <c r="D107" i="7"/>
  <c r="E107" i="7" s="1"/>
  <c r="D156" i="7"/>
  <c r="E156" i="7" s="1"/>
  <c r="D121" i="7"/>
  <c r="E121" i="7" s="1"/>
  <c r="D124" i="7"/>
  <c r="E124" i="7" s="1"/>
  <c r="D34" i="7"/>
  <c r="E34" i="7" s="1"/>
  <c r="D199" i="7"/>
  <c r="E199" i="7" s="1"/>
  <c r="D336" i="7"/>
  <c r="E336" i="7" s="1"/>
  <c r="D821" i="7"/>
  <c r="E821" i="7" s="1"/>
  <c r="D391" i="7"/>
  <c r="E391" i="7" s="1"/>
  <c r="D202" i="7"/>
  <c r="E202" i="7" s="1"/>
  <c r="D40" i="7"/>
  <c r="E40" i="7" s="1"/>
  <c r="D205" i="7"/>
  <c r="E205" i="7" s="1"/>
  <c r="D180" i="7"/>
  <c r="E180" i="7" s="1"/>
  <c r="D171" i="7"/>
  <c r="E171" i="7" s="1"/>
  <c r="D56" i="7"/>
  <c r="E56" i="7" s="1"/>
  <c r="D111" i="7"/>
  <c r="E111" i="7" s="1"/>
  <c r="D67" i="7"/>
  <c r="E67" i="7" s="1"/>
  <c r="D82" i="7"/>
  <c r="E82" i="7" s="1"/>
  <c r="D165" i="7"/>
  <c r="E165" i="7" s="1"/>
  <c r="D742" i="7"/>
  <c r="E742" i="7" s="1"/>
  <c r="D222" i="7"/>
  <c r="E222" i="7" s="1"/>
  <c r="D55" i="7"/>
  <c r="E55" i="7" s="1"/>
  <c r="D19" i="7"/>
  <c r="E19" i="7" s="1"/>
  <c r="D10" i="7"/>
  <c r="E10" i="7" s="1"/>
  <c r="D23" i="7"/>
  <c r="E23" i="7" s="1"/>
  <c r="D46" i="7"/>
  <c r="E46" i="7" s="1"/>
  <c r="D3" i="7"/>
  <c r="E3" i="7" s="1"/>
  <c r="D286" i="7"/>
  <c r="E286" i="7" s="1"/>
  <c r="D412" i="7"/>
  <c r="E412" i="7" s="1"/>
  <c r="D343" i="7"/>
  <c r="E343" i="7" s="1"/>
  <c r="D322" i="7"/>
  <c r="E322" i="7" s="1"/>
  <c r="D663" i="7"/>
  <c r="E663" i="7" s="1"/>
  <c r="D719" i="7"/>
  <c r="E719" i="7" s="1"/>
  <c r="D709" i="7"/>
  <c r="E709" i="7" s="1"/>
  <c r="D513" i="7"/>
  <c r="E513" i="7" s="1"/>
  <c r="D550" i="7"/>
  <c r="E550" i="7" s="1"/>
  <c r="D612" i="7"/>
  <c r="E612" i="7" s="1"/>
  <c r="D628" i="7"/>
  <c r="E628" i="7" s="1"/>
  <c r="D350" i="7"/>
  <c r="E350" i="7" s="1"/>
  <c r="D273" i="7"/>
  <c r="E273" i="7" s="1"/>
  <c r="D556" i="7"/>
  <c r="E556" i="7" s="1"/>
  <c r="D301" i="7"/>
  <c r="E301" i="7" s="1"/>
  <c r="D231" i="7"/>
  <c r="E231" i="7" s="1"/>
  <c r="D733" i="7"/>
  <c r="E733" i="7" s="1"/>
  <c r="D656" i="7"/>
  <c r="E656" i="7" s="1"/>
  <c r="D689" i="7"/>
  <c r="E689" i="7" s="1"/>
  <c r="D694" i="7"/>
  <c r="E694" i="7" s="1"/>
  <c r="D706" i="7"/>
  <c r="E706" i="7" s="1"/>
  <c r="D652" i="7"/>
  <c r="E652" i="7" s="1"/>
  <c r="D700" i="7"/>
  <c r="E700" i="7" s="1"/>
  <c r="D521" i="7"/>
  <c r="E521" i="7" s="1"/>
  <c r="D440" i="7"/>
  <c r="E440" i="7" s="1"/>
  <c r="D569" i="7"/>
  <c r="E569" i="7" s="1"/>
  <c r="D361" i="7"/>
  <c r="E361" i="7" s="1"/>
  <c r="D236" i="7"/>
  <c r="E236" i="7" s="1"/>
  <c r="D313" i="7"/>
  <c r="E313" i="7" s="1"/>
  <c r="D152" i="7"/>
  <c r="E152" i="7" s="1"/>
  <c r="D209" i="7"/>
  <c r="E209" i="7" s="1"/>
  <c r="D311" i="7"/>
  <c r="E311" i="7" s="1"/>
  <c r="D432" i="7"/>
  <c r="E432" i="7" s="1"/>
  <c r="D428" i="7"/>
  <c r="E428" i="7" s="1"/>
  <c r="D200" i="7"/>
  <c r="E200" i="7" s="1"/>
  <c r="D338" i="7"/>
  <c r="E338" i="7" s="1"/>
  <c r="D125" i="7"/>
  <c r="E125" i="7" s="1"/>
  <c r="D109" i="7"/>
  <c r="E109" i="7" s="1"/>
  <c r="D250" i="7"/>
  <c r="E250" i="7" s="1"/>
  <c r="D624" i="7"/>
  <c r="E624" i="7" s="1"/>
  <c r="D790" i="7"/>
  <c r="E790" i="7" s="1"/>
  <c r="D748" i="7"/>
  <c r="E748" i="7" s="1"/>
  <c r="D451" i="7"/>
  <c r="E451" i="7" s="1"/>
  <c r="D820" i="7"/>
  <c r="E820" i="7" s="1"/>
  <c r="D816" i="7"/>
  <c r="E816" i="7" s="1"/>
  <c r="D807" i="7"/>
  <c r="E807" i="7" s="1"/>
  <c r="D332" i="7"/>
  <c r="E332" i="7" s="1"/>
  <c r="D526" i="7"/>
  <c r="E526" i="7" s="1"/>
  <c r="D616" i="7"/>
  <c r="E616" i="7" s="1"/>
  <c r="D723" i="7"/>
  <c r="E723" i="7" s="1"/>
  <c r="D605" i="7"/>
  <c r="E605" i="7" s="1"/>
  <c r="D640" i="7"/>
  <c r="E640" i="7" s="1"/>
  <c r="D583" i="7"/>
  <c r="E583" i="7" s="1"/>
  <c r="D627" i="7"/>
  <c r="E627" i="7" s="1"/>
  <c r="D710" i="7"/>
  <c r="E710" i="7" s="1"/>
  <c r="D679" i="7"/>
  <c r="E679" i="7" s="1"/>
  <c r="D445" i="7"/>
  <c r="E445" i="7" s="1"/>
  <c r="D630" i="7"/>
  <c r="E630" i="7" s="1"/>
  <c r="D454" i="7"/>
  <c r="E454" i="7" s="1"/>
  <c r="D502" i="7"/>
  <c r="E502" i="7" s="1"/>
  <c r="D393" i="7"/>
  <c r="E393" i="7" s="1"/>
  <c r="D261" i="7"/>
  <c r="E261" i="7" s="1"/>
  <c r="D140" i="7"/>
  <c r="E140" i="7" s="1"/>
  <c r="D602" i="7"/>
  <c r="E602" i="7" s="1"/>
  <c r="D211" i="7"/>
  <c r="E211" i="7" s="1"/>
  <c r="D623" i="7"/>
  <c r="E623" i="7" s="1"/>
  <c r="D639" i="7"/>
  <c r="E639" i="7" s="1"/>
  <c r="D515" i="7"/>
  <c r="E515" i="7" s="1"/>
  <c r="D560" i="7"/>
  <c r="E560" i="7" s="1"/>
  <c r="D215" i="7"/>
  <c r="E215" i="7" s="1"/>
  <c r="D676" i="7"/>
  <c r="E676" i="7" s="1"/>
  <c r="D793" i="7"/>
  <c r="E793" i="7" s="1"/>
  <c r="D776" i="7"/>
  <c r="E776" i="7" s="1"/>
  <c r="D788" i="7"/>
  <c r="E788" i="7" s="1"/>
  <c r="D749" i="7"/>
  <c r="E749" i="7" s="1"/>
  <c r="D765" i="7"/>
  <c r="E765" i="7" s="1"/>
  <c r="D782" i="7"/>
  <c r="E782" i="7" s="1"/>
  <c r="D734" i="7"/>
  <c r="E734" i="7" s="1"/>
  <c r="D740" i="7"/>
  <c r="E740" i="7" s="1"/>
  <c r="D672" i="7"/>
  <c r="E672" i="7" s="1"/>
  <c r="D763" i="7"/>
  <c r="E763" i="7" s="1"/>
  <c r="D735" i="7"/>
  <c r="E735" i="7" s="1"/>
  <c r="D720" i="7"/>
  <c r="E720" i="7" s="1"/>
  <c r="D744" i="7"/>
  <c r="E744" i="7" s="1"/>
  <c r="D615" i="7"/>
  <c r="E615" i="7" s="1"/>
  <c r="D797" i="7"/>
  <c r="E797" i="7" s="1"/>
  <c r="D392" i="7"/>
  <c r="E392" i="7" s="1"/>
  <c r="D579" i="7"/>
  <c r="E579" i="7" s="1"/>
  <c r="D179" i="7"/>
  <c r="E179" i="7" s="1"/>
  <c r="D620" i="7"/>
  <c r="E620" i="7" s="1"/>
  <c r="D702" i="7"/>
  <c r="E702" i="7" s="1"/>
  <c r="D601" i="7"/>
  <c r="E601" i="7" s="1"/>
  <c r="D370" i="7"/>
  <c r="E370" i="7" s="1"/>
  <c r="D238" i="7"/>
  <c r="E238" i="7" s="1"/>
  <c r="D253" i="7"/>
  <c r="E253" i="7" s="1"/>
  <c r="D582" i="7"/>
  <c r="E582" i="7" s="1"/>
  <c r="D545" i="7"/>
  <c r="E545" i="7" s="1"/>
  <c r="D484" i="7"/>
  <c r="E484" i="7" s="1"/>
  <c r="D91" i="7"/>
  <c r="E91" i="7" s="1"/>
  <c r="D112" i="7"/>
  <c r="E112" i="7" s="1"/>
  <c r="D642" i="7"/>
  <c r="E642" i="7" s="1"/>
  <c r="D751" i="7"/>
  <c r="E751" i="7" s="1"/>
  <c r="D418" i="7"/>
  <c r="E418" i="7" s="1"/>
  <c r="D539" i="7"/>
  <c r="E539" i="7" s="1"/>
  <c r="D461" i="7"/>
  <c r="E461" i="7" s="1"/>
  <c r="D825" i="7"/>
  <c r="E825" i="7" s="1"/>
  <c r="D394" i="7"/>
  <c r="E394" i="7" s="1"/>
  <c r="D581" i="7"/>
  <c r="E581" i="7" s="1"/>
  <c r="D621" i="7"/>
  <c r="E621" i="7" s="1"/>
  <c r="D566" i="7"/>
  <c r="E566" i="7" s="1"/>
  <c r="D176" i="7"/>
  <c r="E176" i="7" s="1"/>
  <c r="D97" i="7"/>
  <c r="E97" i="7" s="1"/>
  <c r="D184" i="7"/>
  <c r="E184" i="7" s="1"/>
  <c r="D558" i="7"/>
  <c r="E558" i="7" s="1"/>
  <c r="D310" i="7"/>
  <c r="E310" i="7" s="1"/>
  <c r="D197" i="7"/>
  <c r="E197" i="7" s="1"/>
  <c r="D123" i="7"/>
  <c r="E123" i="7" s="1"/>
  <c r="D113" i="7"/>
  <c r="E113" i="7" s="1"/>
  <c r="D721" i="7"/>
  <c r="E721" i="7" s="1"/>
  <c r="D256" i="7"/>
  <c r="E256" i="7" s="1"/>
  <c r="D779" i="7"/>
  <c r="E779" i="7" s="1"/>
  <c r="D732" i="7"/>
  <c r="E732" i="7" s="1"/>
  <c r="D737" i="7"/>
  <c r="E737" i="7" s="1"/>
  <c r="D543" i="7"/>
  <c r="E543" i="7" s="1"/>
  <c r="D665" i="7"/>
  <c r="E665" i="7" s="1"/>
  <c r="D695" i="7"/>
  <c r="E695" i="7" s="1"/>
  <c r="D795" i="7"/>
  <c r="E795" i="7" s="1"/>
  <c r="D778" i="7"/>
  <c r="E778" i="7" s="1"/>
  <c r="D798" i="7"/>
  <c r="E798" i="7" s="1"/>
  <c r="D812" i="7"/>
  <c r="E812" i="7" s="1"/>
  <c r="D346" i="7"/>
  <c r="E346" i="7" s="1"/>
  <c r="D637" i="7"/>
  <c r="E637" i="7" s="1"/>
  <c r="D725" i="7"/>
  <c r="E725" i="7" s="1"/>
  <c r="D244" i="7"/>
  <c r="E244" i="7" s="1"/>
  <c r="D367" i="7"/>
  <c r="E367" i="7" s="1"/>
  <c r="D730" i="7"/>
  <c r="E730" i="7" s="1"/>
  <c r="D693" i="7"/>
  <c r="E693" i="7" s="1"/>
  <c r="D469" i="7"/>
  <c r="E469" i="7" s="1"/>
  <c r="D596" i="7"/>
  <c r="E596" i="7" s="1"/>
  <c r="D626" i="7"/>
  <c r="E626" i="7" s="1"/>
  <c r="D712" i="7"/>
  <c r="E712" i="7" s="1"/>
  <c r="D680" i="7"/>
  <c r="E680" i="7" s="1"/>
  <c r="D549" i="7"/>
  <c r="E549" i="7" s="1"/>
  <c r="D525" i="7"/>
  <c r="E525" i="7" s="1"/>
  <c r="D422" i="7"/>
  <c r="E422" i="7" s="1"/>
  <c r="D340" i="7"/>
  <c r="E340" i="7" s="1"/>
  <c r="D766" i="7"/>
  <c r="E766" i="7" s="1"/>
  <c r="D382" i="7"/>
  <c r="E382" i="7" s="1"/>
  <c r="D449" i="7"/>
  <c r="E449" i="7" s="1"/>
  <c r="D544" i="7"/>
  <c r="E544" i="7" s="1"/>
  <c r="D262" i="7"/>
  <c r="E262" i="7" s="1"/>
  <c r="D294" i="7"/>
  <c r="E294" i="7" s="1"/>
  <c r="D341" i="7"/>
  <c r="E341" i="7" s="1"/>
  <c r="D251" i="7"/>
  <c r="E251" i="7" s="1"/>
  <c r="D387" i="7"/>
  <c r="E387" i="7" s="1"/>
  <c r="D364" i="7"/>
  <c r="E364" i="7" s="1"/>
  <c r="D178" i="7"/>
  <c r="E178" i="7" s="1"/>
  <c r="D225" i="7"/>
  <c r="E225" i="7" s="1"/>
  <c r="D282" i="7"/>
  <c r="E282" i="7" s="1"/>
  <c r="D609" i="7"/>
  <c r="E609" i="7" s="1"/>
  <c r="D372" i="7"/>
  <c r="E372" i="7" s="1"/>
  <c r="D727" i="7"/>
  <c r="E727" i="7" s="1"/>
  <c r="D435" i="7"/>
  <c r="E435" i="7" s="1"/>
  <c r="D493" i="7"/>
  <c r="E493" i="7" s="1"/>
  <c r="D441" i="7"/>
  <c r="E441" i="7" s="1"/>
  <c r="D259" i="7"/>
  <c r="E259" i="7" s="1"/>
  <c r="D390" i="7"/>
  <c r="E390" i="7" s="1"/>
  <c r="D247" i="7"/>
  <c r="E247" i="7" s="1"/>
  <c r="D318" i="7"/>
  <c r="E318" i="7" s="1"/>
  <c r="D491" i="7"/>
  <c r="E491" i="7" s="1"/>
  <c r="D303" i="7"/>
  <c r="E303" i="7" s="1"/>
  <c r="D159" i="7"/>
  <c r="E159" i="7" s="1"/>
  <c r="D177" i="7"/>
  <c r="E177" i="7" s="1"/>
  <c r="D352" i="7"/>
  <c r="E352" i="7" s="1"/>
  <c r="D506" i="7"/>
  <c r="E506" i="7" s="1"/>
  <c r="D297" i="7"/>
  <c r="E297" i="7" s="1"/>
  <c r="D115" i="7"/>
  <c r="E115" i="7" s="1"/>
  <c r="D54" i="7"/>
  <c r="E54" i="7" s="1"/>
  <c r="D188" i="7"/>
  <c r="E188" i="7" s="1"/>
  <c r="D293" i="7"/>
  <c r="E293" i="7" s="1"/>
  <c r="D220" i="7"/>
  <c r="E220" i="7" s="1"/>
  <c r="D402" i="7"/>
  <c r="E402" i="7" s="1"/>
  <c r="D213" i="7"/>
  <c r="E213" i="7" s="1"/>
  <c r="D108" i="7"/>
  <c r="E108" i="7" s="1"/>
  <c r="D163" i="7"/>
  <c r="E163" i="7" s="1"/>
  <c r="D58" i="7"/>
  <c r="E58" i="7" s="1"/>
  <c r="D611" i="7"/>
  <c r="E611" i="7" s="1"/>
  <c r="D425" i="7"/>
  <c r="E425" i="7" s="1"/>
  <c r="D465" i="7"/>
  <c r="E465" i="7" s="1"/>
  <c r="D636" i="7"/>
  <c r="E636" i="7" s="1"/>
  <c r="D595" i="7"/>
  <c r="E595" i="7" s="1"/>
  <c r="D374" i="7"/>
  <c r="E374" i="7" s="1"/>
  <c r="D655" i="7"/>
  <c r="E655" i="7" s="1"/>
  <c r="D572" i="7"/>
  <c r="E572" i="7" s="1"/>
  <c r="D320" i="7"/>
  <c r="E320" i="7" s="1"/>
  <c r="D296" i="7"/>
  <c r="E296" i="7" s="1"/>
  <c r="D214" i="7"/>
  <c r="E214" i="7" s="1"/>
  <c r="D136" i="7"/>
  <c r="E136" i="7" s="1"/>
  <c r="D511" i="7"/>
  <c r="E511" i="7" s="1"/>
  <c r="D649" i="7"/>
  <c r="E649" i="7" s="1"/>
  <c r="D651" i="7"/>
  <c r="E651" i="7" s="1"/>
  <c r="D349" i="7"/>
  <c r="E349" i="7" s="1"/>
  <c r="D713" i="7"/>
  <c r="E713" i="7" s="1"/>
  <c r="D747" i="7"/>
  <c r="E747" i="7" s="1"/>
  <c r="D777" i="7"/>
  <c r="E777" i="7" s="1"/>
  <c r="D731" i="7"/>
  <c r="E731" i="7" s="1"/>
  <c r="D724" i="7"/>
  <c r="E724" i="7" s="1"/>
  <c r="D697" i="7"/>
  <c r="E697" i="7" s="1"/>
  <c r="D280" i="7"/>
  <c r="E280" i="7" s="1"/>
  <c r="D142" i="7"/>
  <c r="E142" i="7" s="1"/>
  <c r="D237" i="7"/>
  <c r="E237" i="7" s="1"/>
  <c r="D289" i="7"/>
  <c r="E289" i="7" s="1"/>
  <c r="D466" i="7"/>
  <c r="E466" i="7" s="1"/>
  <c r="D472" i="7"/>
  <c r="E472" i="7" s="1"/>
  <c r="D137" i="7"/>
  <c r="E137" i="7" s="1"/>
  <c r="D130" i="7"/>
  <c r="E130" i="7" s="1"/>
  <c r="D203" i="7"/>
  <c r="E203" i="7" s="1"/>
  <c r="D249" i="7"/>
  <c r="E249" i="7" s="1"/>
  <c r="D446" i="7"/>
  <c r="E446" i="7" s="1"/>
  <c r="D552" i="7"/>
  <c r="E552" i="7" s="1"/>
  <c r="D555" i="7"/>
  <c r="E555" i="7" s="1"/>
  <c r="D688" i="7"/>
  <c r="E688" i="7" s="1"/>
  <c r="D499" i="7"/>
  <c r="E499" i="7" s="1"/>
  <c r="D708" i="7"/>
  <c r="E708" i="7" s="1"/>
  <c r="D586" i="7"/>
  <c r="E586" i="7" s="1"/>
  <c r="D482" i="7"/>
  <c r="E482" i="7" s="1"/>
  <c r="D300" i="7"/>
  <c r="E300" i="7" s="1"/>
  <c r="D500" i="7"/>
  <c r="E500" i="7" s="1"/>
  <c r="D347" i="7"/>
  <c r="E347" i="7" s="1"/>
  <c r="D658" i="7"/>
  <c r="E658" i="7" s="1"/>
  <c r="D330" i="7"/>
  <c r="E330" i="7" s="1"/>
  <c r="D85" i="7"/>
  <c r="E85" i="7" s="1"/>
  <c r="D316" i="7"/>
  <c r="E316" i="7" s="1"/>
  <c r="D13" i="7"/>
  <c r="E13" i="7" s="1"/>
  <c r="D191" i="7"/>
  <c r="E191" i="7" s="1"/>
  <c r="D95" i="7"/>
  <c r="E95" i="7" s="1"/>
  <c r="D48" i="7"/>
  <c r="E48" i="7" s="1"/>
  <c r="D74" i="7"/>
  <c r="E74" i="7" s="1"/>
  <c r="D443" i="7"/>
  <c r="E443" i="7" s="1"/>
  <c r="D126" i="7"/>
  <c r="E126" i="7" s="1"/>
  <c r="D224" i="7"/>
  <c r="E224" i="7" s="1"/>
  <c r="D457" i="7"/>
  <c r="E457" i="7" s="1"/>
  <c r="D183" i="7"/>
  <c r="E183" i="7" s="1"/>
  <c r="D59" i="7"/>
  <c r="E59" i="7" s="1"/>
  <c r="D20" i="7"/>
  <c r="E20" i="7" s="1"/>
  <c r="D146" i="7"/>
  <c r="E146" i="7" s="1"/>
  <c r="D88" i="7"/>
  <c r="E88" i="7" s="1"/>
  <c r="D90" i="7"/>
  <c r="E90" i="7" s="1"/>
  <c r="D503" i="7"/>
  <c r="E503" i="7" s="1"/>
  <c r="D523" i="7"/>
  <c r="E523" i="7" s="1"/>
  <c r="D49" i="7"/>
  <c r="E49" i="7" s="1"/>
  <c r="D39" i="7"/>
  <c r="E39" i="7" s="1"/>
  <c r="D65" i="7"/>
  <c r="E65" i="7" s="1"/>
  <c r="D25" i="7"/>
  <c r="E25" i="7" s="1"/>
  <c r="D24" i="7"/>
  <c r="E24" i="7" s="1"/>
  <c r="D94" i="7"/>
  <c r="E94" i="7" s="1"/>
  <c r="D37" i="7"/>
  <c r="E37" i="7" s="1"/>
  <c r="D5" i="7"/>
  <c r="E5" i="7" s="1"/>
  <c r="D587" i="7"/>
  <c r="E587" i="7" s="1"/>
  <c r="D404" i="7"/>
  <c r="E404" i="7" s="1"/>
  <c r="D305" i="7"/>
  <c r="E305" i="7" s="1"/>
  <c r="D260" i="7"/>
  <c r="E260" i="7" s="1"/>
  <c r="D98" i="7"/>
  <c r="E98" i="7" s="1"/>
  <c r="D185" i="7"/>
  <c r="E185" i="7" s="1"/>
  <c r="D149" i="7"/>
  <c r="E149" i="7" s="1"/>
  <c r="D462" i="7"/>
  <c r="E462" i="7" s="1"/>
  <c r="D128" i="7"/>
  <c r="E128" i="7" s="1"/>
  <c r="D277" i="7"/>
  <c r="E277" i="7" s="1"/>
  <c r="D373" i="7"/>
  <c r="E373" i="7" s="1"/>
  <c r="D822" i="7"/>
  <c r="E822" i="7" s="1"/>
  <c r="D813" i="7"/>
  <c r="E813" i="7" s="1"/>
  <c r="D681" i="7"/>
  <c r="E681" i="7" s="1"/>
  <c r="D631" i="7"/>
  <c r="E631" i="7" s="1"/>
  <c r="D618" i="7"/>
  <c r="E618" i="7" s="1"/>
  <c r="D619" i="7"/>
  <c r="E619" i="7" s="1"/>
  <c r="D442" i="7"/>
  <c r="E442" i="7" s="1"/>
  <c r="D415" i="7"/>
  <c r="E415" i="7" s="1"/>
  <c r="D483" i="7"/>
  <c r="E483" i="7" s="1"/>
  <c r="D248" i="7"/>
  <c r="E248" i="7" s="1"/>
  <c r="D806" i="7"/>
  <c r="E806" i="7" s="1"/>
  <c r="D774" i="7"/>
  <c r="E774" i="7" s="1"/>
  <c r="D746" i="7"/>
  <c r="E746" i="7" s="1"/>
  <c r="D269" i="7"/>
  <c r="E269" i="7" s="1"/>
  <c r="D703" i="7"/>
  <c r="E703" i="7" s="1"/>
  <c r="D773" i="7"/>
  <c r="E773" i="7" s="1"/>
  <c r="D757" i="7"/>
  <c r="E757" i="7" s="1"/>
  <c r="D495" i="7"/>
  <c r="E495" i="7" s="1"/>
  <c r="D661" i="7"/>
  <c r="E661" i="7" s="1"/>
  <c r="D823" i="7"/>
  <c r="E823" i="7" s="1"/>
  <c r="D805" i="7"/>
  <c r="E805" i="7" s="1"/>
  <c r="D815" i="7"/>
  <c r="E815" i="7" s="1"/>
  <c r="D814" i="7"/>
  <c r="E814" i="7" s="1"/>
  <c r="D783" i="7"/>
  <c r="E783" i="7" s="1"/>
  <c r="D673" i="7"/>
  <c r="E673" i="7" s="1"/>
  <c r="D613" i="7"/>
  <c r="E613" i="7" s="1"/>
  <c r="D704" i="7"/>
  <c r="E704" i="7" s="1"/>
  <c r="P10" i="14" l="1"/>
  <c r="P12" i="14"/>
  <c r="P8" i="14"/>
  <c r="P6" i="14"/>
  <c r="H13" i="14"/>
  <c r="H8" i="14"/>
  <c r="H6" i="14"/>
  <c r="K835" i="7"/>
  <c r="K832" i="7"/>
  <c r="K829" i="7"/>
  <c r="K826" i="7"/>
  <c r="K823" i="7"/>
  <c r="K820" i="7"/>
  <c r="K817" i="7"/>
  <c r="K814" i="7"/>
  <c r="K811" i="7"/>
  <c r="K834" i="7"/>
  <c r="K831" i="7"/>
  <c r="K828" i="7"/>
  <c r="K825" i="7"/>
  <c r="K822" i="7"/>
  <c r="K819" i="7"/>
  <c r="K816" i="7"/>
  <c r="K813" i="7"/>
  <c r="K810" i="7"/>
  <c r="K807" i="7"/>
  <c r="K804" i="7"/>
  <c r="K801" i="7"/>
  <c r="K798" i="7"/>
  <c r="K795" i="7"/>
  <c r="K792" i="7"/>
  <c r="K789" i="7"/>
  <c r="K786" i="7"/>
  <c r="K783" i="7"/>
  <c r="K780" i="7"/>
  <c r="K777" i="7"/>
  <c r="K774" i="7"/>
  <c r="K771" i="7"/>
  <c r="K768" i="7"/>
  <c r="K765" i="7"/>
  <c r="K762" i="7"/>
  <c r="K759" i="7"/>
  <c r="K756" i="7"/>
  <c r="K753" i="7"/>
  <c r="K750" i="7"/>
  <c r="K747" i="7"/>
  <c r="K744" i="7"/>
  <c r="K741" i="7"/>
  <c r="K738" i="7"/>
  <c r="K735" i="7"/>
  <c r="K732" i="7"/>
  <c r="K729" i="7"/>
  <c r="K726" i="7"/>
  <c r="K723" i="7"/>
  <c r="K720" i="7"/>
  <c r="K717" i="7"/>
  <c r="K714" i="7"/>
  <c r="K711" i="7"/>
  <c r="K708" i="7"/>
  <c r="K705" i="7"/>
  <c r="K702" i="7"/>
  <c r="K699" i="7"/>
  <c r="K696" i="7"/>
  <c r="K693" i="7"/>
  <c r="K690" i="7"/>
  <c r="K687" i="7"/>
  <c r="K684" i="7"/>
  <c r="K681" i="7"/>
  <c r="K678" i="7"/>
  <c r="K675" i="7"/>
  <c r="K672" i="7"/>
  <c r="K669" i="7"/>
  <c r="K666" i="7"/>
  <c r="K663" i="7"/>
  <c r="K660" i="7"/>
  <c r="K657" i="7"/>
  <c r="K654" i="7"/>
  <c r="K651" i="7"/>
  <c r="K648" i="7"/>
  <c r="K645" i="7"/>
  <c r="K642" i="7"/>
  <c r="K639" i="7"/>
  <c r="K636" i="7"/>
  <c r="K633" i="7"/>
  <c r="K630" i="7"/>
  <c r="K627" i="7"/>
  <c r="K624" i="7"/>
  <c r="K621" i="7"/>
  <c r="K618" i="7"/>
  <c r="K615" i="7"/>
  <c r="K612" i="7"/>
  <c r="K609" i="7"/>
  <c r="K606" i="7"/>
  <c r="K603" i="7"/>
  <c r="K600" i="7"/>
  <c r="K597" i="7"/>
  <c r="K594" i="7"/>
  <c r="K591" i="7"/>
  <c r="K588" i="7"/>
  <c r="K585" i="7"/>
  <c r="K582" i="7"/>
  <c r="K579" i="7"/>
  <c r="K576" i="7"/>
  <c r="K573" i="7"/>
  <c r="K570" i="7"/>
  <c r="K567" i="7"/>
  <c r="K564" i="7"/>
  <c r="K561" i="7"/>
  <c r="K558" i="7"/>
  <c r="K555" i="7"/>
  <c r="K552" i="7"/>
  <c r="K549" i="7"/>
  <c r="K546" i="7"/>
  <c r="K543" i="7"/>
  <c r="K540" i="7"/>
  <c r="K537" i="7"/>
  <c r="K534" i="7"/>
  <c r="K531" i="7"/>
  <c r="K528" i="7"/>
  <c r="K525" i="7"/>
  <c r="K522" i="7"/>
  <c r="K519" i="7"/>
  <c r="K516" i="7"/>
  <c r="K513" i="7"/>
  <c r="K510" i="7"/>
  <c r="K507" i="7"/>
  <c r="K504" i="7"/>
  <c r="K501" i="7"/>
  <c r="K498" i="7"/>
  <c r="K495" i="7"/>
  <c r="K492" i="7"/>
  <c r="K489" i="7"/>
  <c r="K486" i="7"/>
  <c r="K483" i="7"/>
  <c r="K480" i="7"/>
  <c r="K477" i="7"/>
  <c r="K474" i="7"/>
  <c r="K471" i="7"/>
  <c r="K468" i="7"/>
  <c r="K465" i="7"/>
  <c r="K462" i="7"/>
  <c r="K459" i="7"/>
  <c r="K456" i="7"/>
  <c r="K453" i="7"/>
  <c r="K2" i="7"/>
  <c r="K833" i="7"/>
  <c r="K830" i="7"/>
  <c r="K827" i="7"/>
  <c r="K824" i="7"/>
  <c r="K821" i="7"/>
  <c r="K818" i="7"/>
  <c r="K815" i="7"/>
  <c r="K812" i="7"/>
  <c r="K809" i="7"/>
  <c r="K806" i="7"/>
  <c r="K803" i="7"/>
  <c r="K800" i="7"/>
  <c r="K797" i="7"/>
  <c r="K794" i="7"/>
  <c r="K791" i="7"/>
  <c r="K788" i="7"/>
  <c r="K785" i="7"/>
  <c r="K782" i="7"/>
  <c r="K779" i="7"/>
  <c r="K776" i="7"/>
  <c r="K773" i="7"/>
  <c r="K770" i="7"/>
  <c r="K767" i="7"/>
  <c r="K764" i="7"/>
  <c r="K761" i="7"/>
  <c r="K758" i="7"/>
  <c r="K755" i="7"/>
  <c r="K752" i="7"/>
  <c r="K749" i="7"/>
  <c r="K746" i="7"/>
  <c r="K743" i="7"/>
  <c r="K740" i="7"/>
  <c r="K737" i="7"/>
  <c r="K734" i="7"/>
  <c r="K731" i="7"/>
  <c r="K728" i="7"/>
  <c r="K725" i="7"/>
  <c r="K722" i="7"/>
  <c r="K719" i="7"/>
  <c r="K716" i="7"/>
  <c r="K713" i="7"/>
  <c r="K710" i="7"/>
  <c r="K707" i="7"/>
  <c r="K704" i="7"/>
  <c r="K701" i="7"/>
  <c r="K698" i="7"/>
  <c r="K695" i="7"/>
  <c r="K692" i="7"/>
  <c r="K689" i="7"/>
  <c r="K686" i="7"/>
  <c r="K683" i="7"/>
  <c r="K680" i="7"/>
  <c r="K677" i="7"/>
  <c r="K674" i="7"/>
  <c r="K671" i="7"/>
  <c r="K668" i="7"/>
  <c r="K665" i="7"/>
  <c r="K662" i="7"/>
  <c r="K659" i="7"/>
  <c r="K656" i="7"/>
  <c r="K653" i="7"/>
  <c r="K650" i="7"/>
  <c r="K647" i="7"/>
  <c r="K644" i="7"/>
  <c r="K641" i="7"/>
  <c r="K638" i="7"/>
  <c r="K635" i="7"/>
  <c r="K632" i="7"/>
  <c r="K629" i="7"/>
  <c r="K626" i="7"/>
  <c r="K623" i="7"/>
  <c r="K620" i="7"/>
  <c r="K617" i="7"/>
  <c r="K614" i="7"/>
  <c r="K611" i="7"/>
  <c r="K608" i="7"/>
  <c r="K605" i="7"/>
  <c r="K602" i="7"/>
  <c r="K599" i="7"/>
  <c r="K596" i="7"/>
  <c r="K593" i="7"/>
  <c r="K590" i="7"/>
  <c r="K587" i="7"/>
  <c r="K584" i="7"/>
  <c r="K581" i="7"/>
  <c r="K578" i="7"/>
  <c r="K575" i="7"/>
  <c r="K572" i="7"/>
  <c r="K569" i="7"/>
  <c r="K566" i="7"/>
  <c r="K563" i="7"/>
  <c r="K560" i="7"/>
  <c r="K557" i="7"/>
  <c r="K554" i="7"/>
  <c r="K551" i="7"/>
  <c r="K548" i="7"/>
  <c r="K545" i="7"/>
  <c r="K542" i="7"/>
  <c r="K539" i="7"/>
  <c r="K536" i="7"/>
  <c r="K533" i="7"/>
  <c r="K530" i="7"/>
  <c r="K527" i="7"/>
  <c r="K524" i="7"/>
  <c r="K521" i="7"/>
  <c r="K518" i="7"/>
  <c r="K515" i="7"/>
  <c r="K512" i="7"/>
  <c r="K509" i="7"/>
  <c r="K506" i="7"/>
  <c r="K503" i="7"/>
  <c r="K500" i="7"/>
  <c r="K497" i="7"/>
  <c r="K494" i="7"/>
  <c r="K491" i="7"/>
  <c r="K488" i="7"/>
  <c r="K485" i="7"/>
  <c r="K482" i="7"/>
  <c r="K479" i="7"/>
  <c r="K476" i="7"/>
  <c r="K808" i="7"/>
  <c r="K805" i="7"/>
  <c r="K802" i="7"/>
  <c r="K799" i="7"/>
  <c r="K796" i="7"/>
  <c r="K793" i="7"/>
  <c r="K790" i="7"/>
  <c r="K787" i="7"/>
  <c r="K784" i="7"/>
  <c r="K781" i="7"/>
  <c r="K778" i="7"/>
  <c r="K775" i="7"/>
  <c r="K772" i="7"/>
  <c r="K769" i="7"/>
  <c r="K766" i="7"/>
  <c r="K763" i="7"/>
  <c r="K760" i="7"/>
  <c r="K757" i="7"/>
  <c r="K754" i="7"/>
  <c r="K751" i="7"/>
  <c r="K748" i="7"/>
  <c r="K745" i="7"/>
  <c r="K742" i="7"/>
  <c r="K739" i="7"/>
  <c r="K736" i="7"/>
  <c r="K733" i="7"/>
  <c r="K730" i="7"/>
  <c r="K727" i="7"/>
  <c r="K724" i="7"/>
  <c r="K721" i="7"/>
  <c r="K718" i="7"/>
  <c r="K715" i="7"/>
  <c r="K712" i="7"/>
  <c r="K709" i="7"/>
  <c r="K706" i="7"/>
  <c r="K703" i="7"/>
  <c r="K700" i="7"/>
  <c r="K697" i="7"/>
  <c r="K694" i="7"/>
  <c r="K691" i="7"/>
  <c r="K688" i="7"/>
  <c r="K685" i="7"/>
  <c r="K682" i="7"/>
  <c r="K679" i="7"/>
  <c r="K676" i="7"/>
  <c r="K673" i="7"/>
  <c r="K670" i="7"/>
  <c r="K667" i="7"/>
  <c r="K664" i="7"/>
  <c r="K661" i="7"/>
  <c r="K658" i="7"/>
  <c r="K655" i="7"/>
  <c r="K652" i="7"/>
  <c r="K649" i="7"/>
  <c r="K646" i="7"/>
  <c r="K643" i="7"/>
  <c r="K640" i="7"/>
  <c r="K637" i="7"/>
  <c r="K634" i="7"/>
  <c r="K631" i="7"/>
  <c r="K628" i="7"/>
  <c r="K625" i="7"/>
  <c r="K622" i="7"/>
  <c r="K619" i="7"/>
  <c r="K616" i="7"/>
  <c r="K613" i="7"/>
  <c r="K610" i="7"/>
  <c r="K607" i="7"/>
  <c r="K604" i="7"/>
  <c r="K601" i="7"/>
  <c r="K598" i="7"/>
  <c r="K595" i="7"/>
  <c r="K592" i="7"/>
  <c r="K589" i="7"/>
  <c r="K586" i="7"/>
  <c r="K583" i="7"/>
  <c r="K580" i="7"/>
  <c r="K577" i="7"/>
  <c r="K574" i="7"/>
  <c r="K571" i="7"/>
  <c r="K568" i="7"/>
  <c r="K565" i="7"/>
  <c r="K562" i="7"/>
  <c r="K559" i="7"/>
  <c r="K556" i="7"/>
  <c r="K553" i="7"/>
  <c r="K550" i="7"/>
  <c r="K547" i="7"/>
  <c r="K544" i="7"/>
  <c r="K541" i="7"/>
  <c r="K538" i="7"/>
  <c r="K535" i="7"/>
  <c r="K532" i="7"/>
  <c r="K529" i="7"/>
  <c r="K526" i="7"/>
  <c r="K523" i="7"/>
  <c r="K520" i="7"/>
  <c r="K517" i="7"/>
  <c r="K514" i="7"/>
  <c r="K511" i="7"/>
  <c r="K508" i="7"/>
  <c r="K505" i="7"/>
  <c r="K502" i="7"/>
  <c r="K499" i="7"/>
  <c r="K496" i="7"/>
  <c r="K493" i="7"/>
  <c r="K490" i="7"/>
  <c r="K487" i="7"/>
  <c r="K484" i="7"/>
  <c r="K481" i="7"/>
  <c r="K478" i="7"/>
  <c r="K475" i="7"/>
  <c r="K472" i="7"/>
  <c r="K469" i="7"/>
  <c r="K466" i="7"/>
  <c r="K463" i="7"/>
  <c r="K460" i="7"/>
  <c r="K450" i="7"/>
  <c r="K447" i="7"/>
  <c r="K444" i="7"/>
  <c r="K441" i="7"/>
  <c r="K438" i="7"/>
  <c r="K435" i="7"/>
  <c r="K432" i="7"/>
  <c r="K429" i="7"/>
  <c r="K426" i="7"/>
  <c r="K423" i="7"/>
  <c r="K420" i="7"/>
  <c r="K417" i="7"/>
  <c r="K414" i="7"/>
  <c r="K411" i="7"/>
  <c r="K408" i="7"/>
  <c r="K473" i="7"/>
  <c r="K470" i="7"/>
  <c r="K467" i="7"/>
  <c r="K464" i="7"/>
  <c r="K461" i="7"/>
  <c r="K458" i="7"/>
  <c r="K455" i="7"/>
  <c r="K452" i="7"/>
  <c r="K449" i="7"/>
  <c r="K446" i="7"/>
  <c r="K443" i="7"/>
  <c r="K440" i="7"/>
  <c r="K437" i="7"/>
  <c r="K434" i="7"/>
  <c r="K431" i="7"/>
  <c r="K428" i="7"/>
  <c r="K425" i="7"/>
  <c r="K422" i="7"/>
  <c r="K419" i="7"/>
  <c r="K416" i="7"/>
  <c r="K413" i="7"/>
  <c r="K410" i="7"/>
  <c r="K407" i="7"/>
  <c r="K404" i="7"/>
  <c r="K401" i="7"/>
  <c r="K398" i="7"/>
  <c r="K395" i="7"/>
  <c r="K392" i="7"/>
  <c r="K389" i="7"/>
  <c r="K386" i="7"/>
  <c r="K383" i="7"/>
  <c r="K380" i="7"/>
  <c r="K377" i="7"/>
  <c r="K374" i="7"/>
  <c r="K371" i="7"/>
  <c r="K368" i="7"/>
  <c r="K365" i="7"/>
  <c r="K362" i="7"/>
  <c r="K359" i="7"/>
  <c r="K356" i="7"/>
  <c r="K353" i="7"/>
  <c r="K350" i="7"/>
  <c r="K347" i="7"/>
  <c r="K344" i="7"/>
  <c r="K341" i="7"/>
  <c r="K338" i="7"/>
  <c r="K335" i="7"/>
  <c r="K332" i="7"/>
  <c r="K329" i="7"/>
  <c r="K326" i="7"/>
  <c r="K323" i="7"/>
  <c r="K320" i="7"/>
  <c r="K317" i="7"/>
  <c r="K314" i="7"/>
  <c r="K311" i="7"/>
  <c r="K308" i="7"/>
  <c r="K305" i="7"/>
  <c r="K302" i="7"/>
  <c r="K299" i="7"/>
  <c r="K296" i="7"/>
  <c r="K293" i="7"/>
  <c r="K290" i="7"/>
  <c r="K287" i="7"/>
  <c r="K284" i="7"/>
  <c r="K281" i="7"/>
  <c r="K278" i="7"/>
  <c r="K275" i="7"/>
  <c r="K272" i="7"/>
  <c r="K269" i="7"/>
  <c r="K266" i="7"/>
  <c r="K263" i="7"/>
  <c r="K260" i="7"/>
  <c r="K257" i="7"/>
  <c r="K254" i="7"/>
  <c r="K251" i="7"/>
  <c r="K248" i="7"/>
  <c r="K245" i="7"/>
  <c r="K242" i="7"/>
  <c r="K239" i="7"/>
  <c r="K236" i="7"/>
  <c r="K233" i="7"/>
  <c r="K230" i="7"/>
  <c r="K227" i="7"/>
  <c r="K224" i="7"/>
  <c r="K221" i="7"/>
  <c r="K218" i="7"/>
  <c r="K215" i="7"/>
  <c r="K212" i="7"/>
  <c r="K209" i="7"/>
  <c r="K206" i="7"/>
  <c r="K203" i="7"/>
  <c r="K200" i="7"/>
  <c r="K197" i="7"/>
  <c r="K194" i="7"/>
  <c r="K191" i="7"/>
  <c r="K188" i="7"/>
  <c r="K185" i="7"/>
  <c r="K182" i="7"/>
  <c r="K179" i="7"/>
  <c r="K176" i="7"/>
  <c r="K173" i="7"/>
  <c r="K170" i="7"/>
  <c r="K167" i="7"/>
  <c r="K164" i="7"/>
  <c r="K161" i="7"/>
  <c r="K158" i="7"/>
  <c r="K155" i="7"/>
  <c r="K152" i="7"/>
  <c r="K149" i="7"/>
  <c r="K146" i="7"/>
  <c r="K143" i="7"/>
  <c r="K140" i="7"/>
  <c r="K137" i="7"/>
  <c r="K134" i="7"/>
  <c r="K131" i="7"/>
  <c r="K128" i="7"/>
  <c r="K125" i="7"/>
  <c r="K122" i="7"/>
  <c r="K119" i="7"/>
  <c r="K116" i="7"/>
  <c r="K113" i="7"/>
  <c r="K110" i="7"/>
  <c r="K107" i="7"/>
  <c r="K104" i="7"/>
  <c r="K101" i="7"/>
  <c r="K98" i="7"/>
  <c r="K95" i="7"/>
  <c r="K92" i="7"/>
  <c r="K89" i="7"/>
  <c r="K86" i="7"/>
  <c r="K83" i="7"/>
  <c r="K80" i="7"/>
  <c r="K77" i="7"/>
  <c r="K74" i="7"/>
  <c r="K71" i="7"/>
  <c r="K68" i="7"/>
  <c r="K65" i="7"/>
  <c r="K62" i="7"/>
  <c r="K59" i="7"/>
  <c r="K56" i="7"/>
  <c r="K53" i="7"/>
  <c r="K50" i="7"/>
  <c r="K47" i="7"/>
  <c r="K44" i="7"/>
  <c r="K41" i="7"/>
  <c r="K38" i="7"/>
  <c r="K35" i="7"/>
  <c r="K32" i="7"/>
  <c r="K29" i="7"/>
  <c r="K26" i="7"/>
  <c r="K23" i="7"/>
  <c r="K20" i="7"/>
  <c r="K17" i="7"/>
  <c r="K14" i="7"/>
  <c r="K11" i="7"/>
  <c r="K8" i="7"/>
  <c r="K5" i="7"/>
  <c r="K457" i="7"/>
  <c r="K454" i="7"/>
  <c r="K451" i="7"/>
  <c r="K448" i="7"/>
  <c r="K445" i="7"/>
  <c r="K442" i="7"/>
  <c r="K439" i="7"/>
  <c r="K436" i="7"/>
  <c r="K433" i="7"/>
  <c r="K430" i="7"/>
  <c r="K427" i="7"/>
  <c r="K424" i="7"/>
  <c r="K421" i="7"/>
  <c r="K418" i="7"/>
  <c r="K415" i="7"/>
  <c r="K412" i="7"/>
  <c r="K409" i="7"/>
  <c r="K406" i="7"/>
  <c r="K403" i="7"/>
  <c r="K400" i="7"/>
  <c r="K397" i="7"/>
  <c r="K394" i="7"/>
  <c r="K391" i="7"/>
  <c r="K388" i="7"/>
  <c r="K385" i="7"/>
  <c r="K382" i="7"/>
  <c r="K379" i="7"/>
  <c r="K376" i="7"/>
  <c r="K373" i="7"/>
  <c r="K370" i="7"/>
  <c r="K367" i="7"/>
  <c r="K364" i="7"/>
  <c r="K361" i="7"/>
  <c r="K358" i="7"/>
  <c r="K355" i="7"/>
  <c r="K352" i="7"/>
  <c r="K349" i="7"/>
  <c r="K346" i="7"/>
  <c r="K343" i="7"/>
  <c r="K340" i="7"/>
  <c r="K337" i="7"/>
  <c r="K334" i="7"/>
  <c r="K331" i="7"/>
  <c r="K328" i="7"/>
  <c r="K325" i="7"/>
  <c r="K322" i="7"/>
  <c r="K319" i="7"/>
  <c r="K316" i="7"/>
  <c r="K313" i="7"/>
  <c r="K310" i="7"/>
  <c r="K307" i="7"/>
  <c r="K304" i="7"/>
  <c r="K301" i="7"/>
  <c r="K298" i="7"/>
  <c r="K295" i="7"/>
  <c r="K292" i="7"/>
  <c r="K289" i="7"/>
  <c r="K286" i="7"/>
  <c r="K283" i="7"/>
  <c r="K280" i="7"/>
  <c r="K277" i="7"/>
  <c r="K274" i="7"/>
  <c r="K271" i="7"/>
  <c r="K268" i="7"/>
  <c r="K265" i="7"/>
  <c r="K262" i="7"/>
  <c r="K259" i="7"/>
  <c r="K256" i="7"/>
  <c r="K253" i="7"/>
  <c r="K250" i="7"/>
  <c r="K247" i="7"/>
  <c r="K244" i="7"/>
  <c r="K241" i="7"/>
  <c r="K238" i="7"/>
  <c r="K235" i="7"/>
  <c r="K232" i="7"/>
  <c r="K229" i="7"/>
  <c r="K226" i="7"/>
  <c r="K223" i="7"/>
  <c r="K220" i="7"/>
  <c r="K217" i="7"/>
  <c r="K214" i="7"/>
  <c r="K211" i="7"/>
  <c r="K208" i="7"/>
  <c r="K205" i="7"/>
  <c r="K202" i="7"/>
  <c r="K199" i="7"/>
  <c r="K196" i="7"/>
  <c r="K193" i="7"/>
  <c r="K190" i="7"/>
  <c r="K187" i="7"/>
  <c r="K184" i="7"/>
  <c r="K181" i="7"/>
  <c r="K178" i="7"/>
  <c r="K175" i="7"/>
  <c r="K172" i="7"/>
  <c r="K169" i="7"/>
  <c r="K166" i="7"/>
  <c r="K163" i="7"/>
  <c r="K160" i="7"/>
  <c r="K157" i="7"/>
  <c r="K154" i="7"/>
  <c r="K151" i="7"/>
  <c r="K148" i="7"/>
  <c r="K145" i="7"/>
  <c r="K142" i="7"/>
  <c r="K139" i="7"/>
  <c r="K136" i="7"/>
  <c r="K133" i="7"/>
  <c r="K130" i="7"/>
  <c r="K127" i="7"/>
  <c r="K124" i="7"/>
  <c r="K121" i="7"/>
  <c r="K118" i="7"/>
  <c r="K115" i="7"/>
  <c r="K112" i="7"/>
  <c r="K109" i="7"/>
  <c r="K106" i="7"/>
  <c r="K103" i="7"/>
  <c r="K100" i="7"/>
  <c r="K97" i="7"/>
  <c r="K94" i="7"/>
  <c r="K91" i="7"/>
  <c r="K88" i="7"/>
  <c r="K85" i="7"/>
  <c r="K82" i="7"/>
  <c r="K79" i="7"/>
  <c r="K76" i="7"/>
  <c r="K73" i="7"/>
  <c r="K70" i="7"/>
  <c r="K67" i="7"/>
  <c r="K64" i="7"/>
  <c r="K61" i="7"/>
  <c r="K58" i="7"/>
  <c r="K55" i="7"/>
  <c r="K52" i="7"/>
  <c r="K49" i="7"/>
  <c r="K46" i="7"/>
  <c r="K43" i="7"/>
  <c r="K40" i="7"/>
  <c r="K37" i="7"/>
  <c r="K34" i="7"/>
  <c r="K31" i="7"/>
  <c r="K28" i="7"/>
  <c r="K25" i="7"/>
  <c r="K22" i="7"/>
  <c r="K19" i="7"/>
  <c r="K16" i="7"/>
  <c r="K13" i="7"/>
  <c r="K10" i="7"/>
  <c r="K7" i="7"/>
  <c r="K4" i="7"/>
  <c r="K405" i="7"/>
  <c r="K402" i="7"/>
  <c r="K399" i="7"/>
  <c r="K396" i="7"/>
  <c r="K393" i="7"/>
  <c r="K390" i="7"/>
  <c r="K387" i="7"/>
  <c r="K384" i="7"/>
  <c r="K381" i="7"/>
  <c r="K378" i="7"/>
  <c r="K375" i="7"/>
  <c r="K372" i="7"/>
  <c r="K369" i="7"/>
  <c r="K366" i="7"/>
  <c r="K363" i="7"/>
  <c r="K360" i="7"/>
  <c r="K357" i="7"/>
  <c r="K354" i="7"/>
  <c r="K351" i="7"/>
  <c r="K348" i="7"/>
  <c r="K345" i="7"/>
  <c r="K342" i="7"/>
  <c r="K339" i="7"/>
  <c r="K336" i="7"/>
  <c r="K333" i="7"/>
  <c r="K330" i="7"/>
  <c r="K327" i="7"/>
  <c r="K324" i="7"/>
  <c r="K321" i="7"/>
  <c r="K318" i="7"/>
  <c r="K315" i="7"/>
  <c r="K312" i="7"/>
  <c r="K309" i="7"/>
  <c r="K306" i="7"/>
  <c r="K303" i="7"/>
  <c r="K300" i="7"/>
  <c r="K297" i="7"/>
  <c r="K294" i="7"/>
  <c r="K291" i="7"/>
  <c r="K288" i="7"/>
  <c r="K285" i="7"/>
  <c r="K282" i="7"/>
  <c r="K279" i="7"/>
  <c r="K276" i="7"/>
  <c r="K273" i="7"/>
  <c r="K270" i="7"/>
  <c r="K267" i="7"/>
  <c r="K264" i="7"/>
  <c r="K261" i="7"/>
  <c r="K258" i="7"/>
  <c r="K255" i="7"/>
  <c r="K252" i="7"/>
  <c r="K249" i="7"/>
  <c r="K246" i="7"/>
  <c r="K243" i="7"/>
  <c r="K240" i="7"/>
  <c r="K237" i="7"/>
  <c r="K234" i="7"/>
  <c r="K231" i="7"/>
  <c r="K228" i="7"/>
  <c r="K225" i="7"/>
  <c r="K222" i="7"/>
  <c r="K219" i="7"/>
  <c r="K216" i="7"/>
  <c r="K213" i="7"/>
  <c r="K210" i="7"/>
  <c r="K207" i="7"/>
  <c r="K204" i="7"/>
  <c r="K201" i="7"/>
  <c r="K198" i="7"/>
  <c r="K195" i="7"/>
  <c r="K192" i="7"/>
  <c r="K189" i="7"/>
  <c r="K186" i="7"/>
  <c r="K183" i="7"/>
  <c r="K180" i="7"/>
  <c r="K177" i="7"/>
  <c r="K174" i="7"/>
  <c r="K171" i="7"/>
  <c r="K168" i="7"/>
  <c r="K165" i="7"/>
  <c r="K162" i="7"/>
  <c r="K159" i="7"/>
  <c r="K156" i="7"/>
  <c r="K153" i="7"/>
  <c r="K150" i="7"/>
  <c r="K147" i="7"/>
  <c r="K144" i="7"/>
  <c r="K141" i="7"/>
  <c r="K138" i="7"/>
  <c r="K135" i="7"/>
  <c r="K132" i="7"/>
  <c r="K129" i="7"/>
  <c r="K126" i="7"/>
  <c r="K123" i="7"/>
  <c r="K120" i="7"/>
  <c r="K117" i="7"/>
  <c r="K114" i="7"/>
  <c r="K111" i="7"/>
  <c r="K108" i="7"/>
  <c r="K105" i="7"/>
  <c r="K102" i="7"/>
  <c r="K99" i="7"/>
  <c r="K96" i="7"/>
  <c r="K93" i="7"/>
  <c r="K90" i="7"/>
  <c r="K87" i="7"/>
  <c r="K84" i="7"/>
  <c r="K81" i="7"/>
  <c r="K78" i="7"/>
  <c r="K75" i="7"/>
  <c r="K72" i="7"/>
  <c r="K69" i="7"/>
  <c r="K66" i="7"/>
  <c r="K63" i="7"/>
  <c r="K60" i="7"/>
  <c r="K57" i="7"/>
  <c r="K54" i="7"/>
  <c r="K51" i="7"/>
  <c r="K48" i="7"/>
  <c r="K45" i="7"/>
  <c r="K42" i="7"/>
  <c r="K39" i="7"/>
  <c r="K36" i="7"/>
  <c r="K33" i="7"/>
  <c r="K30" i="7"/>
  <c r="K27" i="7"/>
  <c r="K24" i="7"/>
  <c r="K21" i="7"/>
  <c r="K18" i="7"/>
  <c r="K15" i="7"/>
  <c r="K12" i="7"/>
  <c r="K9" i="7"/>
  <c r="K6" i="7"/>
  <c r="K3" i="7"/>
  <c r="V24" i="14"/>
  <c r="V25" i="14" s="1"/>
  <c r="W20" i="14" s="1"/>
  <c r="W22" i="14" l="1"/>
  <c r="W16" i="14"/>
  <c r="W18" i="14"/>
  <c r="E27" i="14"/>
  <c r="F27" i="14"/>
  <c r="G23" i="14"/>
  <c r="G21" i="14"/>
  <c r="G27" i="14" l="1"/>
  <c r="G28" i="14" s="1"/>
  <c r="H19" i="14" l="1"/>
  <c r="H21" i="14"/>
  <c r="H25" i="14"/>
  <c r="H23" i="14"/>
</calcChain>
</file>

<file path=xl/sharedStrings.xml><?xml version="1.0" encoding="utf-8"?>
<sst xmlns="http://schemas.openxmlformats.org/spreadsheetml/2006/main" count="22097" uniqueCount="3888">
  <si>
    <t>MEDIAN HOUSEHOLD INCOME IN THE PAST 12 MONTHS (IN 2019 INFLATION-ADJUSTED DOLLARS)</t>
  </si>
  <si>
    <t>Note: The table shown may have been modified by user selections. Some information may be missing.</t>
  </si>
  <si>
    <t>Census Code</t>
  </si>
  <si>
    <t>B19013</t>
  </si>
  <si>
    <t>Median Household Income IN the past 12 months</t>
  </si>
  <si>
    <t>DATA NOTES</t>
  </si>
  <si>
    <t/>
  </si>
  <si>
    <t>DP05</t>
  </si>
  <si>
    <t>Average Household Size</t>
  </si>
  <si>
    <t>TABLE ID:</t>
  </si>
  <si>
    <t>S2503</t>
  </si>
  <si>
    <t>Median Census Housing Cost</t>
  </si>
  <si>
    <t>SURVEY/PROGRAM:</t>
  </si>
  <si>
    <t>American Community Survey</t>
  </si>
  <si>
    <t xml:space="preserve">For the Financial Characteristics table, hit transpose  on the Census website </t>
  </si>
  <si>
    <t>VINTAGE:</t>
  </si>
  <si>
    <t>2019</t>
  </si>
  <si>
    <t>Not all columns used</t>
  </si>
  <si>
    <t>DATASET:</t>
  </si>
  <si>
    <t>ACSDT5Y2019</t>
  </si>
  <si>
    <t>PRODUCT:</t>
  </si>
  <si>
    <t>ACS 5-Year Estimates Detailed Tables</t>
  </si>
  <si>
    <t>UNIVERSE:</t>
  </si>
  <si>
    <t>Households</t>
  </si>
  <si>
    <t>FTP URL:</t>
  </si>
  <si>
    <t>None</t>
  </si>
  <si>
    <t>API URL:</t>
  </si>
  <si>
    <t>https://api.census.gov/data/2019/acs/acs5</t>
  </si>
  <si>
    <t>USER SELECTIONS</t>
  </si>
  <si>
    <t>GEOS</t>
  </si>
  <si>
    <t>All Census Tracts within Connecticut</t>
  </si>
  <si>
    <t>TOPICS</t>
  </si>
  <si>
    <t>Income and Poverty; Income (Households, Families, Individuals)</t>
  </si>
  <si>
    <t>EXCLUDED COLUMNS</t>
  </si>
  <si>
    <t>Census Tract 101.01, Fairfield County, Connecticut!!Margin of Error</t>
  </si>
  <si>
    <t>Census Tract 101.02, Fairfield County, Connecticut!!Margin of Error</t>
  </si>
  <si>
    <t>Census Tract 102.01, Fairfield County, Connecticut!!Margin of Error</t>
  </si>
  <si>
    <t>Census Tract 102.02, Fairfield County, Connecticut!!Margin of Error</t>
  </si>
  <si>
    <t>Census Tract 103, Fairfield County, Connecticut!!Margin of Error</t>
  </si>
  <si>
    <t>Census Tract 104, Fairfield County, Connecticut!!Margin of Error</t>
  </si>
  <si>
    <t>Census Tract 105, Fairfield County, Connecticut!!Margin of Error</t>
  </si>
  <si>
    <t>Census Tract 106, Fairfield County, Connecticut!!Margin of Error</t>
  </si>
  <si>
    <t>Census Tract 107, Fairfield County, Connecticut!!Margin of Error</t>
  </si>
  <si>
    <t>Census Tract 108, Fairfield County, Connecticut!!Margin of Error</t>
  </si>
  <si>
    <t>Census Tract 109, Fairfield County, Connecticut!!Margin of Error</t>
  </si>
  <si>
    <t>Census Tract 110, Fairfield County, Connecticut!!Margin of Error</t>
  </si>
  <si>
    <t>Census Tract 111, Fairfield County, Connecticut!!Margin of Error</t>
  </si>
  <si>
    <t>Census Tract 112, Fairfield County, Connecticut!!Margin of Error</t>
  </si>
  <si>
    <t>Census Tract 113, Fairfield County, Connecticut!!Margin of Error</t>
  </si>
  <si>
    <t>Census Tract 201, Fairfield County, Connecticut!!Margin of Error</t>
  </si>
  <si>
    <t>Census Tract 202, Fairfield County, Connecticut!!Margin of Error</t>
  </si>
  <si>
    <t>Census Tract 203, Fairfield County, Connecticut!!Margin of Error</t>
  </si>
  <si>
    <t>Census Tract 204, Fairfield County, Connecticut!!Margin of Error</t>
  </si>
  <si>
    <t>Census Tract 205, Fairfield County, Connecticut!!Margin of Error</t>
  </si>
  <si>
    <t>Census Tract 206, Fairfield County, Connecticut!!Margin of Error</t>
  </si>
  <si>
    <t>Census Tract 207, Fairfield County, Connecticut!!Margin of Error</t>
  </si>
  <si>
    <t>Census Tract 208, Fairfield County, Connecticut!!Margin of Error</t>
  </si>
  <si>
    <t>Census Tract 209, Fairfield County, Connecticut!!Margin of Error</t>
  </si>
  <si>
    <t>Census Tract 210, Fairfield County, Connecticut!!Margin of Error</t>
  </si>
  <si>
    <t>Census Tract 211, Fairfield County, Connecticut!!Margin of Error</t>
  </si>
  <si>
    <t>Census Tract 212, Fairfield County, Connecticut!!Margin of Error</t>
  </si>
  <si>
    <t>Census Tract 213, Fairfield County, Connecticut!!Margin of Error</t>
  </si>
  <si>
    <t>Census Tract 214, Fairfield County, Connecticut!!Margin of Error</t>
  </si>
  <si>
    <t>Census Tract 215, Fairfield County, Connecticut!!Margin of Error</t>
  </si>
  <si>
    <t>Census Tract 216, Fairfield County, Connecticut!!Margin of Error</t>
  </si>
  <si>
    <t>Census Tract 217, Fairfield County, Connecticut!!Margin of Error</t>
  </si>
  <si>
    <t>Census Tract 218.01, Fairfield County, Connecticut!!Margin of Error</t>
  </si>
  <si>
    <t>Census Tract 218.02, Fairfield County, Connecticut!!Margin of Error</t>
  </si>
  <si>
    <t>Census Tract 219, Fairfield County, Connecticut!!Margin of Error</t>
  </si>
  <si>
    <t>Census Tract 220, Fairfield County, Connecticut!!Margin of Error</t>
  </si>
  <si>
    <t>Census Tract 221, Fairfield County, Connecticut!!Margin of Error</t>
  </si>
  <si>
    <t>Census Tract 222, Fairfield County, Connecticut!!Margin of Error</t>
  </si>
  <si>
    <t>Census Tract 223, Fairfield County, Connecticut!!Margin of Error</t>
  </si>
  <si>
    <t>Census Tract 224, Fairfield County, Connecticut!!Margin of Error</t>
  </si>
  <si>
    <t>Census Tract 301, Fairfield County, Connecticut!!Margin of Error</t>
  </si>
  <si>
    <t>Census Tract 302, Fairfield County, Connecticut!!Margin of Error</t>
  </si>
  <si>
    <t>Census Tract 303, Fairfield County, Connecticut!!Margin of Error</t>
  </si>
  <si>
    <t>Census Tract 304, Fairfield County, Connecticut!!Margin of Error</t>
  </si>
  <si>
    <t>Census Tract 305, Fairfield County, Connecticut!!Margin of Error</t>
  </si>
  <si>
    <t>Census Tract 351, Fairfield County, Connecticut!!Margin of Error</t>
  </si>
  <si>
    <t>Census Tract 352, Fairfield County, Connecticut!!Margin of Error</t>
  </si>
  <si>
    <t>Census Tract 353, Fairfield County, Connecticut!!Margin of Error</t>
  </si>
  <si>
    <t>Census Tract 354, Fairfield County, Connecticut!!Margin of Error</t>
  </si>
  <si>
    <t>Census Tract 425, Fairfield County, Connecticut!!Margin of Error</t>
  </si>
  <si>
    <t>Census Tract 426, Fairfield County, Connecticut!!Margin of Error</t>
  </si>
  <si>
    <t>Census Tract 427, Fairfield County, Connecticut!!Margin of Error</t>
  </si>
  <si>
    <t>Census Tract 428, Fairfield County, Connecticut!!Margin of Error</t>
  </si>
  <si>
    <t>Census Tract 429, Fairfield County, Connecticut!!Margin of Error</t>
  </si>
  <si>
    <t>Census Tract 430, Fairfield County, Connecticut!!Margin of Error</t>
  </si>
  <si>
    <t>Census Tract 431, Fairfield County, Connecticut!!Margin of Error</t>
  </si>
  <si>
    <t>Census Tract 432, Fairfield County, Connecticut!!Margin of Error</t>
  </si>
  <si>
    <t>Census Tract 433, Fairfield County, Connecticut!!Margin of Error</t>
  </si>
  <si>
    <t>Census Tract 434, Fairfield County, Connecticut!!Margin of Error</t>
  </si>
  <si>
    <t>Census Tract 435, Fairfield County, Connecticut!!Margin of Error</t>
  </si>
  <si>
    <t>Census Tract 436, Fairfield County, Connecticut!!Margin of Error</t>
  </si>
  <si>
    <t>Census Tract 437, Fairfield County, Connecticut!!Margin of Error</t>
  </si>
  <si>
    <t>Census Tract 438, Fairfield County, Connecticut!!Margin of Error</t>
  </si>
  <si>
    <t>Census Tract 439, Fairfield County, Connecticut!!Margin of Error</t>
  </si>
  <si>
    <t>Census Tract 440, Fairfield County, Connecticut!!Margin of Error</t>
  </si>
  <si>
    <t>Census Tract 441, Fairfield County, Connecticut!!Margin of Error</t>
  </si>
  <si>
    <t>Census Tract 442, Fairfield County, Connecticut!!Margin of Error</t>
  </si>
  <si>
    <t>Census Tract 443, Fairfield County, Connecticut!!Margin of Error</t>
  </si>
  <si>
    <t>Census Tract 444, Fairfield County, Connecticut!!Margin of Error</t>
  </si>
  <si>
    <t>Census Tract 445, Fairfield County, Connecticut!!Margin of Error</t>
  </si>
  <si>
    <t>Census Tract 446, Fairfield County, Connecticut!!Margin of Error</t>
  </si>
  <si>
    <t>Census Tract 451.01, Fairfield County, Connecticut!!Margin of Error</t>
  </si>
  <si>
    <t>Census Tract 451.02, Fairfield County, Connecticut!!Margin of Error</t>
  </si>
  <si>
    <t>Census Tract 452, Fairfield County, Connecticut!!Margin of Error</t>
  </si>
  <si>
    <t>Census Tract 453, Fairfield County, Connecticut!!Margin of Error</t>
  </si>
  <si>
    <t>Census Tract 454, Fairfield County, Connecticut!!Margin of Error</t>
  </si>
  <si>
    <t>Census Tract 501, Fairfield County, Connecticut!!Margin of Error</t>
  </si>
  <si>
    <t>Census Tract 502, Fairfield County, Connecticut!!Margin of Error</t>
  </si>
  <si>
    <t>Census Tract 503, Fairfield County, Connecticut!!Margin of Error</t>
  </si>
  <si>
    <t>Census Tract 504, Fairfield County, Connecticut!!Margin of Error</t>
  </si>
  <si>
    <t>Census Tract 505, Fairfield County, Connecticut!!Margin of Error</t>
  </si>
  <si>
    <t>Census Tract 506, Fairfield County, Connecticut!!Margin of Error</t>
  </si>
  <si>
    <t>Census Tract 551, Fairfield County, Connecticut!!Margin of Error</t>
  </si>
  <si>
    <t>Census Tract 552, Fairfield County, Connecticut!!Margin of Error</t>
  </si>
  <si>
    <t>Census Tract 601, Fairfield County, Connecticut!!Margin of Error</t>
  </si>
  <si>
    <t>Census Tract 602, Fairfield County, Connecticut!!Margin of Error</t>
  </si>
  <si>
    <t>Census Tract 603, Fairfield County, Connecticut!!Margin of Error</t>
  </si>
  <si>
    <t>Census Tract 604, Fairfield County, Connecticut!!Margin of Error</t>
  </si>
  <si>
    <t>Census Tract 605, Fairfield County, Connecticut!!Margin of Error</t>
  </si>
  <si>
    <t>Census Tract 606, Fairfield County, Connecticut!!Margin of Error</t>
  </si>
  <si>
    <t>Census Tract 607, Fairfield County, Connecticut!!Margin of Error</t>
  </si>
  <si>
    <t>Census Tract 608, Fairfield County, Connecticut!!Margin of Error</t>
  </si>
  <si>
    <t>Census Tract 609, Fairfield County, Connecticut!!Margin of Error</t>
  </si>
  <si>
    <t>Census Tract 610, Fairfield County, Connecticut!!Margin of Error</t>
  </si>
  <si>
    <t>Census Tract 611, Fairfield County, Connecticut!!Margin of Error</t>
  </si>
  <si>
    <t>Census Tract 612, Fairfield County, Connecticut!!Margin of Error</t>
  </si>
  <si>
    <t>Census Tract 613, Fairfield County, Connecticut!!Margin of Error</t>
  </si>
  <si>
    <t>Census Tract 614, Fairfield County, Connecticut!!Margin of Error</t>
  </si>
  <si>
    <t>Census Tract 615, Fairfield County, Connecticut!!Margin of Error</t>
  </si>
  <si>
    <t>Census Tract 616, Fairfield County, Connecticut!!Margin of Error</t>
  </si>
  <si>
    <t>Census Tract 701, Fairfield County, Connecticut!!Margin of Error</t>
  </si>
  <si>
    <t>Census Tract 702, Fairfield County, Connecticut!!Margin of Error</t>
  </si>
  <si>
    <t>Census Tract 703, Fairfield County, Connecticut!!Margin of Error</t>
  </si>
  <si>
    <t>Census Tract 704, Fairfield County, Connecticut!!Margin of Error</t>
  </si>
  <si>
    <t>Census Tract 705, Fairfield County, Connecticut!!Margin of Error</t>
  </si>
  <si>
    <t>Census Tract 706, Fairfield County, Connecticut!!Margin of Error</t>
  </si>
  <si>
    <t>Census Tract 709, Fairfield County, Connecticut!!Margin of Error</t>
  </si>
  <si>
    <t>Census Tract 710, Fairfield County, Connecticut!!Margin of Error</t>
  </si>
  <si>
    <t>Census Tract 711, Fairfield County, Connecticut!!Margin of Error</t>
  </si>
  <si>
    <t>Census Tract 712, Fairfield County, Connecticut!!Margin of Error</t>
  </si>
  <si>
    <t>Census Tract 713, Fairfield County, Connecticut!!Margin of Error</t>
  </si>
  <si>
    <t>Census Tract 714, Fairfield County, Connecticut!!Margin of Error</t>
  </si>
  <si>
    <t>Census Tract 716, Fairfield County, Connecticut!!Margin of Error</t>
  </si>
  <si>
    <t>Census Tract 719, Fairfield County, Connecticut!!Margin of Error</t>
  </si>
  <si>
    <t>Census Tract 720, Fairfield County, Connecticut!!Margin of Error</t>
  </si>
  <si>
    <t>Census Tract 721, Fairfield County, Connecticut!!Margin of Error</t>
  </si>
  <si>
    <t>Census Tract 722, Fairfield County, Connecticut!!Margin of Error</t>
  </si>
  <si>
    <t>Census Tract 723, Fairfield County, Connecticut!!Margin of Error</t>
  </si>
  <si>
    <t>Census Tract 724, Fairfield County, Connecticut!!Margin of Error</t>
  </si>
  <si>
    <t>Census Tract 725, Fairfield County, Connecticut!!Margin of Error</t>
  </si>
  <si>
    <t>Census Tract 726, Fairfield County, Connecticut!!Margin of Error</t>
  </si>
  <si>
    <t>Census Tract 727, Fairfield County, Connecticut!!Margin of Error</t>
  </si>
  <si>
    <t>Census Tract 728, Fairfield County, Connecticut!!Margin of Error</t>
  </si>
  <si>
    <t>Census Tract 729, Fairfield County, Connecticut!!Margin of Error</t>
  </si>
  <si>
    <t>Census Tract 730, Fairfield County, Connecticut!!Margin of Error</t>
  </si>
  <si>
    <t>Census Tract 731, Fairfield County, Connecticut!!Margin of Error</t>
  </si>
  <si>
    <t>Census Tract 732, Fairfield County, Connecticut!!Margin of Error</t>
  </si>
  <si>
    <t>Census Tract 733, Fairfield County, Connecticut!!Margin of Error</t>
  </si>
  <si>
    <t>Census Tract 734, Fairfield County, Connecticut!!Margin of Error</t>
  </si>
  <si>
    <t>Census Tract 735, Fairfield County, Connecticut!!Margin of Error</t>
  </si>
  <si>
    <t>Census Tract 736, Fairfield County, Connecticut!!Margin of Error</t>
  </si>
  <si>
    <t>Census Tract 737, Fairfield County, Connecticut!!Margin of Error</t>
  </si>
  <si>
    <t>Census Tract 738, Fairfield County, Connecticut!!Margin of Error</t>
  </si>
  <si>
    <t>Census Tract 739, Fairfield County, Connecticut!!Margin of Error</t>
  </si>
  <si>
    <t>Census Tract 740, Fairfield County, Connecticut!!Margin of Error</t>
  </si>
  <si>
    <t>Census Tract 743, Fairfield County, Connecticut!!Margin of Error</t>
  </si>
  <si>
    <t>Census Tract 744, Fairfield County, Connecticut!!Margin of Error</t>
  </si>
  <si>
    <t>Census Tract 801, Fairfield County, Connecticut!!Margin of Error</t>
  </si>
  <si>
    <t>Census Tract 802, Fairfield County, Connecticut!!Margin of Error</t>
  </si>
  <si>
    <t>Census Tract 804, Fairfield County, Connecticut!!Margin of Error</t>
  </si>
  <si>
    <t>Census Tract 805, Fairfield County, Connecticut!!Margin of Error</t>
  </si>
  <si>
    <t>Census Tract 806, Fairfield County, Connecticut!!Margin of Error</t>
  </si>
  <si>
    <t>Census Tract 807, Fairfield County, Connecticut!!Margin of Error</t>
  </si>
  <si>
    <t>Census Tract 808, Fairfield County, Connecticut!!Margin of Error</t>
  </si>
  <si>
    <t>Census Tract 809, Fairfield County, Connecticut!!Margin of Error</t>
  </si>
  <si>
    <t>Census Tract 810, Fairfield County, Connecticut!!Margin of Error</t>
  </si>
  <si>
    <t>Census Tract 811, Fairfield County, Connecticut!!Margin of Error</t>
  </si>
  <si>
    <t>Census Tract 812, Fairfield County, Connecticut!!Margin of Error</t>
  </si>
  <si>
    <t>Census Tract 813, Fairfield County, Connecticut!!Margin of Error</t>
  </si>
  <si>
    <t>Census Tract 901, Fairfield County, Connecticut!!Margin of Error</t>
  </si>
  <si>
    <t>Census Tract 902, Fairfield County, Connecticut!!Margin of Error</t>
  </si>
  <si>
    <t>Census Tract 903, Fairfield County, Connecticut!!Margin of Error</t>
  </si>
  <si>
    <t>Census Tract 904, Fairfield County, Connecticut!!Margin of Error</t>
  </si>
  <si>
    <t>Census Tract 905, Fairfield County, Connecticut!!Margin of Error</t>
  </si>
  <si>
    <t>Census Tract 906, Fairfield County, Connecticut!!Margin of Error</t>
  </si>
  <si>
    <t>Census Tract 907, Fairfield County, Connecticut!!Margin of Error</t>
  </si>
  <si>
    <t>Census Tract 1001, Fairfield County, Connecticut!!Margin of Error</t>
  </si>
  <si>
    <t>Census Tract 1002, Fairfield County, Connecticut!!Margin of Error</t>
  </si>
  <si>
    <t>Census Tract 1003, Fairfield County, Connecticut!!Margin of Error</t>
  </si>
  <si>
    <t>Census Tract 1051, Fairfield County, Connecticut!!Margin of Error</t>
  </si>
  <si>
    <t>Census Tract 1052, Fairfield County, Connecticut!!Margin of Error</t>
  </si>
  <si>
    <t>Census Tract 1101, Fairfield County, Connecticut!!Margin of Error</t>
  </si>
  <si>
    <t>Census Tract 1102.01, Fairfield County, Connecticut!!Margin of Error</t>
  </si>
  <si>
    <t>Census Tract 1102.02, Fairfield County, Connecticut!!Margin of Error</t>
  </si>
  <si>
    <t>Census Tract 1103.01, Fairfield County, Connecticut!!Margin of Error</t>
  </si>
  <si>
    <t>Census Tract 1103.02, Fairfield County, Connecticut!!Margin of Error</t>
  </si>
  <si>
    <t>Census Tract 1104, Fairfield County, Connecticut!!Margin of Error</t>
  </si>
  <si>
    <t>Census Tract 1105, Fairfield County, Connecticut!!Margin of Error</t>
  </si>
  <si>
    <t>Census Tract 1106, Fairfield County, Connecticut!!Margin of Error</t>
  </si>
  <si>
    <t>Census Tract 2001, Fairfield County, Connecticut!!Margin of Error</t>
  </si>
  <si>
    <t>Census Tract 2002, Fairfield County, Connecticut!!Margin of Error</t>
  </si>
  <si>
    <t>Census Tract 2003.01, Fairfield County, Connecticut!!Margin of Error</t>
  </si>
  <si>
    <t>Census Tract 2003.02, Fairfield County, Connecticut!!Margin of Error</t>
  </si>
  <si>
    <t>Census Tract 2051, Fairfield County, Connecticut!!Margin of Error</t>
  </si>
  <si>
    <t>Census Tract 2052, Fairfield County, Connecticut!!Margin of Error</t>
  </si>
  <si>
    <t>Census Tract 2053, Fairfield County, Connecticut!!Margin of Error</t>
  </si>
  <si>
    <t>Census Tract 2101, Fairfield County, Connecticut!!Margin of Error</t>
  </si>
  <si>
    <t>Census Tract 2102, Fairfield County, Connecticut!!Margin of Error</t>
  </si>
  <si>
    <t>Census Tract 2103, Fairfield County, Connecticut!!Margin of Error</t>
  </si>
  <si>
    <t>Census Tract 2104, Fairfield County, Connecticut!!Margin of Error</t>
  </si>
  <si>
    <t>Census Tract 2105, Fairfield County, Connecticut!!Margin of Error</t>
  </si>
  <si>
    <t>Census Tract 2106, Fairfield County, Connecticut!!Margin of Error</t>
  </si>
  <si>
    <t>Census Tract 2107.01, Fairfield County, Connecticut!!Margin of Error</t>
  </si>
  <si>
    <t>Census Tract 2107.02, Fairfield County, Connecticut!!Margin of Error</t>
  </si>
  <si>
    <t>Census Tract 2108, Fairfield County, Connecticut!!Margin of Error</t>
  </si>
  <si>
    <t>Census Tract 2109, Fairfield County, Connecticut!!Margin of Error</t>
  </si>
  <si>
    <t>Census Tract 2110, Fairfield County, Connecticut!!Margin of Error</t>
  </si>
  <si>
    <t>Census Tract 2111, Fairfield County, Connecticut!!Margin of Error</t>
  </si>
  <si>
    <t>Census Tract 2112, Fairfield County, Connecticut!!Margin of Error</t>
  </si>
  <si>
    <t>Census Tract 2113, Fairfield County, Connecticut!!Margin of Error</t>
  </si>
  <si>
    <t>Census Tract 2114, Fairfield County, Connecticut!!Margin of Error</t>
  </si>
  <si>
    <t>Census Tract 2201, Fairfield County, Connecticut!!Margin of Error</t>
  </si>
  <si>
    <t>Census Tract 2202, Fairfield County, Connecticut!!Margin of Error</t>
  </si>
  <si>
    <t>Census Tract 2203, Fairfield County, Connecticut!!Margin of Error</t>
  </si>
  <si>
    <t>Census Tract 2301, Fairfield County, Connecticut!!Margin of Error</t>
  </si>
  <si>
    <t>Census Tract 2302, Fairfield County, Connecticut!!Margin of Error</t>
  </si>
  <si>
    <t>Census Tract 2303, Fairfield County, Connecticut!!Margin of Error</t>
  </si>
  <si>
    <t>Census Tract 2304, Fairfield County, Connecticut!!Margin of Error</t>
  </si>
  <si>
    <t>Census Tract 2305.01, Fairfield County, Connecticut!!Margin of Error</t>
  </si>
  <si>
    <t>Census Tract 2305.02, Fairfield County, Connecticut!!Margin of Error</t>
  </si>
  <si>
    <t>Census Tract 2401, Fairfield County, Connecticut!!Margin of Error</t>
  </si>
  <si>
    <t>Census Tract 2402, Fairfield County, Connecticut!!Margin of Error</t>
  </si>
  <si>
    <t>Census Tract 2451, Fairfield County, Connecticut!!Margin of Error</t>
  </si>
  <si>
    <t>Census Tract 2452, Fairfield County, Connecticut!!Margin of Error</t>
  </si>
  <si>
    <t>Census Tract 2453, Fairfield County, Connecticut!!Margin of Error</t>
  </si>
  <si>
    <t>Census Tract 2454, Fairfield County, Connecticut!!Margin of Error</t>
  </si>
  <si>
    <t>Census Tract 2455, Fairfield County, Connecticut!!Margin of Error</t>
  </si>
  <si>
    <t>Census Tract 2456, Fairfield County, Connecticut!!Margin of Error</t>
  </si>
  <si>
    <t>Census Tract 2571, Fairfield County, Connecticut!!Margin of Error</t>
  </si>
  <si>
    <t>Census Tract 2572, Fairfield County, Connecticut!!Margin of Error</t>
  </si>
  <si>
    <t>Census Tract 9900, Fairfield County, Connecticut!!Margin of Error</t>
  </si>
  <si>
    <t>Census Tract 3301, Hartford County, Connecticut!!Margin of Error</t>
  </si>
  <si>
    <t>Census Tract 4001, Hartford County, Connecticut!!Margin of Error</t>
  </si>
  <si>
    <t>Census Tract 4002, Hartford County, Connecticut!!Margin of Error</t>
  </si>
  <si>
    <t>Census Tract 4003, Hartford County, Connecticut!!Margin of Error</t>
  </si>
  <si>
    <t>Census Tract 4051, Hartford County, Connecticut!!Margin of Error</t>
  </si>
  <si>
    <t>Census Tract 4052, Hartford County, Connecticut!!Margin of Error</t>
  </si>
  <si>
    <t>Census Tract 4053, Hartford County, Connecticut!!Margin of Error</t>
  </si>
  <si>
    <t>Census Tract 4054.01, Hartford County, Connecticut!!Margin of Error</t>
  </si>
  <si>
    <t>Census Tract 4054.02, Hartford County, Connecticut!!Margin of Error</t>
  </si>
  <si>
    <t>Census Tract 4055, Hartford County, Connecticut!!Margin of Error</t>
  </si>
  <si>
    <t>Census Tract 4056, Hartford County, Connecticut!!Margin of Error</t>
  </si>
  <si>
    <t>Census Tract 4057, Hartford County, Connecticut!!Margin of Error</t>
  </si>
  <si>
    <t>Census Tract 4058, Hartford County, Connecticut!!Margin of Error</t>
  </si>
  <si>
    <t>Census Tract 4059, Hartford County, Connecticut!!Margin of Error</t>
  </si>
  <si>
    <t>Census Tract 4060.01, Hartford County, Connecticut!!Margin of Error</t>
  </si>
  <si>
    <t>Census Tract 4060.02, Hartford County, Connecticut!!Margin of Error</t>
  </si>
  <si>
    <t>Census Tract 4061, Hartford County, Connecticut!!Margin of Error</t>
  </si>
  <si>
    <t>Census Tract 4101.01, Hartford County, Connecticut!!Margin of Error</t>
  </si>
  <si>
    <t>Census Tract 4101.02, Hartford County, Connecticut!!Margin of Error</t>
  </si>
  <si>
    <t>Census Tract 4153, Hartford County, Connecticut!!Margin of Error</t>
  </si>
  <si>
    <t>Census Tract 4154, Hartford County, Connecticut!!Margin of Error</t>
  </si>
  <si>
    <t>Census Tract 4155, Hartford County, Connecticut!!Margin of Error</t>
  </si>
  <si>
    <t>Census Tract 4156, Hartford County, Connecticut!!Margin of Error</t>
  </si>
  <si>
    <t>Census Tract 4157, Hartford County, Connecticut!!Margin of Error</t>
  </si>
  <si>
    <t>Census Tract 4158, Hartford County, Connecticut!!Margin of Error</t>
  </si>
  <si>
    <t>Census Tract 4159, Hartford County, Connecticut!!Margin of Error</t>
  </si>
  <si>
    <t>Census Tract 4160, Hartford County, Connecticut!!Margin of Error</t>
  </si>
  <si>
    <t>Census Tract 4161, Hartford County, Connecticut!!Margin of Error</t>
  </si>
  <si>
    <t>Census Tract 4162, Hartford County, Connecticut!!Margin of Error</t>
  </si>
  <si>
    <t>Census Tract 4163, Hartford County, Connecticut!!Margin of Error</t>
  </si>
  <si>
    <t>Census Tract 4164, Hartford County, Connecticut!!Margin of Error</t>
  </si>
  <si>
    <t>Census Tract 4165, Hartford County, Connecticut!!Margin of Error</t>
  </si>
  <si>
    <t>Census Tract 4166, Hartford County, Connecticut!!Margin of Error</t>
  </si>
  <si>
    <t>Census Tract 4167, Hartford County, Connecticut!!Margin of Error</t>
  </si>
  <si>
    <t>Census Tract 4168, Hartford County, Connecticut!!Margin of Error</t>
  </si>
  <si>
    <t>Census Tract 4171, Hartford County, Connecticut!!Margin of Error</t>
  </si>
  <si>
    <t>Census Tract 4172, Hartford County, Connecticut!!Margin of Error</t>
  </si>
  <si>
    <t>Census Tract 4173, Hartford County, Connecticut!!Margin of Error</t>
  </si>
  <si>
    <t>Census Tract 4174, Hartford County, Connecticut!!Margin of Error</t>
  </si>
  <si>
    <t>Census Tract 4175, Hartford County, Connecticut!!Margin of Error</t>
  </si>
  <si>
    <t>Census Tract 4204, Hartford County, Connecticut!!Margin of Error</t>
  </si>
  <si>
    <t>Census Tract 4205, Hartford County, Connecticut!!Margin of Error</t>
  </si>
  <si>
    <t>Census Tract 4206, Hartford County, Connecticut!!Margin of Error</t>
  </si>
  <si>
    <t>Census Tract 4207, Hartford County, Connecticut!!Margin of Error</t>
  </si>
  <si>
    <t>Census Tract 4301, Hartford County, Connecticut!!Margin of Error</t>
  </si>
  <si>
    <t>Census Tract 4302.01, Hartford County, Connecticut!!Margin of Error</t>
  </si>
  <si>
    <t>Census Tract 4302.02, Hartford County, Connecticut!!Margin of Error</t>
  </si>
  <si>
    <t>Census Tract 4302.03, Hartford County, Connecticut!!Margin of Error</t>
  </si>
  <si>
    <t>Census Tract 4303.01, Hartford County, Connecticut!!Margin of Error</t>
  </si>
  <si>
    <t>Census Tract 4303.02, Hartford County, Connecticut!!Margin of Error</t>
  </si>
  <si>
    <t>Census Tract 4304, Hartford County, Connecticut!!Margin of Error</t>
  </si>
  <si>
    <t>Census Tract 4305, Hartford County, Connecticut!!Margin of Error</t>
  </si>
  <si>
    <t>Census Tract 4306.01, Hartford County, Connecticut!!Margin of Error</t>
  </si>
  <si>
    <t>Census Tract 4306.02, Hartford County, Connecticut!!Margin of Error</t>
  </si>
  <si>
    <t>Census Tract 4601, Hartford County, Connecticut!!Margin of Error</t>
  </si>
  <si>
    <t>Census Tract 4602.02, Hartford County, Connecticut!!Margin of Error</t>
  </si>
  <si>
    <t>Census Tract 4602.03, Hartford County, Connecticut!!Margin of Error</t>
  </si>
  <si>
    <t>Census Tract 4602.04, Hartford County, Connecticut!!Margin of Error</t>
  </si>
  <si>
    <t>Census Tract 4603.01, Hartford County, Connecticut!!Margin of Error</t>
  </si>
  <si>
    <t>Census Tract 4603.02, Hartford County, Connecticut!!Margin of Error</t>
  </si>
  <si>
    <t>Census Tract 4621.01, Hartford County, Connecticut!!Margin of Error</t>
  </si>
  <si>
    <t>Census Tract 4621.02, Hartford County, Connecticut!!Margin of Error</t>
  </si>
  <si>
    <t>Census Tract 4622.01, Hartford County, Connecticut!!Margin of Error</t>
  </si>
  <si>
    <t>Census Tract 4622.02, Hartford County, Connecticut!!Margin of Error</t>
  </si>
  <si>
    <t>Census Tract 4641.01, Hartford County, Connecticut!!Margin of Error</t>
  </si>
  <si>
    <t>Census Tract 4641.02, Hartford County, Connecticut!!Margin of Error</t>
  </si>
  <si>
    <t>Census Tract 4661.01, Hartford County, Connecticut!!Margin of Error</t>
  </si>
  <si>
    <t>Census Tract 4661.02, Hartford County, Connecticut!!Margin of Error</t>
  </si>
  <si>
    <t>Census Tract 4662.01, Hartford County, Connecticut!!Margin of Error</t>
  </si>
  <si>
    <t>Census Tract 4662.02, Hartford County, Connecticut!!Margin of Error</t>
  </si>
  <si>
    <t>Census Tract 4663, Hartford County, Connecticut!!Margin of Error</t>
  </si>
  <si>
    <t>Census Tract 4664, Hartford County, Connecticut!!Margin of Error</t>
  </si>
  <si>
    <t>Census Tract 4681.01, Hartford County, Connecticut!!Margin of Error</t>
  </si>
  <si>
    <t>Census Tract 4681.02, Hartford County, Connecticut!!Margin of Error</t>
  </si>
  <si>
    <t>Census Tract 4701, Hartford County, Connecticut!!Margin of Error</t>
  </si>
  <si>
    <t>Census Tract 4711, Hartford County, Connecticut!!Margin of Error</t>
  </si>
  <si>
    <t>Census Tract 4712, Hartford County, Connecticut!!Margin of Error</t>
  </si>
  <si>
    <t>Census Tract 4713, Hartford County, Connecticut!!Margin of Error</t>
  </si>
  <si>
    <t>Census Tract 4714, Hartford County, Connecticut!!Margin of Error</t>
  </si>
  <si>
    <t>Census Tract 4715, Hartford County, Connecticut!!Margin of Error</t>
  </si>
  <si>
    <t>Census Tract 4731, Hartford County, Connecticut!!Margin of Error</t>
  </si>
  <si>
    <t>Census Tract 4734, Hartford County, Connecticut!!Margin of Error</t>
  </si>
  <si>
    <t>Census Tract 4735.01, Hartford County, Connecticut!!Margin of Error</t>
  </si>
  <si>
    <t>Census Tract 4735.02, Hartford County, Connecticut!!Margin of Error</t>
  </si>
  <si>
    <t>Census Tract 4736.01, Hartford County, Connecticut!!Margin of Error</t>
  </si>
  <si>
    <t>Census Tract 4736.02, Hartford County, Connecticut!!Margin of Error</t>
  </si>
  <si>
    <t>Census Tract 4737, Hartford County, Connecticut!!Margin of Error</t>
  </si>
  <si>
    <t>Census Tract 4738, Hartford County, Connecticut!!Margin of Error</t>
  </si>
  <si>
    <t>Census Tract 4761, Hartford County, Connecticut!!Margin of Error</t>
  </si>
  <si>
    <t>Census Tract 4762, Hartford County, Connecticut!!Margin of Error</t>
  </si>
  <si>
    <t>Census Tract 4763, Hartford County, Connecticut!!Margin of Error</t>
  </si>
  <si>
    <t>Census Tract 4771.01, Hartford County, Connecticut!!Margin of Error</t>
  </si>
  <si>
    <t>Census Tract 4771.02, Hartford County, Connecticut!!Margin of Error</t>
  </si>
  <si>
    <t>Census Tract 4772, Hartford County, Connecticut!!Margin of Error</t>
  </si>
  <si>
    <t>Census Tract 4803, Hartford County, Connecticut!!Margin of Error</t>
  </si>
  <si>
    <t>Census Tract 4804, Hartford County, Connecticut!!Margin of Error</t>
  </si>
  <si>
    <t>Census Tract 4805, Hartford County, Connecticut!!Margin of Error</t>
  </si>
  <si>
    <t>Census Tract 4806, Hartford County, Connecticut!!Margin of Error</t>
  </si>
  <si>
    <t>Census Tract 4807, Hartford County, Connecticut!!Margin of Error</t>
  </si>
  <si>
    <t>Census Tract 4808, Hartford County, Connecticut!!Margin of Error</t>
  </si>
  <si>
    <t>Census Tract 4809, Hartford County, Connecticut!!Margin of Error</t>
  </si>
  <si>
    <t>Census Tract 4810, Hartford County, Connecticut!!Margin of Error</t>
  </si>
  <si>
    <t>Census Tract 4811, Hartford County, Connecticut!!Margin of Error</t>
  </si>
  <si>
    <t>Census Tract 4812, Hartford County, Connecticut!!Margin of Error</t>
  </si>
  <si>
    <t>Census Tract 4813, Hartford County, Connecticut!!Margin of Error</t>
  </si>
  <si>
    <t>Census Tract 4841, Hartford County, Connecticut!!Margin of Error</t>
  </si>
  <si>
    <t>Census Tract 4842, Hartford County, Connecticut!!Margin of Error</t>
  </si>
  <si>
    <t>Census Tract 4871, Hartford County, Connecticut!!Margin of Error</t>
  </si>
  <si>
    <t>Census Tract 4872.01, Hartford County, Connecticut!!Margin of Error</t>
  </si>
  <si>
    <t>Census Tract 4872.02, Hartford County, Connecticut!!Margin of Error</t>
  </si>
  <si>
    <t>Census Tract 4873, Hartford County, Connecticut!!Margin of Error</t>
  </si>
  <si>
    <t>Census Tract 4874, Hartford County, Connecticut!!Margin of Error</t>
  </si>
  <si>
    <t>Census Tract 4875, Hartford County, Connecticut!!Margin of Error</t>
  </si>
  <si>
    <t>Census Tract 4901, Hartford County, Connecticut!!Margin of Error</t>
  </si>
  <si>
    <t>Census Tract 4903.02, Hartford County, Connecticut!!Margin of Error</t>
  </si>
  <si>
    <t>Census Tract 4921, Hartford County, Connecticut!!Margin of Error</t>
  </si>
  <si>
    <t>Census Tract 4922, Hartford County, Connecticut!!Margin of Error</t>
  </si>
  <si>
    <t>Census Tract 4923, Hartford County, Connecticut!!Margin of Error</t>
  </si>
  <si>
    <t>Census Tract 4924, Hartford County, Connecticut!!Margin of Error</t>
  </si>
  <si>
    <t>Census Tract 4925, Hartford County, Connecticut!!Margin of Error</t>
  </si>
  <si>
    <t>Census Tract 4926, Hartford County, Connecticut!!Margin of Error</t>
  </si>
  <si>
    <t>Census Tract 4941, Hartford County, Connecticut!!Margin of Error</t>
  </si>
  <si>
    <t>Census Tract 4942.01, Hartford County, Connecticut!!Margin of Error</t>
  </si>
  <si>
    <t>Census Tract 4942.02, Hartford County, Connecticut!!Margin of Error</t>
  </si>
  <si>
    <t>Census Tract 4943, Hartford County, Connecticut!!Margin of Error</t>
  </si>
  <si>
    <t>Census Tract 4944, Hartford County, Connecticut!!Margin of Error</t>
  </si>
  <si>
    <t>Census Tract 4945, Hartford County, Connecticut!!Margin of Error</t>
  </si>
  <si>
    <t>Census Tract 4946, Hartford County, Connecticut!!Margin of Error</t>
  </si>
  <si>
    <t>Census Tract 4961, Hartford County, Connecticut!!Margin of Error</t>
  </si>
  <si>
    <t>Census Tract 4962, Hartford County, Connecticut!!Margin of Error</t>
  </si>
  <si>
    <t>Census Tract 4963, Hartford County, Connecticut!!Margin of Error</t>
  </si>
  <si>
    <t>Census Tract 4964, Hartford County, Connecticut!!Margin of Error</t>
  </si>
  <si>
    <t>Census Tract 4965, Hartford County, Connecticut!!Margin of Error</t>
  </si>
  <si>
    <t>Census Tract 4966, Hartford County, Connecticut!!Margin of Error</t>
  </si>
  <si>
    <t>Census Tract 4967, Hartford County, Connecticut!!Margin of Error</t>
  </si>
  <si>
    <t>Census Tract 4968, Hartford County, Connecticut!!Margin of Error</t>
  </si>
  <si>
    <t>Census Tract 4969, Hartford County, Connecticut!!Margin of Error</t>
  </si>
  <si>
    <t>Census Tract 4970, Hartford County, Connecticut!!Margin of Error</t>
  </si>
  <si>
    <t>Census Tract 4971, Hartford County, Connecticut!!Margin of Error</t>
  </si>
  <si>
    <t>Census Tract 4972, Hartford County, Connecticut!!Margin of Error</t>
  </si>
  <si>
    <t>Census Tract 4973, Hartford County, Connecticut!!Margin of Error</t>
  </si>
  <si>
    <t>Census Tract 4974, Hartford County, Connecticut!!Margin of Error</t>
  </si>
  <si>
    <t>Census Tract 4975, Hartford County, Connecticut!!Margin of Error</t>
  </si>
  <si>
    <t>Census Tract 4976, Hartford County, Connecticut!!Margin of Error</t>
  </si>
  <si>
    <t>Census Tract 4977, Hartford County, Connecticut!!Margin of Error</t>
  </si>
  <si>
    <t>Census Tract 5001, Hartford County, Connecticut!!Margin of Error</t>
  </si>
  <si>
    <t>Census Tract 5002, Hartford County, Connecticut!!Margin of Error</t>
  </si>
  <si>
    <t>Census Tract 5003, Hartford County, Connecticut!!Margin of Error</t>
  </si>
  <si>
    <t>Census Tract 5004, Hartford County, Connecticut!!Margin of Error</t>
  </si>
  <si>
    <t>Census Tract 5005, Hartford County, Connecticut!!Margin of Error</t>
  </si>
  <si>
    <t>Census Tract 5007, Hartford County, Connecticut!!Margin of Error</t>
  </si>
  <si>
    <t>Census Tract 5009, Hartford County, Connecticut!!Margin of Error</t>
  </si>
  <si>
    <t>Census Tract 5012, Hartford County, Connecticut!!Margin of Error</t>
  </si>
  <si>
    <t>Census Tract 5013, Hartford County, Connecticut!!Margin of Error</t>
  </si>
  <si>
    <t>Census Tract 5014, Hartford County, Connecticut!!Margin of Error</t>
  </si>
  <si>
    <t>Census Tract 5015, Hartford County, Connecticut!!Margin of Error</t>
  </si>
  <si>
    <t>Census Tract 5017, Hartford County, Connecticut!!Margin of Error</t>
  </si>
  <si>
    <t>Census Tract 5018, Hartford County, Connecticut!!Margin of Error</t>
  </si>
  <si>
    <t>Census Tract 5021, Hartford County, Connecticut!!Margin of Error</t>
  </si>
  <si>
    <t>Census Tract 5023, Hartford County, Connecticut!!Margin of Error</t>
  </si>
  <si>
    <t>Census Tract 5024, Hartford County, Connecticut!!Margin of Error</t>
  </si>
  <si>
    <t>Census Tract 5025, Hartford County, Connecticut!!Margin of Error</t>
  </si>
  <si>
    <t>Census Tract 5026, Hartford County, Connecticut!!Margin of Error</t>
  </si>
  <si>
    <t>Census Tract 5027, Hartford County, Connecticut!!Margin of Error</t>
  </si>
  <si>
    <t>Census Tract 5028, Hartford County, Connecticut!!Margin of Error</t>
  </si>
  <si>
    <t>Census Tract 5029, Hartford County, Connecticut!!Margin of Error</t>
  </si>
  <si>
    <t>Census Tract 5030, Hartford County, Connecticut!!Margin of Error</t>
  </si>
  <si>
    <t>Census Tract 5031, Hartford County, Connecticut!!Margin of Error</t>
  </si>
  <si>
    <t>Census Tract 5033, Hartford County, Connecticut!!Margin of Error</t>
  </si>
  <si>
    <t>Census Tract 5035, Hartford County, Connecticut!!Margin of Error</t>
  </si>
  <si>
    <t>Census Tract 5037, Hartford County, Connecticut!!Margin of Error</t>
  </si>
  <si>
    <t>Census Tract 5038, Hartford County, Connecticut!!Margin of Error</t>
  </si>
  <si>
    <t>Census Tract 5039, Hartford County, Connecticut!!Margin of Error</t>
  </si>
  <si>
    <t>Census Tract 5040, Hartford County, Connecticut!!Margin of Error</t>
  </si>
  <si>
    <t>Census Tract 5041, Hartford County, Connecticut!!Margin of Error</t>
  </si>
  <si>
    <t>Census Tract 5042, Hartford County, Connecticut!!Margin of Error</t>
  </si>
  <si>
    <t>Census Tract 5043, Hartford County, Connecticut!!Margin of Error</t>
  </si>
  <si>
    <t>Census Tract 5045, Hartford County, Connecticut!!Margin of Error</t>
  </si>
  <si>
    <t>Census Tract 5048, Hartford County, Connecticut!!Margin of Error</t>
  </si>
  <si>
    <t>Census Tract 5049, Hartford County, Connecticut!!Margin of Error</t>
  </si>
  <si>
    <t>Census Tract 5101, Hartford County, Connecticut!!Margin of Error</t>
  </si>
  <si>
    <t>Census Tract 5102, Hartford County, Connecticut!!Margin of Error</t>
  </si>
  <si>
    <t>Census Tract 5103, Hartford County, Connecticut!!Margin of Error</t>
  </si>
  <si>
    <t>Census Tract 5104, Hartford County, Connecticut!!Margin of Error</t>
  </si>
  <si>
    <t>Census Tract 5105, Hartford County, Connecticut!!Margin of Error</t>
  </si>
  <si>
    <t>Census Tract 5106, Hartford County, Connecticut!!Margin of Error</t>
  </si>
  <si>
    <t>Census Tract 5107, Hartford County, Connecticut!!Margin of Error</t>
  </si>
  <si>
    <t>Census Tract 5108, Hartford County, Connecticut!!Margin of Error</t>
  </si>
  <si>
    <t>Census Tract 5109, Hartford County, Connecticut!!Margin of Error</t>
  </si>
  <si>
    <t>Census Tract 5110, Hartford County, Connecticut!!Margin of Error</t>
  </si>
  <si>
    <t>Census Tract 5111, Hartford County, Connecticut!!Margin of Error</t>
  </si>
  <si>
    <t>Census Tract 5112, Hartford County, Connecticut!!Margin of Error</t>
  </si>
  <si>
    <t>Census Tract 5113, Hartford County, Connecticut!!Margin of Error</t>
  </si>
  <si>
    <t>Census Tract 5114, Hartford County, Connecticut!!Margin of Error</t>
  </si>
  <si>
    <t>Census Tract 5141.01, Hartford County, Connecticut!!Margin of Error</t>
  </si>
  <si>
    <t>Census Tract 5141.02, Hartford County, Connecticut!!Margin of Error</t>
  </si>
  <si>
    <t>Census Tract 5142, Hartford County, Connecticut!!Margin of Error</t>
  </si>
  <si>
    <t>Census Tract 5143, Hartford County, Connecticut!!Margin of Error</t>
  </si>
  <si>
    <t>Census Tract 5144, Hartford County, Connecticut!!Margin of Error</t>
  </si>
  <si>
    <t>Census Tract 5145, Hartford County, Connecticut!!Margin of Error</t>
  </si>
  <si>
    <t>Census Tract 5146, Hartford County, Connecticut!!Margin of Error</t>
  </si>
  <si>
    <t>Census Tract 5147, Hartford County, Connecticut!!Margin of Error</t>
  </si>
  <si>
    <t>Census Tract 5148, Hartford County, Connecticut!!Margin of Error</t>
  </si>
  <si>
    <t>Census Tract 5149, Hartford County, Connecticut!!Margin of Error</t>
  </si>
  <si>
    <t>Census Tract 5150, Hartford County, Connecticut!!Margin of Error</t>
  </si>
  <si>
    <t>Census Tract 5151.01, Hartford County, Connecticut!!Margin of Error</t>
  </si>
  <si>
    <t>Census Tract 5151.02, Hartford County, Connecticut!!Margin of Error</t>
  </si>
  <si>
    <t>Census Tract 5152, Hartford County, Connecticut!!Margin of Error</t>
  </si>
  <si>
    <t>Census Tract 5201, Hartford County, Connecticut!!Margin of Error</t>
  </si>
  <si>
    <t>Census Tract 5202.01, Hartford County, Connecticut!!Margin of Error</t>
  </si>
  <si>
    <t>Census Tract 5202.02, Hartford County, Connecticut!!Margin of Error</t>
  </si>
  <si>
    <t>Census Tract 5203.01, Hartford County, Connecticut!!Margin of Error</t>
  </si>
  <si>
    <t>Census Tract 5203.02, Hartford County, Connecticut!!Margin of Error</t>
  </si>
  <si>
    <t>Census Tract 5204, Hartford County, Connecticut!!Margin of Error</t>
  </si>
  <si>
    <t>Census Tract 5205.01, Hartford County, Connecticut!!Margin of Error</t>
  </si>
  <si>
    <t>Census Tract 5241, Hartford County, Connecticut!!Margin of Error</t>
  </si>
  <si>
    <t>Census Tract 5242, Hartford County, Connecticut!!Margin of Error</t>
  </si>
  <si>
    <t>Census Tract 5243, Hartford County, Connecticut!!Margin of Error</t>
  </si>
  <si>
    <t>Census Tract 5244, Hartford County, Connecticut!!Margin of Error</t>
  </si>
  <si>
    <t>Census Tract 5245.01, Hartford County, Connecticut!!Margin of Error</t>
  </si>
  <si>
    <t>Census Tract 5245.02, Hartford County, Connecticut!!Margin of Error</t>
  </si>
  <si>
    <t>Census Tract 5246, Hartford County, Connecticut!!Margin of Error</t>
  </si>
  <si>
    <t>Census Tract 5247, Hartford County, Connecticut!!Margin of Error</t>
  </si>
  <si>
    <t>Census Tract 9800, Hartford County, Connecticut!!Margin of Error</t>
  </si>
  <si>
    <t>Census Tract 2501, Litchfield County, Connecticut!!Margin of Error</t>
  </si>
  <si>
    <t>Census Tract 2531, Litchfield County, Connecticut!!Margin of Error</t>
  </si>
  <si>
    <t>Census Tract 2532, Litchfield County, Connecticut!!Margin of Error</t>
  </si>
  <si>
    <t>Census Tract 2533, Litchfield County, Connecticut!!Margin of Error</t>
  </si>
  <si>
    <t>Census Tract 2534, Litchfield County, Connecticut!!Margin of Error</t>
  </si>
  <si>
    <t>Census Tract 2535, Litchfield County, Connecticut!!Margin of Error</t>
  </si>
  <si>
    <t>Census Tract 2536, Litchfield County, Connecticut!!Margin of Error</t>
  </si>
  <si>
    <t>Census Tract 2602, Litchfield County, Connecticut!!Margin of Error</t>
  </si>
  <si>
    <t>Census Tract 2611, Litchfield County, Connecticut!!Margin of Error</t>
  </si>
  <si>
    <t>Census Tract 2621, Litchfield County, Connecticut!!Margin of Error</t>
  </si>
  <si>
    <t>Census Tract 2632, Litchfield County, Connecticut!!Margin of Error</t>
  </si>
  <si>
    <t>Census Tract 2651, Litchfield County, Connecticut!!Margin of Error</t>
  </si>
  <si>
    <t>Census Tract 2661, Litchfield County, Connecticut!!Margin of Error</t>
  </si>
  <si>
    <t>Census Tract 2671, Litchfield County, Connecticut!!Margin of Error</t>
  </si>
  <si>
    <t>Census Tract 2681, Litchfield County, Connecticut!!Margin of Error</t>
  </si>
  <si>
    <t>Census Tract 2901, Litchfield County, Connecticut!!Margin of Error</t>
  </si>
  <si>
    <t>Census Tract 2931, Litchfield County, Connecticut!!Margin of Error</t>
  </si>
  <si>
    <t>Census Tract 2961, Litchfield County, Connecticut!!Margin of Error</t>
  </si>
  <si>
    <t>Census Tract 2983, Litchfield County, Connecticut!!Margin of Error</t>
  </si>
  <si>
    <t>Census Tract 2984, Litchfield County, Connecticut!!Margin of Error</t>
  </si>
  <si>
    <t>Census Tract 3001, Litchfield County, Connecticut!!Margin of Error</t>
  </si>
  <si>
    <t>Census Tract 3004, Litchfield County, Connecticut!!Margin of Error</t>
  </si>
  <si>
    <t>Census Tract 3005, Litchfield County, Connecticut!!Margin of Error</t>
  </si>
  <si>
    <t>Census Tract 3031, Litchfield County, Connecticut!!Margin of Error</t>
  </si>
  <si>
    <t>Census Tract 3061, Litchfield County, Connecticut!!Margin of Error</t>
  </si>
  <si>
    <t>Census Tract 3101, Litchfield County, Connecticut!!Margin of Error</t>
  </si>
  <si>
    <t>Census Tract 3102, Litchfield County, Connecticut!!Margin of Error</t>
  </si>
  <si>
    <t>Census Tract 3103, Litchfield County, Connecticut!!Margin of Error</t>
  </si>
  <si>
    <t>Census Tract 3104, Litchfield County, Connecticut!!Margin of Error</t>
  </si>
  <si>
    <t>Census Tract 3105, Litchfield County, Connecticut!!Margin of Error</t>
  </si>
  <si>
    <t>Census Tract 3106.01, Litchfield County, Connecticut!!Margin of Error</t>
  </si>
  <si>
    <t>Census Tract 3106.02, Litchfield County, Connecticut!!Margin of Error</t>
  </si>
  <si>
    <t>Census Tract 3107, Litchfield County, Connecticut!!Margin of Error</t>
  </si>
  <si>
    <t>Census Tract 3108.01, Litchfield County, Connecticut!!Margin of Error</t>
  </si>
  <si>
    <t>Census Tract 3108.03, Litchfield County, Connecticut!!Margin of Error</t>
  </si>
  <si>
    <t>Census Tract 3108.04, Litchfield County, Connecticut!!Margin of Error</t>
  </si>
  <si>
    <t>Census Tract 3201, Litchfield County, Connecticut!!Margin of Error</t>
  </si>
  <si>
    <t>Census Tract 3202, Litchfield County, Connecticut!!Margin of Error</t>
  </si>
  <si>
    <t>Census Tract 3421, Litchfield County, Connecticut!!Margin of Error</t>
  </si>
  <si>
    <t>Census Tract 3491, Litchfield County, Connecticut!!Margin of Error</t>
  </si>
  <si>
    <t>Census Tract 3492, Litchfield County, Connecticut!!Margin of Error</t>
  </si>
  <si>
    <t>Census Tract 3601, Litchfield County, Connecticut!!Margin of Error</t>
  </si>
  <si>
    <t>Census Tract 3602, Litchfield County, Connecticut!!Margin of Error</t>
  </si>
  <si>
    <t>Census Tract 3603, Litchfield County, Connecticut!!Margin of Error</t>
  </si>
  <si>
    <t>Census Tract 3604, Litchfield County, Connecticut!!Margin of Error</t>
  </si>
  <si>
    <t>Census Tract 3621.01, Litchfield County, Connecticut!!Margin of Error</t>
  </si>
  <si>
    <t>Census Tract 3621.02, Litchfield County, Connecticut!!Margin of Error</t>
  </si>
  <si>
    <t>Census Tract 4253, Litchfield County, Connecticut!!Margin of Error</t>
  </si>
  <si>
    <t>Census Tract 4254, Litchfield County, Connecticut!!Margin of Error</t>
  </si>
  <si>
    <t>Census Tract 4255, Litchfield County, Connecticut!!Margin of Error</t>
  </si>
  <si>
    <t>Census Tract 4256, Litchfield County, Connecticut!!Margin of Error</t>
  </si>
  <si>
    <t>Census Tract 5411, Middlesex County, Connecticut!!Margin of Error</t>
  </si>
  <si>
    <t>Census Tract 5412, Middlesex County, Connecticut!!Margin of Error</t>
  </si>
  <si>
    <t>Census Tract 5413, Middlesex County, Connecticut!!Margin of Error</t>
  </si>
  <si>
    <t>Census Tract 5414.01, Middlesex County, Connecticut!!Margin of Error</t>
  </si>
  <si>
    <t>Census Tract 5414.02, Middlesex County, Connecticut!!Margin of Error</t>
  </si>
  <si>
    <t>Census Tract 5415, Middlesex County, Connecticut!!Margin of Error</t>
  </si>
  <si>
    <t>Census Tract 5416, Middlesex County, Connecticut!!Margin of Error</t>
  </si>
  <si>
    <t>Census Tract 5417, Middlesex County, Connecticut!!Margin of Error</t>
  </si>
  <si>
    <t>Census Tract 5420, Middlesex County, Connecticut!!Margin of Error</t>
  </si>
  <si>
    <t>Census Tract 5421, Middlesex County, Connecticut!!Margin of Error</t>
  </si>
  <si>
    <t>Census Tract 5422, Middlesex County, Connecticut!!Margin of Error</t>
  </si>
  <si>
    <t>Census Tract 5501, Middlesex County, Connecticut!!Margin of Error</t>
  </si>
  <si>
    <t>Census Tract 5502.01, Middlesex County, Connecticut!!Margin of Error</t>
  </si>
  <si>
    <t>Census Tract 5502.02, Middlesex County, Connecticut!!Margin of Error</t>
  </si>
  <si>
    <t>Census Tract 5601, Middlesex County, Connecticut!!Margin of Error</t>
  </si>
  <si>
    <t>Census Tract 5602, Middlesex County, Connecticut!!Margin of Error</t>
  </si>
  <si>
    <t>Census Tract 5701, Middlesex County, Connecticut!!Margin of Error</t>
  </si>
  <si>
    <t>Census Tract 5702, Middlesex County, Connecticut!!Margin of Error</t>
  </si>
  <si>
    <t>Census Tract 5703, Middlesex County, Connecticut!!Margin of Error</t>
  </si>
  <si>
    <t>Census Tract 5801, Middlesex County, Connecticut!!Margin of Error</t>
  </si>
  <si>
    <t>Census Tract 5851, Middlesex County, Connecticut!!Margin of Error</t>
  </si>
  <si>
    <t>Census Tract 5901, Middlesex County, Connecticut!!Margin of Error</t>
  </si>
  <si>
    <t>Census Tract 5951.01, Middlesex County, Connecticut!!Margin of Error</t>
  </si>
  <si>
    <t>Census Tract 5951.02, Middlesex County, Connecticut!!Margin of Error</t>
  </si>
  <si>
    <t>Census Tract 6001, Middlesex County, Connecticut!!Margin of Error</t>
  </si>
  <si>
    <t>Census Tract 6101, Middlesex County, Connecticut!!Margin of Error</t>
  </si>
  <si>
    <t>Census Tract 6102, Middlesex County, Connecticut!!Margin of Error</t>
  </si>
  <si>
    <t>Census Tract 6103, Middlesex County, Connecticut!!Margin of Error</t>
  </si>
  <si>
    <t>Census Tract 6104, Middlesex County, Connecticut!!Margin of Error</t>
  </si>
  <si>
    <t>Census Tract 6201, Middlesex County, Connecticut!!Margin of Error</t>
  </si>
  <si>
    <t>Census Tract 6301, Middlesex County, Connecticut!!Margin of Error</t>
  </si>
  <si>
    <t>Census Tract 6401, Middlesex County, Connecticut!!Margin of Error</t>
  </si>
  <si>
    <t>Census Tract 6701, Middlesex County, Connecticut!!Margin of Error</t>
  </si>
  <si>
    <t>Census Tract 6702, Middlesex County, Connecticut!!Margin of Error</t>
  </si>
  <si>
    <t>Census Tract 6801, Middlesex County, Connecticut!!Margin of Error</t>
  </si>
  <si>
    <t>Census Tract 6802, Middlesex County, Connecticut!!Margin of Error</t>
  </si>
  <si>
    <t>Census Tract 9901, Middlesex County, Connecticut!!Margin of Error</t>
  </si>
  <si>
    <t>Census Tract 1201, New Haven County, Connecticut!!Margin of Error</t>
  </si>
  <si>
    <t>Census Tract 1202, New Haven County, Connecticut!!Margin of Error</t>
  </si>
  <si>
    <t>Census Tract 1251, New Haven County, Connecticut!!Margin of Error</t>
  </si>
  <si>
    <t>Census Tract 1252, New Haven County, Connecticut!!Margin of Error</t>
  </si>
  <si>
    <t>Census Tract 1253, New Haven County, Connecticut!!Margin of Error</t>
  </si>
  <si>
    <t>Census Tract 1254, New Haven County, Connecticut!!Margin of Error</t>
  </si>
  <si>
    <t>Census Tract 1301.01, New Haven County, Connecticut!!Margin of Error</t>
  </si>
  <si>
    <t>Census Tract 1301.02, New Haven County, Connecticut!!Margin of Error</t>
  </si>
  <si>
    <t>Census Tract 1302, New Haven County, Connecticut!!Margin of Error</t>
  </si>
  <si>
    <t>Census Tract 1401, New Haven County, Connecticut!!Margin of Error</t>
  </si>
  <si>
    <t>Census Tract 1402, New Haven County, Connecticut!!Margin of Error</t>
  </si>
  <si>
    <t>Census Tract 1403, New Haven County, Connecticut!!Margin of Error</t>
  </si>
  <si>
    <t>Census Tract 1404, New Haven County, Connecticut!!Margin of Error</t>
  </si>
  <si>
    <t>Census Tract 1405, New Haven County, Connecticut!!Margin of Error</t>
  </si>
  <si>
    <t>Census Tract 1406, New Haven County, Connecticut!!Margin of Error</t>
  </si>
  <si>
    <t>Census Tract 1407, New Haven County, Connecticut!!Margin of Error</t>
  </si>
  <si>
    <t>Census Tract 1408, New Haven County, Connecticut!!Margin of Error</t>
  </si>
  <si>
    <t>Census Tract 1409, New Haven County, Connecticut!!Margin of Error</t>
  </si>
  <si>
    <t>Census Tract 1410, New Haven County, Connecticut!!Margin of Error</t>
  </si>
  <si>
    <t>Census Tract 1411, New Haven County, Connecticut!!Margin of Error</t>
  </si>
  <si>
    <t>Census Tract 1412, New Haven County, Connecticut!!Margin of Error</t>
  </si>
  <si>
    <t>Census Tract 1413, New Haven County, Connecticut!!Margin of Error</t>
  </si>
  <si>
    <t>Census Tract 1414, New Haven County, Connecticut!!Margin of Error</t>
  </si>
  <si>
    <t>Census Tract 1415, New Haven County, Connecticut!!Margin of Error</t>
  </si>
  <si>
    <t>Census Tract 1416, New Haven County, Connecticut!!Margin of Error</t>
  </si>
  <si>
    <t>Census Tract 1418, New Haven County, Connecticut!!Margin of Error</t>
  </si>
  <si>
    <t>Census Tract 1419, New Haven County, Connecticut!!Margin of Error</t>
  </si>
  <si>
    <t>Census Tract 1420, New Haven County, Connecticut!!Margin of Error</t>
  </si>
  <si>
    <t>Census Tract 1421, New Haven County, Connecticut!!Margin of Error</t>
  </si>
  <si>
    <t>Census Tract 1422, New Haven County, Connecticut!!Margin of Error</t>
  </si>
  <si>
    <t>Census Tract 1423, New Haven County, Connecticut!!Margin of Error</t>
  </si>
  <si>
    <t>Census Tract 1424, New Haven County, Connecticut!!Margin of Error</t>
  </si>
  <si>
    <t>Census Tract 1425, New Haven County, Connecticut!!Margin of Error</t>
  </si>
  <si>
    <t>Census Tract 1426.01, New Haven County, Connecticut!!Margin of Error</t>
  </si>
  <si>
    <t>Census Tract 1426.03, New Haven County, Connecticut!!Margin of Error</t>
  </si>
  <si>
    <t>Census Tract 1426.04, New Haven County, Connecticut!!Margin of Error</t>
  </si>
  <si>
    <t>Census Tract 1427, New Haven County, Connecticut!!Margin of Error</t>
  </si>
  <si>
    <t>Census Tract 1428, New Haven County, Connecticut!!Margin of Error</t>
  </si>
  <si>
    <t>Census Tract 1501, New Haven County, Connecticut!!Margin of Error</t>
  </si>
  <si>
    <t>Census Tract 1502, New Haven County, Connecticut!!Margin of Error</t>
  </si>
  <si>
    <t>Census Tract 1503, New Haven County, Connecticut!!Margin of Error</t>
  </si>
  <si>
    <t>Census Tract 1504, New Haven County, Connecticut!!Margin of Error</t>
  </si>
  <si>
    <t>Census Tract 1505, New Haven County, Connecticut!!Margin of Error</t>
  </si>
  <si>
    <t>Census Tract 1506, New Haven County, Connecticut!!Margin of Error</t>
  </si>
  <si>
    <t>Census Tract 1507, New Haven County, Connecticut!!Margin of Error</t>
  </si>
  <si>
    <t>Census Tract 1508, New Haven County, Connecticut!!Margin of Error</t>
  </si>
  <si>
    <t>Census Tract 1509, New Haven County, Connecticut!!Margin of Error</t>
  </si>
  <si>
    <t>Census Tract 1510, New Haven County, Connecticut!!Margin of Error</t>
  </si>
  <si>
    <t>Census Tract 1511, New Haven County, Connecticut!!Margin of Error</t>
  </si>
  <si>
    <t>Census Tract 1512, New Haven County, Connecticut!!Margin of Error</t>
  </si>
  <si>
    <t>Census Tract 1541, New Haven County, Connecticut!!Margin of Error</t>
  </si>
  <si>
    <t>Census Tract 1542, New Haven County, Connecticut!!Margin of Error</t>
  </si>
  <si>
    <t>Census Tract 1545, New Haven County, Connecticut!!Margin of Error</t>
  </si>
  <si>
    <t>Census Tract 1546, New Haven County, Connecticut!!Margin of Error</t>
  </si>
  <si>
    <t>Census Tract 1547, New Haven County, Connecticut!!Margin of Error</t>
  </si>
  <si>
    <t>Census Tract 1548, New Haven County, Connecticut!!Margin of Error</t>
  </si>
  <si>
    <t>Census Tract 1549, New Haven County, Connecticut!!Margin of Error</t>
  </si>
  <si>
    <t>Census Tract 1550, New Haven County, Connecticut!!Margin of Error</t>
  </si>
  <si>
    <t>Census Tract 1551, New Haven County, Connecticut!!Margin of Error</t>
  </si>
  <si>
    <t>Census Tract 1571, New Haven County, Connecticut!!Margin of Error</t>
  </si>
  <si>
    <t>Census Tract 1572, New Haven County, Connecticut!!Margin of Error</t>
  </si>
  <si>
    <t>Census Tract 1573, New Haven County, Connecticut!!Margin of Error</t>
  </si>
  <si>
    <t>Census Tract 1574, New Haven County, Connecticut!!Margin of Error</t>
  </si>
  <si>
    <t>Census Tract 1601, New Haven County, Connecticut!!Margin of Error</t>
  </si>
  <si>
    <t>Census Tract 1602, New Haven County, Connecticut!!Margin of Error</t>
  </si>
  <si>
    <t>Census Tract 1611, New Haven County, Connecticut!!Margin of Error</t>
  </si>
  <si>
    <t>Census Tract 1651, New Haven County, Connecticut!!Margin of Error</t>
  </si>
  <si>
    <t>Census Tract 1652, New Haven County, Connecticut!!Margin of Error</t>
  </si>
  <si>
    <t>Census Tract 1653, New Haven County, Connecticut!!Margin of Error</t>
  </si>
  <si>
    <t>Census Tract 1654, New Haven County, Connecticut!!Margin of Error</t>
  </si>
  <si>
    <t>Census Tract 1655, New Haven County, Connecticut!!Margin of Error</t>
  </si>
  <si>
    <t>Census Tract 1656, New Haven County, Connecticut!!Margin of Error</t>
  </si>
  <si>
    <t>Census Tract 1657, New Haven County, Connecticut!!Margin of Error</t>
  </si>
  <si>
    <t>Census Tract 1658.01, New Haven County, Connecticut!!Margin of Error</t>
  </si>
  <si>
    <t>Census Tract 1658.02, New Haven County, Connecticut!!Margin of Error</t>
  </si>
  <si>
    <t>Census Tract 1659, New Haven County, Connecticut!!Margin of Error</t>
  </si>
  <si>
    <t>Census Tract 1660.01, New Haven County, Connecticut!!Margin of Error</t>
  </si>
  <si>
    <t>Census Tract 1660.02, New Haven County, Connecticut!!Margin of Error</t>
  </si>
  <si>
    <t>Census Tract 1671, New Haven County, Connecticut!!Margin of Error</t>
  </si>
  <si>
    <t>Census Tract 1672.01, New Haven County, Connecticut!!Margin of Error</t>
  </si>
  <si>
    <t>Census Tract 1672.02, New Haven County, Connecticut!!Margin of Error</t>
  </si>
  <si>
    <t>Census Tract 1673, New Haven County, Connecticut!!Margin of Error</t>
  </si>
  <si>
    <t>Census Tract 1701, New Haven County, Connecticut!!Margin of Error</t>
  </si>
  <si>
    <t>Census Tract 1702, New Haven County, Connecticut!!Margin of Error</t>
  </si>
  <si>
    <t>Census Tract 1703, New Haven County, Connecticut!!Margin of Error</t>
  </si>
  <si>
    <t>Census Tract 1704, New Haven County, Connecticut!!Margin of Error</t>
  </si>
  <si>
    <t>Census Tract 1705, New Haven County, Connecticut!!Margin of Error</t>
  </si>
  <si>
    <t>Census Tract 1706, New Haven County, Connecticut!!Margin of Error</t>
  </si>
  <si>
    <t>Census Tract 1707, New Haven County, Connecticut!!Margin of Error</t>
  </si>
  <si>
    <t>Census Tract 1708, New Haven County, Connecticut!!Margin of Error</t>
  </si>
  <si>
    <t>Census Tract 1709, New Haven County, Connecticut!!Margin of Error</t>
  </si>
  <si>
    <t>Census Tract 1710, New Haven County, Connecticut!!Margin of Error</t>
  </si>
  <si>
    <t>Census Tract 1711, New Haven County, Connecticut!!Margin of Error</t>
  </si>
  <si>
    <t>Census Tract 1712, New Haven County, Connecticut!!Margin of Error</t>
  </si>
  <si>
    <t>Census Tract 1713, New Haven County, Connecticut!!Margin of Error</t>
  </si>
  <si>
    <t>Census Tract 1714, New Haven County, Connecticut!!Margin of Error</t>
  </si>
  <si>
    <t>Census Tract 1715, New Haven County, Connecticut!!Margin of Error</t>
  </si>
  <si>
    <t>Census Tract 1716, New Haven County, Connecticut!!Margin of Error</t>
  </si>
  <si>
    <t>Census Tract 1717, New Haven County, Connecticut!!Margin of Error</t>
  </si>
  <si>
    <t>Census Tract 1751, New Haven County, Connecticut!!Margin of Error</t>
  </si>
  <si>
    <t>Census Tract 1752, New Haven County, Connecticut!!Margin of Error</t>
  </si>
  <si>
    <t>Census Tract 1753, New Haven County, Connecticut!!Margin of Error</t>
  </si>
  <si>
    <t>Census Tract 1754, New Haven County, Connecticut!!Margin of Error</t>
  </si>
  <si>
    <t>Census Tract 1755, New Haven County, Connecticut!!Margin of Error</t>
  </si>
  <si>
    <t>Census Tract 1756, New Haven County, Connecticut!!Margin of Error</t>
  </si>
  <si>
    <t>Census Tract 1757, New Haven County, Connecticut!!Margin of Error</t>
  </si>
  <si>
    <t>Census Tract 1758, New Haven County, Connecticut!!Margin of Error</t>
  </si>
  <si>
    <t>Census Tract 1759, New Haven County, Connecticut!!Margin of Error</t>
  </si>
  <si>
    <t>Census Tract 1760, New Haven County, Connecticut!!Margin of Error</t>
  </si>
  <si>
    <t>Census Tract 1801, New Haven County, Connecticut!!Margin of Error</t>
  </si>
  <si>
    <t>Census Tract 1802, New Haven County, Connecticut!!Margin of Error</t>
  </si>
  <si>
    <t>Census Tract 1803, New Haven County, Connecticut!!Margin of Error</t>
  </si>
  <si>
    <t>Census Tract 1804, New Haven County, Connecticut!!Margin of Error</t>
  </si>
  <si>
    <t>Census Tract 1805, New Haven County, Connecticut!!Margin of Error</t>
  </si>
  <si>
    <t>Census Tract 1806.01, New Haven County, Connecticut!!Margin of Error</t>
  </si>
  <si>
    <t>Census Tract 1806.02, New Haven County, Connecticut!!Margin of Error</t>
  </si>
  <si>
    <t>Census Tract 1841, New Haven County, Connecticut!!Margin of Error</t>
  </si>
  <si>
    <t>Census Tract 1842, New Haven County, Connecticut!!Margin of Error</t>
  </si>
  <si>
    <t>Census Tract 1843, New Haven County, Connecticut!!Margin of Error</t>
  </si>
  <si>
    <t>Census Tract 1844, New Haven County, Connecticut!!Margin of Error</t>
  </si>
  <si>
    <t>Census Tract 1845, New Haven County, Connecticut!!Margin of Error</t>
  </si>
  <si>
    <t>Census Tract 1846, New Haven County, Connecticut!!Margin of Error</t>
  </si>
  <si>
    <t>Census Tract 1847, New Haven County, Connecticut!!Margin of Error</t>
  </si>
  <si>
    <t>Census Tract 1861, New Haven County, Connecticut!!Margin of Error</t>
  </si>
  <si>
    <t>Census Tract 1862, New Haven County, Connecticut!!Margin of Error</t>
  </si>
  <si>
    <t>Census Tract 1901, New Haven County, Connecticut!!Margin of Error</t>
  </si>
  <si>
    <t>Census Tract 1902, New Haven County, Connecticut!!Margin of Error</t>
  </si>
  <si>
    <t>Census Tract 1903.01, New Haven County, Connecticut!!Margin of Error</t>
  </si>
  <si>
    <t>Census Tract 1903.02, New Haven County, Connecticut!!Margin of Error</t>
  </si>
  <si>
    <t>Census Tract 1903.03, New Haven County, Connecticut!!Margin of Error</t>
  </si>
  <si>
    <t>Census Tract 1941, New Haven County, Connecticut!!Margin of Error</t>
  </si>
  <si>
    <t>Census Tract 1942.01, New Haven County, Connecticut!!Margin of Error</t>
  </si>
  <si>
    <t>Census Tract 1942.02, New Haven County, Connecticut!!Margin of Error</t>
  </si>
  <si>
    <t>Census Tract 3411, New Haven County, Connecticut!!Margin of Error</t>
  </si>
  <si>
    <t>Census Tract 3431.01, New Haven County, Connecticut!!Margin of Error</t>
  </si>
  <si>
    <t>Census Tract 3431.02, New Haven County, Connecticut!!Margin of Error</t>
  </si>
  <si>
    <t>Census Tract 3432, New Haven County, Connecticut!!Margin of Error</t>
  </si>
  <si>
    <t>Census Tract 3433, New Haven County, Connecticut!!Margin of Error</t>
  </si>
  <si>
    <t>Census Tract 3434, New Haven County, Connecticut!!Margin of Error</t>
  </si>
  <si>
    <t>Census Tract 3441, New Haven County, Connecticut!!Margin of Error</t>
  </si>
  <si>
    <t>Census Tract 3442, New Haven County, Connecticut!!Margin of Error</t>
  </si>
  <si>
    <t>Census Tract 3451, New Haven County, Connecticut!!Margin of Error</t>
  </si>
  <si>
    <t>Census Tract 3452.01, New Haven County, Connecticut!!Margin of Error</t>
  </si>
  <si>
    <t>Census Tract 3452.02, New Haven County, Connecticut!!Margin of Error</t>
  </si>
  <si>
    <t>Census Tract 3453, New Haven County, Connecticut!!Margin of Error</t>
  </si>
  <si>
    <t>Census Tract 3454, New Haven County, Connecticut!!Margin of Error</t>
  </si>
  <si>
    <t>Census Tract 3461.01, New Haven County, Connecticut!!Margin of Error</t>
  </si>
  <si>
    <t>Census Tract 3461.02, New Haven County, Connecticut!!Margin of Error</t>
  </si>
  <si>
    <t>Census Tract 3471, New Haven County, Connecticut!!Margin of Error</t>
  </si>
  <si>
    <t>Census Tract 3472, New Haven County, Connecticut!!Margin of Error</t>
  </si>
  <si>
    <t>Census Tract 3481.11, New Haven County, Connecticut!!Margin of Error</t>
  </si>
  <si>
    <t>Census Tract 3481.22, New Haven County, Connecticut!!Margin of Error</t>
  </si>
  <si>
    <t>Census Tract 3481.23, New Haven County, Connecticut!!Margin of Error</t>
  </si>
  <si>
    <t>Census Tract 3481.24, New Haven County, Connecticut!!Margin of Error</t>
  </si>
  <si>
    <t>Census Tract 3481.25, New Haven County, Connecticut!!Margin of Error</t>
  </si>
  <si>
    <t>Census Tract 3501, New Haven County, Connecticut!!Margin of Error</t>
  </si>
  <si>
    <t>Census Tract 3502, New Haven County, Connecticut!!Margin of Error</t>
  </si>
  <si>
    <t>Census Tract 3503, New Haven County, Connecticut!!Margin of Error</t>
  </si>
  <si>
    <t>Census Tract 3504, New Haven County, Connecticut!!Margin of Error</t>
  </si>
  <si>
    <t>Census Tract 3505, New Haven County, Connecticut!!Margin of Error</t>
  </si>
  <si>
    <t>Census Tract 3508, New Haven County, Connecticut!!Margin of Error</t>
  </si>
  <si>
    <t>Census Tract 3509, New Haven County, Connecticut!!Margin of Error</t>
  </si>
  <si>
    <t>Census Tract 3510, New Haven County, Connecticut!!Margin of Error</t>
  </si>
  <si>
    <t>Census Tract 3511, New Haven County, Connecticut!!Margin of Error</t>
  </si>
  <si>
    <t>Census Tract 3512, New Haven County, Connecticut!!Margin of Error</t>
  </si>
  <si>
    <t>Census Tract 3513, New Haven County, Connecticut!!Margin of Error</t>
  </si>
  <si>
    <t>Census Tract 3514, New Haven County, Connecticut!!Margin of Error</t>
  </si>
  <si>
    <t>Census Tract 3515, New Haven County, Connecticut!!Margin of Error</t>
  </si>
  <si>
    <t>Census Tract 3516.01, New Haven County, Connecticut!!Margin of Error</t>
  </si>
  <si>
    <t>Census Tract 3516.02, New Haven County, Connecticut!!Margin of Error</t>
  </si>
  <si>
    <t>Census Tract 3517, New Haven County, Connecticut!!Margin of Error</t>
  </si>
  <si>
    <t>Census Tract 3518, New Haven County, Connecticut!!Margin of Error</t>
  </si>
  <si>
    <t>Census Tract 3519, New Haven County, Connecticut!!Margin of Error</t>
  </si>
  <si>
    <t>Census Tract 3520, New Haven County, Connecticut!!Margin of Error</t>
  </si>
  <si>
    <t>Census Tract 3521, New Haven County, Connecticut!!Margin of Error</t>
  </si>
  <si>
    <t>Census Tract 3522, New Haven County, Connecticut!!Margin of Error</t>
  </si>
  <si>
    <t>Census Tract 3523, New Haven County, Connecticut!!Margin of Error</t>
  </si>
  <si>
    <t>Census Tract 3524, New Haven County, Connecticut!!Margin of Error</t>
  </si>
  <si>
    <t>Census Tract 3525, New Haven County, Connecticut!!Margin of Error</t>
  </si>
  <si>
    <t>Census Tract 3526, New Haven County, Connecticut!!Margin of Error</t>
  </si>
  <si>
    <t>Census Tract 3527.01, New Haven County, Connecticut!!Margin of Error</t>
  </si>
  <si>
    <t>Census Tract 3527.02, New Haven County, Connecticut!!Margin of Error</t>
  </si>
  <si>
    <t>Census Tract 3528, New Haven County, Connecticut!!Margin of Error</t>
  </si>
  <si>
    <t>Census Tract 3611, New Haven County, Connecticut!!Margin of Error</t>
  </si>
  <si>
    <t>Census Tract 3612, New Haven County, Connecticut!!Margin of Error</t>
  </si>
  <si>
    <t>Census Tract 3613, New Haven County, Connecticut!!Margin of Error</t>
  </si>
  <si>
    <t>Census Tract 3614.01, New Haven County, Connecticut!!Margin of Error</t>
  </si>
  <si>
    <t>Census Tract 3614.02, New Haven County, Connecticut!!Margin of Error</t>
  </si>
  <si>
    <t>Census Tract 3615, New Haven County, Connecticut!!Margin of Error</t>
  </si>
  <si>
    <t>Census Tract 9900, New Haven County, Connecticut!!Margin of Error</t>
  </si>
  <si>
    <t>Census Tract 6501, New London County, Connecticut!!Margin of Error</t>
  </si>
  <si>
    <t>Census Tract 6601.01, New London County, Connecticut!!Margin of Error</t>
  </si>
  <si>
    <t>Census Tract 6601.02, New London County, Connecticut!!Margin of Error</t>
  </si>
  <si>
    <t>Census Tract 6903, New London County, Connecticut!!Margin of Error</t>
  </si>
  <si>
    <t>Census Tract 6904, New London County, Connecticut!!Margin of Error</t>
  </si>
  <si>
    <t>Census Tract 6905, New London County, Connecticut!!Margin of Error</t>
  </si>
  <si>
    <t>Census Tract 6907, New London County, Connecticut!!Margin of Error</t>
  </si>
  <si>
    <t>Census Tract 6908, New London County, Connecticut!!Margin of Error</t>
  </si>
  <si>
    <t>Census Tract 6909, New London County, Connecticut!!Margin of Error</t>
  </si>
  <si>
    <t>Census Tract 6933, New London County, Connecticut!!Margin of Error</t>
  </si>
  <si>
    <t>Census Tract 6934, New London County, Connecticut!!Margin of Error</t>
  </si>
  <si>
    <t>Census Tract 6935, New London County, Connecticut!!Margin of Error</t>
  </si>
  <si>
    <t>Census Tract 6936, New London County, Connecticut!!Margin of Error</t>
  </si>
  <si>
    <t>Census Tract 6937, New London County, Connecticut!!Margin of Error</t>
  </si>
  <si>
    <t>Census Tract 6952.01, New London County, Connecticut!!Margin of Error</t>
  </si>
  <si>
    <t>Census Tract 6952.02, New London County, Connecticut!!Margin of Error</t>
  </si>
  <si>
    <t>Census Tract 6961, New London County, Connecticut!!Margin of Error</t>
  </si>
  <si>
    <t>Census Tract 6962, New London County, Connecticut!!Margin of Error</t>
  </si>
  <si>
    <t>Census Tract 6963, New London County, Connecticut!!Margin of Error</t>
  </si>
  <si>
    <t>Census Tract 6964, New London County, Connecticut!!Margin of Error</t>
  </si>
  <si>
    <t>Census Tract 6965, New London County, Connecticut!!Margin of Error</t>
  </si>
  <si>
    <t>Census Tract 6966, New London County, Connecticut!!Margin of Error</t>
  </si>
  <si>
    <t>Census Tract 6967, New London County, Connecticut!!Margin of Error</t>
  </si>
  <si>
    <t>Census Tract 6968, New London County, Connecticut!!Margin of Error</t>
  </si>
  <si>
    <t>Census Tract 6970, New London County, Connecticut!!Margin of Error</t>
  </si>
  <si>
    <t>Census Tract 7001, New London County, Connecticut!!Margin of Error</t>
  </si>
  <si>
    <t>Census Tract 7011, New London County, Connecticut!!Margin of Error</t>
  </si>
  <si>
    <t>Census Tract 7012, New London County, Connecticut!!Margin of Error</t>
  </si>
  <si>
    <t>Census Tract 7021, New London County, Connecticut!!Margin of Error</t>
  </si>
  <si>
    <t>Census Tract 7023, New London County, Connecticut!!Margin of Error</t>
  </si>
  <si>
    <t>Census Tract 7024, New London County, Connecticut!!Margin of Error</t>
  </si>
  <si>
    <t>Census Tract 7025, New London County, Connecticut!!Margin of Error</t>
  </si>
  <si>
    <t>Census Tract 7026, New London County, Connecticut!!Margin of Error</t>
  </si>
  <si>
    <t>Census Tract 7027, New London County, Connecticut!!Margin of Error</t>
  </si>
  <si>
    <t>Census Tract 7028, New London County, Connecticut!!Margin of Error</t>
  </si>
  <si>
    <t>Census Tract 7029, New London County, Connecticut!!Margin of Error</t>
  </si>
  <si>
    <t>Census Tract 7030, New London County, Connecticut!!Margin of Error</t>
  </si>
  <si>
    <t>Census Tract 7051.01, New London County, Connecticut!!Margin of Error</t>
  </si>
  <si>
    <t>Census Tract 7051.02, New London County, Connecticut!!Margin of Error</t>
  </si>
  <si>
    <t>Census Tract 7052, New London County, Connecticut!!Margin of Error</t>
  </si>
  <si>
    <t>Census Tract 7053, New London County, Connecticut!!Margin of Error</t>
  </si>
  <si>
    <t>Census Tract 7054, New London County, Connecticut!!Margin of Error</t>
  </si>
  <si>
    <t>Census Tract 7071, New London County, Connecticut!!Margin of Error</t>
  </si>
  <si>
    <t>Census Tract 7081, New London County, Connecticut!!Margin of Error</t>
  </si>
  <si>
    <t>Census Tract 7091, New London County, Connecticut!!Margin of Error</t>
  </si>
  <si>
    <t>Census Tract 7092, New London County, Connecticut!!Margin of Error</t>
  </si>
  <si>
    <t>Census Tract 7101, New London County, Connecticut!!Margin of Error</t>
  </si>
  <si>
    <t>Census Tract 7111, New London County, Connecticut!!Margin of Error</t>
  </si>
  <si>
    <t>Census Tract 7121, New London County, Connecticut!!Margin of Error</t>
  </si>
  <si>
    <t>Census Tract 7131, New London County, Connecticut!!Margin of Error</t>
  </si>
  <si>
    <t>Census Tract 7141.01, New London County, Connecticut!!Margin of Error</t>
  </si>
  <si>
    <t>Census Tract 7141.03, New London County, Connecticut!!Margin of Error</t>
  </si>
  <si>
    <t>Census Tract 7141.04, New London County, Connecticut!!Margin of Error</t>
  </si>
  <si>
    <t>Census Tract 7151, New London County, Connecticut!!Margin of Error</t>
  </si>
  <si>
    <t>Census Tract 7161.01, New London County, Connecticut!!Margin of Error</t>
  </si>
  <si>
    <t>Census Tract 7161.02, New London County, Connecticut!!Margin of Error</t>
  </si>
  <si>
    <t>Census Tract 8701, New London County, Connecticut!!Margin of Error</t>
  </si>
  <si>
    <t>Census Tract 8702, New London County, Connecticut!!Margin of Error</t>
  </si>
  <si>
    <t>Census Tract 8703, New London County, Connecticut!!Margin of Error</t>
  </si>
  <si>
    <t>Census Tract 8705.01, New London County, Connecticut!!Margin of Error</t>
  </si>
  <si>
    <t>Census Tract 8705.02, New London County, Connecticut!!Margin of Error</t>
  </si>
  <si>
    <t>Census Tract 8707.01, New London County, Connecticut!!Margin of Error</t>
  </si>
  <si>
    <t>Census Tract 8707.03, New London County, Connecticut!!Margin of Error</t>
  </si>
  <si>
    <t>Census Tract 8707.04, New London County, Connecticut!!Margin of Error</t>
  </si>
  <si>
    <t>Census Tract 9800, New London County, Connecticut!!Margin of Error</t>
  </si>
  <si>
    <t>Census Tract 9901, New London County, Connecticut!!Margin of Error</t>
  </si>
  <si>
    <t>Census Tract 5261.01, Tolland County, Connecticut!!Margin of Error</t>
  </si>
  <si>
    <t>Census Tract 5261.02, Tolland County, Connecticut!!Margin of Error</t>
  </si>
  <si>
    <t>Census Tract 5281, Tolland County, Connecticut!!Margin of Error</t>
  </si>
  <si>
    <t>Census Tract 5291, Tolland County, Connecticut!!Margin of Error</t>
  </si>
  <si>
    <t>Census Tract 5301, Tolland County, Connecticut!!Margin of Error</t>
  </si>
  <si>
    <t>Census Tract 5302, Tolland County, Connecticut!!Margin of Error</t>
  </si>
  <si>
    <t>Census Tract 5303.01, Tolland County, Connecticut!!Margin of Error</t>
  </si>
  <si>
    <t>Census Tract 5303.02, Tolland County, Connecticut!!Margin of Error</t>
  </si>
  <si>
    <t>Census Tract 5304, Tolland County, Connecticut!!Margin of Error</t>
  </si>
  <si>
    <t>Census Tract 5305, Tolland County, Connecticut!!Margin of Error</t>
  </si>
  <si>
    <t>Census Tract 5306, Tolland County, Connecticut!!Margin of Error</t>
  </si>
  <si>
    <t>Census Tract 5331.01, Tolland County, Connecticut!!Margin of Error</t>
  </si>
  <si>
    <t>Census Tract 5331.02, Tolland County, Connecticut!!Margin of Error</t>
  </si>
  <si>
    <t>Census Tract 5351, Tolland County, Connecticut!!Margin of Error</t>
  </si>
  <si>
    <t>Census Tract 5352, Tolland County, Connecticut!!Margin of Error</t>
  </si>
  <si>
    <t>Census Tract 5381, Tolland County, Connecticut!!Margin of Error</t>
  </si>
  <si>
    <t>Census Tract 5382.01, Tolland County, Connecticut!!Margin of Error</t>
  </si>
  <si>
    <t>Census Tract 5382.02, Tolland County, Connecticut!!Margin of Error</t>
  </si>
  <si>
    <t>Census Tract 8401, Tolland County, Connecticut!!Margin of Error</t>
  </si>
  <si>
    <t>Census Tract 8501, Tolland County, Connecticut!!Margin of Error</t>
  </si>
  <si>
    <t>Census Tract 8502, Tolland County, Connecticut!!Margin of Error</t>
  </si>
  <si>
    <t>Census Tract 8601, Tolland County, Connecticut!!Margin of Error</t>
  </si>
  <si>
    <t>Census Tract 8811, Tolland County, Connecticut!!Margin of Error</t>
  </si>
  <si>
    <t>Census Tract 8812, Tolland County, Connecticut!!Margin of Error</t>
  </si>
  <si>
    <t>Census Tract 8813, Tolland County, Connecticut!!Margin of Error</t>
  </si>
  <si>
    <t>Census Tract 8815, Tolland County, Connecticut!!Margin of Error</t>
  </si>
  <si>
    <t>Census Tract 8901, Tolland County, Connecticut!!Margin of Error</t>
  </si>
  <si>
    <t>Census Tract 8902.01, Tolland County, Connecticut!!Margin of Error</t>
  </si>
  <si>
    <t>Census Tract 8902.02, Tolland County, Connecticut!!Margin of Error</t>
  </si>
  <si>
    <t>Census Tract 8003, Windham County, Connecticut!!Margin of Error</t>
  </si>
  <si>
    <t>Census Tract 8004, Windham County, Connecticut!!Margin of Error</t>
  </si>
  <si>
    <t>Census Tract 8005, Windham County, Connecticut!!Margin of Error</t>
  </si>
  <si>
    <t>Census Tract 8006, Windham County, Connecticut!!Margin of Error</t>
  </si>
  <si>
    <t>Census Tract 8007, Windham County, Connecticut!!Margin of Error</t>
  </si>
  <si>
    <t>Census Tract 8150, Windham County, Connecticut!!Margin of Error</t>
  </si>
  <si>
    <t>Census Tract 8200, Windham County, Connecticut!!Margin of Error</t>
  </si>
  <si>
    <t>Census Tract 8250, Windham County, Connecticut!!Margin of Error</t>
  </si>
  <si>
    <t>Census Tract 8301, Windham County, Connecticut!!Margin of Error</t>
  </si>
  <si>
    <t>Census Tract 9001, Windham County, Connecticut!!Margin of Error</t>
  </si>
  <si>
    <t>Census Tract 9002, Windham County, Connecticut!!Margin of Error</t>
  </si>
  <si>
    <t>Census Tract 9011, Windham County, Connecticut!!Margin of Error</t>
  </si>
  <si>
    <t>Census Tract 9022, Windham County, Connecticut!!Margin of Error</t>
  </si>
  <si>
    <t>Census Tract 9025, Windham County, Connecticut!!Margin of Error</t>
  </si>
  <si>
    <t>Census Tract 9031, Windham County, Connecticut!!Margin of Error</t>
  </si>
  <si>
    <t>Census Tract 9032, Windham County, Connecticut!!Margin of Error</t>
  </si>
  <si>
    <t>Census Tract 9041, Windham County, Connecticut!!Margin of Error</t>
  </si>
  <si>
    <t>Census Tract 9044, Windham County, Connecticut!!Margin of Error</t>
  </si>
  <si>
    <t>Census Tract 9045, Windham County, Connecticut!!Margin of Error</t>
  </si>
  <si>
    <t>Census Tract 9051, Windham County, Connecticut!!Margin of Error</t>
  </si>
  <si>
    <t>Census Tract 9061, Windham County, Connecticut!!Margin of Error</t>
  </si>
  <si>
    <t>Census Tract 9071, Windham County, Connecticut!!Margin of Error</t>
  </si>
  <si>
    <t>Census Tract 9072, Windham County, Connecticut!!Margin of Error</t>
  </si>
  <si>
    <t>Census Tract 9073, Windham County, Connecticut!!Margin of Error</t>
  </si>
  <si>
    <t>Census Tract 9081, Windham County, Connecticut!!Margin of Error</t>
  </si>
  <si>
    <t>APPLIED FILTERS</t>
  </si>
  <si>
    <t>APPLIED SORTS</t>
  </si>
  <si>
    <t>PIVOT &amp; GROUPING</t>
  </si>
  <si>
    <t>WEB ADDRESS</t>
  </si>
  <si>
    <t>https://data.census.gov/cedsci/table?t=Income%20%28Households,%20Families,%20Individuals%29%3AIncome%20and%20Poverty&amp;g=0400000US09%241400000&amp;tid=ACSDT5Y2019.B19013&amp;moe=false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</si>
  <si>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</si>
  <si>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</si>
  <si>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</si>
  <si>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2015-2019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</si>
  <si>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</si>
  <si>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Between 2018 and 2019 the American Community Survey retirement income question changed. These changes resulted in an increase in both the number of households reporting retirement income and higher aggregate retirement income at the national level. For more information see Changes to the Retirement Income Question .</t>
  </si>
  <si>
    <t>The 2015-2019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</si>
  <si>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</si>
  <si>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</si>
  <si>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</si>
  <si>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Small Load Customers</t>
  </si>
  <si>
    <t>Large Load Customers</t>
  </si>
  <si>
    <t>Home Energy Solutions Program Participation</t>
  </si>
  <si>
    <t>Equitable Distribution Tables</t>
  </si>
  <si>
    <t>Energy Burden</t>
  </si>
  <si>
    <t>Shutoffs and Arreareages</t>
  </si>
  <si>
    <t>Table 1</t>
  </si>
  <si>
    <t>Small Load, All Customers</t>
  </si>
  <si>
    <t>Table 4</t>
  </si>
  <si>
    <t>Large Load, All Customers</t>
  </si>
  <si>
    <t>Table 11</t>
  </si>
  <si>
    <t>Small and Large Load Program Participation in BIPOC quintiles, both companies</t>
  </si>
  <si>
    <t>Table</t>
  </si>
  <si>
    <r>
      <t xml:space="preserve">Energy-burdened </t>
    </r>
    <r>
      <rPr>
        <b/>
        <sz val="12"/>
        <color rgb="FF000000"/>
        <rFont val="Arial"/>
        <family val="2"/>
      </rPr>
      <t>census tracts, small load+large load participation</t>
    </r>
    <r>
      <rPr>
        <sz val="12"/>
        <color rgb="FF000000"/>
        <rFont val="Arial"/>
        <family val="2"/>
      </rPr>
      <t xml:space="preserve"> regardless of program</t>
    </r>
  </si>
  <si>
    <t>UI Service Territory - Top 5 Towns for Shut-offs and Arrearages</t>
  </si>
  <si>
    <t>Table 7</t>
  </si>
  <si>
    <t>2019 HES Program Participation - Number of Units</t>
  </si>
  <si>
    <t>Translation:</t>
  </si>
  <si>
    <t>This table is saying that for both large and small load customers, for example, 21% of CLM collections were from the census tracts with the most amount of POC, and 20% of incentives went to those same tracts</t>
  </si>
  <si>
    <t>2019 Small Load, All Customers </t>
  </si>
  <si>
    <t> Collections  </t>
  </si>
  <si>
    <t> Incentive Disbursements  </t>
  </si>
  <si>
    <t>Ratio (%)</t>
  </si>
  <si>
    <t>Equitable?</t>
  </si>
  <si>
    <t>2019 Large Load, All Customers </t>
  </si>
  <si>
    <t>Ratio</t>
  </si>
  <si>
    <t>2019 HES Participation </t>
  </si>
  <si>
    <t>Tract</t>
  </si>
  <si>
    <t>Total Units </t>
  </si>
  <si>
    <t>Single Family </t>
  </si>
  <si>
    <t>2-4 Units </t>
  </si>
  <si>
    <t>4+ Units </t>
  </si>
  <si>
    <t>Quintile Rank</t>
  </si>
  <si>
    <t xml:space="preserve">Sum of CLM $ Collected </t>
  </si>
  <si>
    <t>Percent of total</t>
  </si>
  <si>
    <t>Sum of Incentive Disbursements</t>
  </si>
  <si>
    <t>Sum of Residential CLM $ Collected</t>
  </si>
  <si>
    <t>Sum of Residential Incentive Disbursements</t>
  </si>
  <si>
    <t>Sum of C&amp;I CLM $ Collected</t>
  </si>
  <si>
    <t>Sum of C&amp;I Incentive Disbursements</t>
  </si>
  <si>
    <t>2019, all loads</t>
  </si>
  <si>
    <t>UI 2019</t>
  </si>
  <si>
    <t>Number of Shutoffs/Arrearages</t>
  </si>
  <si>
    <t>Collections</t>
  </si>
  <si>
    <t>Incentives Disbursed</t>
  </si>
  <si>
    <t>UI</t>
  </si>
  <si>
    <t>Distressed Tracts</t>
  </si>
  <si>
    <t>Amount</t>
  </si>
  <si>
    <t>UI </t>
  </si>
  <si>
    <t>Distressed Tracts </t>
  </si>
  <si>
    <t>Least POC</t>
  </si>
  <si>
    <t>Energy Burdened</t>
  </si>
  <si>
    <t>Bridgeport</t>
  </si>
  <si>
    <t xml:space="preserve">Amount </t>
  </si>
  <si>
    <t>Yes</t>
  </si>
  <si>
    <t>% Of total</t>
  </si>
  <si>
    <t>Other Tracts </t>
  </si>
  <si>
    <t>% of Total</t>
  </si>
  <si>
    <t>Other Tracts</t>
  </si>
  <si>
    <t>Eversource </t>
  </si>
  <si>
    <t>Non-Energy Burdened</t>
  </si>
  <si>
    <t>New Haven</t>
  </si>
  <si>
    <t>No</t>
  </si>
  <si>
    <t>These percent of totals are for total in that service territory</t>
  </si>
  <si>
    <t>Eversource</t>
  </si>
  <si>
    <t>Total</t>
  </si>
  <si>
    <t>All Tracts</t>
  </si>
  <si>
    <t>Most POC</t>
  </si>
  <si>
    <t>West Haven</t>
  </si>
  <si>
    <t>Grand Total</t>
  </si>
  <si>
    <t>Does this need to be state % of total?</t>
  </si>
  <si>
    <t>Hamden</t>
  </si>
  <si>
    <t>Table 8</t>
  </si>
  <si>
    <t>2019 HES Program Participation - Collections and Incentives</t>
  </si>
  <si>
    <t>Stratford</t>
  </si>
  <si>
    <t>5% Margin of Error</t>
  </si>
  <si>
    <t>Collections </t>
  </si>
  <si>
    <t>Incentives</t>
  </si>
  <si>
    <t>Table 12</t>
  </si>
  <si>
    <t>HES/HES-IE Participation in BIPOC quintiles, both companies</t>
  </si>
  <si>
    <t>Check total units, might need to add HES-IE units</t>
  </si>
  <si>
    <t>Table 2</t>
  </si>
  <si>
    <t>Small Load, Residential</t>
  </si>
  <si>
    <t>Table 5</t>
  </si>
  <si>
    <t>Large Load, Residential</t>
  </si>
  <si>
    <t>All Residential</t>
  </si>
  <si>
    <t>HES</t>
  </si>
  <si>
    <t>HES-IE</t>
  </si>
  <si>
    <t>Total Units</t>
  </si>
  <si>
    <t>2019 Small Load, Residential</t>
  </si>
  <si>
    <t>2019 Large Load, Residential</t>
  </si>
  <si>
    <t>% of total</t>
  </si>
  <si>
    <t>HES Incentives</t>
  </si>
  <si>
    <t>HES-IE Incentives</t>
  </si>
  <si>
    <t>Percent</t>
  </si>
  <si>
    <t>Both</t>
  </si>
  <si>
    <t>Eversource 2019</t>
  </si>
  <si>
    <t>HARTFORD</t>
  </si>
  <si>
    <r>
      <t xml:space="preserve">Energy-burdened </t>
    </r>
    <r>
      <rPr>
        <b/>
        <sz val="12"/>
        <color rgb="FF000000"/>
        <rFont val="Arial"/>
        <family val="2"/>
      </rPr>
      <t>census tracts, Residential Program Participation</t>
    </r>
  </si>
  <si>
    <t>5% Margin of error</t>
  </si>
  <si>
    <t>WATERBURY</t>
  </si>
  <si>
    <t>2019 HES</t>
  </si>
  <si>
    <t>Number of Participating Homes</t>
  </si>
  <si>
    <t>NEW BRITAIN</t>
  </si>
  <si>
    <t>Table 9</t>
  </si>
  <si>
    <t>2019 HES-IE Program Participation - Number of Units</t>
  </si>
  <si>
    <t>STAMFORD</t>
  </si>
  <si>
    <t>Unsure if this table is useful because we are missing some census tracts, but not many</t>
  </si>
  <si>
    <t xml:space="preserve">If we are okay with this, we can say things like </t>
  </si>
  <si>
    <t>MERIDEN</t>
  </si>
  <si>
    <t>42% of homes that participated in either HES or HES-IE were in census tracts with, or more than 60% POC</t>
  </si>
  <si>
    <t>~17% of collections were from communities with more than 80% POC, while 18% of incentives went to those same communities</t>
  </si>
  <si>
    <t>Table 3</t>
  </si>
  <si>
    <t>Small Load, C&amp;I</t>
  </si>
  <si>
    <t>Table 6</t>
  </si>
  <si>
    <t>Large Load, C&amp;I</t>
  </si>
  <si>
    <t>39% of collections were from communities with &lt;=60% POC, while 47% of HES-IE incentives went to those same communities</t>
  </si>
  <si>
    <t>2019 Small Load, C&amp;I</t>
  </si>
  <si>
    <t>2019 Large Load, C&amp;I</t>
  </si>
  <si>
    <t>Any combo, really, not sure which ones are helpful</t>
  </si>
  <si>
    <t>Ratio collected/incentives, all res:</t>
  </si>
  <si>
    <t>collections</t>
  </si>
  <si>
    <t>ES</t>
  </si>
  <si>
    <t>Table 10</t>
  </si>
  <si>
    <t>2019 HES-IE Program Participation - Collections and Incentives</t>
  </si>
  <si>
    <t>total</t>
  </si>
  <si>
    <t>2019 HES-IE</t>
  </si>
  <si>
    <t>Total # of Energy Burdened Tracts:</t>
  </si>
  <si>
    <t>List of Tracks Burdened (try to map):</t>
  </si>
  <si>
    <t>id</t>
  </si>
  <si>
    <t>tract</t>
  </si>
  <si>
    <t>Geographic Area Name</t>
  </si>
  <si>
    <t>Census.HOUSEHOLD INCOME IN THE PAST 12 MONTHS (IN 2019 INFLATION-ADJUSTED DOLLARS)</t>
  </si>
  <si>
    <t>Census.Average household size</t>
  </si>
  <si>
    <t>Household Size Adjusted income = (Household Income)/(Household Size)^N ; N/1/2</t>
  </si>
  <si>
    <t>adjusted income (thousands of $)</t>
  </si>
  <si>
    <t>incomee percentile</t>
  </si>
  <si>
    <t>Income Rank</t>
  </si>
  <si>
    <t>median census housing cost</t>
  </si>
  <si>
    <t>housing cost as percentage of income</t>
  </si>
  <si>
    <t>Housing cost rank as fraction of median income percentile</t>
  </si>
  <si>
    <t>housing cost rank</t>
  </si>
  <si>
    <t xml:space="preserve">Housing cost percentile </t>
  </si>
  <si>
    <t>Housing cost rank on absolute housing cost</t>
  </si>
  <si>
    <t>Combined affluence rank</t>
  </si>
  <si>
    <t>Income &lt; 60% SMI?</t>
  </si>
  <si>
    <t>60&lt;Income&lt;80 SMI?</t>
  </si>
  <si>
    <t>Income&gt;80% SMI?</t>
  </si>
  <si>
    <t>1400000US09001010101</t>
  </si>
  <si>
    <t>Census Tract 101.01, Fairfield County, Connecticut</t>
  </si>
  <si>
    <t>Need IF statements</t>
  </si>
  <si>
    <t>1400000US09001010102</t>
  </si>
  <si>
    <t>Census Tract 101.02, Fairfield County, Connecticut</t>
  </si>
  <si>
    <t>1400000US09001010201</t>
  </si>
  <si>
    <t>Census Tract 102.01, Fairfield County, Connecticut</t>
  </si>
  <si>
    <t>1400000US09001010202</t>
  </si>
  <si>
    <t>Census Tract 102.02, Fairfield County, Connecticut</t>
  </si>
  <si>
    <t>1400000US09001010300</t>
  </si>
  <si>
    <t>Census Tract 103, Fairfield County, Connecticut</t>
  </si>
  <si>
    <t>1400000US09001010400</t>
  </si>
  <si>
    <t>Census Tract 104, Fairfield County, Connecticut</t>
  </si>
  <si>
    <t>1400000US09001010500</t>
  </si>
  <si>
    <t>Census Tract 105, Fairfield County, Connecticut</t>
  </si>
  <si>
    <t>1400000US09001010600</t>
  </si>
  <si>
    <t>Census Tract 106, Fairfield County, Connecticut</t>
  </si>
  <si>
    <t>1400000US09001010700</t>
  </si>
  <si>
    <t>Census Tract 107, Fairfield County, Connecticut</t>
  </si>
  <si>
    <t>1400000US09001010800</t>
  </si>
  <si>
    <t>Census Tract 108, Fairfield County, Connecticut</t>
  </si>
  <si>
    <t>1400000US09001010900</t>
  </si>
  <si>
    <t>Census Tract 109, Fairfield County, Connecticut</t>
  </si>
  <si>
    <t>1400000US09001011000</t>
  </si>
  <si>
    <t>Census Tract 110, Fairfield County, Connecticut</t>
  </si>
  <si>
    <t>1400000US09001011100</t>
  </si>
  <si>
    <t>Census Tract 111, Fairfield County, Connecticut</t>
  </si>
  <si>
    <t>1400000US09001011200</t>
  </si>
  <si>
    <t>Census Tract 112, Fairfield County, Connecticut</t>
  </si>
  <si>
    <t>1400000US09001011300</t>
  </si>
  <si>
    <t>Census Tract 113, Fairfield County, Connecticut</t>
  </si>
  <si>
    <t>1400000US09001020100</t>
  </si>
  <si>
    <t>Census Tract 201, Fairfield County, Connecticut</t>
  </si>
  <si>
    <t>1400000US09001020200</t>
  </si>
  <si>
    <t>Census Tract 202, Fairfield County, Connecticut</t>
  </si>
  <si>
    <t>1400000US09001020300</t>
  </si>
  <si>
    <t>Census Tract 203, Fairfield County, Connecticut</t>
  </si>
  <si>
    <t>1400000US09001020400</t>
  </si>
  <si>
    <t>Census Tract 204, Fairfield County, Connecticut</t>
  </si>
  <si>
    <t>1400000US09001020500</t>
  </si>
  <si>
    <t>Census Tract 205, Fairfield County, Connecticut</t>
  </si>
  <si>
    <t>1400000US09001020600</t>
  </si>
  <si>
    <t>Census Tract 206, Fairfield County, Connecticut</t>
  </si>
  <si>
    <t>1400000US09001020700</t>
  </si>
  <si>
    <t>Census Tract 207, Fairfield County, Connecticut</t>
  </si>
  <si>
    <t>1400000US09001020800</t>
  </si>
  <si>
    <t>Census Tract 208, Fairfield County, Connecticut</t>
  </si>
  <si>
    <t>1400000US09001020900</t>
  </si>
  <si>
    <t>Census Tract 209, Fairfield County, Connecticut</t>
  </si>
  <si>
    <t>1400000US09001021000</t>
  </si>
  <si>
    <t>Census Tract 210, Fairfield County, Connecticut</t>
  </si>
  <si>
    <t>1400000US09001021100</t>
  </si>
  <si>
    <t>Census Tract 211, Fairfield County, Connecticut</t>
  </si>
  <si>
    <t>1400000US09001021200</t>
  </si>
  <si>
    <t>Census Tract 212, Fairfield County, Connecticut</t>
  </si>
  <si>
    <t>1400000US09001021300</t>
  </si>
  <si>
    <t>Census Tract 213, Fairfield County, Connecticut</t>
  </si>
  <si>
    <t>1400000US09001021400</t>
  </si>
  <si>
    <t>Census Tract 214, Fairfield County, Connecticut</t>
  </si>
  <si>
    <t>1400000US09001021500</t>
  </si>
  <si>
    <t>Census Tract 215, Fairfield County, Connecticut</t>
  </si>
  <si>
    <t>1400000US09001021600</t>
  </si>
  <si>
    <t>Census Tract 216, Fairfield County, Connecticut</t>
  </si>
  <si>
    <t>1400000US09001021700</t>
  </si>
  <si>
    <t>Census Tract 217, Fairfield County, Connecticut</t>
  </si>
  <si>
    <t>1400000US09001021801</t>
  </si>
  <si>
    <t>Census Tract 218.01, Fairfield County, Connecticut</t>
  </si>
  <si>
    <t>1400000US09001021802</t>
  </si>
  <si>
    <t>Census Tract 218.02, Fairfield County, Connecticut</t>
  </si>
  <si>
    <t>1400000US09001021900</t>
  </si>
  <si>
    <t>Census Tract 219, Fairfield County, Connecticut</t>
  </si>
  <si>
    <t>1400000US09001022000</t>
  </si>
  <si>
    <t>Census Tract 220, Fairfield County, Connecticut</t>
  </si>
  <si>
    <t>1400000US09001022100</t>
  </si>
  <si>
    <t>Census Tract 221, Fairfield County, Connecticut</t>
  </si>
  <si>
    <t>1400000US09001022200</t>
  </si>
  <si>
    <t>Census Tract 222, Fairfield County, Connecticut</t>
  </si>
  <si>
    <t>1400000US09001022300</t>
  </si>
  <si>
    <t>Census Tract 223, Fairfield County, Connecticut</t>
  </si>
  <si>
    <t>1400000US09001022400</t>
  </si>
  <si>
    <t>Census Tract 224, Fairfield County, Connecticut</t>
  </si>
  <si>
    <t>1400000US09001030100</t>
  </si>
  <si>
    <t>Census Tract 301, Fairfield County, Connecticut</t>
  </si>
  <si>
    <t>1400000US09001030200</t>
  </si>
  <si>
    <t>Census Tract 302, Fairfield County, Connecticut</t>
  </si>
  <si>
    <t>1400000US09001030300</t>
  </si>
  <si>
    <t>Census Tract 303, Fairfield County, Connecticut</t>
  </si>
  <si>
    <t>1400000US09001030400</t>
  </si>
  <si>
    <t>Census Tract 304, Fairfield County, Connecticut</t>
  </si>
  <si>
    <t>1400000US09001030500</t>
  </si>
  <si>
    <t>Census Tract 305, Fairfield County, Connecticut</t>
  </si>
  <si>
    <t>1400000US09001035100</t>
  </si>
  <si>
    <t>Census Tract 351, Fairfield County, Connecticut</t>
  </si>
  <si>
    <t>1400000US09001035200</t>
  </si>
  <si>
    <t>Census Tract 352, Fairfield County, Connecticut</t>
  </si>
  <si>
    <t>1400000US09001035300</t>
  </si>
  <si>
    <t>Census Tract 353, Fairfield County, Connecticut</t>
  </si>
  <si>
    <t>1400000US09001035400</t>
  </si>
  <si>
    <t>Census Tract 354, Fairfield County, Connecticut</t>
  </si>
  <si>
    <t>1400000US09001042500</t>
  </si>
  <si>
    <t>Census Tract 425, Fairfield County, Connecticut</t>
  </si>
  <si>
    <t>1400000US09001042600</t>
  </si>
  <si>
    <t>Census Tract 426, Fairfield County, Connecticut</t>
  </si>
  <si>
    <t>1400000US09001042700</t>
  </si>
  <si>
    <t>Census Tract 427, Fairfield County, Connecticut</t>
  </si>
  <si>
    <t>1400000US09001042800</t>
  </si>
  <si>
    <t>Census Tract 428, Fairfield County, Connecticut</t>
  </si>
  <si>
    <t>1400000US09001042900</t>
  </si>
  <si>
    <t>Census Tract 429, Fairfield County, Connecticut</t>
  </si>
  <si>
    <t>1400000US09001043000</t>
  </si>
  <si>
    <t>Census Tract 430, Fairfield County, Connecticut</t>
  </si>
  <si>
    <t>1400000US09001043100</t>
  </si>
  <si>
    <t>Census Tract 431, Fairfield County, Connecticut</t>
  </si>
  <si>
    <t>1400000US09001043200</t>
  </si>
  <si>
    <t>Census Tract 432, Fairfield County, Connecticut</t>
  </si>
  <si>
    <t>1400000US09001043300</t>
  </si>
  <si>
    <t>Census Tract 433, Fairfield County, Connecticut</t>
  </si>
  <si>
    <t>1400000US09001043400</t>
  </si>
  <si>
    <t>Census Tract 434, Fairfield County, Connecticut</t>
  </si>
  <si>
    <t>1400000US09001043500</t>
  </si>
  <si>
    <t>Census Tract 435, Fairfield County, Connecticut</t>
  </si>
  <si>
    <t>1400000US09001043600</t>
  </si>
  <si>
    <t>Census Tract 436, Fairfield County, Connecticut</t>
  </si>
  <si>
    <t>1400000US09001043700</t>
  </si>
  <si>
    <t>Census Tract 437, Fairfield County, Connecticut</t>
  </si>
  <si>
    <t>1400000US09001043800</t>
  </si>
  <si>
    <t>Census Tract 438, Fairfield County, Connecticut</t>
  </si>
  <si>
    <t>1400000US09001043900</t>
  </si>
  <si>
    <t>Census Tract 439, Fairfield County, Connecticut</t>
  </si>
  <si>
    <t>1400000US09001044000</t>
  </si>
  <si>
    <t>Census Tract 440, Fairfield County, Connecticut</t>
  </si>
  <si>
    <t>1400000US09001044100</t>
  </si>
  <si>
    <t>Census Tract 441, Fairfield County, Connecticut</t>
  </si>
  <si>
    <t>1400000US09001044200</t>
  </si>
  <si>
    <t>Census Tract 442, Fairfield County, Connecticut</t>
  </si>
  <si>
    <t>1400000US09001044300</t>
  </si>
  <si>
    <t>Census Tract 443, Fairfield County, Connecticut</t>
  </si>
  <si>
    <t>1400000US09001044400</t>
  </si>
  <si>
    <t>Census Tract 444, Fairfield County, Connecticut</t>
  </si>
  <si>
    <t>1400000US09001044500</t>
  </si>
  <si>
    <t>Census Tract 445, Fairfield County, Connecticut</t>
  </si>
  <si>
    <t>1400000US09001044600</t>
  </si>
  <si>
    <t>Census Tract 446, Fairfield County, Connecticut</t>
  </si>
  <si>
    <t>1400000US09001045101</t>
  </si>
  <si>
    <t>Census Tract 451.01, Fairfield County, Connecticut</t>
  </si>
  <si>
    <t>1400000US09001045102</t>
  </si>
  <si>
    <t>Census Tract 451.02, Fairfield County, Connecticut</t>
  </si>
  <si>
    <t>1400000US09001045200</t>
  </si>
  <si>
    <t>Census Tract 452, Fairfield County, Connecticut</t>
  </si>
  <si>
    <t>1400000US09001045300</t>
  </si>
  <si>
    <t>Census Tract 453, Fairfield County, Connecticut</t>
  </si>
  <si>
    <t>1400000US09001045400</t>
  </si>
  <si>
    <t>Census Tract 454, Fairfield County, Connecticut</t>
  </si>
  <si>
    <t>1400000US09001050100</t>
  </si>
  <si>
    <t>Census Tract 501, Fairfield County, Connecticut</t>
  </si>
  <si>
    <t>1400000US09001050200</t>
  </si>
  <si>
    <t>Census Tract 502, Fairfield County, Connecticut</t>
  </si>
  <si>
    <t>1400000US09001050300</t>
  </si>
  <si>
    <t>Census Tract 503, Fairfield County, Connecticut</t>
  </si>
  <si>
    <t>1400000US09001050400</t>
  </si>
  <si>
    <t>Census Tract 504, Fairfield County, Connecticut</t>
  </si>
  <si>
    <t>1400000US09001050500</t>
  </si>
  <si>
    <t>Census Tract 505, Fairfield County, Connecticut</t>
  </si>
  <si>
    <t>1400000US09001050600</t>
  </si>
  <si>
    <t>Census Tract 506, Fairfield County, Connecticut</t>
  </si>
  <si>
    <t>1400000US09001055100</t>
  </si>
  <si>
    <t>Census Tract 551, Fairfield County, Connecticut</t>
  </si>
  <si>
    <t>1400000US09001055200</t>
  </si>
  <si>
    <t>Census Tract 552, Fairfield County, Connecticut</t>
  </si>
  <si>
    <t>1400000US09001060100</t>
  </si>
  <si>
    <t>Census Tract 601, Fairfield County, Connecticut</t>
  </si>
  <si>
    <t>1400000US09001060200</t>
  </si>
  <si>
    <t>Census Tract 602, Fairfield County, Connecticut</t>
  </si>
  <si>
    <t>1400000US09001060300</t>
  </si>
  <si>
    <t>Census Tract 603, Fairfield County, Connecticut</t>
  </si>
  <si>
    <t>1400000US09001060400</t>
  </si>
  <si>
    <t>Census Tract 604, Fairfield County, Connecticut</t>
  </si>
  <si>
    <t>1400000US09001060500</t>
  </si>
  <si>
    <t>Census Tract 605, Fairfield County, Connecticut</t>
  </si>
  <si>
    <t>1400000US09001060600</t>
  </si>
  <si>
    <t>Census Tract 606, Fairfield County, Connecticut</t>
  </si>
  <si>
    <t>1400000US09001060700</t>
  </si>
  <si>
    <t>Census Tract 607, Fairfield County, Connecticut</t>
  </si>
  <si>
    <t>1400000US09001060800</t>
  </si>
  <si>
    <t>Census Tract 608, Fairfield County, Connecticut</t>
  </si>
  <si>
    <t>1400000US09001060900</t>
  </si>
  <si>
    <t>Census Tract 609, Fairfield County, Connecticut</t>
  </si>
  <si>
    <t>1400000US09001061000</t>
  </si>
  <si>
    <t>Census Tract 610, Fairfield County, Connecticut</t>
  </si>
  <si>
    <t>1400000US09001061100</t>
  </si>
  <si>
    <t>Census Tract 611, Fairfield County, Connecticut</t>
  </si>
  <si>
    <t>1400000US09001061200</t>
  </si>
  <si>
    <t>Census Tract 612, Fairfield County, Connecticut</t>
  </si>
  <si>
    <t>1400000US09001061300</t>
  </si>
  <si>
    <t>Census Tract 613, Fairfield County, Connecticut</t>
  </si>
  <si>
    <t>1400000US09001061400</t>
  </si>
  <si>
    <t>Census Tract 614, Fairfield County, Connecticut</t>
  </si>
  <si>
    <t>1400000US09001061500</t>
  </si>
  <si>
    <t>Census Tract 615, Fairfield County, Connecticut</t>
  </si>
  <si>
    <t>1400000US09001061600</t>
  </si>
  <si>
    <t>Census Tract 616, Fairfield County, Connecticut</t>
  </si>
  <si>
    <t>1400000US09001070100</t>
  </si>
  <si>
    <t>Census Tract 701, Fairfield County, Connecticut</t>
  </si>
  <si>
    <t>1400000US09001070200</t>
  </si>
  <si>
    <t>Census Tract 702, Fairfield County, Connecticut</t>
  </si>
  <si>
    <t>1400000US09001070300</t>
  </si>
  <si>
    <t>Census Tract 703, Fairfield County, Connecticut</t>
  </si>
  <si>
    <t>1400000US09001070400</t>
  </si>
  <si>
    <t>Census Tract 704, Fairfield County, Connecticut</t>
  </si>
  <si>
    <t>1400000US09001070500</t>
  </si>
  <si>
    <t>Census Tract 705, Fairfield County, Connecticut</t>
  </si>
  <si>
    <t>1400000US09001070600</t>
  </si>
  <si>
    <t>Census Tract 706, Fairfield County, Connecticut</t>
  </si>
  <si>
    <t>1400000US09001070900</t>
  </si>
  <si>
    <t>Census Tract 709, Fairfield County, Connecticut</t>
  </si>
  <si>
    <t>1400000US09001071000</t>
  </si>
  <si>
    <t>Census Tract 710, Fairfield County, Connecticut</t>
  </si>
  <si>
    <t>1400000US09001071100</t>
  </si>
  <si>
    <t>Census Tract 711, Fairfield County, Connecticut</t>
  </si>
  <si>
    <t>1400000US09001071200</t>
  </si>
  <si>
    <t>Census Tract 712, Fairfield County, Connecticut</t>
  </si>
  <si>
    <t>1400000US09001071300</t>
  </si>
  <si>
    <t>Census Tract 713, Fairfield County, Connecticut</t>
  </si>
  <si>
    <t>1400000US09001071400</t>
  </si>
  <si>
    <t>Census Tract 714, Fairfield County, Connecticut</t>
  </si>
  <si>
    <t>1400000US09001071600</t>
  </si>
  <si>
    <t>Census Tract 716, Fairfield County, Connecticut</t>
  </si>
  <si>
    <t>1400000US09001071900</t>
  </si>
  <si>
    <t>Census Tract 719, Fairfield County, Connecticut</t>
  </si>
  <si>
    <t>1400000US09001072000</t>
  </si>
  <si>
    <t>Census Tract 720, Fairfield County, Connecticut</t>
  </si>
  <si>
    <t>1400000US09001072100</t>
  </si>
  <si>
    <t>Census Tract 721, Fairfield County, Connecticut</t>
  </si>
  <si>
    <t>1400000US09001072200</t>
  </si>
  <si>
    <t>Census Tract 722, Fairfield County, Connecticut</t>
  </si>
  <si>
    <t>1400000US09001072300</t>
  </si>
  <si>
    <t>Census Tract 723, Fairfield County, Connecticut</t>
  </si>
  <si>
    <t>1400000US09001072400</t>
  </si>
  <si>
    <t>Census Tract 724, Fairfield County, Connecticut</t>
  </si>
  <si>
    <t>1400000US09001072500</t>
  </si>
  <si>
    <t>Census Tract 725, Fairfield County, Connecticut</t>
  </si>
  <si>
    <t>1400000US09001072600</t>
  </si>
  <si>
    <t>Census Tract 726, Fairfield County, Connecticut</t>
  </si>
  <si>
    <t>1400000US09001072700</t>
  </si>
  <si>
    <t>Census Tract 727, Fairfield County, Connecticut</t>
  </si>
  <si>
    <t>1400000US09001072800</t>
  </si>
  <si>
    <t>Census Tract 728, Fairfield County, Connecticut</t>
  </si>
  <si>
    <t>1400000US09001072900</t>
  </si>
  <si>
    <t>Census Tract 729, Fairfield County, Connecticut</t>
  </si>
  <si>
    <t>1400000US09001073000</t>
  </si>
  <si>
    <t>Census Tract 730, Fairfield County, Connecticut</t>
  </si>
  <si>
    <t>1400000US09001073100</t>
  </si>
  <si>
    <t>Census Tract 731, Fairfield County, Connecticut</t>
  </si>
  <si>
    <t>1400000US09001073200</t>
  </si>
  <si>
    <t>Census Tract 732, Fairfield County, Connecticut</t>
  </si>
  <si>
    <t>1400000US09001073300</t>
  </si>
  <si>
    <t>Census Tract 733, Fairfield County, Connecticut</t>
  </si>
  <si>
    <t>1400000US09001073400</t>
  </si>
  <si>
    <t>Census Tract 734, Fairfield County, Connecticut</t>
  </si>
  <si>
    <t>1400000US09001073500</t>
  </si>
  <si>
    <t>Census Tract 735, Fairfield County, Connecticut</t>
  </si>
  <si>
    <t>1400000US09001073600</t>
  </si>
  <si>
    <t>Census Tract 736, Fairfield County, Connecticut</t>
  </si>
  <si>
    <t>1400000US09001073700</t>
  </si>
  <si>
    <t>Census Tract 737, Fairfield County, Connecticut</t>
  </si>
  <si>
    <t>1400000US09001073800</t>
  </si>
  <si>
    <t>Census Tract 738, Fairfield County, Connecticut</t>
  </si>
  <si>
    <t>1400000US09001073900</t>
  </si>
  <si>
    <t>Census Tract 739, Fairfield County, Connecticut</t>
  </si>
  <si>
    <t>1400000US09001074000</t>
  </si>
  <si>
    <t>Census Tract 740, Fairfield County, Connecticut</t>
  </si>
  <si>
    <t>1400000US09001074300</t>
  </si>
  <si>
    <t>Census Tract 743, Fairfield County, Connecticut</t>
  </si>
  <si>
    <t>1400000US09001074400</t>
  </si>
  <si>
    <t>Census Tract 744, Fairfield County, Connecticut</t>
  </si>
  <si>
    <t>1400000US09001080100</t>
  </si>
  <si>
    <t>Census Tract 801, Fairfield County, Connecticut</t>
  </si>
  <si>
    <t>1400000US09001080200</t>
  </si>
  <si>
    <t>Census Tract 802, Fairfield County, Connecticut</t>
  </si>
  <si>
    <t>1400000US09001080400</t>
  </si>
  <si>
    <t>Census Tract 804, Fairfield County, Connecticut</t>
  </si>
  <si>
    <t>1400000US09001080500</t>
  </si>
  <si>
    <t>Census Tract 805, Fairfield County, Connecticut</t>
  </si>
  <si>
    <t>1400000US09001080600</t>
  </si>
  <si>
    <t>Census Tract 806, Fairfield County, Connecticut</t>
  </si>
  <si>
    <t>1400000US09001080700</t>
  </si>
  <si>
    <t>Census Tract 807, Fairfield County, Connecticut</t>
  </si>
  <si>
    <t>1400000US09001080800</t>
  </si>
  <si>
    <t>Census Tract 808, Fairfield County, Connecticut</t>
  </si>
  <si>
    <t>1400000US09001080900</t>
  </si>
  <si>
    <t>Census Tract 809, Fairfield County, Connecticut</t>
  </si>
  <si>
    <t>1400000US09001081000</t>
  </si>
  <si>
    <t>Census Tract 810, Fairfield County, Connecticut</t>
  </si>
  <si>
    <t>1400000US09001081100</t>
  </si>
  <si>
    <t>Census Tract 811, Fairfield County, Connecticut</t>
  </si>
  <si>
    <t>1400000US09001081200</t>
  </si>
  <si>
    <t>Census Tract 812, Fairfield County, Connecticut</t>
  </si>
  <si>
    <t>1400000US09001081300</t>
  </si>
  <si>
    <t>Census Tract 813, Fairfield County, Connecticut</t>
  </si>
  <si>
    <t>1400000US09001090100</t>
  </si>
  <si>
    <t>Census Tract 901, Fairfield County, Connecticut</t>
  </si>
  <si>
    <t>1400000US09001090200</t>
  </si>
  <si>
    <t>Census Tract 902, Fairfield County, Connecticut</t>
  </si>
  <si>
    <t>1400000US09001090300</t>
  </si>
  <si>
    <t>Census Tract 903, Fairfield County, Connecticut</t>
  </si>
  <si>
    <t>1400000US09001090400</t>
  </si>
  <si>
    <t>Census Tract 904, Fairfield County, Connecticut</t>
  </si>
  <si>
    <t>1400000US09001090500</t>
  </si>
  <si>
    <t>Census Tract 905, Fairfield County, Connecticut</t>
  </si>
  <si>
    <t>1400000US09001090600</t>
  </si>
  <si>
    <t>Census Tract 906, Fairfield County, Connecticut</t>
  </si>
  <si>
    <t>1400000US09001090700</t>
  </si>
  <si>
    <t>Census Tract 907, Fairfield County, Connecticut</t>
  </si>
  <si>
    <t>1400000US09001100100</t>
  </si>
  <si>
    <t>Census Tract 1001, Fairfield County, Connecticut</t>
  </si>
  <si>
    <t>1400000US09001100200</t>
  </si>
  <si>
    <t>Census Tract 1002, Fairfield County, Connecticut</t>
  </si>
  <si>
    <t>1400000US09001100300</t>
  </si>
  <si>
    <t>Census Tract 1003, Fairfield County, Connecticut</t>
  </si>
  <si>
    <t>1400000US09001105100</t>
  </si>
  <si>
    <t>Census Tract 1051, Fairfield County, Connecticut</t>
  </si>
  <si>
    <t>1400000US09001105200</t>
  </si>
  <si>
    <t>Census Tract 1052, Fairfield County, Connecticut</t>
  </si>
  <si>
    <t>1400000US09001110100</t>
  </si>
  <si>
    <t>Census Tract 1101, Fairfield County, Connecticut</t>
  </si>
  <si>
    <t>1400000US09001110201</t>
  </si>
  <si>
    <t>Census Tract 1102.01, Fairfield County, Connecticut</t>
  </si>
  <si>
    <t>1400000US09001110202</t>
  </si>
  <si>
    <t>Census Tract 1102.02, Fairfield County, Connecticut</t>
  </si>
  <si>
    <t>1400000US09001110301</t>
  </si>
  <si>
    <t>Census Tract 1103.01, Fairfield County, Connecticut</t>
  </si>
  <si>
    <t>1400000US09001110302</t>
  </si>
  <si>
    <t>Census Tract 1103.02, Fairfield County, Connecticut</t>
  </si>
  <si>
    <t>1400000US09001110400</t>
  </si>
  <si>
    <t>Census Tract 1104, Fairfield County, Connecticut</t>
  </si>
  <si>
    <t>1400000US09001110500</t>
  </si>
  <si>
    <t>Census Tract 1105, Fairfield County, Connecticut</t>
  </si>
  <si>
    <t>1400000US09001110600</t>
  </si>
  <si>
    <t>Census Tract 1106, Fairfield County, Connecticut</t>
  </si>
  <si>
    <t>1400000US09001200100</t>
  </si>
  <si>
    <t>Census Tract 2001, Fairfield County, Connecticut</t>
  </si>
  <si>
    <t>1400000US09001200200</t>
  </si>
  <si>
    <t>Census Tract 2002, Fairfield County, Connecticut</t>
  </si>
  <si>
    <t>1400000US09001200301</t>
  </si>
  <si>
    <t>Census Tract 2003.01, Fairfield County, Connecticut</t>
  </si>
  <si>
    <t>1400000US09001200302</t>
  </si>
  <si>
    <t>Census Tract 2003.02, Fairfield County, Connecticut</t>
  </si>
  <si>
    <t>1400000US09001205100</t>
  </si>
  <si>
    <t>Census Tract 2051, Fairfield County, Connecticut</t>
  </si>
  <si>
    <t>1400000US09001205200</t>
  </si>
  <si>
    <t>Census Tract 2052, Fairfield County, Connecticut</t>
  </si>
  <si>
    <t>1400000US09001205300</t>
  </si>
  <si>
    <t>Census Tract 2053, Fairfield County, Connecticut</t>
  </si>
  <si>
    <t>1400000US09001210100</t>
  </si>
  <si>
    <t>Census Tract 2101, Fairfield County, Connecticut</t>
  </si>
  <si>
    <t>1400000US09001210200</t>
  </si>
  <si>
    <t>Census Tract 2102, Fairfield County, Connecticut</t>
  </si>
  <si>
    <t>1400000US09001210300</t>
  </si>
  <si>
    <t>Census Tract 2103, Fairfield County, Connecticut</t>
  </si>
  <si>
    <t>1400000US09001210400</t>
  </si>
  <si>
    <t>Census Tract 2104, Fairfield County, Connecticut</t>
  </si>
  <si>
    <t>1400000US09001210500</t>
  </si>
  <si>
    <t>Census Tract 2105, Fairfield County, Connecticut</t>
  </si>
  <si>
    <t>1400000US09001210600</t>
  </si>
  <si>
    <t>Census Tract 2106, Fairfield County, Connecticut</t>
  </si>
  <si>
    <t>1400000US09001210701</t>
  </si>
  <si>
    <t>Census Tract 2107.01, Fairfield County, Connecticut</t>
  </si>
  <si>
    <t>1400000US09001210702</t>
  </si>
  <si>
    <t>Census Tract 2107.02, Fairfield County, Connecticut</t>
  </si>
  <si>
    <t>1400000US09001210800</t>
  </si>
  <si>
    <t>Census Tract 2108, Fairfield County, Connecticut</t>
  </si>
  <si>
    <t>1400000US09001210900</t>
  </si>
  <si>
    <t>Census Tract 2109, Fairfield County, Connecticut</t>
  </si>
  <si>
    <t>1400000US09001211000</t>
  </si>
  <si>
    <t>Census Tract 2110, Fairfield County, Connecticut</t>
  </si>
  <si>
    <t>1400000US09001211200</t>
  </si>
  <si>
    <t>Census Tract 2112, Fairfield County, Connecticut</t>
  </si>
  <si>
    <t>1400000US09001211300</t>
  </si>
  <si>
    <t>Census Tract 2113, Fairfield County, Connecticut</t>
  </si>
  <si>
    <t>1400000US09001211400</t>
  </si>
  <si>
    <t>Census Tract 2114, Fairfield County, Connecticut</t>
  </si>
  <si>
    <t>1400000US09001220100</t>
  </si>
  <si>
    <t>Census Tract 2201, Fairfield County, Connecticut</t>
  </si>
  <si>
    <t>1400000US09001220200</t>
  </si>
  <si>
    <t>Census Tract 2202, Fairfield County, Connecticut</t>
  </si>
  <si>
    <t>1400000US09001220300</t>
  </si>
  <si>
    <t>Census Tract 2203, Fairfield County, Connecticut</t>
  </si>
  <si>
    <t>1400000US09001230100</t>
  </si>
  <si>
    <t>Census Tract 2301, Fairfield County, Connecticut</t>
  </si>
  <si>
    <t>1400000US09001230200</t>
  </si>
  <si>
    <t>Census Tract 2302, Fairfield County, Connecticut</t>
  </si>
  <si>
    <t>1400000US09001230300</t>
  </si>
  <si>
    <t>Census Tract 2303, Fairfield County, Connecticut</t>
  </si>
  <si>
    <t>1400000US09001230400</t>
  </si>
  <si>
    <t>Census Tract 2304, Fairfield County, Connecticut</t>
  </si>
  <si>
    <t>1400000US09001230501</t>
  </si>
  <si>
    <t>Census Tract 2305.01, Fairfield County, Connecticut</t>
  </si>
  <si>
    <t>1400000US09001230502</t>
  </si>
  <si>
    <t>Census Tract 2305.02, Fairfield County, Connecticut</t>
  </si>
  <si>
    <t>1400000US09001240100</t>
  </si>
  <si>
    <t>Census Tract 2401, Fairfield County, Connecticut</t>
  </si>
  <si>
    <t>1400000US09001240200</t>
  </si>
  <si>
    <t>Census Tract 2402, Fairfield County, Connecticut</t>
  </si>
  <si>
    <t>1400000US09001245100</t>
  </si>
  <si>
    <t>Census Tract 2451, Fairfield County, Connecticut</t>
  </si>
  <si>
    <t>1400000US09001245200</t>
  </si>
  <si>
    <t>Census Tract 2452, Fairfield County, Connecticut</t>
  </si>
  <si>
    <t>1400000US09001245300</t>
  </si>
  <si>
    <t>Census Tract 2453, Fairfield County, Connecticut</t>
  </si>
  <si>
    <t>1400000US09001245400</t>
  </si>
  <si>
    <t>Census Tract 2454, Fairfield County, Connecticut</t>
  </si>
  <si>
    <t>1400000US09001245500</t>
  </si>
  <si>
    <t>Census Tract 2455, Fairfield County, Connecticut</t>
  </si>
  <si>
    <t>1400000US09001245600</t>
  </si>
  <si>
    <t>Census Tract 2456, Fairfield County, Connecticut</t>
  </si>
  <si>
    <t>1400000US09001257100</t>
  </si>
  <si>
    <t>Census Tract 2571, Fairfield County, Connecticut</t>
  </si>
  <si>
    <t>1400000US09001257200</t>
  </si>
  <si>
    <t>Census Tract 2572, Fairfield County, Connecticut</t>
  </si>
  <si>
    <t>1400000US09003330100</t>
  </si>
  <si>
    <t>Census Tract 3301, Hartford County, Connecticut</t>
  </si>
  <si>
    <t>1400000US09003400100</t>
  </si>
  <si>
    <t>Census Tract 4001, Hartford County, Connecticut</t>
  </si>
  <si>
    <t>1400000US09003400200</t>
  </si>
  <si>
    <t>Census Tract 4002, Hartford County, Connecticut</t>
  </si>
  <si>
    <t>1400000US09003400300</t>
  </si>
  <si>
    <t>Census Tract 4003, Hartford County, Connecticut</t>
  </si>
  <si>
    <t>1400000US09003405100</t>
  </si>
  <si>
    <t>Census Tract 4051, Hartford County, Connecticut</t>
  </si>
  <si>
    <t>1400000US09003405200</t>
  </si>
  <si>
    <t>Census Tract 4052, Hartford County, Connecticut</t>
  </si>
  <si>
    <t>1400000US09003405300</t>
  </si>
  <si>
    <t>Census Tract 4053, Hartford County, Connecticut</t>
  </si>
  <si>
    <t>1400000US09003405401</t>
  </si>
  <si>
    <t>Census Tract 4054.01, Hartford County, Connecticut</t>
  </si>
  <si>
    <t>1400000US09003405402</t>
  </si>
  <si>
    <t>Census Tract 4054.02, Hartford County, Connecticut</t>
  </si>
  <si>
    <t>1400000US09003405500</t>
  </si>
  <si>
    <t>Census Tract 4055, Hartford County, Connecticut</t>
  </si>
  <si>
    <t>1400000US09003405600</t>
  </si>
  <si>
    <t>Census Tract 4056, Hartford County, Connecticut</t>
  </si>
  <si>
    <t>1400000US09003405700</t>
  </si>
  <si>
    <t>Census Tract 4057, Hartford County, Connecticut</t>
  </si>
  <si>
    <t>1400000US09003405800</t>
  </si>
  <si>
    <t>Census Tract 4058, Hartford County, Connecticut</t>
  </si>
  <si>
    <t>1400000US09003405900</t>
  </si>
  <si>
    <t>Census Tract 4059, Hartford County, Connecticut</t>
  </si>
  <si>
    <t>1400000US09003406001</t>
  </si>
  <si>
    <t>Census Tract 4060.01, Hartford County, Connecticut</t>
  </si>
  <si>
    <t>1400000US09003406002</t>
  </si>
  <si>
    <t>Census Tract 4060.02, Hartford County, Connecticut</t>
  </si>
  <si>
    <t>1400000US09003406100</t>
  </si>
  <si>
    <t>Census Tract 4061, Hartford County, Connecticut</t>
  </si>
  <si>
    <t>1400000US09003410101</t>
  </si>
  <si>
    <t>Census Tract 4101.01, Hartford County, Connecticut</t>
  </si>
  <si>
    <t>1400000US09003410102</t>
  </si>
  <si>
    <t>Census Tract 4101.02, Hartford County, Connecticut</t>
  </si>
  <si>
    <t>1400000US09003415300</t>
  </si>
  <si>
    <t>Census Tract 4153, Hartford County, Connecticut</t>
  </si>
  <si>
    <t>1400000US09003415400</t>
  </si>
  <si>
    <t>Census Tract 4154, Hartford County, Connecticut</t>
  </si>
  <si>
    <t>1400000US09003415500</t>
  </si>
  <si>
    <t>Census Tract 4155, Hartford County, Connecticut</t>
  </si>
  <si>
    <t>1400000US09003415600</t>
  </si>
  <si>
    <t>Census Tract 4156, Hartford County, Connecticut</t>
  </si>
  <si>
    <t>1400000US09003415700</t>
  </si>
  <si>
    <t>Census Tract 4157, Hartford County, Connecticut</t>
  </si>
  <si>
    <t>1400000US09003415800</t>
  </si>
  <si>
    <t>Census Tract 4158, Hartford County, Connecticut</t>
  </si>
  <si>
    <t>1400000US09003415900</t>
  </si>
  <si>
    <t>Census Tract 4159, Hartford County, Connecticut</t>
  </si>
  <si>
    <t>1400000US09003416000</t>
  </si>
  <si>
    <t>Census Tract 4160, Hartford County, Connecticut</t>
  </si>
  <si>
    <t>1400000US09003416100</t>
  </si>
  <si>
    <t>Census Tract 4161, Hartford County, Connecticut</t>
  </si>
  <si>
    <t>1400000US09003416200</t>
  </si>
  <si>
    <t>Census Tract 4162, Hartford County, Connecticut</t>
  </si>
  <si>
    <t>1400000US09003416300</t>
  </si>
  <si>
    <t>Census Tract 4163, Hartford County, Connecticut</t>
  </si>
  <si>
    <t>1400000US09003416400</t>
  </si>
  <si>
    <t>Census Tract 4164, Hartford County, Connecticut</t>
  </si>
  <si>
    <t>1400000US09003416500</t>
  </si>
  <si>
    <t>Census Tract 4165, Hartford County, Connecticut</t>
  </si>
  <si>
    <t>1400000US09003416600</t>
  </si>
  <si>
    <t>Census Tract 4166, Hartford County, Connecticut</t>
  </si>
  <si>
    <t>1400000US09003416700</t>
  </si>
  <si>
    <t>Census Tract 4167, Hartford County, Connecticut</t>
  </si>
  <si>
    <t>1400000US09003416800</t>
  </si>
  <si>
    <t>Census Tract 4168, Hartford County, Connecticut</t>
  </si>
  <si>
    <t>1400000US09003417100</t>
  </si>
  <si>
    <t>Census Tract 4171, Hartford County, Connecticut</t>
  </si>
  <si>
    <t>1400000US09003417200</t>
  </si>
  <si>
    <t>Census Tract 4172, Hartford County, Connecticut</t>
  </si>
  <si>
    <t>1400000US09003417400</t>
  </si>
  <si>
    <t>Census Tract 4174, Hartford County, Connecticut</t>
  </si>
  <si>
    <t>1400000US09003417500</t>
  </si>
  <si>
    <t>Census Tract 4175, Hartford County, Connecticut</t>
  </si>
  <si>
    <t>1400000US09003420400</t>
  </si>
  <si>
    <t>Census Tract 4204, Hartford County, Connecticut</t>
  </si>
  <si>
    <t>1400000US09003420500</t>
  </si>
  <si>
    <t>Census Tract 4205, Hartford County, Connecticut</t>
  </si>
  <si>
    <t>1400000US09003420600</t>
  </si>
  <si>
    <t>Census Tract 4206, Hartford County, Connecticut</t>
  </si>
  <si>
    <t>1400000US09003420700</t>
  </si>
  <si>
    <t>Census Tract 4207, Hartford County, Connecticut</t>
  </si>
  <si>
    <t>1400000US09003430100</t>
  </si>
  <si>
    <t>Census Tract 4301, Hartford County, Connecticut</t>
  </si>
  <si>
    <t>1400000US09003430201</t>
  </si>
  <si>
    <t>Census Tract 4302.01, Hartford County, Connecticut</t>
  </si>
  <si>
    <t>1400000US09003430202</t>
  </si>
  <si>
    <t>Census Tract 4302.02, Hartford County, Connecticut</t>
  </si>
  <si>
    <t>1400000US09003430203</t>
  </si>
  <si>
    <t>Census Tract 4302.03, Hartford County, Connecticut</t>
  </si>
  <si>
    <t>1400000US09003430301</t>
  </si>
  <si>
    <t>Census Tract 4303.01, Hartford County, Connecticut</t>
  </si>
  <si>
    <t>1400000US09003430302</t>
  </si>
  <si>
    <t>Census Tract 4303.02, Hartford County, Connecticut</t>
  </si>
  <si>
    <t>1400000US09003430400</t>
  </si>
  <si>
    <t>Census Tract 4304, Hartford County, Connecticut</t>
  </si>
  <si>
    <t>1400000US09003430500</t>
  </si>
  <si>
    <t>Census Tract 4305, Hartford County, Connecticut</t>
  </si>
  <si>
    <t>1400000US09003430601</t>
  </si>
  <si>
    <t>Census Tract 4306.01, Hartford County, Connecticut</t>
  </si>
  <si>
    <t>1400000US09003430602</t>
  </si>
  <si>
    <t>Census Tract 4306.02, Hartford County, Connecticut</t>
  </si>
  <si>
    <t>1400000US09003460100</t>
  </si>
  <si>
    <t>Census Tract 4601, Hartford County, Connecticut</t>
  </si>
  <si>
    <t>1400000US09003460202</t>
  </si>
  <si>
    <t>Census Tract 4602.02, Hartford County, Connecticut</t>
  </si>
  <si>
    <t>1400000US09003460203</t>
  </si>
  <si>
    <t>Census Tract 4602.03, Hartford County, Connecticut</t>
  </si>
  <si>
    <t>1400000US09003460204</t>
  </si>
  <si>
    <t>Census Tract 4602.04, Hartford County, Connecticut</t>
  </si>
  <si>
    <t>1400000US09003460301</t>
  </si>
  <si>
    <t>Census Tract 4603.01, Hartford County, Connecticut</t>
  </si>
  <si>
    <t>1400000US09003460302</t>
  </si>
  <si>
    <t>Census Tract 4603.02, Hartford County, Connecticut</t>
  </si>
  <si>
    <t>1400000US09003462101</t>
  </si>
  <si>
    <t>Census Tract 4621.01, Hartford County, Connecticut</t>
  </si>
  <si>
    <t>1400000US09003462102</t>
  </si>
  <si>
    <t>Census Tract 4621.02, Hartford County, Connecticut</t>
  </si>
  <si>
    <t>1400000US09003462201</t>
  </si>
  <si>
    <t>Census Tract 4622.01, Hartford County, Connecticut</t>
  </si>
  <si>
    <t>1400000US09003462202</t>
  </si>
  <si>
    <t>Census Tract 4622.02, Hartford County, Connecticut</t>
  </si>
  <si>
    <t>1400000US09003464101</t>
  </si>
  <si>
    <t>Census Tract 4641.01, Hartford County, Connecticut</t>
  </si>
  <si>
    <t>1400000US09003464102</t>
  </si>
  <si>
    <t>Census Tract 4641.02, Hartford County, Connecticut</t>
  </si>
  <si>
    <t>1400000US09003466101</t>
  </si>
  <si>
    <t>Census Tract 4661.01, Hartford County, Connecticut</t>
  </si>
  <si>
    <t>1400000US09003466102</t>
  </si>
  <si>
    <t>Census Tract 4661.02, Hartford County, Connecticut</t>
  </si>
  <si>
    <t>1400000US09003466201</t>
  </si>
  <si>
    <t>Census Tract 4662.01, Hartford County, Connecticut</t>
  </si>
  <si>
    <t>1400000US09003466202</t>
  </si>
  <si>
    <t>Census Tract 4662.02, Hartford County, Connecticut</t>
  </si>
  <si>
    <t>1400000US09003466300</t>
  </si>
  <si>
    <t>Census Tract 4663, Hartford County, Connecticut</t>
  </si>
  <si>
    <t>1400000US09003466400</t>
  </si>
  <si>
    <t>Census Tract 4664, Hartford County, Connecticut</t>
  </si>
  <si>
    <t>1400000US09003468101</t>
  </si>
  <si>
    <t>Census Tract 4681.01, Hartford County, Connecticut</t>
  </si>
  <si>
    <t>1400000US09003468102</t>
  </si>
  <si>
    <t>Census Tract 4681.02, Hartford County, Connecticut</t>
  </si>
  <si>
    <t>1400000US09003470100</t>
  </si>
  <si>
    <t>Census Tract 4701, Hartford County, Connecticut</t>
  </si>
  <si>
    <t>1400000US09003471100</t>
  </si>
  <si>
    <t>Census Tract 4711, Hartford County, Connecticut</t>
  </si>
  <si>
    <t>1400000US09003471200</t>
  </si>
  <si>
    <t>Census Tract 4712, Hartford County, Connecticut</t>
  </si>
  <si>
    <t>1400000US09003471300</t>
  </si>
  <si>
    <t>Census Tract 4713, Hartford County, Connecticut</t>
  </si>
  <si>
    <t>1400000US09003471400</t>
  </si>
  <si>
    <t>Census Tract 4714, Hartford County, Connecticut</t>
  </si>
  <si>
    <t>1400000US09003471500</t>
  </si>
  <si>
    <t>Census Tract 4715, Hartford County, Connecticut</t>
  </si>
  <si>
    <t>1400000US09003473100</t>
  </si>
  <si>
    <t>Census Tract 4731, Hartford County, Connecticut</t>
  </si>
  <si>
    <t>1400000US09003473400</t>
  </si>
  <si>
    <t>Census Tract 4734, Hartford County, Connecticut</t>
  </si>
  <si>
    <t>1400000US09003473501</t>
  </si>
  <si>
    <t>Census Tract 4735.01, Hartford County, Connecticut</t>
  </si>
  <si>
    <t>1400000US09003473502</t>
  </si>
  <si>
    <t>Census Tract 4735.02, Hartford County, Connecticut</t>
  </si>
  <si>
    <t>1400000US09003473601</t>
  </si>
  <si>
    <t>Census Tract 4736.01, Hartford County, Connecticut</t>
  </si>
  <si>
    <t>1400000US09003473602</t>
  </si>
  <si>
    <t>Census Tract 4736.02, Hartford County, Connecticut</t>
  </si>
  <si>
    <t>1400000US09003473700</t>
  </si>
  <si>
    <t>Census Tract 4737, Hartford County, Connecticut</t>
  </si>
  <si>
    <t>1400000US09003473800</t>
  </si>
  <si>
    <t>Census Tract 4738, Hartford County, Connecticut</t>
  </si>
  <si>
    <t>1400000US09003476100</t>
  </si>
  <si>
    <t>Census Tract 4761, Hartford County, Connecticut</t>
  </si>
  <si>
    <t>1400000US09003476200</t>
  </si>
  <si>
    <t>Census Tract 4762, Hartford County, Connecticut</t>
  </si>
  <si>
    <t>1400000US09003476300</t>
  </si>
  <si>
    <t>Census Tract 4763, Hartford County, Connecticut</t>
  </si>
  <si>
    <t>1400000US09003477101</t>
  </si>
  <si>
    <t>Census Tract 4771.01, Hartford County, Connecticut</t>
  </si>
  <si>
    <t>1400000US09003477102</t>
  </si>
  <si>
    <t>Census Tract 4771.02, Hartford County, Connecticut</t>
  </si>
  <si>
    <t>1400000US09003477200</t>
  </si>
  <si>
    <t>Census Tract 4772, Hartford County, Connecticut</t>
  </si>
  <si>
    <t>1400000US09003480300</t>
  </si>
  <si>
    <t>Census Tract 4803, Hartford County, Connecticut</t>
  </si>
  <si>
    <t>1400000US09003480400</t>
  </si>
  <si>
    <t>Census Tract 4804, Hartford County, Connecticut</t>
  </si>
  <si>
    <t>1400000US09003480500</t>
  </si>
  <si>
    <t>Census Tract 4805, Hartford County, Connecticut</t>
  </si>
  <si>
    <t>1400000US09003480600</t>
  </si>
  <si>
    <t>Census Tract 4806, Hartford County, Connecticut</t>
  </si>
  <si>
    <t>1400000US09003480700</t>
  </si>
  <si>
    <t>Census Tract 4807, Hartford County, Connecticut</t>
  </si>
  <si>
    <t>1400000US09003480800</t>
  </si>
  <si>
    <t>Census Tract 4808, Hartford County, Connecticut</t>
  </si>
  <si>
    <t>1400000US09003480900</t>
  </si>
  <si>
    <t>Census Tract 4809, Hartford County, Connecticut</t>
  </si>
  <si>
    <t>1400000US09003481000</t>
  </si>
  <si>
    <t>Census Tract 4810, Hartford County, Connecticut</t>
  </si>
  <si>
    <t>1400000US09003481100</t>
  </si>
  <si>
    <t>Census Tract 4811, Hartford County, Connecticut</t>
  </si>
  <si>
    <t>1400000US09003481200</t>
  </si>
  <si>
    <t>Census Tract 4812, Hartford County, Connecticut</t>
  </si>
  <si>
    <t>1400000US09003481300</t>
  </si>
  <si>
    <t>Census Tract 4813, Hartford County, Connecticut</t>
  </si>
  <si>
    <t>1400000US09003484100</t>
  </si>
  <si>
    <t>Census Tract 4841, Hartford County, Connecticut</t>
  </si>
  <si>
    <t>1400000US09003484200</t>
  </si>
  <si>
    <t>Census Tract 4842, Hartford County, Connecticut</t>
  </si>
  <si>
    <t>1400000US09003487100</t>
  </si>
  <si>
    <t>Census Tract 4871, Hartford County, Connecticut</t>
  </si>
  <si>
    <t>1400000US09003487201</t>
  </si>
  <si>
    <t>Census Tract 4872.01, Hartford County, Connecticut</t>
  </si>
  <si>
    <t>1400000US09003487202</t>
  </si>
  <si>
    <t>Census Tract 4872.02, Hartford County, Connecticut</t>
  </si>
  <si>
    <t>1400000US09003487300</t>
  </si>
  <si>
    <t>Census Tract 4873, Hartford County, Connecticut</t>
  </si>
  <si>
    <t>1400000US09003487400</t>
  </si>
  <si>
    <t>Census Tract 4874, Hartford County, Connecticut</t>
  </si>
  <si>
    <t>1400000US09003487500</t>
  </si>
  <si>
    <t>Census Tract 4875, Hartford County, Connecticut</t>
  </si>
  <si>
    <t>1400000US09003490100</t>
  </si>
  <si>
    <t>Census Tract 4901, Hartford County, Connecticut</t>
  </si>
  <si>
    <t>1400000US09003490302</t>
  </si>
  <si>
    <t>Census Tract 4903.02, Hartford County, Connecticut</t>
  </si>
  <si>
    <t>1400000US09003492100</t>
  </si>
  <si>
    <t>Census Tract 4921, Hartford County, Connecticut</t>
  </si>
  <si>
    <t>1400000US09003492200</t>
  </si>
  <si>
    <t>Census Tract 4922, Hartford County, Connecticut</t>
  </si>
  <si>
    <t>1400000US09003492300</t>
  </si>
  <si>
    <t>Census Tract 4923, Hartford County, Connecticut</t>
  </si>
  <si>
    <t>1400000US09003492400</t>
  </si>
  <si>
    <t>Census Tract 4924, Hartford County, Connecticut</t>
  </si>
  <si>
    <t>1400000US09003492500</t>
  </si>
  <si>
    <t>Census Tract 4925, Hartford County, Connecticut</t>
  </si>
  <si>
    <t>1400000US09003492600</t>
  </si>
  <si>
    <t>Census Tract 4926, Hartford County, Connecticut</t>
  </si>
  <si>
    <t>1400000US09003494100</t>
  </si>
  <si>
    <t>Census Tract 4941, Hartford County, Connecticut</t>
  </si>
  <si>
    <t>1400000US09003494201</t>
  </si>
  <si>
    <t>Census Tract 4942.01, Hartford County, Connecticut</t>
  </si>
  <si>
    <t>1400000US09003494202</t>
  </si>
  <si>
    <t>Census Tract 4942.02, Hartford County, Connecticut</t>
  </si>
  <si>
    <t>1400000US09003494300</t>
  </si>
  <si>
    <t>Census Tract 4943, Hartford County, Connecticut</t>
  </si>
  <si>
    <t>1400000US09003494400</t>
  </si>
  <si>
    <t>Census Tract 4944, Hartford County, Connecticut</t>
  </si>
  <si>
    <t>1400000US09003494500</t>
  </si>
  <si>
    <t>Census Tract 4945, Hartford County, Connecticut</t>
  </si>
  <si>
    <t>1400000US09003494600</t>
  </si>
  <si>
    <t>Census Tract 4946, Hartford County, Connecticut</t>
  </si>
  <si>
    <t>1400000US09003496100</t>
  </si>
  <si>
    <t>Census Tract 4961, Hartford County, Connecticut</t>
  </si>
  <si>
    <t>1400000US09003496200</t>
  </si>
  <si>
    <t>Census Tract 4962, Hartford County, Connecticut</t>
  </si>
  <si>
    <t>1400000US09003496300</t>
  </si>
  <si>
    <t>Census Tract 4963, Hartford County, Connecticut</t>
  </si>
  <si>
    <t>1400000US09003496400</t>
  </si>
  <si>
    <t>Census Tract 4964, Hartford County, Connecticut</t>
  </si>
  <si>
    <t>1400000US09003496500</t>
  </si>
  <si>
    <t>Census Tract 4965, Hartford County, Connecticut</t>
  </si>
  <si>
    <t>1400000US09003496600</t>
  </si>
  <si>
    <t>Census Tract 4966, Hartford County, Connecticut</t>
  </si>
  <si>
    <t>1400000US09003496700</t>
  </si>
  <si>
    <t>Census Tract 4967, Hartford County, Connecticut</t>
  </si>
  <si>
    <t>1400000US09003496800</t>
  </si>
  <si>
    <t>Census Tract 4968, Hartford County, Connecticut</t>
  </si>
  <si>
    <t>1400000US09003496900</t>
  </si>
  <si>
    <t>Census Tract 4969, Hartford County, Connecticut</t>
  </si>
  <si>
    <t>1400000US09003497000</t>
  </si>
  <si>
    <t>Census Tract 4970, Hartford County, Connecticut</t>
  </si>
  <si>
    <t>1400000US09003497100</t>
  </si>
  <si>
    <t>Census Tract 4971, Hartford County, Connecticut</t>
  </si>
  <si>
    <t>1400000US09003497200</t>
  </si>
  <si>
    <t>Census Tract 4972, Hartford County, Connecticut</t>
  </si>
  <si>
    <t>1400000US09003497300</t>
  </si>
  <si>
    <t>Census Tract 4973, Hartford County, Connecticut</t>
  </si>
  <si>
    <t>1400000US09003497400</t>
  </si>
  <si>
    <t>Census Tract 4974, Hartford County, Connecticut</t>
  </si>
  <si>
    <t>1400000US09003497500</t>
  </si>
  <si>
    <t>Census Tract 4975, Hartford County, Connecticut</t>
  </si>
  <si>
    <t>1400000US09003497600</t>
  </si>
  <si>
    <t>Census Tract 4976, Hartford County, Connecticut</t>
  </si>
  <si>
    <t>1400000US09003497700</t>
  </si>
  <si>
    <t>Census Tract 4977, Hartford County, Connecticut</t>
  </si>
  <si>
    <t>1400000US09003500100</t>
  </si>
  <si>
    <t>Census Tract 5001, Hartford County, Connecticut</t>
  </si>
  <si>
    <t>1400000US09003500200</t>
  </si>
  <si>
    <t>Census Tract 5002, Hartford County, Connecticut</t>
  </si>
  <si>
    <t>1400000US09003500300</t>
  </si>
  <si>
    <t>Census Tract 5003, Hartford County, Connecticut</t>
  </si>
  <si>
    <t>1400000US09003500400</t>
  </si>
  <si>
    <t>Census Tract 5004, Hartford County, Connecticut</t>
  </si>
  <si>
    <t>1400000US09003500500</t>
  </si>
  <si>
    <t>Census Tract 5005, Hartford County, Connecticut</t>
  </si>
  <si>
    <t>1400000US09003500900</t>
  </si>
  <si>
    <t>Census Tract 5009, Hartford County, Connecticut</t>
  </si>
  <si>
    <t>1400000US09003501200</t>
  </si>
  <si>
    <t>Census Tract 5012, Hartford County, Connecticut</t>
  </si>
  <si>
    <t>1400000US09003501300</t>
  </si>
  <si>
    <t>Census Tract 5013, Hartford County, Connecticut</t>
  </si>
  <si>
    <t>1400000US09003501400</t>
  </si>
  <si>
    <t>Census Tract 5014, Hartford County, Connecticut</t>
  </si>
  <si>
    <t>1400000US09003501500</t>
  </si>
  <si>
    <t>Census Tract 5015, Hartford County, Connecticut</t>
  </si>
  <si>
    <t>1400000US09003501700</t>
  </si>
  <si>
    <t>Census Tract 5017, Hartford County, Connecticut</t>
  </si>
  <si>
    <t>1400000US09003501800</t>
  </si>
  <si>
    <t>Census Tract 5018, Hartford County, Connecticut</t>
  </si>
  <si>
    <t>1400000US09003502100</t>
  </si>
  <si>
    <t>Census Tract 5021, Hartford County, Connecticut</t>
  </si>
  <si>
    <t>1400000US09003502300</t>
  </si>
  <si>
    <t>Census Tract 5023, Hartford County, Connecticut</t>
  </si>
  <si>
    <t>1400000US09003502400</t>
  </si>
  <si>
    <t>Census Tract 5024, Hartford County, Connecticut</t>
  </si>
  <si>
    <t>1400000US09003502500</t>
  </si>
  <si>
    <t>Census Tract 5025, Hartford County, Connecticut</t>
  </si>
  <si>
    <t>1400000US09003502600</t>
  </si>
  <si>
    <t>Census Tract 5026, Hartford County, Connecticut</t>
  </si>
  <si>
    <t>1400000US09003502700</t>
  </si>
  <si>
    <t>Census Tract 5027, Hartford County, Connecticut</t>
  </si>
  <si>
    <t>1400000US09003502800</t>
  </si>
  <si>
    <t>Census Tract 5028, Hartford County, Connecticut</t>
  </si>
  <si>
    <t>1400000US09003502900</t>
  </si>
  <si>
    <t>Census Tract 5029, Hartford County, Connecticut</t>
  </si>
  <si>
    <t>1400000US09003503000</t>
  </si>
  <si>
    <t>Census Tract 5030, Hartford County, Connecticut</t>
  </si>
  <si>
    <t>1400000US09003503100</t>
  </si>
  <si>
    <t>Census Tract 5031, Hartford County, Connecticut</t>
  </si>
  <si>
    <t>1400000US09003503300</t>
  </si>
  <si>
    <t>Census Tract 5033, Hartford County, Connecticut</t>
  </si>
  <si>
    <t>1400000US09003503500</t>
  </si>
  <si>
    <t>Census Tract 5035, Hartford County, Connecticut</t>
  </si>
  <si>
    <t>1400000US09003503700</t>
  </si>
  <si>
    <t>Census Tract 5037, Hartford County, Connecticut</t>
  </si>
  <si>
    <t>1400000US09003503800</t>
  </si>
  <si>
    <t>Census Tract 5038, Hartford County, Connecticut</t>
  </si>
  <si>
    <t>1400000US09003503900</t>
  </si>
  <si>
    <t>Census Tract 5039, Hartford County, Connecticut</t>
  </si>
  <si>
    <t>1400000US09003504000</t>
  </si>
  <si>
    <t>Census Tract 5040, Hartford County, Connecticut</t>
  </si>
  <si>
    <t>1400000US09003504100</t>
  </si>
  <si>
    <t>Census Tract 5041, Hartford County, Connecticut</t>
  </si>
  <si>
    <t>1400000US09003504200</t>
  </si>
  <si>
    <t>Census Tract 5042, Hartford County, Connecticut</t>
  </si>
  <si>
    <t>1400000US09003504300</t>
  </si>
  <si>
    <t>Census Tract 5043, Hartford County, Connecticut</t>
  </si>
  <si>
    <t>1400000US09003504500</t>
  </si>
  <si>
    <t>Census Tract 5045, Hartford County, Connecticut</t>
  </si>
  <si>
    <t>1400000US09003504800</t>
  </si>
  <si>
    <t>Census Tract 5048, Hartford County, Connecticut</t>
  </si>
  <si>
    <t>1400000US09003504900</t>
  </si>
  <si>
    <t>Census Tract 5049, Hartford County, Connecticut</t>
  </si>
  <si>
    <t>1400000US09003510100</t>
  </si>
  <si>
    <t>Census Tract 5101, Hartford County, Connecticut</t>
  </si>
  <si>
    <t>1400000US09003510200</t>
  </si>
  <si>
    <t>Census Tract 5102, Hartford County, Connecticut</t>
  </si>
  <si>
    <t>1400000US09003510300</t>
  </si>
  <si>
    <t>Census Tract 5103, Hartford County, Connecticut</t>
  </si>
  <si>
    <t>1400000US09003510400</t>
  </si>
  <si>
    <t>Census Tract 5104, Hartford County, Connecticut</t>
  </si>
  <si>
    <t>1400000US09003510500</t>
  </si>
  <si>
    <t>Census Tract 5105, Hartford County, Connecticut</t>
  </si>
  <si>
    <t>1400000US09003510600</t>
  </si>
  <si>
    <t>Census Tract 5106, Hartford County, Connecticut</t>
  </si>
  <si>
    <t>1400000US09003510700</t>
  </si>
  <si>
    <t>Census Tract 5107, Hartford County, Connecticut</t>
  </si>
  <si>
    <t>1400000US09003510800</t>
  </si>
  <si>
    <t>Census Tract 5108, Hartford County, Connecticut</t>
  </si>
  <si>
    <t>1400000US09003510900</t>
  </si>
  <si>
    <t>Census Tract 5109, Hartford County, Connecticut</t>
  </si>
  <si>
    <t>1400000US09003511000</t>
  </si>
  <si>
    <t>Census Tract 5110, Hartford County, Connecticut</t>
  </si>
  <si>
    <t>1400000US09003511100</t>
  </si>
  <si>
    <t>Census Tract 5111, Hartford County, Connecticut</t>
  </si>
  <si>
    <t>1400000US09003511200</t>
  </si>
  <si>
    <t>Census Tract 5112, Hartford County, Connecticut</t>
  </si>
  <si>
    <t>1400000US09003511300</t>
  </si>
  <si>
    <t>Census Tract 5113, Hartford County, Connecticut</t>
  </si>
  <si>
    <t>1400000US09003511400</t>
  </si>
  <si>
    <t>Census Tract 5114, Hartford County, Connecticut</t>
  </si>
  <si>
    <t>1400000US09003514101</t>
  </si>
  <si>
    <t>Census Tract 5141.01, Hartford County, Connecticut</t>
  </si>
  <si>
    <t>1400000US09003514102</t>
  </si>
  <si>
    <t>Census Tract 5141.02, Hartford County, Connecticut</t>
  </si>
  <si>
    <t>1400000US09003514200</t>
  </si>
  <si>
    <t>Census Tract 5142, Hartford County, Connecticut</t>
  </si>
  <si>
    <t>1400000US09003514300</t>
  </si>
  <si>
    <t>Census Tract 5143, Hartford County, Connecticut</t>
  </si>
  <si>
    <t>1400000US09003514400</t>
  </si>
  <si>
    <t>Census Tract 5144, Hartford County, Connecticut</t>
  </si>
  <si>
    <t>1400000US09003514500</t>
  </si>
  <si>
    <t>Census Tract 5145, Hartford County, Connecticut</t>
  </si>
  <si>
    <t>1400000US09003514600</t>
  </si>
  <si>
    <t>Census Tract 5146, Hartford County, Connecticut</t>
  </si>
  <si>
    <t>1400000US09003514700</t>
  </si>
  <si>
    <t>Census Tract 5147, Hartford County, Connecticut</t>
  </si>
  <si>
    <t>1400000US09003514800</t>
  </si>
  <si>
    <t>Census Tract 5148, Hartford County, Connecticut</t>
  </si>
  <si>
    <t>1400000US09003514900</t>
  </si>
  <si>
    <t>Census Tract 5149, Hartford County, Connecticut</t>
  </si>
  <si>
    <t>1400000US09003515000</t>
  </si>
  <si>
    <t>Census Tract 5150, Hartford County, Connecticut</t>
  </si>
  <si>
    <t>1400000US09003515101</t>
  </si>
  <si>
    <t>Census Tract 5151.01, Hartford County, Connecticut</t>
  </si>
  <si>
    <t>1400000US09003515102</t>
  </si>
  <si>
    <t>Census Tract 5151.02, Hartford County, Connecticut</t>
  </si>
  <si>
    <t>1400000US09003515200</t>
  </si>
  <si>
    <t>Census Tract 5152, Hartford County, Connecticut</t>
  </si>
  <si>
    <t>1400000US09003520100</t>
  </si>
  <si>
    <t>Census Tract 5201, Hartford County, Connecticut</t>
  </si>
  <si>
    <t>1400000US09003520201</t>
  </si>
  <si>
    <t>Census Tract 5202.01, Hartford County, Connecticut</t>
  </si>
  <si>
    <t>1400000US09003520202</t>
  </si>
  <si>
    <t>Census Tract 5202.02, Hartford County, Connecticut</t>
  </si>
  <si>
    <t>1400000US09003520301</t>
  </si>
  <si>
    <t>Census Tract 5203.01, Hartford County, Connecticut</t>
  </si>
  <si>
    <t>1400000US09003520302</t>
  </si>
  <si>
    <t>Census Tract 5203.02, Hartford County, Connecticut</t>
  </si>
  <si>
    <t>1400000US09003520400</t>
  </si>
  <si>
    <t>Census Tract 5204, Hartford County, Connecticut</t>
  </si>
  <si>
    <t>1400000US09003520501</t>
  </si>
  <si>
    <t>Census Tract 5205.01, Hartford County, Connecticut</t>
  </si>
  <si>
    <t>1400000US09003524100</t>
  </si>
  <si>
    <t>Census Tract 5241, Hartford County, Connecticut</t>
  </si>
  <si>
    <t>1400000US09003524200</t>
  </si>
  <si>
    <t>Census Tract 5242, Hartford County, Connecticut</t>
  </si>
  <si>
    <t>1400000US09003524300</t>
  </si>
  <si>
    <t>Census Tract 5243, Hartford County, Connecticut</t>
  </si>
  <si>
    <t>1400000US09003524400</t>
  </si>
  <si>
    <t>Census Tract 5244, Hartford County, Connecticut</t>
  </si>
  <si>
    <t>1400000US09003524501</t>
  </si>
  <si>
    <t>Census Tract 5245.01, Hartford County, Connecticut</t>
  </si>
  <si>
    <t>1400000US09003524502</t>
  </si>
  <si>
    <t>Census Tract 5245.02, Hartford County, Connecticut</t>
  </si>
  <si>
    <t>1400000US09003524600</t>
  </si>
  <si>
    <t>Census Tract 5246, Hartford County, Connecticut</t>
  </si>
  <si>
    <t>1400000US09003524700</t>
  </si>
  <si>
    <t>Census Tract 5247, Hartford County, Connecticut</t>
  </si>
  <si>
    <t>1400000US09005250100</t>
  </si>
  <si>
    <t>Census Tract 2501, Litchfield County, Connecticut</t>
  </si>
  <si>
    <t>1400000US09005253100</t>
  </si>
  <si>
    <t>Census Tract 2531, Litchfield County, Connecticut</t>
  </si>
  <si>
    <t>1400000US09005253200</t>
  </si>
  <si>
    <t>Census Tract 2532, Litchfield County, Connecticut</t>
  </si>
  <si>
    <t>1400000US09005253300</t>
  </si>
  <si>
    <t>Census Tract 2533, Litchfield County, Connecticut</t>
  </si>
  <si>
    <t>1400000US09005253400</t>
  </si>
  <si>
    <t>Census Tract 2534, Litchfield County, Connecticut</t>
  </si>
  <si>
    <t>1400000US09005253500</t>
  </si>
  <si>
    <t>Census Tract 2535, Litchfield County, Connecticut</t>
  </si>
  <si>
    <t>1400000US09005253600</t>
  </si>
  <si>
    <t>Census Tract 2536, Litchfield County, Connecticut</t>
  </si>
  <si>
    <t>1400000US09005260200</t>
  </si>
  <si>
    <t>Census Tract 2602, Litchfield County, Connecticut</t>
  </si>
  <si>
    <t>1400000US09005261100</t>
  </si>
  <si>
    <t>Census Tract 2611, Litchfield County, Connecticut</t>
  </si>
  <si>
    <t>1400000US09005262100</t>
  </si>
  <si>
    <t>Census Tract 2621, Litchfield County, Connecticut</t>
  </si>
  <si>
    <t>1400000US09005263200</t>
  </si>
  <si>
    <t>Census Tract 2632, Litchfield County, Connecticut</t>
  </si>
  <si>
    <t>1400000US09005265100</t>
  </si>
  <si>
    <t>Census Tract 2651, Litchfield County, Connecticut</t>
  </si>
  <si>
    <t>1400000US09005266100</t>
  </si>
  <si>
    <t>Census Tract 2661, Litchfield County, Connecticut</t>
  </si>
  <si>
    <t>1400000US09005267100</t>
  </si>
  <si>
    <t>Census Tract 2671, Litchfield County, Connecticut</t>
  </si>
  <si>
    <t>1400000US09005268100</t>
  </si>
  <si>
    <t>Census Tract 2681, Litchfield County, Connecticut</t>
  </si>
  <si>
    <t>1400000US09005290100</t>
  </si>
  <si>
    <t>Census Tract 2901, Litchfield County, Connecticut</t>
  </si>
  <si>
    <t>1400000US09005293100</t>
  </si>
  <si>
    <t>Census Tract 2931, Litchfield County, Connecticut</t>
  </si>
  <si>
    <t>1400000US09005296100</t>
  </si>
  <si>
    <t>Census Tract 2961, Litchfield County, Connecticut</t>
  </si>
  <si>
    <t>1400000US09005298300</t>
  </si>
  <si>
    <t>Census Tract 2983, Litchfield County, Connecticut</t>
  </si>
  <si>
    <t>1400000US09005298400</t>
  </si>
  <si>
    <t>Census Tract 2984, Litchfield County, Connecticut</t>
  </si>
  <si>
    <t>1400000US09005300100</t>
  </si>
  <si>
    <t>Census Tract 3001, Litchfield County, Connecticut</t>
  </si>
  <si>
    <t>1400000US09005300400</t>
  </si>
  <si>
    <t>Census Tract 3004, Litchfield County, Connecticut</t>
  </si>
  <si>
    <t>1400000US09005300500</t>
  </si>
  <si>
    <t>Census Tract 3005, Litchfield County, Connecticut</t>
  </si>
  <si>
    <t>1400000US09005303100</t>
  </si>
  <si>
    <t>Census Tract 3031, Litchfield County, Connecticut</t>
  </si>
  <si>
    <t>1400000US09005306100</t>
  </si>
  <si>
    <t>Census Tract 3061, Litchfield County, Connecticut</t>
  </si>
  <si>
    <t>1400000US09005310100</t>
  </si>
  <si>
    <t>Census Tract 3101, Litchfield County, Connecticut</t>
  </si>
  <si>
    <t>1400000US09005310200</t>
  </si>
  <si>
    <t>Census Tract 3102, Litchfield County, Connecticut</t>
  </si>
  <si>
    <t>1400000US09005310300</t>
  </si>
  <si>
    <t>Census Tract 3103, Litchfield County, Connecticut</t>
  </si>
  <si>
    <t>1400000US09005310400</t>
  </si>
  <si>
    <t>Census Tract 3104, Litchfield County, Connecticut</t>
  </si>
  <si>
    <t>1400000US09005310500</t>
  </si>
  <si>
    <t>Census Tract 3105, Litchfield County, Connecticut</t>
  </si>
  <si>
    <t>1400000US09005310601</t>
  </si>
  <si>
    <t>Census Tract 3106.01, Litchfield County, Connecticut</t>
  </si>
  <si>
    <t>1400000US09005310602</t>
  </si>
  <si>
    <t>Census Tract 3106.02, Litchfield County, Connecticut</t>
  </si>
  <si>
    <t>1400000US09005310700</t>
  </si>
  <si>
    <t>Census Tract 3107, Litchfield County, Connecticut</t>
  </si>
  <si>
    <t>1400000US09005310801</t>
  </si>
  <si>
    <t>Census Tract 3108.01, Litchfield County, Connecticut</t>
  </si>
  <si>
    <t>1400000US09005310803</t>
  </si>
  <si>
    <t>Census Tract 3108.03, Litchfield County, Connecticut</t>
  </si>
  <si>
    <t>1400000US09005310804</t>
  </si>
  <si>
    <t>Census Tract 3108.04, Litchfield County, Connecticut</t>
  </si>
  <si>
    <t>1400000US09005320100</t>
  </si>
  <si>
    <t>Census Tract 3201, Litchfield County, Connecticut</t>
  </si>
  <si>
    <t>1400000US09005320200</t>
  </si>
  <si>
    <t>Census Tract 3202, Litchfield County, Connecticut</t>
  </si>
  <si>
    <t>1400000US09005342100</t>
  </si>
  <si>
    <t>Census Tract 3421, Litchfield County, Connecticut</t>
  </si>
  <si>
    <t>1400000US09005349100</t>
  </si>
  <si>
    <t>Census Tract 3491, Litchfield County, Connecticut</t>
  </si>
  <si>
    <t>1400000US09005349200</t>
  </si>
  <si>
    <t>Census Tract 3492, Litchfield County, Connecticut</t>
  </si>
  <si>
    <t>1400000US09005360100</t>
  </si>
  <si>
    <t>Census Tract 3601, Litchfield County, Connecticut</t>
  </si>
  <si>
    <t>1400000US09005360200</t>
  </si>
  <si>
    <t>Census Tract 3602, Litchfield County, Connecticut</t>
  </si>
  <si>
    <t>1400000US09005360300</t>
  </si>
  <si>
    <t>Census Tract 3603, Litchfield County, Connecticut</t>
  </si>
  <si>
    <t>1400000US09005360400</t>
  </si>
  <si>
    <t>Census Tract 3604, Litchfield County, Connecticut</t>
  </si>
  <si>
    <t>1400000US09005362101</t>
  </si>
  <si>
    <t>Census Tract 3621.01, Litchfield County, Connecticut</t>
  </si>
  <si>
    <t>1400000US09005362102</t>
  </si>
  <si>
    <t>Census Tract 3621.02, Litchfield County, Connecticut</t>
  </si>
  <si>
    <t>1400000US09005425300</t>
  </si>
  <si>
    <t>Census Tract 4253, Litchfield County, Connecticut</t>
  </si>
  <si>
    <t>1400000US09005425400</t>
  </si>
  <si>
    <t>Census Tract 4254, Litchfield County, Connecticut</t>
  </si>
  <si>
    <t>1400000US09005425500</t>
  </si>
  <si>
    <t>Census Tract 4255, Litchfield County, Connecticut</t>
  </si>
  <si>
    <t>1400000US09005425600</t>
  </si>
  <si>
    <t>Census Tract 4256, Litchfield County, Connecticut</t>
  </si>
  <si>
    <t>1400000US09007541100</t>
  </si>
  <si>
    <t>Census Tract 5411, Middlesex County, Connecticut</t>
  </si>
  <si>
    <t>1400000US09007541200</t>
  </si>
  <si>
    <t>Census Tract 5412, Middlesex County, Connecticut</t>
  </si>
  <si>
    <t>1400000US09007541300</t>
  </si>
  <si>
    <t>Census Tract 5413, Middlesex County, Connecticut</t>
  </si>
  <si>
    <t>1400000US09007541401</t>
  </si>
  <si>
    <t>Census Tract 5414.01, Middlesex County, Connecticut</t>
  </si>
  <si>
    <t>1400000US09007541402</t>
  </si>
  <si>
    <t>Census Tract 5414.02, Middlesex County, Connecticut</t>
  </si>
  <si>
    <t>1400000US09007541500</t>
  </si>
  <si>
    <t>Census Tract 5415, Middlesex County, Connecticut</t>
  </si>
  <si>
    <t>1400000US09007541600</t>
  </si>
  <si>
    <t>Census Tract 5416, Middlesex County, Connecticut</t>
  </si>
  <si>
    <t>1400000US09007541700</t>
  </si>
  <si>
    <t>Census Tract 5417, Middlesex County, Connecticut</t>
  </si>
  <si>
    <t>1400000US09007542000</t>
  </si>
  <si>
    <t>Census Tract 5420, Middlesex County, Connecticut</t>
  </si>
  <si>
    <t>1400000US09007542100</t>
  </si>
  <si>
    <t>Census Tract 5421, Middlesex County, Connecticut</t>
  </si>
  <si>
    <t>1400000US09007542200</t>
  </si>
  <si>
    <t>Census Tract 5422, Middlesex County, Connecticut</t>
  </si>
  <si>
    <t>1400000US09007550100</t>
  </si>
  <si>
    <t>Census Tract 5501, Middlesex County, Connecticut</t>
  </si>
  <si>
    <t>1400000US09007550201</t>
  </si>
  <si>
    <t>Census Tract 5502.01, Middlesex County, Connecticut</t>
  </si>
  <si>
    <t>1400000US09007550202</t>
  </si>
  <si>
    <t>Census Tract 5502.02, Middlesex County, Connecticut</t>
  </si>
  <si>
    <t>1400000US09007560100</t>
  </si>
  <si>
    <t>Census Tract 5601, Middlesex County, Connecticut</t>
  </si>
  <si>
    <t>1400000US09007560200</t>
  </si>
  <si>
    <t>Census Tract 5602, Middlesex County, Connecticut</t>
  </si>
  <si>
    <t>1400000US09007570100</t>
  </si>
  <si>
    <t>Census Tract 5701, Middlesex County, Connecticut</t>
  </si>
  <si>
    <t>1400000US09007570200</t>
  </si>
  <si>
    <t>Census Tract 5702, Middlesex County, Connecticut</t>
  </si>
  <si>
    <t>1400000US09007570300</t>
  </si>
  <si>
    <t>Census Tract 5703, Middlesex County, Connecticut</t>
  </si>
  <si>
    <t>1400000US09007580100</t>
  </si>
  <si>
    <t>Census Tract 5801, Middlesex County, Connecticut</t>
  </si>
  <si>
    <t>1400000US09007585100</t>
  </si>
  <si>
    <t>Census Tract 5851, Middlesex County, Connecticut</t>
  </si>
  <si>
    <t>1400000US09007590100</t>
  </si>
  <si>
    <t>Census Tract 5901, Middlesex County, Connecticut</t>
  </si>
  <si>
    <t>1400000US09007595101</t>
  </si>
  <si>
    <t>Census Tract 5951.01, Middlesex County, Connecticut</t>
  </si>
  <si>
    <t>1400000US09007595102</t>
  </si>
  <si>
    <t>Census Tract 5951.02, Middlesex County, Connecticut</t>
  </si>
  <si>
    <t>1400000US09007600100</t>
  </si>
  <si>
    <t>Census Tract 6001, Middlesex County, Connecticut</t>
  </si>
  <si>
    <t>1400000US09007610100</t>
  </si>
  <si>
    <t>Census Tract 6101, Middlesex County, Connecticut</t>
  </si>
  <si>
    <t>1400000US09007610200</t>
  </si>
  <si>
    <t>Census Tract 6102, Middlesex County, Connecticut</t>
  </si>
  <si>
    <t>1400000US09007610300</t>
  </si>
  <si>
    <t>Census Tract 6103, Middlesex County, Connecticut</t>
  </si>
  <si>
    <t>1400000US09007610400</t>
  </si>
  <si>
    <t>Census Tract 6104, Middlesex County, Connecticut</t>
  </si>
  <si>
    <t>1400000US09007620100</t>
  </si>
  <si>
    <t>Census Tract 6201, Middlesex County, Connecticut</t>
  </si>
  <si>
    <t>1400000US09007630100</t>
  </si>
  <si>
    <t>Census Tract 6301, Middlesex County, Connecticut</t>
  </si>
  <si>
    <t>1400000US09007640100</t>
  </si>
  <si>
    <t>Census Tract 6401, Middlesex County, Connecticut</t>
  </si>
  <si>
    <t>1400000US09007670100</t>
  </si>
  <si>
    <t>Census Tract 6701, Middlesex County, Connecticut</t>
  </si>
  <si>
    <t>1400000US09007670200</t>
  </si>
  <si>
    <t>Census Tract 6702, Middlesex County, Connecticut</t>
  </si>
  <si>
    <t>1400000US09007680100</t>
  </si>
  <si>
    <t>Census Tract 6801, Middlesex County, Connecticut</t>
  </si>
  <si>
    <t>1400000US09007680200</t>
  </si>
  <si>
    <t>Census Tract 6802, Middlesex County, Connecticut</t>
  </si>
  <si>
    <t>1400000US09009120100</t>
  </si>
  <si>
    <t>Census Tract 1201, New Haven County, Connecticut</t>
  </si>
  <si>
    <t>1400000US09009120200</t>
  </si>
  <si>
    <t>Census Tract 1202, New Haven County, Connecticut</t>
  </si>
  <si>
    <t>1400000US09009125100</t>
  </si>
  <si>
    <t>Census Tract 1251, New Haven County, Connecticut</t>
  </si>
  <si>
    <t>1400000US09009125200</t>
  </si>
  <si>
    <t>Census Tract 1252, New Haven County, Connecticut</t>
  </si>
  <si>
    <t>1400000US09009125300</t>
  </si>
  <si>
    <t>Census Tract 1253, New Haven County, Connecticut</t>
  </si>
  <si>
    <t>1400000US09009125400</t>
  </si>
  <si>
    <t>Census Tract 1254, New Haven County, Connecticut</t>
  </si>
  <si>
    <t>1400000US09009130101</t>
  </si>
  <si>
    <t>Census Tract 1301.01, New Haven County, Connecticut</t>
  </si>
  <si>
    <t>1400000US09009130102</t>
  </si>
  <si>
    <t>Census Tract 1301.02, New Haven County, Connecticut</t>
  </si>
  <si>
    <t>1400000US09009130200</t>
  </si>
  <si>
    <t>Census Tract 1302, New Haven County, Connecticut</t>
  </si>
  <si>
    <t>1400000US09009140100</t>
  </si>
  <si>
    <t>Census Tract 1401, New Haven County, Connecticut</t>
  </si>
  <si>
    <t>1400000US09009140200</t>
  </si>
  <si>
    <t>Census Tract 1402, New Haven County, Connecticut</t>
  </si>
  <si>
    <t>1400000US09009140300</t>
  </si>
  <si>
    <t>Census Tract 1403, New Haven County, Connecticut</t>
  </si>
  <si>
    <t>1400000US09009140400</t>
  </si>
  <si>
    <t>Census Tract 1404, New Haven County, Connecticut</t>
  </si>
  <si>
    <t>1400000US09009140500</t>
  </si>
  <si>
    <t>Census Tract 1405, New Haven County, Connecticut</t>
  </si>
  <si>
    <t>1400000US09009140600</t>
  </si>
  <si>
    <t>Census Tract 1406, New Haven County, Connecticut</t>
  </si>
  <si>
    <t>1400000US09009140700</t>
  </si>
  <si>
    <t>Census Tract 1407, New Haven County, Connecticut</t>
  </si>
  <si>
    <t>1400000US09009140800</t>
  </si>
  <si>
    <t>Census Tract 1408, New Haven County, Connecticut</t>
  </si>
  <si>
    <t>1400000US09009140900</t>
  </si>
  <si>
    <t>Census Tract 1409, New Haven County, Connecticut</t>
  </si>
  <si>
    <t>1400000US09009141000</t>
  </si>
  <si>
    <t>Census Tract 1410, New Haven County, Connecticut</t>
  </si>
  <si>
    <t>1400000US09009141100</t>
  </si>
  <si>
    <t>Census Tract 1411, New Haven County, Connecticut</t>
  </si>
  <si>
    <t>1400000US09009141200</t>
  </si>
  <si>
    <t>Census Tract 1412, New Haven County, Connecticut</t>
  </si>
  <si>
    <t>1400000US09009141300</t>
  </si>
  <si>
    <t>Census Tract 1413, New Haven County, Connecticut</t>
  </si>
  <si>
    <t>1400000US09009141400</t>
  </si>
  <si>
    <t>Census Tract 1414, New Haven County, Connecticut</t>
  </si>
  <si>
    <t>1400000US09009141500</t>
  </si>
  <si>
    <t>Census Tract 1415, New Haven County, Connecticut</t>
  </si>
  <si>
    <t>1400000US09009141600</t>
  </si>
  <si>
    <t>Census Tract 1416, New Haven County, Connecticut</t>
  </si>
  <si>
    <t>1400000US09009141800</t>
  </si>
  <si>
    <t>Census Tract 1418, New Haven County, Connecticut</t>
  </si>
  <si>
    <t>1400000US09009141900</t>
  </si>
  <si>
    <t>Census Tract 1419, New Haven County, Connecticut</t>
  </si>
  <si>
    <t>1400000US09009142000</t>
  </si>
  <si>
    <t>Census Tract 1420, New Haven County, Connecticut</t>
  </si>
  <si>
    <t>1400000US09009142100</t>
  </si>
  <si>
    <t>Census Tract 1421, New Haven County, Connecticut</t>
  </si>
  <si>
    <t>1400000US09009142200</t>
  </si>
  <si>
    <t>Census Tract 1422, New Haven County, Connecticut</t>
  </si>
  <si>
    <t>1400000US09009142300</t>
  </si>
  <si>
    <t>Census Tract 1423, New Haven County, Connecticut</t>
  </si>
  <si>
    <t>1400000US09009142400</t>
  </si>
  <si>
    <t>Census Tract 1424, New Haven County, Connecticut</t>
  </si>
  <si>
    <t>1400000US09009142500</t>
  </si>
  <si>
    <t>Census Tract 1425, New Haven County, Connecticut</t>
  </si>
  <si>
    <t>1400000US09009142601</t>
  </si>
  <si>
    <t>Census Tract 1426.01, New Haven County, Connecticut</t>
  </si>
  <si>
    <t>1400000US09009142603</t>
  </si>
  <si>
    <t>Census Tract 1426.03, New Haven County, Connecticut</t>
  </si>
  <si>
    <t>1400000US09009142604</t>
  </si>
  <si>
    <t>Census Tract 1426.04, New Haven County, Connecticut</t>
  </si>
  <si>
    <t>1400000US09009142700</t>
  </si>
  <si>
    <t>Census Tract 1427, New Haven County, Connecticut</t>
  </si>
  <si>
    <t>1400000US09009142800</t>
  </si>
  <si>
    <t>Census Tract 1428, New Haven County, Connecticut</t>
  </si>
  <si>
    <t>1400000US09009150100</t>
  </si>
  <si>
    <t>Census Tract 1501, New Haven County, Connecticut</t>
  </si>
  <si>
    <t>1400000US09009150200</t>
  </si>
  <si>
    <t>Census Tract 1502, New Haven County, Connecticut</t>
  </si>
  <si>
    <t>1400000US09009150300</t>
  </si>
  <si>
    <t>Census Tract 1503, New Haven County, Connecticut</t>
  </si>
  <si>
    <t>1400000US09009150400</t>
  </si>
  <si>
    <t>Census Tract 1504, New Haven County, Connecticut</t>
  </si>
  <si>
    <t>1400000US09009150500</t>
  </si>
  <si>
    <t>Census Tract 1505, New Haven County, Connecticut</t>
  </si>
  <si>
    <t>1400000US09009150600</t>
  </si>
  <si>
    <t>Census Tract 1506, New Haven County, Connecticut</t>
  </si>
  <si>
    <t>1400000US09009150700</t>
  </si>
  <si>
    <t>Census Tract 1507, New Haven County, Connecticut</t>
  </si>
  <si>
    <t>1400000US09009150800</t>
  </si>
  <si>
    <t>Census Tract 1508, New Haven County, Connecticut</t>
  </si>
  <si>
    <t>1400000US09009150900</t>
  </si>
  <si>
    <t>Census Tract 1509, New Haven County, Connecticut</t>
  </si>
  <si>
    <t>1400000US09009151000</t>
  </si>
  <si>
    <t>Census Tract 1510, New Haven County, Connecticut</t>
  </si>
  <si>
    <t>1400000US09009151100</t>
  </si>
  <si>
    <t>Census Tract 1511, New Haven County, Connecticut</t>
  </si>
  <si>
    <t>1400000US09009151200</t>
  </si>
  <si>
    <t>Census Tract 1512, New Haven County, Connecticut</t>
  </si>
  <si>
    <t>1400000US09009154100</t>
  </si>
  <si>
    <t>Census Tract 1541, New Haven County, Connecticut</t>
  </si>
  <si>
    <t>1400000US09009154200</t>
  </si>
  <si>
    <t>Census Tract 1542, New Haven County, Connecticut</t>
  </si>
  <si>
    <t>1400000US09009154500</t>
  </si>
  <si>
    <t>Census Tract 1545, New Haven County, Connecticut</t>
  </si>
  <si>
    <t>1400000US09009154600</t>
  </si>
  <si>
    <t>Census Tract 1546, New Haven County, Connecticut</t>
  </si>
  <si>
    <t>1400000US09009154700</t>
  </si>
  <si>
    <t>Census Tract 1547, New Haven County, Connecticut</t>
  </si>
  <si>
    <t>1400000US09009154800</t>
  </si>
  <si>
    <t>Census Tract 1548, New Haven County, Connecticut</t>
  </si>
  <si>
    <t>1400000US09009154900</t>
  </si>
  <si>
    <t>Census Tract 1549, New Haven County, Connecticut</t>
  </si>
  <si>
    <t>1400000US09009155000</t>
  </si>
  <si>
    <t>Census Tract 1550, New Haven County, Connecticut</t>
  </si>
  <si>
    <t>1400000US09009155100</t>
  </si>
  <si>
    <t>Census Tract 1551, New Haven County, Connecticut</t>
  </si>
  <si>
    <t>1400000US09009157100</t>
  </si>
  <si>
    <t>Census Tract 1571, New Haven County, Connecticut</t>
  </si>
  <si>
    <t>1400000US09009157200</t>
  </si>
  <si>
    <t>Census Tract 1572, New Haven County, Connecticut</t>
  </si>
  <si>
    <t>1400000US09009157300</t>
  </si>
  <si>
    <t>Census Tract 1573, New Haven County, Connecticut</t>
  </si>
  <si>
    <t>1400000US09009157400</t>
  </si>
  <si>
    <t>Census Tract 1574, New Haven County, Connecticut</t>
  </si>
  <si>
    <t>1400000US09009160100</t>
  </si>
  <si>
    <t>Census Tract 1601, New Haven County, Connecticut</t>
  </si>
  <si>
    <t>1400000US09009160200</t>
  </si>
  <si>
    <t>Census Tract 1602, New Haven County, Connecticut</t>
  </si>
  <si>
    <t>1400000US09009161100</t>
  </si>
  <si>
    <t>Census Tract 1611, New Haven County, Connecticut</t>
  </si>
  <si>
    <t>1400000US09009165100</t>
  </si>
  <si>
    <t>Census Tract 1651, New Haven County, Connecticut</t>
  </si>
  <si>
    <t>1400000US09009165200</t>
  </si>
  <si>
    <t>Census Tract 1652, New Haven County, Connecticut</t>
  </si>
  <si>
    <t>1400000US09009165300</t>
  </si>
  <si>
    <t>Census Tract 1653, New Haven County, Connecticut</t>
  </si>
  <si>
    <t>1400000US09009165400</t>
  </si>
  <si>
    <t>Census Tract 1654, New Haven County, Connecticut</t>
  </si>
  <si>
    <t>1400000US09009165500</t>
  </si>
  <si>
    <t>Census Tract 1655, New Haven County, Connecticut</t>
  </si>
  <si>
    <t>1400000US09009165600</t>
  </si>
  <si>
    <t>Census Tract 1656, New Haven County, Connecticut</t>
  </si>
  <si>
    <t>1400000US09009165700</t>
  </si>
  <si>
    <t>Census Tract 1657, New Haven County, Connecticut</t>
  </si>
  <si>
    <t>1400000US09009165801</t>
  </si>
  <si>
    <t>Census Tract 1658.01, New Haven County, Connecticut</t>
  </si>
  <si>
    <t>1400000US09009165802</t>
  </si>
  <si>
    <t>Census Tract 1658.02, New Haven County, Connecticut</t>
  </si>
  <si>
    <t>1400000US09009165900</t>
  </si>
  <si>
    <t>Census Tract 1659, New Haven County, Connecticut</t>
  </si>
  <si>
    <t>1400000US09009166001</t>
  </si>
  <si>
    <t>Census Tract 1660.01, New Haven County, Connecticut</t>
  </si>
  <si>
    <t>1400000US09009166002</t>
  </si>
  <si>
    <t>Census Tract 1660.02, New Haven County, Connecticut</t>
  </si>
  <si>
    <t>1400000US09009167100</t>
  </si>
  <si>
    <t>Census Tract 1671, New Haven County, Connecticut</t>
  </si>
  <si>
    <t>1400000US09009167201</t>
  </si>
  <si>
    <t>Census Tract 1672.01, New Haven County, Connecticut</t>
  </si>
  <si>
    <t>1400000US09009167202</t>
  </si>
  <si>
    <t>Census Tract 1672.02, New Haven County, Connecticut</t>
  </si>
  <si>
    <t>1400000US09009167300</t>
  </si>
  <si>
    <t>Census Tract 1673, New Haven County, Connecticut</t>
  </si>
  <si>
    <t>1400000US09009170100</t>
  </si>
  <si>
    <t>Census Tract 1701, New Haven County, Connecticut</t>
  </si>
  <si>
    <t>1400000US09009170200</t>
  </si>
  <si>
    <t>Census Tract 1702, New Haven County, Connecticut</t>
  </si>
  <si>
    <t>1400000US09009170300</t>
  </si>
  <si>
    <t>Census Tract 1703, New Haven County, Connecticut</t>
  </si>
  <si>
    <t>1400000US09009170400</t>
  </si>
  <si>
    <t>Census Tract 1704, New Haven County, Connecticut</t>
  </si>
  <si>
    <t>1400000US09009170500</t>
  </si>
  <si>
    <t>Census Tract 1705, New Haven County, Connecticut</t>
  </si>
  <si>
    <t>1400000US09009170600</t>
  </si>
  <si>
    <t>Census Tract 1706, New Haven County, Connecticut</t>
  </si>
  <si>
    <t>1400000US09009170700</t>
  </si>
  <si>
    <t>Census Tract 1707, New Haven County, Connecticut</t>
  </si>
  <si>
    <t>1400000US09009170800</t>
  </si>
  <si>
    <t>Census Tract 1708, New Haven County, Connecticut</t>
  </si>
  <si>
    <t>1400000US09009170900</t>
  </si>
  <si>
    <t>Census Tract 1709, New Haven County, Connecticut</t>
  </si>
  <si>
    <t>1400000US09009171000</t>
  </si>
  <si>
    <t>Census Tract 1710, New Haven County, Connecticut</t>
  </si>
  <si>
    <t>1400000US09009171100</t>
  </si>
  <si>
    <t>Census Tract 1711, New Haven County, Connecticut</t>
  </si>
  <si>
    <t>1400000US09009171200</t>
  </si>
  <si>
    <t>Census Tract 1712, New Haven County, Connecticut</t>
  </si>
  <si>
    <t>1400000US09009171300</t>
  </si>
  <si>
    <t>Census Tract 1713, New Haven County, Connecticut</t>
  </si>
  <si>
    <t>1400000US09009171400</t>
  </si>
  <si>
    <t>Census Tract 1714, New Haven County, Connecticut</t>
  </si>
  <si>
    <t>1400000US09009171500</t>
  </si>
  <si>
    <t>Census Tract 1715, New Haven County, Connecticut</t>
  </si>
  <si>
    <t>1400000US09009171600</t>
  </si>
  <si>
    <t>Census Tract 1716, New Haven County, Connecticut</t>
  </si>
  <si>
    <t>1400000US09009171700</t>
  </si>
  <si>
    <t>Census Tract 1717, New Haven County, Connecticut</t>
  </si>
  <si>
    <t>1400000US09009175100</t>
  </si>
  <si>
    <t>Census Tract 1751, New Haven County, Connecticut</t>
  </si>
  <si>
    <t>1400000US09009175200</t>
  </si>
  <si>
    <t>Census Tract 1752, New Haven County, Connecticut</t>
  </si>
  <si>
    <t>1400000US09009175300</t>
  </si>
  <si>
    <t>Census Tract 1753, New Haven County, Connecticut</t>
  </si>
  <si>
    <t>1400000US09009175400</t>
  </si>
  <si>
    <t>Census Tract 1754, New Haven County, Connecticut</t>
  </si>
  <si>
    <t>1400000US09009175500</t>
  </si>
  <si>
    <t>Census Tract 1755, New Haven County, Connecticut</t>
  </si>
  <si>
    <t>1400000US09009175600</t>
  </si>
  <si>
    <t>Census Tract 1756, New Haven County, Connecticut</t>
  </si>
  <si>
    <t>1400000US09009175700</t>
  </si>
  <si>
    <t>Census Tract 1757, New Haven County, Connecticut</t>
  </si>
  <si>
    <t>1400000US09009175800</t>
  </si>
  <si>
    <t>Census Tract 1758, New Haven County, Connecticut</t>
  </si>
  <si>
    <t>1400000US09009175900</t>
  </si>
  <si>
    <t>Census Tract 1759, New Haven County, Connecticut</t>
  </si>
  <si>
    <t>1400000US09009176000</t>
  </si>
  <si>
    <t>Census Tract 1760, New Haven County, Connecticut</t>
  </si>
  <si>
    <t>1400000US09009180100</t>
  </si>
  <si>
    <t>Census Tract 1801, New Haven County, Connecticut</t>
  </si>
  <si>
    <t>1400000US09009180200</t>
  </si>
  <si>
    <t>Census Tract 1802, New Haven County, Connecticut</t>
  </si>
  <si>
    <t>1400000US09009180300</t>
  </si>
  <si>
    <t>Census Tract 1803, New Haven County, Connecticut</t>
  </si>
  <si>
    <t>1400000US09009180400</t>
  </si>
  <si>
    <t>Census Tract 1804, New Haven County, Connecticut</t>
  </si>
  <si>
    <t>1400000US09009180500</t>
  </si>
  <si>
    <t>Census Tract 1805, New Haven County, Connecticut</t>
  </si>
  <si>
    <t>1400000US09009180601</t>
  </si>
  <si>
    <t>Census Tract 1806.01, New Haven County, Connecticut</t>
  </si>
  <si>
    <t>1400000US09009180602</t>
  </si>
  <si>
    <t>Census Tract 1806.02, New Haven County, Connecticut</t>
  </si>
  <si>
    <t>1400000US09009184100</t>
  </si>
  <si>
    <t>Census Tract 1841, New Haven County, Connecticut</t>
  </si>
  <si>
    <t>1400000US09009184200</t>
  </si>
  <si>
    <t>Census Tract 1842, New Haven County, Connecticut</t>
  </si>
  <si>
    <t>1400000US09009184300</t>
  </si>
  <si>
    <t>Census Tract 1843, New Haven County, Connecticut</t>
  </si>
  <si>
    <t>1400000US09009184400</t>
  </si>
  <si>
    <t>Census Tract 1844, New Haven County, Connecticut</t>
  </si>
  <si>
    <t>1400000US09009184500</t>
  </si>
  <si>
    <t>Census Tract 1845, New Haven County, Connecticut</t>
  </si>
  <si>
    <t>1400000US09009184600</t>
  </si>
  <si>
    <t>Census Tract 1846, New Haven County, Connecticut</t>
  </si>
  <si>
    <t>1400000US09009184700</t>
  </si>
  <si>
    <t>Census Tract 1847, New Haven County, Connecticut</t>
  </si>
  <si>
    <t>1400000US09009186100</t>
  </si>
  <si>
    <t>Census Tract 1861, New Haven County, Connecticut</t>
  </si>
  <si>
    <t>1400000US09009186200</t>
  </si>
  <si>
    <t>Census Tract 1862, New Haven County, Connecticut</t>
  </si>
  <si>
    <t>1400000US09009190100</t>
  </si>
  <si>
    <t>Census Tract 1901, New Haven County, Connecticut</t>
  </si>
  <si>
    <t>1400000US09009190200</t>
  </si>
  <si>
    <t>Census Tract 1902, New Haven County, Connecticut</t>
  </si>
  <si>
    <t>1400000US09009190301</t>
  </si>
  <si>
    <t>Census Tract 1903.01, New Haven County, Connecticut</t>
  </si>
  <si>
    <t>1400000US09009190302</t>
  </si>
  <si>
    <t>Census Tract 1903.02, New Haven County, Connecticut</t>
  </si>
  <si>
    <t>1400000US09009190303</t>
  </si>
  <si>
    <t>Census Tract 1903.03, New Haven County, Connecticut</t>
  </si>
  <si>
    <t>1400000US09009194100</t>
  </si>
  <si>
    <t>Census Tract 1941, New Haven County, Connecticut</t>
  </si>
  <si>
    <t>1400000US09009194201</t>
  </si>
  <si>
    <t>Census Tract 1942.01, New Haven County, Connecticut</t>
  </si>
  <si>
    <t>1400000US09009194202</t>
  </si>
  <si>
    <t>Census Tract 1942.02, New Haven County, Connecticut</t>
  </si>
  <si>
    <t>1400000US09009341100</t>
  </si>
  <si>
    <t>Census Tract 3411, New Haven County, Connecticut</t>
  </si>
  <si>
    <t>1400000US09009343101</t>
  </si>
  <si>
    <t>Census Tract 3431.01, New Haven County, Connecticut</t>
  </si>
  <si>
    <t>1400000US09009343102</t>
  </si>
  <si>
    <t>Census Tract 3431.02, New Haven County, Connecticut</t>
  </si>
  <si>
    <t>1400000US09009343200</t>
  </si>
  <si>
    <t>Census Tract 3432, New Haven County, Connecticut</t>
  </si>
  <si>
    <t>1400000US09009343300</t>
  </si>
  <si>
    <t>Census Tract 3433, New Haven County, Connecticut</t>
  </si>
  <si>
    <t>1400000US09009343400</t>
  </si>
  <si>
    <t>Census Tract 3434, New Haven County, Connecticut</t>
  </si>
  <si>
    <t>1400000US09009344100</t>
  </si>
  <si>
    <t>Census Tract 3441, New Haven County, Connecticut</t>
  </si>
  <si>
    <t>1400000US09009344200</t>
  </si>
  <si>
    <t>Census Tract 3442, New Haven County, Connecticut</t>
  </si>
  <si>
    <t>1400000US09009345100</t>
  </si>
  <si>
    <t>Census Tract 3451, New Haven County, Connecticut</t>
  </si>
  <si>
    <t>1400000US09009345201</t>
  </si>
  <si>
    <t>Census Tract 3452.01, New Haven County, Connecticut</t>
  </si>
  <si>
    <t>1400000US09009345202</t>
  </si>
  <si>
    <t>Census Tract 3452.02, New Haven County, Connecticut</t>
  </si>
  <si>
    <t>1400000US09009345300</t>
  </si>
  <si>
    <t>Census Tract 3453, New Haven County, Connecticut</t>
  </si>
  <si>
    <t>1400000US09009345400</t>
  </si>
  <si>
    <t>Census Tract 3454, New Haven County, Connecticut</t>
  </si>
  <si>
    <t>1400000US09009346101</t>
  </si>
  <si>
    <t>Census Tract 3461.01, New Haven County, Connecticut</t>
  </si>
  <si>
    <t>1400000US09009346102</t>
  </si>
  <si>
    <t>Census Tract 3461.02, New Haven County, Connecticut</t>
  </si>
  <si>
    <t>1400000US09009347100</t>
  </si>
  <si>
    <t>Census Tract 3471, New Haven County, Connecticut</t>
  </si>
  <si>
    <t>1400000US09009347200</t>
  </si>
  <si>
    <t>Census Tract 3472, New Haven County, Connecticut</t>
  </si>
  <si>
    <t>1400000US09009348111</t>
  </si>
  <si>
    <t>Census Tract 3481.11, New Haven County, Connecticut</t>
  </si>
  <si>
    <t>1400000US09009348122</t>
  </si>
  <si>
    <t>Census Tract 3481.22, New Haven County, Connecticut</t>
  </si>
  <si>
    <t>1400000US09009348123</t>
  </si>
  <si>
    <t>Census Tract 3481.23, New Haven County, Connecticut</t>
  </si>
  <si>
    <t>1400000US09009348124</t>
  </si>
  <si>
    <t>Census Tract 3481.24, New Haven County, Connecticut</t>
  </si>
  <si>
    <t>1400000US09009348125</t>
  </si>
  <si>
    <t>Census Tract 3481.25, New Haven County, Connecticut</t>
  </si>
  <si>
    <t>1400000US09009350100</t>
  </si>
  <si>
    <t>Census Tract 3501, New Haven County, Connecticut</t>
  </si>
  <si>
    <t>1400000US09009350200</t>
  </si>
  <si>
    <t>Census Tract 3502, New Haven County, Connecticut</t>
  </si>
  <si>
    <t>1400000US09009350300</t>
  </si>
  <si>
    <t>Census Tract 3503, New Haven County, Connecticut</t>
  </si>
  <si>
    <t>1400000US09009350400</t>
  </si>
  <si>
    <t>Census Tract 3504, New Haven County, Connecticut</t>
  </si>
  <si>
    <t>1400000US09009350500</t>
  </si>
  <si>
    <t>Census Tract 3505, New Haven County, Connecticut</t>
  </si>
  <si>
    <t>1400000US09009350800</t>
  </si>
  <si>
    <t>Census Tract 3508, New Haven County, Connecticut</t>
  </si>
  <si>
    <t>1400000US09009350900</t>
  </si>
  <si>
    <t>Census Tract 3509, New Haven County, Connecticut</t>
  </si>
  <si>
    <t>1400000US09009351000</t>
  </si>
  <si>
    <t>Census Tract 3510, New Haven County, Connecticut</t>
  </si>
  <si>
    <t>1400000US09009351100</t>
  </si>
  <si>
    <t>Census Tract 3511, New Haven County, Connecticut</t>
  </si>
  <si>
    <t>1400000US09009351200</t>
  </si>
  <si>
    <t>Census Tract 3512, New Haven County, Connecticut</t>
  </si>
  <si>
    <t>1400000US09009351300</t>
  </si>
  <si>
    <t>Census Tract 3513, New Haven County, Connecticut</t>
  </si>
  <si>
    <t>1400000US09009351400</t>
  </si>
  <si>
    <t>Census Tract 3514, New Haven County, Connecticut</t>
  </si>
  <si>
    <t>1400000US09009351500</t>
  </si>
  <si>
    <t>Census Tract 3515, New Haven County, Connecticut</t>
  </si>
  <si>
    <t>1400000US09009351601</t>
  </si>
  <si>
    <t>Census Tract 3516.01, New Haven County, Connecticut</t>
  </si>
  <si>
    <t>1400000US09009351602</t>
  </si>
  <si>
    <t>Census Tract 3516.02, New Haven County, Connecticut</t>
  </si>
  <si>
    <t>1400000US09009351700</t>
  </si>
  <si>
    <t>Census Tract 3517, New Haven County, Connecticut</t>
  </si>
  <si>
    <t>1400000US09009351800</t>
  </si>
  <si>
    <t>Census Tract 3518, New Haven County, Connecticut</t>
  </si>
  <si>
    <t>1400000US09009351900</t>
  </si>
  <si>
    <t>Census Tract 3519, New Haven County, Connecticut</t>
  </si>
  <si>
    <t>1400000US09009352000</t>
  </si>
  <si>
    <t>Census Tract 3520, New Haven County, Connecticut</t>
  </si>
  <si>
    <t>1400000US09009352100</t>
  </si>
  <si>
    <t>Census Tract 3521, New Haven County, Connecticut</t>
  </si>
  <si>
    <t>1400000US09009352200</t>
  </si>
  <si>
    <t>Census Tract 3522, New Haven County, Connecticut</t>
  </si>
  <si>
    <t>1400000US09009352300</t>
  </si>
  <si>
    <t>Census Tract 3523, New Haven County, Connecticut</t>
  </si>
  <si>
    <t>1400000US09009352400</t>
  </si>
  <si>
    <t>Census Tract 3524, New Haven County, Connecticut</t>
  </si>
  <si>
    <t>1400000US09009352500</t>
  </si>
  <si>
    <t>Census Tract 3525, New Haven County, Connecticut</t>
  </si>
  <si>
    <t>1400000US09009352600</t>
  </si>
  <si>
    <t>Census Tract 3526, New Haven County, Connecticut</t>
  </si>
  <si>
    <t>1400000US09009352701</t>
  </si>
  <si>
    <t>Census Tract 3527.01, New Haven County, Connecticut</t>
  </si>
  <si>
    <t>1400000US09009352702</t>
  </si>
  <si>
    <t>Census Tract 3527.02, New Haven County, Connecticut</t>
  </si>
  <si>
    <t>1400000US09009352800</t>
  </si>
  <si>
    <t>Census Tract 3528, New Haven County, Connecticut</t>
  </si>
  <si>
    <t>1400000US09009361100</t>
  </si>
  <si>
    <t>Census Tract 3611, New Haven County, Connecticut</t>
  </si>
  <si>
    <t>1400000US09009361200</t>
  </si>
  <si>
    <t>Census Tract 3612, New Haven County, Connecticut</t>
  </si>
  <si>
    <t>1400000US09009361300</t>
  </si>
  <si>
    <t>Census Tract 3613, New Haven County, Connecticut</t>
  </si>
  <si>
    <t>1400000US09009361401</t>
  </si>
  <si>
    <t>Census Tract 3614.01, New Haven County, Connecticut</t>
  </si>
  <si>
    <t>1400000US09009361402</t>
  </si>
  <si>
    <t>Census Tract 3614.02, New Haven County, Connecticut</t>
  </si>
  <si>
    <t>1400000US09009361500</t>
  </si>
  <si>
    <t>Census Tract 3615, New Haven County, Connecticut</t>
  </si>
  <si>
    <t>1400000US09011650100</t>
  </si>
  <si>
    <t>Census Tract 6501, New London County, Connecticut</t>
  </si>
  <si>
    <t>1400000US09011660101</t>
  </si>
  <si>
    <t>Census Tract 6601.01, New London County, Connecticut</t>
  </si>
  <si>
    <t>1400000US09011660102</t>
  </si>
  <si>
    <t>Census Tract 6601.02, New London County, Connecticut</t>
  </si>
  <si>
    <t>1400000US09011690300</t>
  </si>
  <si>
    <t>Census Tract 6903, New London County, Connecticut</t>
  </si>
  <si>
    <t>1400000US09011690400</t>
  </si>
  <si>
    <t>Census Tract 6904, New London County, Connecticut</t>
  </si>
  <si>
    <t>1400000US09011690500</t>
  </si>
  <si>
    <t>Census Tract 6905, New London County, Connecticut</t>
  </si>
  <si>
    <t>1400000US09011690700</t>
  </si>
  <si>
    <t>Census Tract 6907, New London County, Connecticut</t>
  </si>
  <si>
    <t>1400000US09011690800</t>
  </si>
  <si>
    <t>Census Tract 6908, New London County, Connecticut</t>
  </si>
  <si>
    <t>1400000US09011690900</t>
  </si>
  <si>
    <t>Census Tract 6909, New London County, Connecticut</t>
  </si>
  <si>
    <t>1400000US09011693300</t>
  </si>
  <si>
    <t>Census Tract 6933, New London County, Connecticut</t>
  </si>
  <si>
    <t>1400000US09011693400</t>
  </si>
  <si>
    <t>Census Tract 6934, New London County, Connecticut</t>
  </si>
  <si>
    <t>1400000US09011693500</t>
  </si>
  <si>
    <t>Census Tract 6935, New London County, Connecticut</t>
  </si>
  <si>
    <t>1400000US09011693600</t>
  </si>
  <si>
    <t>Census Tract 6936, New London County, Connecticut</t>
  </si>
  <si>
    <t>1400000US09011693700</t>
  </si>
  <si>
    <t>Census Tract 6937, New London County, Connecticut</t>
  </si>
  <si>
    <t>1400000US09011695201</t>
  </si>
  <si>
    <t>Census Tract 6952.01, New London County, Connecticut</t>
  </si>
  <si>
    <t>1400000US09011695202</t>
  </si>
  <si>
    <t>Census Tract 6952.02, New London County, Connecticut</t>
  </si>
  <si>
    <t>1400000US09011696100</t>
  </si>
  <si>
    <t>Census Tract 6961, New London County, Connecticut</t>
  </si>
  <si>
    <t>1400000US09011696200</t>
  </si>
  <si>
    <t>Census Tract 6962, New London County, Connecticut</t>
  </si>
  <si>
    <t>1400000US09011696300</t>
  </si>
  <si>
    <t>Census Tract 6963, New London County, Connecticut</t>
  </si>
  <si>
    <t>1400000US09011696400</t>
  </si>
  <si>
    <t>Census Tract 6964, New London County, Connecticut</t>
  </si>
  <si>
    <t>1400000US09011696500</t>
  </si>
  <si>
    <t>Census Tract 6965, New London County, Connecticut</t>
  </si>
  <si>
    <t>1400000US09011696600</t>
  </si>
  <si>
    <t>Census Tract 6966, New London County, Connecticut</t>
  </si>
  <si>
    <t>1400000US09011696700</t>
  </si>
  <si>
    <t>Census Tract 6967, New London County, Connecticut</t>
  </si>
  <si>
    <t>1400000US09011696800</t>
  </si>
  <si>
    <t>Census Tract 6968, New London County, Connecticut</t>
  </si>
  <si>
    <t>1400000US09011697000</t>
  </si>
  <si>
    <t>Census Tract 6970, New London County, Connecticut</t>
  </si>
  <si>
    <t>1400000US09011700100</t>
  </si>
  <si>
    <t>Census Tract 7001, New London County, Connecticut</t>
  </si>
  <si>
    <t>1400000US09011701100</t>
  </si>
  <si>
    <t>Census Tract 7011, New London County, Connecticut</t>
  </si>
  <si>
    <t>1400000US09011701200</t>
  </si>
  <si>
    <t>Census Tract 7012, New London County, Connecticut</t>
  </si>
  <si>
    <t>1400000US09011702100</t>
  </si>
  <si>
    <t>Census Tract 7021, New London County, Connecticut</t>
  </si>
  <si>
    <t>1400000US09011702300</t>
  </si>
  <si>
    <t>Census Tract 7023, New London County, Connecticut</t>
  </si>
  <si>
    <t>1400000US09011702400</t>
  </si>
  <si>
    <t>Census Tract 7024, New London County, Connecticut</t>
  </si>
  <si>
    <t>1400000US09011702500</t>
  </si>
  <si>
    <t>Census Tract 7025, New London County, Connecticut</t>
  </si>
  <si>
    <t>1400000US09011702600</t>
  </si>
  <si>
    <t>Census Tract 7026, New London County, Connecticut</t>
  </si>
  <si>
    <t>1400000US09011702700</t>
  </si>
  <si>
    <t>Census Tract 7027, New London County, Connecticut</t>
  </si>
  <si>
    <t>1400000US09011702800</t>
  </si>
  <si>
    <t>Census Tract 7028, New London County, Connecticut</t>
  </si>
  <si>
    <t>1400000US09011702900</t>
  </si>
  <si>
    <t>Census Tract 7029, New London County, Connecticut</t>
  </si>
  <si>
    <t>1400000US09011703000</t>
  </si>
  <si>
    <t>Census Tract 7030, New London County, Connecticut</t>
  </si>
  <si>
    <t>1400000US09011705101</t>
  </si>
  <si>
    <t>Census Tract 7051.01, New London County, Connecticut</t>
  </si>
  <si>
    <t>1400000US09011705102</t>
  </si>
  <si>
    <t>Census Tract 7051.02, New London County, Connecticut</t>
  </si>
  <si>
    <t>1400000US09011705200</t>
  </si>
  <si>
    <t>Census Tract 7052, New London County, Connecticut</t>
  </si>
  <si>
    <t>1400000US09011705300</t>
  </si>
  <si>
    <t>Census Tract 7053, New London County, Connecticut</t>
  </si>
  <si>
    <t>1400000US09011705400</t>
  </si>
  <si>
    <t>Census Tract 7054, New London County, Connecticut</t>
  </si>
  <si>
    <t>1400000US09011707100</t>
  </si>
  <si>
    <t>Census Tract 7071, New London County, Connecticut</t>
  </si>
  <si>
    <t>1400000US09011708100</t>
  </si>
  <si>
    <t>Census Tract 7081, New London County, Connecticut</t>
  </si>
  <si>
    <t>1400000US09011709100</t>
  </si>
  <si>
    <t>Census Tract 7091, New London County, Connecticut</t>
  </si>
  <si>
    <t>1400000US09011709200</t>
  </si>
  <si>
    <t>Census Tract 7092, New London County, Connecticut</t>
  </si>
  <si>
    <t>1400000US09011710100</t>
  </si>
  <si>
    <t>Census Tract 7101, New London County, Connecticut</t>
  </si>
  <si>
    <t>1400000US09011711100</t>
  </si>
  <si>
    <t>Census Tract 7111, New London County, Connecticut</t>
  </si>
  <si>
    <t>1400000US09011712100</t>
  </si>
  <si>
    <t>Census Tract 7121, New London County, Connecticut</t>
  </si>
  <si>
    <t>1400000US09011713100</t>
  </si>
  <si>
    <t>Census Tract 7131, New London County, Connecticut</t>
  </si>
  <si>
    <t>1400000US09011714101</t>
  </si>
  <si>
    <t>Census Tract 7141.01, New London County, Connecticut</t>
  </si>
  <si>
    <t>1400000US09011714103</t>
  </si>
  <si>
    <t>Census Tract 7141.03, New London County, Connecticut</t>
  </si>
  <si>
    <t>1400000US09011714104</t>
  </si>
  <si>
    <t>Census Tract 7141.04, New London County, Connecticut</t>
  </si>
  <si>
    <t>1400000US09011715100</t>
  </si>
  <si>
    <t>Census Tract 7151, New London County, Connecticut</t>
  </si>
  <si>
    <t>1400000US09011716101</t>
  </si>
  <si>
    <t>Census Tract 7161.01, New London County, Connecticut</t>
  </si>
  <si>
    <t>1400000US09011716102</t>
  </si>
  <si>
    <t>Census Tract 7161.02, New London County, Connecticut</t>
  </si>
  <si>
    <t>1400000US09011870100</t>
  </si>
  <si>
    <t>Census Tract 8701, New London County, Connecticut</t>
  </si>
  <si>
    <t>1400000US09011870200</t>
  </si>
  <si>
    <t>Census Tract 8702, New London County, Connecticut</t>
  </si>
  <si>
    <t>1400000US09011870300</t>
  </si>
  <si>
    <t>Census Tract 8703, New London County, Connecticut</t>
  </si>
  <si>
    <t>1400000US09011870501</t>
  </si>
  <si>
    <t>Census Tract 8705.01, New London County, Connecticut</t>
  </si>
  <si>
    <t>1400000US09011870502</t>
  </si>
  <si>
    <t>Census Tract 8705.02, New London County, Connecticut</t>
  </si>
  <si>
    <t>1400000US09011870701</t>
  </si>
  <si>
    <t>Census Tract 8707.01, New London County, Connecticut</t>
  </si>
  <si>
    <t>1400000US09011870703</t>
  </si>
  <si>
    <t>Census Tract 8707.03, New London County, Connecticut</t>
  </si>
  <si>
    <t>1400000US09011870704</t>
  </si>
  <si>
    <t>Census Tract 8707.04, New London County, Connecticut</t>
  </si>
  <si>
    <t>1400000US09013526101</t>
  </si>
  <si>
    <t>Census Tract 5261.01, Tolland County, Connecticut</t>
  </si>
  <si>
    <t>1400000US09013526102</t>
  </si>
  <si>
    <t>Census Tract 5261.02, Tolland County, Connecticut</t>
  </si>
  <si>
    <t>1400000US09013528100</t>
  </si>
  <si>
    <t>Census Tract 5281, Tolland County, Connecticut</t>
  </si>
  <si>
    <t>1400000US09013529100</t>
  </si>
  <si>
    <t>Census Tract 5291, Tolland County, Connecticut</t>
  </si>
  <si>
    <t>1400000US09013530100</t>
  </si>
  <si>
    <t>Census Tract 5301, Tolland County, Connecticut</t>
  </si>
  <si>
    <t>1400000US09013530200</t>
  </si>
  <si>
    <t>Census Tract 5302, Tolland County, Connecticut</t>
  </si>
  <si>
    <t>1400000US09013530301</t>
  </si>
  <si>
    <t>Census Tract 5303.01, Tolland County, Connecticut</t>
  </si>
  <si>
    <t>1400000US09013530302</t>
  </si>
  <si>
    <t>Census Tract 5303.02, Tolland County, Connecticut</t>
  </si>
  <si>
    <t>1400000US09013530400</t>
  </si>
  <si>
    <t>Census Tract 5304, Tolland County, Connecticut</t>
  </si>
  <si>
    <t>1400000US09013530500</t>
  </si>
  <si>
    <t>Census Tract 5305, Tolland County, Connecticut</t>
  </si>
  <si>
    <t>1400000US09013530600</t>
  </si>
  <si>
    <t>Census Tract 5306, Tolland County, Connecticut</t>
  </si>
  <si>
    <t>1400000US09013533101</t>
  </si>
  <si>
    <t>Census Tract 5331.01, Tolland County, Connecticut</t>
  </si>
  <si>
    <t>1400000US09013533102</t>
  </si>
  <si>
    <t>Census Tract 5331.02, Tolland County, Connecticut</t>
  </si>
  <si>
    <t>1400000US09013535100</t>
  </si>
  <si>
    <t>Census Tract 5351, Tolland County, Connecticut</t>
  </si>
  <si>
    <t>1400000US09013535200</t>
  </si>
  <si>
    <t>Census Tract 5352, Tolland County, Connecticut</t>
  </si>
  <si>
    <t>1400000US09013538201</t>
  </si>
  <si>
    <t>Census Tract 5382.01, Tolland County, Connecticut</t>
  </si>
  <si>
    <t>1400000US09013538202</t>
  </si>
  <si>
    <t>Census Tract 5382.02, Tolland County, Connecticut</t>
  </si>
  <si>
    <t>1400000US09013840100</t>
  </si>
  <si>
    <t>Census Tract 8401, Tolland County, Connecticut</t>
  </si>
  <si>
    <t>1400000US09013850100</t>
  </si>
  <si>
    <t>Census Tract 8501, Tolland County, Connecticut</t>
  </si>
  <si>
    <t>1400000US09013850200</t>
  </si>
  <si>
    <t>Census Tract 8502, Tolland County, Connecticut</t>
  </si>
  <si>
    <t>1400000US09013860100</t>
  </si>
  <si>
    <t>Census Tract 8601, Tolland County, Connecticut</t>
  </si>
  <si>
    <t>1400000US09013881100</t>
  </si>
  <si>
    <t>Census Tract 8811, Tolland County, Connecticut</t>
  </si>
  <si>
    <t>1400000US09013881200</t>
  </si>
  <si>
    <t>Census Tract 8812, Tolland County, Connecticut</t>
  </si>
  <si>
    <t>1400000US09013881300</t>
  </si>
  <si>
    <t>Census Tract 8813, Tolland County, Connecticut</t>
  </si>
  <si>
    <t>1400000US09013881500</t>
  </si>
  <si>
    <t>Census Tract 8815, Tolland County, Connecticut</t>
  </si>
  <si>
    <t>1400000US09013890100</t>
  </si>
  <si>
    <t>Census Tract 8901, Tolland County, Connecticut</t>
  </si>
  <si>
    <t>1400000US09013890201</t>
  </si>
  <si>
    <t>Census Tract 8902.01, Tolland County, Connecticut</t>
  </si>
  <si>
    <t>1400000US09013890202</t>
  </si>
  <si>
    <t>Census Tract 8902.02, Tolland County, Connecticut</t>
  </si>
  <si>
    <t>1400000US09015800300</t>
  </si>
  <si>
    <t>Census Tract 8003, Windham County, Connecticut</t>
  </si>
  <si>
    <t>1400000US09015800400</t>
  </si>
  <si>
    <t>Census Tract 8004, Windham County, Connecticut</t>
  </si>
  <si>
    <t>1400000US09015800500</t>
  </si>
  <si>
    <t>Census Tract 8005, Windham County, Connecticut</t>
  </si>
  <si>
    <t>1400000US09015800600</t>
  </si>
  <si>
    <t>Census Tract 8006, Windham County, Connecticut</t>
  </si>
  <si>
    <t>1400000US09015800700</t>
  </si>
  <si>
    <t>Census Tract 8007, Windham County, Connecticut</t>
  </si>
  <si>
    <t>1400000US09015815000</t>
  </si>
  <si>
    <t>Census Tract 8150, Windham County, Connecticut</t>
  </si>
  <si>
    <t>1400000US09015820000</t>
  </si>
  <si>
    <t>Census Tract 8200, Windham County, Connecticut</t>
  </si>
  <si>
    <t>1400000US09015825000</t>
  </si>
  <si>
    <t>Census Tract 8250, Windham County, Connecticut</t>
  </si>
  <si>
    <t>1400000US09015830100</t>
  </si>
  <si>
    <t>Census Tract 8301, Windham County, Connecticut</t>
  </si>
  <si>
    <t>1400000US09015900100</t>
  </si>
  <si>
    <t>Census Tract 9001, Windham County, Connecticut</t>
  </si>
  <si>
    <t>1400000US09015900200</t>
  </si>
  <si>
    <t>Census Tract 9002, Windham County, Connecticut</t>
  </si>
  <si>
    <t>1400000US09015901100</t>
  </si>
  <si>
    <t>Census Tract 9011, Windham County, Connecticut</t>
  </si>
  <si>
    <t>1400000US09015902200</t>
  </si>
  <si>
    <t>Census Tract 9022, Windham County, Connecticut</t>
  </si>
  <si>
    <t>1400000US09015902500</t>
  </si>
  <si>
    <t>Census Tract 9025, Windham County, Connecticut</t>
  </si>
  <si>
    <t>1400000US09015903100</t>
  </si>
  <si>
    <t>Census Tract 9031, Windham County, Connecticut</t>
  </si>
  <si>
    <t>1400000US09015903200</t>
  </si>
  <si>
    <t>Census Tract 9032, Windham County, Connecticut</t>
  </si>
  <si>
    <t>1400000US09015904100</t>
  </si>
  <si>
    <t>Census Tract 9041, Windham County, Connecticut</t>
  </si>
  <si>
    <t>1400000US09015904400</t>
  </si>
  <si>
    <t>Census Tract 9044, Windham County, Connecticut</t>
  </si>
  <si>
    <t>1400000US09015904500</t>
  </si>
  <si>
    <t>Census Tract 9045, Windham County, Connecticut</t>
  </si>
  <si>
    <t>1400000US09015905100</t>
  </si>
  <si>
    <t>Census Tract 9051, Windham County, Connecticut</t>
  </si>
  <si>
    <t>1400000US09015906100</t>
  </si>
  <si>
    <t>Census Tract 9061, Windham County, Connecticut</t>
  </si>
  <si>
    <t>1400000US09015907100</t>
  </si>
  <si>
    <t>Census Tract 9071, Windham County, Connecticut</t>
  </si>
  <si>
    <t>1400000US09015907200</t>
  </si>
  <si>
    <t>Census Tract 9072, Windham County, Connecticut</t>
  </si>
  <si>
    <t>1400000US09015907300</t>
  </si>
  <si>
    <t>Census Tract 9073, Windham County, Connecticut</t>
  </si>
  <si>
    <t>CTRUCA.Tract Population, 2010</t>
  </si>
  <si>
    <t>CTRUCA.Land Area (square miles), 2010</t>
  </si>
  <si>
    <t>CTRUCA.Population Density (per square mile), 2010</t>
  </si>
  <si>
    <t>Rural Rank</t>
  </si>
  <si>
    <t>POC population</t>
  </si>
  <si>
    <t>POC % of population</t>
  </si>
  <si>
    <t>racialdiversitytable.percentile rank</t>
  </si>
  <si>
    <t>racial diversity index</t>
  </si>
  <si>
    <t>Composite Index (Income/Rural Rank/DI/Housing)</t>
  </si>
  <si>
    <t>rounded composite</t>
  </si>
  <si>
    <t>Check composites with Mike; all 4 values?</t>
  </si>
  <si>
    <t>RUCA Codes</t>
  </si>
  <si>
    <t>USDA ERS - Rural-Urban Commuting Area Codes</t>
  </si>
  <si>
    <t>Racial/Ethnicity data is from the ACS/Census</t>
  </si>
  <si>
    <t>Placeholder Tab</t>
  </si>
  <si>
    <t>LEAD Data.Avg. Energy Burden (% income)</t>
  </si>
  <si>
    <t>LEAD Data.EnergyBurdened</t>
  </si>
  <si>
    <t>LEAD database from DOE</t>
  </si>
  <si>
    <t>https://www.energy.gov/eere/slsc/maps/lead-tool</t>
  </si>
  <si>
    <t>These tracts are from both ES and UI</t>
  </si>
  <si>
    <t>Eversource CT 2019</t>
  </si>
  <si>
    <t>Totals</t>
  </si>
  <si>
    <t xml:space="preserve">All Customers </t>
  </si>
  <si>
    <t>Customers &lt; 100kW</t>
  </si>
  <si>
    <t>Customers &gt; 100kW</t>
  </si>
  <si>
    <t>Combined</t>
  </si>
  <si>
    <t>Residential</t>
  </si>
  <si>
    <t>C&amp;I</t>
  </si>
  <si>
    <t>CLM Collections</t>
  </si>
  <si>
    <t>Incentives Disbursements</t>
  </si>
  <si>
    <t>As Collected</t>
  </si>
  <si>
    <t xml:space="preserve"> </t>
  </si>
  <si>
    <t>1. Distressed Tracts are tracts that are less than or equal to 60% of the State Median Income and 100% Distressed (Source - Experian).</t>
  </si>
  <si>
    <t>Row Labels</t>
  </si>
  <si>
    <t>Count of BIPOC Index</t>
  </si>
  <si>
    <t>(blank)</t>
  </si>
  <si>
    <t>EQUITABLE DISTRIBUTION OF FUNDS</t>
  </si>
  <si>
    <t>Census Tract</t>
  </si>
  <si>
    <t>Town</t>
  </si>
  <si>
    <r>
      <t>Distressed Tract</t>
    </r>
    <r>
      <rPr>
        <b/>
        <vertAlign val="superscript"/>
        <sz val="12"/>
        <color theme="1"/>
        <rFont val="Calibri"/>
        <family val="2"/>
      </rPr>
      <t>1</t>
    </r>
  </si>
  <si>
    <t xml:space="preserve">CLM $ Collected </t>
  </si>
  <si>
    <t xml:space="preserve">% of Total CLM $ Collected </t>
  </si>
  <si>
    <t>Incentive Disbursements</t>
  </si>
  <si>
    <t>% of Total Incentive Disbursements</t>
  </si>
  <si>
    <t>Residential CLM $ Collected</t>
  </si>
  <si>
    <t>% of Total Residential CLM $ Collected</t>
  </si>
  <si>
    <t>Residential Incentive Disbursements</t>
  </si>
  <si>
    <t xml:space="preserve">% of Total Residential Incentive Disbursements </t>
  </si>
  <si>
    <t>C&amp;I CLM $ Collected</t>
  </si>
  <si>
    <t>% of Total C&amp;I CLM $ Collected</t>
  </si>
  <si>
    <t>C&amp;I Incentive Disbursements</t>
  </si>
  <si>
    <t xml:space="preserve">% of TotalC&amp;I Incentive Disbursements </t>
  </si>
  <si>
    <t xml:space="preserve">Affluence Rank </t>
  </si>
  <si>
    <t>BIPOC Index</t>
  </si>
  <si>
    <t>Energy Burdened?</t>
  </si>
  <si>
    <t>Ratio of Billed Collects to Incentives</t>
  </si>
  <si>
    <t>ANDOVER</t>
  </si>
  <si>
    <t>ASHFORD</t>
  </si>
  <si>
    <t>AVON</t>
  </si>
  <si>
    <t>BARKHAMSTED</t>
  </si>
  <si>
    <t>BEACON FALLS</t>
  </si>
  <si>
    <t>BERLIN</t>
  </si>
  <si>
    <t>BETHANY</t>
  </si>
  <si>
    <t>BETHEL</t>
  </si>
  <si>
    <t>BETHLEHEM</t>
  </si>
  <si>
    <t>BLOOMFIELD</t>
  </si>
  <si>
    <t>BOLTON</t>
  </si>
  <si>
    <t>BRANFORD</t>
  </si>
  <si>
    <t>BRIDGEWATER</t>
  </si>
  <si>
    <t>BRISTOL</t>
  </si>
  <si>
    <t>BROOKFIELD</t>
  </si>
  <si>
    <t>BROOKLYN</t>
  </si>
  <si>
    <t>BURLINGTON</t>
  </si>
  <si>
    <t>CANAAN</t>
  </si>
  <si>
    <t>CANTERBURY</t>
  </si>
  <si>
    <t>CANTON</t>
  </si>
  <si>
    <t>CHAPLIN</t>
  </si>
  <si>
    <t>CHESHIRE</t>
  </si>
  <si>
    <t>CHESTER</t>
  </si>
  <si>
    <t>CLINTON</t>
  </si>
  <si>
    <t>COLCHESTER</t>
  </si>
  <si>
    <t>COLEBROOK</t>
  </si>
  <si>
    <t>COLUMBIA</t>
  </si>
  <si>
    <t>CORNWALL</t>
  </si>
  <si>
    <t>COVENTRY</t>
  </si>
  <si>
    <t>CROMWELL</t>
  </si>
  <si>
    <t>DANBURY</t>
  </si>
  <si>
    <t>DARIEN</t>
  </si>
  <si>
    <t>DEEP RIVER</t>
  </si>
  <si>
    <t>DURHAM</t>
  </si>
  <si>
    <t>EAST GRANBY</t>
  </si>
  <si>
    <t>EAST HADDAM</t>
  </si>
  <si>
    <t>EAST HAMPTON</t>
  </si>
  <si>
    <t>EAST HARTFORD</t>
  </si>
  <si>
    <t>EAST LYME</t>
  </si>
  <si>
    <t>EAST WINDSOR</t>
  </si>
  <si>
    <t>EASTFORD</t>
  </si>
  <si>
    <t>ELLINGTON</t>
  </si>
  <si>
    <t>ENFIELD</t>
  </si>
  <si>
    <t>ESSEX</t>
  </si>
  <si>
    <t>FARMINGTON</t>
  </si>
  <si>
    <t>FRANKLIN</t>
  </si>
  <si>
    <t>GLASTONBURY</t>
  </si>
  <si>
    <t>GOSHEN</t>
  </si>
  <si>
    <t>GRANBY</t>
  </si>
  <si>
    <t>GREENWICH</t>
  </si>
  <si>
    <t>GRISWOLD</t>
  </si>
  <si>
    <t>GROTON</t>
  </si>
  <si>
    <t>GUILFORD</t>
  </si>
  <si>
    <t>HADDAM</t>
  </si>
  <si>
    <t>HAMPTON</t>
  </si>
  <si>
    <t>HARTLAND</t>
  </si>
  <si>
    <t>HARWINTON</t>
  </si>
  <si>
    <t>HEBRON</t>
  </si>
  <si>
    <t>KENT</t>
  </si>
  <si>
    <t>KILLINGLY</t>
  </si>
  <si>
    <t>KILLINGWORTH</t>
  </si>
  <si>
    <t>LEBANON</t>
  </si>
  <si>
    <t>LEDYARD</t>
  </si>
  <si>
    <t>LISBON</t>
  </si>
  <si>
    <t>LITCHFIELD</t>
  </si>
  <si>
    <t>LYME</t>
  </si>
  <si>
    <t>MADISON</t>
  </si>
  <si>
    <t>MANCHESTER</t>
  </si>
  <si>
    <t>MANSFIELD</t>
  </si>
  <si>
    <t>MARLBOROUGH</t>
  </si>
  <si>
    <t>MIDDLEBURY</t>
  </si>
  <si>
    <t>MIDDLEFIELD</t>
  </si>
  <si>
    <t>MIDDLETOWN</t>
  </si>
  <si>
    <t>MONROE</t>
  </si>
  <si>
    <t>MONTVILLE</t>
  </si>
  <si>
    <t>MORRIS</t>
  </si>
  <si>
    <t>NAUGATUCK</t>
  </si>
  <si>
    <t>NEW CANAAN</t>
  </si>
  <si>
    <t>NEW FAIRFIELD</t>
  </si>
  <si>
    <t>NEW HARTFORD</t>
  </si>
  <si>
    <t>NEW LONDON</t>
  </si>
  <si>
    <t>NEW MILFORD</t>
  </si>
  <si>
    <t>NEWINGTON</t>
  </si>
  <si>
    <t>NEWTOWN</t>
  </si>
  <si>
    <t>NORFOLK</t>
  </si>
  <si>
    <t>NORTH CANAAN</t>
  </si>
  <si>
    <t>NORTH STONINGTON</t>
  </si>
  <si>
    <t>NORWALK</t>
  </si>
  <si>
    <t>OLD LYME</t>
  </si>
  <si>
    <t>OLD SAYBROOK</t>
  </si>
  <si>
    <t>OXFORD</t>
  </si>
  <si>
    <t>PLAINFIELD</t>
  </si>
  <si>
    <t>PLAINVILLE</t>
  </si>
  <si>
    <t>PLYMOUTH</t>
  </si>
  <si>
    <t>POMFRET</t>
  </si>
  <si>
    <t>PORTLAND</t>
  </si>
  <si>
    <t>PRESTON</t>
  </si>
  <si>
    <t>PROSPECT</t>
  </si>
  <si>
    <t>PUTNAM</t>
  </si>
  <si>
    <t>REDDING</t>
  </si>
  <si>
    <t>RIDGEFIELD</t>
  </si>
  <si>
    <t>ROCKY HILL</t>
  </si>
  <si>
    <t>ROXBURY</t>
  </si>
  <si>
    <t>SALEM</t>
  </si>
  <si>
    <t>SALISBURY</t>
  </si>
  <si>
    <t>SCOTLAND</t>
  </si>
  <si>
    <t>SEYMOUR</t>
  </si>
  <si>
    <t>SHARON</t>
  </si>
  <si>
    <t>SHERMAN</t>
  </si>
  <si>
    <t>SIMSBURY</t>
  </si>
  <si>
    <t>SOMERS</t>
  </si>
  <si>
    <t>SOUTH WINDSOR</t>
  </si>
  <si>
    <t>SOUTHBURY</t>
  </si>
  <si>
    <t>SOUTHINGTON</t>
  </si>
  <si>
    <t>SPRAGUE</t>
  </si>
  <si>
    <t>STAFFORD</t>
  </si>
  <si>
    <t>STERLING</t>
  </si>
  <si>
    <t>STONINGTON</t>
  </si>
  <si>
    <t>SUFFIELD</t>
  </si>
  <si>
    <t>THOMASTON</t>
  </si>
  <si>
    <t>THOMPSON</t>
  </si>
  <si>
    <t>TOLLAND</t>
  </si>
  <si>
    <t>TORRINGTON</t>
  </si>
  <si>
    <t>UNION</t>
  </si>
  <si>
    <t>VERNON</t>
  </si>
  <si>
    <t>VOLUNTOWN</t>
  </si>
  <si>
    <t>WARREN</t>
  </si>
  <si>
    <t>WASHINGTON</t>
  </si>
  <si>
    <t>WATERFORD</t>
  </si>
  <si>
    <t>WATERTOWN</t>
  </si>
  <si>
    <t>WEST HARTFORD</t>
  </si>
  <si>
    <t>WESTBROOK</t>
  </si>
  <si>
    <t>WESTON</t>
  </si>
  <si>
    <t>WESTPORT</t>
  </si>
  <si>
    <t>WETHERSFIELD</t>
  </si>
  <si>
    <t>WILLINGTON</t>
  </si>
  <si>
    <t>WILTON</t>
  </si>
  <si>
    <t>WINCHESTER</t>
  </si>
  <si>
    <t>WINDHAM</t>
  </si>
  <si>
    <t>WINDSOR</t>
  </si>
  <si>
    <t>WINDSOR LOCKS</t>
  </si>
  <si>
    <t>WOLCOTT</t>
  </si>
  <si>
    <t>WOODBURY</t>
  </si>
  <si>
    <t>WOODSTOCK</t>
  </si>
  <si>
    <t>Customers &gt;100kW</t>
  </si>
  <si>
    <t>Residential Customers</t>
  </si>
  <si>
    <t>Single Family</t>
  </si>
  <si>
    <t>2-4 Units</t>
  </si>
  <si>
    <t>&gt;4 Units</t>
  </si>
  <si>
    <t>Total Units2</t>
  </si>
  <si>
    <t xml:space="preserve">Single Family </t>
  </si>
  <si>
    <t xml:space="preserve"> 2-4 Units</t>
  </si>
  <si>
    <t xml:space="preserve">&gt;4 Units </t>
  </si>
  <si>
    <t xml:space="preserve">Incentives </t>
  </si>
  <si>
    <t xml:space="preserve">Total </t>
  </si>
  <si>
    <t>CT Electric Residential Terminations by Town</t>
  </si>
  <si>
    <t>Year</t>
  </si>
  <si>
    <t>Month</t>
  </si>
  <si>
    <t># Terminations</t>
  </si>
  <si>
    <t>Sum of # Terminations</t>
  </si>
  <si>
    <t>AMSTON</t>
  </si>
  <si>
    <t>WILLIMANTIC</t>
  </si>
  <si>
    <t>WINSTED</t>
  </si>
  <si>
    <t>BALLOUVILLE</t>
  </si>
  <si>
    <t>BALTIC</t>
  </si>
  <si>
    <t>TERRYVILLE</t>
  </si>
  <si>
    <t>DANIELSON</t>
  </si>
  <si>
    <t>BANTAM</t>
  </si>
  <si>
    <t>OAKVILLE</t>
  </si>
  <si>
    <t>STORRS</t>
  </si>
  <si>
    <t>SANDY HOOK</t>
  </si>
  <si>
    <t>PLANTSVILLE</t>
  </si>
  <si>
    <t>STAFFORD SPGS</t>
  </si>
  <si>
    <t>UNCASVILLE</t>
  </si>
  <si>
    <t>PAWCATUCK</t>
  </si>
  <si>
    <t>MYSTIC</t>
  </si>
  <si>
    <t>NIANTIC</t>
  </si>
  <si>
    <t>KENSINGTON</t>
  </si>
  <si>
    <t>BROAD BROOK</t>
  </si>
  <si>
    <t>MOOSUP</t>
  </si>
  <si>
    <t>COLLINSVILLE</t>
  </si>
  <si>
    <t>DAYVILLE</t>
  </si>
  <si>
    <t>OAKDALE</t>
  </si>
  <si>
    <t>GALES FERRY</t>
  </si>
  <si>
    <t>NORTH GROSVENORDALE</t>
  </si>
  <si>
    <t>QUAKER HILL</t>
  </si>
  <si>
    <t>UNIONVILLE</t>
  </si>
  <si>
    <t>HIGGANUM</t>
  </si>
  <si>
    <t>NORTH WINDHAM</t>
  </si>
  <si>
    <t>COS COB</t>
  </si>
  <si>
    <t>LAKEVILLE</t>
  </si>
  <si>
    <t>MOODUS</t>
  </si>
  <si>
    <t>WASHINGTON DEPOT</t>
  </si>
  <si>
    <t>WEATOGUE</t>
  </si>
  <si>
    <t>WEST REDDING</t>
  </si>
  <si>
    <t>RIVERSIDE</t>
  </si>
  <si>
    <t>SOUTH GLASTONBURY</t>
  </si>
  <si>
    <t>OLD GREENWICH</t>
  </si>
  <si>
    <t>TARIFFVILLE</t>
  </si>
  <si>
    <t>WAUREGAN</t>
  </si>
  <si>
    <t>MANSFIELD CTR</t>
  </si>
  <si>
    <t>CENTRAL VILLAGE</t>
  </si>
  <si>
    <t>IVORYTON</t>
  </si>
  <si>
    <t>ROGERS</t>
  </si>
  <si>
    <t>WEST SUFFIELD</t>
  </si>
  <si>
    <t>PLEASANT VALLEY</t>
  </si>
  <si>
    <t>WEST SIMSBURY</t>
  </si>
  <si>
    <t>CORNWALL BRG</t>
  </si>
  <si>
    <t>FALLS VILLAGE</t>
  </si>
  <si>
    <t>SOUTH KENT</t>
  </si>
  <si>
    <t>EAST KILLINGLY</t>
  </si>
  <si>
    <t>NORTHFIELD</t>
  </si>
  <si>
    <t>POMFRET CTR</t>
  </si>
  <si>
    <t>GAYLORDSVILLE</t>
  </si>
  <si>
    <t>NEW PRESTON</t>
  </si>
  <si>
    <t>SOUTH WINDHAM</t>
  </si>
  <si>
    <t>NORTH FRANKLIN</t>
  </si>
  <si>
    <t>QUINEBAUG</t>
  </si>
  <si>
    <t>EAST HARTLAND</t>
  </si>
  <si>
    <t>WEST CORNWALL</t>
  </si>
  <si>
    <t>CENTERBROOK</t>
  </si>
  <si>
    <t>EAST CANAAN</t>
  </si>
  <si>
    <t>GROSVENORDALE</t>
  </si>
  <si>
    <t>NORTH GRANBY</t>
  </si>
  <si>
    <t>WEST GRANBY</t>
  </si>
  <si>
    <t>EAST BERLIN</t>
  </si>
  <si>
    <t>MARION</t>
  </si>
  <si>
    <t>WOODSTOCK VLY</t>
  </si>
  <si>
    <t>OLD MYSTIC</t>
  </si>
  <si>
    <t>REDDING RIDGE</t>
  </si>
  <si>
    <t>ROCKFALL</t>
  </si>
  <si>
    <t>COBALT</t>
  </si>
  <si>
    <t>MIDDLE HADDAM</t>
  </si>
  <si>
    <t>ONECO</t>
  </si>
  <si>
    <t>PEQUABUCK</t>
  </si>
  <si>
    <t>PINE MEADOW</t>
  </si>
  <si>
    <t>WINCHESTER CENTER</t>
  </si>
  <si>
    <t>RIVERTON</t>
  </si>
  <si>
    <t>LAKESIDE</t>
  </si>
  <si>
    <t>VERSAILLES</t>
  </si>
  <si>
    <t>WEST HARTLAND</t>
  </si>
  <si>
    <t>HADDAM NECK</t>
  </si>
  <si>
    <t>HADLYME</t>
  </si>
  <si>
    <t>HANOVER</t>
  </si>
  <si>
    <t>NORTH BRANFORD</t>
  </si>
  <si>
    <t>WOODBRIDGE</t>
  </si>
  <si>
    <t>GEORGETOWN</t>
  </si>
  <si>
    <t>MILLDALE</t>
  </si>
  <si>
    <t>TACONIC</t>
  </si>
  <si>
    <t>WOODSTOCK VALLEY</t>
  </si>
  <si>
    <t>Note</t>
  </si>
  <si>
    <t>Equitable 3</t>
  </si>
  <si>
    <t>Easton</t>
  </si>
  <si>
    <t>Fairfield</t>
  </si>
  <si>
    <t>Trumbull</t>
  </si>
  <si>
    <t>BRIDGEPORT</t>
  </si>
  <si>
    <t>TRUMBULL</t>
  </si>
  <si>
    <t>ANSONIA</t>
  </si>
  <si>
    <t>Milford</t>
  </si>
  <si>
    <t>Shelton</t>
  </si>
  <si>
    <t>Ansonia</t>
  </si>
  <si>
    <t>Derby</t>
  </si>
  <si>
    <t>Orange</t>
  </si>
  <si>
    <t>DERBY</t>
  </si>
  <si>
    <t>Woodbridge</t>
  </si>
  <si>
    <t>NEW HAVEN</t>
  </si>
  <si>
    <t>EAST HAVEN</t>
  </si>
  <si>
    <t>HAMDEN</t>
  </si>
  <si>
    <t>MILFORD</t>
  </si>
  <si>
    <t>NORTH HAVEN</t>
  </si>
  <si>
    <t>ORANGE</t>
  </si>
  <si>
    <t>SHELTON</t>
  </si>
  <si>
    <t>STRATFORD</t>
  </si>
  <si>
    <t>WEST HAVEN</t>
  </si>
  <si>
    <t>North Haven</t>
  </si>
  <si>
    <t>North Branford</t>
  </si>
  <si>
    <t>EASTON</t>
  </si>
  <si>
    <t>2-4 Units2</t>
  </si>
  <si>
    <t xml:space="preserve">Shuttoff/Arrearages </t>
  </si>
  <si>
    <t>Total per Town</t>
  </si>
  <si>
    <t>FAIRFIELD</t>
  </si>
  <si>
    <t>SOUTHPORT</t>
  </si>
  <si>
    <t>Monthly Totals</t>
  </si>
  <si>
    <t>Table 1: Housing Cost Data</t>
  </si>
  <si>
    <t>Table 2: Housing Rank Calculations</t>
  </si>
  <si>
    <t>NAME</t>
  </si>
  <si>
    <t>S2503_C01_013E</t>
  </si>
  <si>
    <t>S2503_C01_024E</t>
  </si>
  <si>
    <t>Housing Cost as a Percent of Income</t>
  </si>
  <si>
    <t>Housing Cost Percentile</t>
  </si>
  <si>
    <t>Housing Cost Rank on abolsute housing cost</t>
  </si>
  <si>
    <t>!Median household income (dollars)</t>
  </si>
  <si>
    <t xml:space="preserve">MONTHLY HOUSING COSTS!!Median </t>
  </si>
  <si>
    <t>Directions: Copy Census Tracts and data to rank</t>
  </si>
  <si>
    <t>Census Tract 7029 New London County Connecticut</t>
  </si>
  <si>
    <t>Census Tract 703 Fairfield County Connecticut</t>
  </si>
  <si>
    <t>Sort by smallest to largest</t>
  </si>
  <si>
    <t>Census Tract 4701 Hartford County Connecticut</t>
  </si>
  <si>
    <t>Census Tract 3501 New Haven County Connecticut</t>
  </si>
  <si>
    <t>Calculation</t>
  </si>
  <si>
    <t>Census Tract 2984 Litchfield County Connecticut</t>
  </si>
  <si>
    <t>Census Tract 1402 New Haven County Connecticut</t>
  </si>
  <si>
    <t>To import to main table, use Vlookup to make sure census tracts match</t>
  </si>
  <si>
    <t>Census Tract 2983 Litchfield County Connecticut</t>
  </si>
  <si>
    <t>Census Tract 5416 Middlesex County Connecticut</t>
  </si>
  <si>
    <t>Census Tract 4926 Hartford County Connecticut</t>
  </si>
  <si>
    <t>Census Tract 1426.03 New Haven County Connecticut</t>
  </si>
  <si>
    <t>Census Tract 4974 Hartford County Connecticut</t>
  </si>
  <si>
    <t>Census Tract 5009 Hartford County Connecticut</t>
  </si>
  <si>
    <t>Census Tract 7131 New London County Connecticut</t>
  </si>
  <si>
    <t>Census Tract 738 Fairfield County Connecticut</t>
  </si>
  <si>
    <t>Census Tract 4714 Hartford County Connecticut</t>
  </si>
  <si>
    <t>Census Tract 716 Fairfield County Connecticut</t>
  </si>
  <si>
    <t>Census Tract 4812 Hartford County Connecticut</t>
  </si>
  <si>
    <t>Census Tract 5012 Hartford County Connecticut</t>
  </si>
  <si>
    <t>Census Tract 9025 Windham County Connecticut</t>
  </si>
  <si>
    <t>Census Tract 5018 Hartford County Connecticut</t>
  </si>
  <si>
    <t>Census Tract 2621 Litchfield County Connecticut</t>
  </si>
  <si>
    <t>Census Tract 3504 New Haven County Connecticut</t>
  </si>
  <si>
    <t>Census Tract 4808 Hartford County Connecticut</t>
  </si>
  <si>
    <t>Census Tract 5030 Hartford County Connecticut</t>
  </si>
  <si>
    <t>Census Tract 8902.01 Tolland County Connecticut</t>
  </si>
  <si>
    <t>Census Tract 5014 Hartford County Connecticut</t>
  </si>
  <si>
    <t>Census Tract 6937 New London County Connecticut</t>
  </si>
  <si>
    <t>Census Tract 706 Fairfield County Connecticut</t>
  </si>
  <si>
    <t>Census Tract 5601 Middlesex County Connecticut</t>
  </si>
  <si>
    <t>Census Tract 5027 Hartford County Connecticut</t>
  </si>
  <si>
    <t>Census Tract 3432 New Haven County Connecticut</t>
  </si>
  <si>
    <t>Census Tract 712 Fairfield County Connecticut</t>
  </si>
  <si>
    <t>Census Tract 3433 New Haven County Connecticut</t>
  </si>
  <si>
    <t>Census Tract 5003 Hartford County Connecticut</t>
  </si>
  <si>
    <t>Census Tract 4809 Hartford County Connecticut</t>
  </si>
  <si>
    <t>Census Tract 705 Fairfield County Connecticut</t>
  </si>
  <si>
    <t>Census Tract 7161.02 New London County Connecticut</t>
  </si>
  <si>
    <t>Census Tract 8703 New London County Connecticut</t>
  </si>
  <si>
    <t>Census Tract 4622.02 Hartford County Connecticut</t>
  </si>
  <si>
    <t>Census Tract 5002 Hartford County Connecticut</t>
  </si>
  <si>
    <t>Census Tract 9022 Windham County Connecticut</t>
  </si>
  <si>
    <t>Census Tract 3505 New Haven County Connecticut</t>
  </si>
  <si>
    <t>Census Tract 4661.02 Hartford County Connecticut</t>
  </si>
  <si>
    <t>Census Tract 5042 Hartford County Connecticut</t>
  </si>
  <si>
    <t>Census Tract 2961 Litchfield County Connecticut</t>
  </si>
  <si>
    <t>Census Tract 5043 Hartford County Connecticut</t>
  </si>
  <si>
    <t>Census Tract 4976 Hartford County Connecticut</t>
  </si>
  <si>
    <t>Census Tract 5038 Hartford County Connecticut</t>
  </si>
  <si>
    <t>Census Tract 6909 New London County Connecticut</t>
  </si>
  <si>
    <t>Census Tract 1415 New Haven County Connecticut</t>
  </si>
  <si>
    <t>Census Tract 5021 Hartford County Connecticut</t>
  </si>
  <si>
    <t>Census Tract 3503 New Haven County Connecticut</t>
  </si>
  <si>
    <t>Census Tract 4734 Hartford County Connecticut</t>
  </si>
  <si>
    <t>Census Tract 8003 Windham County Connecticut</t>
  </si>
  <si>
    <t>Census Tract 606 Fairfield County Connecticut</t>
  </si>
  <si>
    <t>Census Tract 713 Fairfield County Connecticut</t>
  </si>
  <si>
    <t>Census Tract 4304 Hartford County Connecticut</t>
  </si>
  <si>
    <t>Census Tract 1406 New Haven County Connecticut</t>
  </si>
  <si>
    <t>Census Tract 3001 Litchfield County Connecticut</t>
  </si>
  <si>
    <t>Census Tract 5017 Hartford County Connecticut</t>
  </si>
  <si>
    <t>Census Tract 4661.01 Hartford County Connecticut</t>
  </si>
  <si>
    <t>Census Tract 6905 New London County Connecticut</t>
  </si>
  <si>
    <t>Census Tract 3434 New Haven County Connecticut</t>
  </si>
  <si>
    <t>Census Tract 5001 Hartford County Connecticut</t>
  </si>
  <si>
    <t>Census Tract 8601 Tolland County Connecticut</t>
  </si>
  <si>
    <t>Census Tract 4159 Hartford County Connecticut</t>
  </si>
  <si>
    <t>Census Tract 1713 New Haven County Connecticut</t>
  </si>
  <si>
    <t>Census Tract 1709 New Haven County Connecticut</t>
  </si>
  <si>
    <t>Census Tract 1717 New Haven County Connecticut</t>
  </si>
  <si>
    <t>Census Tract 1405 New Haven County Connecticut</t>
  </si>
  <si>
    <t>Census Tract 6601.02 New London County Connecticut</t>
  </si>
  <si>
    <t>Census Tract 1408 New Haven County Connecticut</t>
  </si>
  <si>
    <t>Census Tract 1758 New Haven County Connecticut</t>
  </si>
  <si>
    <t>Census Tract 4171 Hartford County Connecticut</t>
  </si>
  <si>
    <t>Census Tract 4969 Hartford County Connecticut</t>
  </si>
  <si>
    <t>Census Tract 5013 Hartford County Connecticut</t>
  </si>
  <si>
    <t>Census Tract 1654 New Haven County Connecticut</t>
  </si>
  <si>
    <t>Census Tract 8812 Tolland County Connecticut</t>
  </si>
  <si>
    <t>Census Tract 4253 Litchfield County Connecticut</t>
  </si>
  <si>
    <t>Census Tract 5031 Hartford County Connecticut</t>
  </si>
  <si>
    <t>Census Tract 4622.01 Hartford County Connecticut</t>
  </si>
  <si>
    <t>Census Tract 4161 Hartford County Connecticut</t>
  </si>
  <si>
    <t>Census Tract 5205.01 Hartford County Connecticut</t>
  </si>
  <si>
    <t>Census Tract 1407 New Haven County Connecticut</t>
  </si>
  <si>
    <t>Census Tract 1756 New Haven County Connecticut</t>
  </si>
  <si>
    <t>Census Tract 1701 New Haven County Connecticut</t>
  </si>
  <si>
    <t>Census Tract 9002 Windham County Connecticut</t>
  </si>
  <si>
    <t>Census Tract 4166 Hartford County Connecticut</t>
  </si>
  <si>
    <t>Census Tract 4970 Hartford County Connecticut</t>
  </si>
  <si>
    <t>Census Tract 3522 New Haven County Connecticut</t>
  </si>
  <si>
    <t>Census Tract 4964 Hartford County Connecticut</t>
  </si>
  <si>
    <t>Census Tract 5028 Hartford County Connecticut</t>
  </si>
  <si>
    <t>Census Tract 4052 Hartford County Connecticut</t>
  </si>
  <si>
    <t>Census Tract 3502 New Haven County Connecticut</t>
  </si>
  <si>
    <t>Census Tract 3106.02 Litchfield County Connecticut</t>
  </si>
  <si>
    <t>Census Tract 5024 Hartford County Connecticut</t>
  </si>
  <si>
    <t>Census Tract 8707.04 New London County Connecticut</t>
  </si>
  <si>
    <t>Census Tract 5015 Hartford County Connecticut</t>
  </si>
  <si>
    <t>Census Tract 5243 Hartford County Connecticut</t>
  </si>
  <si>
    <t>Census Tract 5417 Middlesex County Connecticut</t>
  </si>
  <si>
    <t>Census Tract 4002 Hartford County Connecticut</t>
  </si>
  <si>
    <t>Census Tract 3614.01 New Haven County Connecticut</t>
  </si>
  <si>
    <t>Census Tract 732 Fairfield County Connecticut</t>
  </si>
  <si>
    <t>Census Tract 5045 Hartford County Connecticut</t>
  </si>
  <si>
    <t>Census Tract 5382.01 Tolland County Connecticut</t>
  </si>
  <si>
    <t>Census Tract 3517 New Haven County Connecticut</t>
  </si>
  <si>
    <t>Census Tract 9032 Windham County Connecticut</t>
  </si>
  <si>
    <t>Census Tract 1416 New Haven County Connecticut</t>
  </si>
  <si>
    <t>Census Tract 7024 New London County Connecticut</t>
  </si>
  <si>
    <t>Census Tract 4172 Hartford County Connecticut</t>
  </si>
  <si>
    <t>Census Tract 5201 Hartford County Connecticut</t>
  </si>
  <si>
    <t>Census Tract 1409 New Haven County Connecticut</t>
  </si>
  <si>
    <t>Census Tract 5414.02 Middlesex County Connecticut</t>
  </si>
  <si>
    <t>Census Tract 4153 Hartford County Connecticut</t>
  </si>
  <si>
    <t>Census Tract 7054 New London County Connecticut</t>
  </si>
  <si>
    <t>Census Tract 4155 Hartford County Connecticut</t>
  </si>
  <si>
    <t>Census Tract 3431.02 New Haven County Connecticut</t>
  </si>
  <si>
    <t>Census Tract 4806 Hartford County Connecticut</t>
  </si>
  <si>
    <t>Census Tract 5281 Tolland County Connecticut</t>
  </si>
  <si>
    <t>Census Tract 5004 Hartford County Connecticut</t>
  </si>
  <si>
    <t>Census Tract 5242 Hartford County Connecticut</t>
  </si>
  <si>
    <t>Census Tract 1403 New Haven County Connecticut</t>
  </si>
  <si>
    <t>Census Tract 112 Fairfield County Connecticut</t>
  </si>
  <si>
    <t>Census Tract 5033 Hartford County Connecticut</t>
  </si>
  <si>
    <t>Census Tract 1760 New Haven County Connecticut</t>
  </si>
  <si>
    <t>Census Tract 733 Fairfield County Connecticut</t>
  </si>
  <si>
    <t>Census Tract 4762 Hartford County Connecticut</t>
  </si>
  <si>
    <t>Census Tract 736 Fairfield County Connecticut</t>
  </si>
  <si>
    <t>Census Tract 5152 Hartford County Connecticut</t>
  </si>
  <si>
    <t>Census Tract 3514 New Haven County Connecticut</t>
  </si>
  <si>
    <t>Census Tract 5331.01 Tolland County Connecticut</t>
  </si>
  <si>
    <t>Census Tract 3511 New Haven County Connecticut</t>
  </si>
  <si>
    <t>Census Tract 9011 Windham County Connecticut</t>
  </si>
  <si>
    <t>Census Tract 5035 Hartford County Connecticut</t>
  </si>
  <si>
    <t>Census Tract 4771.02 Hartford County Connecticut</t>
  </si>
  <si>
    <t>Census Tract 739 Fairfield County Connecticut</t>
  </si>
  <si>
    <t>Census Tract 4621.01 Hartford County Connecticut</t>
  </si>
  <si>
    <t>Census Tract 5411 Middlesex County Connecticut</t>
  </si>
  <si>
    <t>Census Tract 8707.03 New London County Connecticut</t>
  </si>
  <si>
    <t>Census Tract 704 Fairfield County Connecticut</t>
  </si>
  <si>
    <t>Census Tract 4621.02 Hartford County Connecticut</t>
  </si>
  <si>
    <t>Census Tract 1710 New Haven County Connecticut</t>
  </si>
  <si>
    <t>Census Tract 4603.01 Hartford County Connecticut</t>
  </si>
  <si>
    <t>Census Tract 4162 Hartford County Connecticut</t>
  </si>
  <si>
    <t>Census Tract 4736.01 Hartford County Connecticut</t>
  </si>
  <si>
    <t>Census Tract 709 Fairfield County Connecticut</t>
  </si>
  <si>
    <t>Census Tract 4255 Litchfield County Connecticut</t>
  </si>
  <si>
    <t>Census Tract 8006 Windham County Connecticut</t>
  </si>
  <si>
    <t>Census Tract 4942.02 Hartford County Connecticut</t>
  </si>
  <si>
    <t>Census Tract 1424 New Haven County Connecticut</t>
  </si>
  <si>
    <t>Census Tract 4813 Hartford County Connecticut</t>
  </si>
  <si>
    <t>Census Tract 5246 Hartford County Connecticut</t>
  </si>
  <si>
    <t>Census Tract 4771.01 Hartford County Connecticut</t>
  </si>
  <si>
    <t>Census Tract 1413 New Haven County Connecticut</t>
  </si>
  <si>
    <t>Census Tract 4305 Hartford County Connecticut</t>
  </si>
  <si>
    <t>Census Tract 5026 Hartford County Connecticut</t>
  </si>
  <si>
    <t>Census Tract 4841 Hartford County Connecticut</t>
  </si>
  <si>
    <t>Census Tract 3508 New Haven County Connecticut</t>
  </si>
  <si>
    <t>Census Tract 4302.01 Hartford County Connecticut</t>
  </si>
  <si>
    <t>Census Tract 5041 Hartford County Connecticut</t>
  </si>
  <si>
    <t>Census Tract 7101 New London County Connecticut</t>
  </si>
  <si>
    <t>Census Tract 5037 Hartford County Connecticut</t>
  </si>
  <si>
    <t>Census Tract 4054.02 Hartford County Connecticut</t>
  </si>
  <si>
    <t>Census Tract 5104 Hartford County Connecticut</t>
  </si>
  <si>
    <t>Census Tract 4663 Hartford County Connecticut</t>
  </si>
  <si>
    <t>Census Tract 4163 Hartford County Connecticut</t>
  </si>
  <si>
    <t>Census Tract 4965 Hartford County Connecticut</t>
  </si>
  <si>
    <t>Census Tract 1423 New Haven County Connecticut</t>
  </si>
  <si>
    <t>Census Tract 3301 Hartford County Connecticut</t>
  </si>
  <si>
    <t>Census Tract 3512 New Haven County Connecticut</t>
  </si>
  <si>
    <t>Census Tract 446 Fairfield County Connecticut</t>
  </si>
  <si>
    <t>Census Tract 731 Fairfield County Connecticut</t>
  </si>
  <si>
    <t>Census Tract 3441 New Haven County Connecticut</t>
  </si>
  <si>
    <t>Census Tract 735 Fairfield County Connecticut</t>
  </si>
  <si>
    <t>Census Tract 1653 New Haven County Connecticut</t>
  </si>
  <si>
    <t>Census Tract 5049 Hartford County Connecticut</t>
  </si>
  <si>
    <t>Census Tract 7151 New London County Connecticut</t>
  </si>
  <si>
    <t>Census Tract 1254 New Haven County Connecticut</t>
  </si>
  <si>
    <t>Census Tract 4872.01 Hartford County Connecticut</t>
  </si>
  <si>
    <t>Census Tract 5025 Hartford County Connecticut</t>
  </si>
  <si>
    <t>Census Tract 7091 New London County Connecticut</t>
  </si>
  <si>
    <t>Census Tract 740 Fairfield County Connecticut</t>
  </si>
  <si>
    <t>Census Tract 4973 Hartford County Connecticut</t>
  </si>
  <si>
    <t>Census Tract 7025 New London County Connecticut</t>
  </si>
  <si>
    <t>Census Tract 5331.02 Tolland County Connecticut</t>
  </si>
  <si>
    <t>Census Tract 737 Fairfield County Connecticut</t>
  </si>
  <si>
    <t>Census Tract 3004 Litchfield County Connecticut</t>
  </si>
  <si>
    <t>Census Tract 3102 Litchfield County Connecticut</t>
  </si>
  <si>
    <t>Census Tract 4641.01 Hartford County Connecticut</t>
  </si>
  <si>
    <t>Census Tract 714 Fairfield County Connecticut</t>
  </si>
  <si>
    <t>Census Tract 7141.03 New London County Connecticut</t>
  </si>
  <si>
    <t>Census Tract 1412 New Haven County Connecticut</t>
  </si>
  <si>
    <t>Census Tract 1755 New Haven County Connecticut</t>
  </si>
  <si>
    <t>Census Tract 743 Fairfield County Connecticut</t>
  </si>
  <si>
    <t>Census Tract 5149 Hartford County Connecticut</t>
  </si>
  <si>
    <t>Census Tract 6903 New London County Connecticut</t>
  </si>
  <si>
    <t>Census Tract 7053 New London County Connecticut</t>
  </si>
  <si>
    <t>Census Tract 2101 Fairfield County Connecticut</t>
  </si>
  <si>
    <t>Census Tract 4963 Hartford County Connecticut</t>
  </si>
  <si>
    <t>Census Tract 5106 Hartford County Connecticut</t>
  </si>
  <si>
    <t>Census Tract 3104 Litchfield County Connecticut</t>
  </si>
  <si>
    <t>Census Tract 1551 New Haven County Connecticut</t>
  </si>
  <si>
    <t>Census Tract 1105 Fairfield County Connecticut</t>
  </si>
  <si>
    <t>Census Tract 4160 Hartford County Connecticut</t>
  </si>
  <si>
    <t>Census Tract 4059 Hartford County Connecticut</t>
  </si>
  <si>
    <t>Census Tract 1427 New Haven County Connecticut</t>
  </si>
  <si>
    <t>Census Tract 6935 New London County Connecticut</t>
  </si>
  <si>
    <t>Census Tract 5245.01 Hartford County Connecticut</t>
  </si>
  <si>
    <t>Census Tract 4174 Hartford County Connecticut</t>
  </si>
  <si>
    <t>Census Tract 1425 New Haven County Connecticut</t>
  </si>
  <si>
    <t>Census Tract 4101.02 Hartford County Connecticut</t>
  </si>
  <si>
    <t>Census Tract 3103 Litchfield County Connecticut</t>
  </si>
  <si>
    <t>Census Tract 5351 Tolland County Connecticut</t>
  </si>
  <si>
    <t>Census Tract 1703 New Haven County Connecticut</t>
  </si>
  <si>
    <t>Census Tract 5202.02 Hartford County Connecticut</t>
  </si>
  <si>
    <t>Census Tract 702 Fairfield County Connecticut</t>
  </si>
  <si>
    <t>Census Tract 7121 New London County Connecticut</t>
  </si>
  <si>
    <t>Census Tract 1404 New Haven County Connecticut</t>
  </si>
  <si>
    <t>Census Tract 6952.02 New London County Connecticut</t>
  </si>
  <si>
    <t>Census Tract 719 Fairfield County Connecticut</t>
  </si>
  <si>
    <t>Census Tract 1106 Fairfield County Connecticut</t>
  </si>
  <si>
    <t>Census Tract 3526 New Haven County Connecticut</t>
  </si>
  <si>
    <t>Census Tract 3108.04 Litchfield County Connecticut</t>
  </si>
  <si>
    <t>Census Tract 215 Fairfield County Connecticut</t>
  </si>
  <si>
    <t>Census Tract 4874 Hartford County Connecticut</t>
  </si>
  <si>
    <t>Census Tract 4057 Hartford County Connecticut</t>
  </si>
  <si>
    <t>Census Tract 7030 New London County Connecticut</t>
  </si>
  <si>
    <t>Census Tract 5029 Hartford County Connecticut</t>
  </si>
  <si>
    <t>Census Tract 103 Fairfield County Connecticut</t>
  </si>
  <si>
    <t>Census Tract 6961 New London County Connecticut</t>
  </si>
  <si>
    <t>Census Tract 6802 Middlesex County Connecticut</t>
  </si>
  <si>
    <t>Census Tract 1702 New Haven County Connecticut</t>
  </si>
  <si>
    <t>Census Tract 7012 New London County Connecticut</t>
  </si>
  <si>
    <t>Census Tract 5147 Hartford County Connecticut</t>
  </si>
  <si>
    <t>Census Tract 5303.02 Tolland County Connecticut</t>
  </si>
  <si>
    <t>Census Tract 3523 New Haven County Connecticut</t>
  </si>
  <si>
    <t>Census Tract 4872.02 Hartford County Connecticut</t>
  </si>
  <si>
    <t>Census Tract 3513 New Haven County Connecticut</t>
  </si>
  <si>
    <t>Census Tract 3452.02 New Haven County Connecticut</t>
  </si>
  <si>
    <t>Census Tract 2107.01 Fairfield County Connecticut</t>
  </si>
  <si>
    <t>Census Tract 5202.01 Hartford County Connecticut</t>
  </si>
  <si>
    <t>Census Tract 1421 New Haven County Connecticut</t>
  </si>
  <si>
    <t>Census Tract 8902.02 Tolland County Connecticut</t>
  </si>
  <si>
    <t>Census Tract 1202 New Haven County Connecticut</t>
  </si>
  <si>
    <t>Census Tract 3603 Litchfield County Connecticut</t>
  </si>
  <si>
    <t>Census Tract 5102 Hartford County Connecticut</t>
  </si>
  <si>
    <t>Census Tract 1843 New Haven County Connecticut</t>
  </si>
  <si>
    <t>Census Tract 5005 Hartford County Connecticut</t>
  </si>
  <si>
    <t>Census Tract 1759 New Haven County Connecticut</t>
  </si>
  <si>
    <t>Census Tract 4154 Hartford County Connecticut</t>
  </si>
  <si>
    <t>Census Tract 6966 New London County Connecticut</t>
  </si>
  <si>
    <t>Census Tract 1545 New Haven County Connecticut</t>
  </si>
  <si>
    <t>Census Tract 1712 New Haven County Connecticut</t>
  </si>
  <si>
    <t>Census Tract 4061 Hartford County Connecticut</t>
  </si>
  <si>
    <t>Census Tract 3481.11 New Haven County Connecticut</t>
  </si>
  <si>
    <t>Census Tract 5244 Hartford County Connecticut</t>
  </si>
  <si>
    <t>Census Tract 4060.02 Hartford County Connecticut</t>
  </si>
  <si>
    <t>Census Tract 8007 Windham County Connecticut</t>
  </si>
  <si>
    <t>Census Tract 7021 New London County Connecticut</t>
  </si>
  <si>
    <t>Census Tract 1252 New Haven County Connecticut</t>
  </si>
  <si>
    <t>Census Tract 3061 Litchfield County Connecticut</t>
  </si>
  <si>
    <t>Census Tract 4167 Hartford County Connecticut</t>
  </si>
  <si>
    <t>Census Tract 1846 New Haven County Connecticut</t>
  </si>
  <si>
    <t>Census Tract 6964 New London County Connecticut</t>
  </si>
  <si>
    <t>Census Tract 701 Fairfield County Connecticut</t>
  </si>
  <si>
    <t>Census Tract 8813 Tolland County Connecticut</t>
  </si>
  <si>
    <t>Census Tract 4810 Hartford County Connecticut</t>
  </si>
  <si>
    <t>Census Tract 214 Fairfield County Connecticut</t>
  </si>
  <si>
    <t>Census Tract 5701 Middlesex County Connecticut</t>
  </si>
  <si>
    <t>Census Tract 5113 Hartford County Connecticut</t>
  </si>
  <si>
    <t>Census Tract 102.02 Fairfield County Connecticut</t>
  </si>
  <si>
    <t>Census Tract 744 Fairfield County Connecticut</t>
  </si>
  <si>
    <t>Census Tract 4681.01 Hartford County Connecticut</t>
  </si>
  <si>
    <t>Census Tract 6970 New London County Connecticut</t>
  </si>
  <si>
    <t>Census Tract 2931 Litchfield County Connecticut</t>
  </si>
  <si>
    <t>Census Tract 1715 New Haven County Connecticut</t>
  </si>
  <si>
    <t>Census Tract 4003 Hartford County Connecticut</t>
  </si>
  <si>
    <t>Census Tract 1546 New Haven County Connecticut</t>
  </si>
  <si>
    <t>Census Tract 5420 Middlesex County Connecticut</t>
  </si>
  <si>
    <t>Census Tract 1714 New Haven County Connecticut</t>
  </si>
  <si>
    <t>Census Tract 504 Fairfield County Connecticut</t>
  </si>
  <si>
    <t>Census Tract 6968 New London County Connecticut</t>
  </si>
  <si>
    <t>Census Tract 4921 Hartford County Connecticut</t>
  </si>
  <si>
    <t>Census Tract 710 Fairfield County Connecticut</t>
  </si>
  <si>
    <t>Census Tract 3471 New Haven County Connecticut</t>
  </si>
  <si>
    <t>Census Tract 1655 New Haven County Connecticut</t>
  </si>
  <si>
    <t>Census Tract 102.01 Fairfield County Connecticut</t>
  </si>
  <si>
    <t>Census Tract 711 Fairfield County Connecticut</t>
  </si>
  <si>
    <t>Census Tract 4966 Hartford County Connecticut</t>
  </si>
  <si>
    <t>Census Tract 6967 New London County Connecticut</t>
  </si>
  <si>
    <t>Census Tract 1652 New Haven County Connecticut</t>
  </si>
  <si>
    <t>Census Tract 1803 New Haven County Connecticut</t>
  </si>
  <si>
    <t>Census Tract 5261.02 Tolland County Connecticut</t>
  </si>
  <si>
    <t>Census Tract 4158 Hartford County Connecticut</t>
  </si>
  <si>
    <t>Census Tract 4977 Hartford County Connecticut</t>
  </si>
  <si>
    <t>Census Tract 3108.03 Litchfield County Connecticut</t>
  </si>
  <si>
    <t>Census Tract 4945 Hartford County Connecticut</t>
  </si>
  <si>
    <t>Census Tract 5302 Tolland County Connecticut</t>
  </si>
  <si>
    <t>Census Tract 5203.01 Hartford County Connecticut</t>
  </si>
  <si>
    <t>Census Tract 4156 Hartford County Connecticut</t>
  </si>
  <si>
    <t>Census Tract 5951.02 Middlesex County Connecticut</t>
  </si>
  <si>
    <t>Census Tract 6907 New London County Connecticut</t>
  </si>
  <si>
    <t>Census Tract 5261.01 Tolland County Connecticut</t>
  </si>
  <si>
    <t>Census Tract 5039 Hartford County Connecticut</t>
  </si>
  <si>
    <t>Census Tract 4662.01 Hartford County Connecticut</t>
  </si>
  <si>
    <t>Census Tract 3614.02 New Haven County Connecticut</t>
  </si>
  <si>
    <t>Census Tract 5352 Tolland County Connecticut</t>
  </si>
  <si>
    <t>Census Tract 722 Fairfield County Connecticut</t>
  </si>
  <si>
    <t>Census Tract 1901 New Haven County Connecticut</t>
  </si>
  <si>
    <t>Census Tract 4303.01 Hartford County Connecticut</t>
  </si>
  <si>
    <t>Census Tract 4157 Hartford County Connecticut</t>
  </si>
  <si>
    <t>Census Tract 6963 New London County Connecticut</t>
  </si>
  <si>
    <t>Census Tract 5023 Hartford County Connecticut</t>
  </si>
  <si>
    <t>Census Tract 109 Fairfield County Connecticut</t>
  </si>
  <si>
    <t>Census Tract 3516.01 New Haven County Connecticut</t>
  </si>
  <si>
    <t>Census Tract 6936 New London County Connecticut</t>
  </si>
  <si>
    <t>Census Tract 5112 Hartford County Connecticut</t>
  </si>
  <si>
    <t>Census Tract 4735.02 Hartford County Connecticut</t>
  </si>
  <si>
    <t>Census Tract 6904 New London County Connecticut</t>
  </si>
  <si>
    <t>Census Tract 8502 Tolland County Connecticut</t>
  </si>
  <si>
    <t>Census Tract 3527.01 New Haven County Connecticut</t>
  </si>
  <si>
    <t>Census Tract 110 Fairfield County Connecticut</t>
  </si>
  <si>
    <t>Census Tract 3524 New Haven County Connecticut</t>
  </si>
  <si>
    <t>Census Tract 302 Fairfield County Connecticut</t>
  </si>
  <si>
    <t>Census Tract 2102 Fairfield County Connecticut</t>
  </si>
  <si>
    <t>Census Tract 5151.01 Hartford County Connecticut</t>
  </si>
  <si>
    <t>Census Tract 4060.01 Hartford County Connecticut</t>
  </si>
  <si>
    <t>Census Tract 5204 Hartford County Connecticut</t>
  </si>
  <si>
    <t>Census Tract 2572 Fairfield County Connecticut</t>
  </si>
  <si>
    <t>Census Tract 5851 Middlesex County Connecticut</t>
  </si>
  <si>
    <t>Census Tract 3525 New Haven County Connecticut</t>
  </si>
  <si>
    <t>Census Tract 8701 New London County Connecticut</t>
  </si>
  <si>
    <t>Census Tract 1420 New Haven County Connecticut</t>
  </si>
  <si>
    <t>Census Tract 501 Fairfield County Connecticut</t>
  </si>
  <si>
    <t>Census Tract 6908 New London County Connecticut</t>
  </si>
  <si>
    <t>Census Tract 4302.03 Hartford County Connecticut</t>
  </si>
  <si>
    <t>Census Tract 1414 New Haven County Connecticut</t>
  </si>
  <si>
    <t>Census Tract 5301 Tolland County Connecticut</t>
  </si>
  <si>
    <t>Census Tract 440 Fairfield County Connecticut</t>
  </si>
  <si>
    <t>Census Tract 1711 New Haven County Connecticut</t>
  </si>
  <si>
    <t>Census Tract 804 Fairfield County Connecticut</t>
  </si>
  <si>
    <t>Census Tract 1506 New Haven County Connecticut</t>
  </si>
  <si>
    <t>Census Tract 7092 New London County Connecticut</t>
  </si>
  <si>
    <t>Census Tract 4871 Hartford County Connecticut</t>
  </si>
  <si>
    <t>Census Tract 1253 New Haven County Connecticut</t>
  </si>
  <si>
    <t>Census Tract 6962 New London County Connecticut</t>
  </si>
  <si>
    <t>Census Tract 728 Fairfield County Connecticut</t>
  </si>
  <si>
    <t>Census Tract 8250 Windham County Connecticut</t>
  </si>
  <si>
    <t>Census Tract 5103 Hartford County Connecticut</t>
  </si>
  <si>
    <t>Census Tract 3612 New Haven County Connecticut</t>
  </si>
  <si>
    <t>Census Tract 720 Fairfield County Connecticut</t>
  </si>
  <si>
    <t>Census Tract 3107 Litchfield County Connecticut</t>
  </si>
  <si>
    <t>Census Tract 734 Fairfield County Connecticut</t>
  </si>
  <si>
    <t>Census Tract 3454 New Haven County Connecticut</t>
  </si>
  <si>
    <t>Census Tract 5146 Hartford County Connecticut</t>
  </si>
  <si>
    <t>Census Tract 1757 New Haven County Connecticut</t>
  </si>
  <si>
    <t>Census Tract 5148 Hartford County Connecticut</t>
  </si>
  <si>
    <t>Census Tract 5382.02 Tolland County Connecticut</t>
  </si>
  <si>
    <t>Census Tract 9045 Windham County Connecticut</t>
  </si>
  <si>
    <t>Census Tract 8707.01 New London County Connecticut</t>
  </si>
  <si>
    <t>Census Tract 3518 New Haven County Connecticut</t>
  </si>
  <si>
    <t>Census Tract 4001 Hartford County Connecticut</t>
  </si>
  <si>
    <t>Census Tract 8815 Tolland County Connecticut</t>
  </si>
  <si>
    <t>Census Tract 4944 Hartford County Connecticut</t>
  </si>
  <si>
    <t>Census Tract 5105 Hartford County Connecticut</t>
  </si>
  <si>
    <t>Census Tract 3201 Litchfield County Connecticut</t>
  </si>
  <si>
    <t>Census Tract 3105 Litchfield County Connecticut</t>
  </si>
  <si>
    <t>Census Tract 1501 New Haven County Connecticut</t>
  </si>
  <si>
    <t>Census Tract 5048 Hartford County Connecticut</t>
  </si>
  <si>
    <t>Census Tract 5801 Middlesex County Connecticut</t>
  </si>
  <si>
    <t>Census Tract 4165 Hartford County Connecticut</t>
  </si>
  <si>
    <t>Census Tract 4207 Hartford County Connecticut</t>
  </si>
  <si>
    <t>Census Tract 5303.01 Tolland County Connecticut</t>
  </si>
  <si>
    <t>Census Tract 8301 Windham County Connecticut</t>
  </si>
  <si>
    <t>Census Tract 1708 New Haven County Connecticut</t>
  </si>
  <si>
    <t>Census Tract 9061 Windham County Connecticut</t>
  </si>
  <si>
    <t>Census Tract 3528 New Haven County Connecticut</t>
  </si>
  <si>
    <t>Census Tract 604 Fairfield County Connecticut</t>
  </si>
  <si>
    <t>Census Tract 442 Fairfield County Connecticut</t>
  </si>
  <si>
    <t>Census Tract 6601.01 New London County Connecticut</t>
  </si>
  <si>
    <t>Census Tract 1418 New Haven County Connecticut</t>
  </si>
  <si>
    <t>Census Tract 4681.02 Hartford County Connecticut</t>
  </si>
  <si>
    <t>Census Tract 2106 Fairfield County Connecticut</t>
  </si>
  <si>
    <t>Census Tract 4164 Hartford County Connecticut</t>
  </si>
  <si>
    <t>Census Tract 3510 New Haven County Connecticut</t>
  </si>
  <si>
    <t>Census Tract 4101.01 Hartford County Connecticut</t>
  </si>
  <si>
    <t>Census Tract 2536 Litchfield County Connecticut</t>
  </si>
  <si>
    <t>Census Tract 7011 New London County Connecticut</t>
  </si>
  <si>
    <t>Census Tract 5040 Hartford County Connecticut</t>
  </si>
  <si>
    <t>Census Tract 4942.01 Hartford County Connecticut</t>
  </si>
  <si>
    <t>Census Tract 1426.01 New Haven County Connecticut</t>
  </si>
  <si>
    <t>Census Tract 4903.02 Hartford County Connecticut</t>
  </si>
  <si>
    <t>Census Tract 5415 Middlesex County Connecticut</t>
  </si>
  <si>
    <t>Census Tract 1753 New Haven County Connecticut</t>
  </si>
  <si>
    <t>Census Tract 8702 New London County Connecticut</t>
  </si>
  <si>
    <t>Census Tract 9073 Windham County Connecticut</t>
  </si>
  <si>
    <t>Census Tract 721 Fairfield County Connecticut</t>
  </si>
  <si>
    <t>Census Tract 4256 Litchfield County Connecticut</t>
  </si>
  <si>
    <t>Census Tract 7027 New London County Connecticut</t>
  </si>
  <si>
    <t>Census Tract 9001 Windham County Connecticut</t>
  </si>
  <si>
    <t>Census Tract 3515 New Haven County Connecticut</t>
  </si>
  <si>
    <t>Census Tract 4206 Hartford County Connecticut</t>
  </si>
  <si>
    <t>Census Tract 1542 New Haven County Connecticut</t>
  </si>
  <si>
    <t>Census Tract 4055 Hartford County Connecticut</t>
  </si>
  <si>
    <t>Census Tract 4306.01 Hartford County Connecticut</t>
  </si>
  <si>
    <t>Census Tract 208 Fairfield County Connecticut</t>
  </si>
  <si>
    <t>Census Tract 2107.02 Fairfield County Connecticut</t>
  </si>
  <si>
    <t>Census Tract 2901 Litchfield County Connecticut</t>
  </si>
  <si>
    <t>Census Tract 2531 Litchfield County Connecticut</t>
  </si>
  <si>
    <t>Census Tract 6933 New London County Connecticut</t>
  </si>
  <si>
    <t>Census Tract 9031 Windham County Connecticut</t>
  </si>
  <si>
    <t>Census Tract 3101 Litchfield County Connecticut</t>
  </si>
  <si>
    <t>Census Tract 7051.02 New London County Connecticut</t>
  </si>
  <si>
    <t>Census Tract 4972 Hartford County Connecticut</t>
  </si>
  <si>
    <t>Census Tract 1706 New Haven County Connecticut</t>
  </si>
  <si>
    <t>Census Tract 4735.01 Hartford County Connecticut</t>
  </si>
  <si>
    <t>Census Tract 3521 New Haven County Connecticut</t>
  </si>
  <si>
    <t>Census Tract 6301 Middlesex County Connecticut</t>
  </si>
  <si>
    <t>Census Tract 5245.02 Hartford County Connecticut</t>
  </si>
  <si>
    <t>Census Tract 5150 Hartford County Connecticut</t>
  </si>
  <si>
    <t>Census Tract 3108.01 Litchfield County Connecticut</t>
  </si>
  <si>
    <t>Census Tract 2681 Litchfield County Connecticut</t>
  </si>
  <si>
    <t>Census Tract 9044 Windham County Connecticut</t>
  </si>
  <si>
    <t>Census Tract 8501 Tolland County Connecticut</t>
  </si>
  <si>
    <t>Census Tract 3615 New Haven County Connecticut</t>
  </si>
  <si>
    <t>Census Tract 1716 New Haven County Connecticut</t>
  </si>
  <si>
    <t>Census Tract 4807 Hartford County Connecticut</t>
  </si>
  <si>
    <t>Census Tract 1673 New Haven County Connecticut</t>
  </si>
  <si>
    <t>Census Tract 5107 Hartford County Connecticut</t>
  </si>
  <si>
    <t>Census Tract 5151.02 Hartford County Connecticut</t>
  </si>
  <si>
    <t>Census Tract 1704 New Haven County Connecticut</t>
  </si>
  <si>
    <t>Census Tract 221 Fairfield County Connecticut</t>
  </si>
  <si>
    <t>Census Tract 1509 New Haven County Connecticut</t>
  </si>
  <si>
    <t>Census Tract 8005 Windham County Connecticut</t>
  </si>
  <si>
    <t>Census Tract 1602 New Haven County Connecticut</t>
  </si>
  <si>
    <t>Census Tract 445 Fairfield County Connecticut</t>
  </si>
  <si>
    <t>Census Tract 205 Fairfield County Connecticut</t>
  </si>
  <si>
    <t>Census Tract 1101 Fairfield County Connecticut</t>
  </si>
  <si>
    <t>Census Tract 8200 Windham County Connecticut</t>
  </si>
  <si>
    <t>Census Tract 4967 Hartford County Connecticut</t>
  </si>
  <si>
    <t>Census Tract 202 Fairfield County Connecticut</t>
  </si>
  <si>
    <t>Census Tract 724 Fairfield County Connecticut</t>
  </si>
  <si>
    <t>Census Tract 552 Fairfield County Connecticut</t>
  </si>
  <si>
    <t>Census Tract 5108 Hartford County Connecticut</t>
  </si>
  <si>
    <t>Census Tract 5141.01 Hartford County Connecticut</t>
  </si>
  <si>
    <t>Census Tract 3481.24 New Haven County Connecticut</t>
  </si>
  <si>
    <t>Census Tract 2501 Litchfield County Connecticut</t>
  </si>
  <si>
    <t>Census Tract 6965 New London County Connecticut</t>
  </si>
  <si>
    <t>Census Tract 1507 New Haven County Connecticut</t>
  </si>
  <si>
    <t>Census Tract 4053 Hartford County Connecticut</t>
  </si>
  <si>
    <t>Census Tract 4601 Hartford County Connecticut</t>
  </si>
  <si>
    <t>Census Tract 3516.02 New Haven County Connecticut</t>
  </si>
  <si>
    <t>Census Tract 5111 Hartford County Connecticut</t>
  </si>
  <si>
    <t>Census Tract 4961 Hartford County Connecticut</t>
  </si>
  <si>
    <t>Census Tract 4603.02 Hartford County Connecticut</t>
  </si>
  <si>
    <t>Census Tract 4842 Hartford County Connecticut</t>
  </si>
  <si>
    <t>Census Tract 5304 Tolland County Connecticut</t>
  </si>
  <si>
    <t>Census Tract 2103 Fairfield County Connecticut</t>
  </si>
  <si>
    <t>Census Tract 4303.02 Hartford County Connecticut</t>
  </si>
  <si>
    <t>Census Tract 4662.02 Hartford County Connecticut</t>
  </si>
  <si>
    <t>Census Tract 1752 New Haven County Connecticut</t>
  </si>
  <si>
    <t>Census Tract 2632 Litchfield County Connecticut</t>
  </si>
  <si>
    <t>Census Tract 1656 New Haven County Connecticut</t>
  </si>
  <si>
    <t>Census Tract 1660.02 New Haven County Connecticut</t>
  </si>
  <si>
    <t>Census Tract 107 Fairfield County Connecticut</t>
  </si>
  <si>
    <t>Census Tract 7052 New London County Connecticut</t>
  </si>
  <si>
    <t>Census Tract 8004 Windham County Connecticut</t>
  </si>
  <si>
    <t>Census Tract 2671 Litchfield County Connecticut</t>
  </si>
  <si>
    <t>Census Tract 1841 New Haven County Connecticut</t>
  </si>
  <si>
    <t>Census Tract 2112 Fairfield County Connecticut</t>
  </si>
  <si>
    <t>Census Tract 2002 Fairfield County Connecticut</t>
  </si>
  <si>
    <t>Census Tract 1903.01 New Haven County Connecticut</t>
  </si>
  <si>
    <t>Census Tract 8901 Tolland County Connecticut</t>
  </si>
  <si>
    <t>Census Tract 5702 Middlesex County Connecticut</t>
  </si>
  <si>
    <t>Census Tract 4205 Hartford County Connecticut</t>
  </si>
  <si>
    <t>Census Tract 5602 Middlesex County Connecticut</t>
  </si>
  <si>
    <t>Census Tract 4761 Hartford County Connecticut</t>
  </si>
  <si>
    <t>Census Tract 506 Fairfield County Connecticut</t>
  </si>
  <si>
    <t>Census Tract 3461.01 New Haven County Connecticut</t>
  </si>
  <si>
    <t>Census Tract 2602 Litchfield County Connecticut</t>
  </si>
  <si>
    <t>Census Tract 3613 New Haven County Connecticut</t>
  </si>
  <si>
    <t>Census Tract 4175 Hartford County Connecticut</t>
  </si>
  <si>
    <t>Census Tract 5101 Hartford County Connecticut</t>
  </si>
  <si>
    <t>Census Tract 5144 Hartford County Connecticut</t>
  </si>
  <si>
    <t>Census Tract 1401 New Haven County Connecticut</t>
  </si>
  <si>
    <t>Census Tract 4168 Hartford County Connecticut</t>
  </si>
  <si>
    <t>Census Tract 6101 Middlesex County Connecticut</t>
  </si>
  <si>
    <t>United States</t>
  </si>
  <si>
    <t>Census Tract 1802 New Haven County Connecticut</t>
  </si>
  <si>
    <t>Census Tract 3431.01 New Haven County Connecticut</t>
  </si>
  <si>
    <t>Census Tract 5421 Middlesex County Connecticut</t>
  </si>
  <si>
    <t>Census Tract 4922 Hartford County Connecticut</t>
  </si>
  <si>
    <t>Census Tract 4763 Hartford County Connecticut</t>
  </si>
  <si>
    <t>Census Tract 2453 Fairfield County Connecticut</t>
  </si>
  <si>
    <t>Census Tract 726 Fairfield County Connecticut</t>
  </si>
  <si>
    <t>Census Tract 1601 New Haven County Connecticut</t>
  </si>
  <si>
    <t>Census Tract 4056 Hartford County Connecticut</t>
  </si>
  <si>
    <t>Census Tract 1754 New Haven County Connecticut</t>
  </si>
  <si>
    <t>Census Tract 5142 Hartford County Connecticut</t>
  </si>
  <si>
    <t>Census Tract 4941 Hartford County Connecticut</t>
  </si>
  <si>
    <t>Census Tract 6934 New London County Connecticut</t>
  </si>
  <si>
    <t>Census Tract 2452 Fairfield County Connecticut</t>
  </si>
  <si>
    <t>Census Tract 4712 Hartford County Connecticut</t>
  </si>
  <si>
    <t>Census Tract 1751 New Haven County Connecticut</t>
  </si>
  <si>
    <t>Census Tract 201 Fairfield County Connecticut</t>
  </si>
  <si>
    <t>Census Tract 106 Fairfield County Connecticut</t>
  </si>
  <si>
    <t>Census Tract 1806.01 New Haven County Connecticut</t>
  </si>
  <si>
    <t>Census Tract 1102.01 Fairfield County Connecticut</t>
  </si>
  <si>
    <t>Census Tract 729 Fairfield County Connecticut</t>
  </si>
  <si>
    <t>Census Tract 5412 Middlesex County Connecticut</t>
  </si>
  <si>
    <t>Census Tract 3604 Litchfield County Connecticut</t>
  </si>
  <si>
    <t>Census Tract 4602.02 Hartford County Connecticut</t>
  </si>
  <si>
    <t>Census Tract 1550 New Haven County Connecticut</t>
  </si>
  <si>
    <t>Census Tract 7141.04 New London County Connecticut</t>
  </si>
  <si>
    <t>Census Tract 5203.02 Hartford County Connecticut</t>
  </si>
  <si>
    <t>Census Tract 209 Fairfield County Connecticut</t>
  </si>
  <si>
    <t>Census Tract 5241 Hartford County Connecticut</t>
  </si>
  <si>
    <t>Census Tract 3451 New Haven County Connecticut</t>
  </si>
  <si>
    <t>Census Tract 1707 New Haven County Connecticut</t>
  </si>
  <si>
    <t>Census Tract 1842 New Haven County Connecticut</t>
  </si>
  <si>
    <t>Census Tract 3202 Litchfield County Connecticut</t>
  </si>
  <si>
    <t>Census Tract 1671 New Haven County Connecticut</t>
  </si>
  <si>
    <t>Census Tract 6102 Middlesex County Connecticut</t>
  </si>
  <si>
    <t>Census Tract 6201 Middlesex County Connecticut</t>
  </si>
  <si>
    <t>Census Tract 3492 Litchfield County Connecticut</t>
  </si>
  <si>
    <t>Census Tract 7081 New London County Connecticut</t>
  </si>
  <si>
    <t>Census Tract 723 Fairfield County Connecticut</t>
  </si>
  <si>
    <t>Census Tract 6952.01 New London County Connecticut</t>
  </si>
  <si>
    <t>Census Tract 725 Fairfield County Connecticut</t>
  </si>
  <si>
    <t>Census Tract 4772 Hartford County Connecticut</t>
  </si>
  <si>
    <t>Census Tract 9072 Windham County Connecticut</t>
  </si>
  <si>
    <t>Census Tract 1504 New Haven County Connecticut</t>
  </si>
  <si>
    <t>Census Tract 601 Fairfield County Connecticut</t>
  </si>
  <si>
    <t>Census Tract 4901 Hartford County Connecticut</t>
  </si>
  <si>
    <t>Census Tract 1410 New Haven County Connecticut</t>
  </si>
  <si>
    <t>Census Tract 3481.25 New Haven County Connecticut</t>
  </si>
  <si>
    <t>Census Tract 1001 Fairfield County Connecticut</t>
  </si>
  <si>
    <t>Census Tract 5413 Middlesex County Connecticut</t>
  </si>
  <si>
    <t>Census Tract 6501 New London County Connecticut</t>
  </si>
  <si>
    <t>Census Tract 1201 New Haven County Connecticut</t>
  </si>
  <si>
    <t>Census Tract 2611 Litchfield County Connecticut</t>
  </si>
  <si>
    <t>Census Tract 810 Fairfield County Connecticut</t>
  </si>
  <si>
    <t>Census Tract 5143 Hartford County Connecticut</t>
  </si>
  <si>
    <t>Census Tract 219 Fairfield County Connecticut</t>
  </si>
  <si>
    <t>Census Tract 5502.02 Middlesex County Connecticut</t>
  </si>
  <si>
    <t>Census Tract 5901 Middlesex County Connecticut</t>
  </si>
  <si>
    <t>Census Tract 8705.02 New London County Connecticut</t>
  </si>
  <si>
    <t>Census Tract 5501 Middlesex County Connecticut</t>
  </si>
  <si>
    <t>Census Tract 3453 New Haven County Connecticut</t>
  </si>
  <si>
    <t>Census Tract 3481.22 New Haven County Connecticut</t>
  </si>
  <si>
    <t>Census Tract 8401 Tolland County Connecticut</t>
  </si>
  <si>
    <t>Census Tract 1571 New Haven County Connecticut</t>
  </si>
  <si>
    <t>Census Tract 4924 Hartford County Connecticut</t>
  </si>
  <si>
    <t>Census Tract 1301.01 New Haven County Connecticut</t>
  </si>
  <si>
    <t>Census Tract 2451 Fairfield County Connecticut</t>
  </si>
  <si>
    <t>Census Tract 1541 New Haven County Connecticut</t>
  </si>
  <si>
    <t>Census Tract 4805 Hartford County Connecticut</t>
  </si>
  <si>
    <t>Census Tract 1422 New Haven County Connecticut</t>
  </si>
  <si>
    <t>Census Tract 9041 Windham County Connecticut</t>
  </si>
  <si>
    <t>Census Tract 7141.01 New London County Connecticut</t>
  </si>
  <si>
    <t>Census Tract 1903.02 New Haven County Connecticut</t>
  </si>
  <si>
    <t>Census Tract 1801 New Haven County Connecticut</t>
  </si>
  <si>
    <t>Census Tract 4971 Hartford County Connecticut</t>
  </si>
  <si>
    <t>Census Tract 4923 Hartford County Connecticut</t>
  </si>
  <si>
    <t>Census Tract 503 Fairfield County Connecticut</t>
  </si>
  <si>
    <t>Census Tract 5703 Middlesex County Connecticut</t>
  </si>
  <si>
    <t>Census Tract 1705 New Haven County Connecticut</t>
  </si>
  <si>
    <t>Census Tract 7111 New London County Connecticut</t>
  </si>
  <si>
    <t>Census Tract 1573 New Haven County Connecticut</t>
  </si>
  <si>
    <t>Census Tract 3527.02 New Haven County Connecticut</t>
  </si>
  <si>
    <t>Census Tract 607 Fairfield County Connecticut</t>
  </si>
  <si>
    <t>Census Tract 4968 Hartford County Connecticut</t>
  </si>
  <si>
    <t>Census Tract 4803 Hartford County Connecticut</t>
  </si>
  <si>
    <t>Census Tract 2303 Fairfield County Connecticut</t>
  </si>
  <si>
    <t>Census Tract 218.02 Fairfield County Connecticut</t>
  </si>
  <si>
    <t>Census Tract 104 Fairfield County Connecticut</t>
  </si>
  <si>
    <t>Census Tract 1428 New Haven County Connecticut</t>
  </si>
  <si>
    <t>Census Tract 2305.01 Fairfield County Connecticut</t>
  </si>
  <si>
    <t>Census Tract 3601 Litchfield County Connecticut</t>
  </si>
  <si>
    <t>Census Tract 4875 Hartford County Connecticut</t>
  </si>
  <si>
    <t>Census Tract 5291 Tolland County Connecticut</t>
  </si>
  <si>
    <t>Census Tract 1658.01 New Haven County Connecticut</t>
  </si>
  <si>
    <t>Census Tract 3421 Litchfield County Connecticut</t>
  </si>
  <si>
    <t>Census Tract 8705.01 New London County Connecticut</t>
  </si>
  <si>
    <t>Census Tract 432 Fairfield County Connecticut</t>
  </si>
  <si>
    <t>Census Tract 4051 Hartford County Connecticut</t>
  </si>
  <si>
    <t>Census Tract 2302 Fairfield County Connecticut</t>
  </si>
  <si>
    <t>Census Tract 2454 Fairfield County Connecticut</t>
  </si>
  <si>
    <t>Census Tract 1549 New Haven County Connecticut</t>
  </si>
  <si>
    <t>Census Tract 2534 Litchfield County Connecticut</t>
  </si>
  <si>
    <t>Census Tract 444 Fairfield County Connecticut</t>
  </si>
  <si>
    <t>Census Tract 907 Fairfield County Connecticut</t>
  </si>
  <si>
    <t>Census Tract 8150 Windham County Connecticut</t>
  </si>
  <si>
    <t>Census Tract 9051 Windham County Connecticut</t>
  </si>
  <si>
    <t>Census Tract 802 Fairfield County Connecticut</t>
  </si>
  <si>
    <t>Census Tract 4301 Hartford County Connecticut</t>
  </si>
  <si>
    <t>Census Tract 2533 Litchfield County Connecticut</t>
  </si>
  <si>
    <t>Census Tract 1660.01 New Haven County Connecticut</t>
  </si>
  <si>
    <t>Census Tract 4731 Hartford County Connecticut</t>
  </si>
  <si>
    <t>Census Tract 5145 Hartford County Connecticut</t>
  </si>
  <si>
    <t>Census Tract 431 Fairfield County Connecticut</t>
  </si>
  <si>
    <t>Census Tract 1672.02 New Haven County Connecticut</t>
  </si>
  <si>
    <t>Census Tract 437 Fairfield County Connecticut</t>
  </si>
  <si>
    <t>Census Tract 3509 New Haven County Connecticut</t>
  </si>
  <si>
    <t>Census Tract 5306 Tolland County Connecticut</t>
  </si>
  <si>
    <t>Census Tract 1502 New Haven County Connecticut</t>
  </si>
  <si>
    <t>Census Tract 4736.02 Hartford County Connecticut</t>
  </si>
  <si>
    <t>Census Tract 5109 Hartford County Connecticut</t>
  </si>
  <si>
    <t>Census Tract 813 Fairfield County Connecticut</t>
  </si>
  <si>
    <t>Census Tract 7028 New London County Connecticut</t>
  </si>
  <si>
    <t>Census Tract 2305.02 Fairfield County Connecticut</t>
  </si>
  <si>
    <t>Census Tract 1301.02 New Haven County Connecticut</t>
  </si>
  <si>
    <t>Census Tract 4713 Hartford County Connecticut</t>
  </si>
  <si>
    <t>Census Tract 4058 Hartford County Connecticut</t>
  </si>
  <si>
    <t>Census Tract 3611 New Haven County Connecticut</t>
  </si>
  <si>
    <t>Census Tract 352 Fairfield County Connecticut</t>
  </si>
  <si>
    <t>Census Tract 806 Fairfield County Connecticut</t>
  </si>
  <si>
    <t>Census Tract 1942.02 New Haven County Connecticut</t>
  </si>
  <si>
    <t>Census Tract 2202 Fairfield County Connecticut</t>
  </si>
  <si>
    <t>Census Tract 5305 Tolland County Connecticut</t>
  </si>
  <si>
    <t>Census Tract 4737 Hartford County Connecticut</t>
  </si>
  <si>
    <t>Census Tract 441 Fairfield County Connecticut</t>
  </si>
  <si>
    <t>Census Tract 4804 Hartford County Connecticut</t>
  </si>
  <si>
    <t>Census Tract 1847 New Haven County Connecticut</t>
  </si>
  <si>
    <t>Census Tract 5110 Hartford County Connecticut</t>
  </si>
  <si>
    <t>Census Tract 801 Fairfield County Connecticut</t>
  </si>
  <si>
    <t>Census Tract 605 Fairfield County Connecticut</t>
  </si>
  <si>
    <t>Census Tract 9071 Windham County Connecticut</t>
  </si>
  <si>
    <t>Census Tract 1503 New Haven County Connecticut</t>
  </si>
  <si>
    <t>Census Tract 3005 Litchfield County Connecticut</t>
  </si>
  <si>
    <t>Census Tract 303 Fairfield County Connecticut</t>
  </si>
  <si>
    <t>Census Tract 7051.01 New London County Connecticut</t>
  </si>
  <si>
    <t>Census Tract 2053 Fairfield County Connecticut</t>
  </si>
  <si>
    <t>Census Tract 4946 Hartford County Connecticut</t>
  </si>
  <si>
    <t>Census Tract 4641.02 Hartford County Connecticut</t>
  </si>
  <si>
    <t>Census Tract 502 Fairfield County Connecticut</t>
  </si>
  <si>
    <t>Census Tract 4811 Hartford County Connecticut</t>
  </si>
  <si>
    <t>Census Tract 1426.04 New Haven County Connecticut</t>
  </si>
  <si>
    <t>Census Tract 3602 Litchfield County Connecticut</t>
  </si>
  <si>
    <t>Census Tract 807 Fairfield County Connecticut</t>
  </si>
  <si>
    <t>Census Tract 5414.01 Middlesex County Connecticut</t>
  </si>
  <si>
    <t>Census Tract 108 Fairfield County Connecticut</t>
  </si>
  <si>
    <t>Census Tract 1104 Fairfield County Connecticut</t>
  </si>
  <si>
    <t>Census Tract 4204 Hartford County Connecticut</t>
  </si>
  <si>
    <t>Census Tract 2571 Fairfield County Connecticut</t>
  </si>
  <si>
    <t>Census Tract 1103.01 Fairfield County Connecticut</t>
  </si>
  <si>
    <t>Census Tract 6702 Middlesex County Connecticut</t>
  </si>
  <si>
    <t>Census Tract 101.02 Fairfield County Connecticut</t>
  </si>
  <si>
    <t>Census Tract 438 Fairfield County Connecticut</t>
  </si>
  <si>
    <t>Census Tract 3621.02 Litchfield County Connecticut</t>
  </si>
  <si>
    <t>Census Tract 7023 New London County Connecticut</t>
  </si>
  <si>
    <t>Census Tract 611 Fairfield County Connecticut</t>
  </si>
  <si>
    <t>Census Tract 3621.01 Litchfield County Connecticut</t>
  </si>
  <si>
    <t>Census Tract 5951.01 Middlesex County Connecticut</t>
  </si>
  <si>
    <t>Census Tract 2108 Fairfield County Connecticut</t>
  </si>
  <si>
    <t>Census Tract 6001 Middlesex County Connecticut</t>
  </si>
  <si>
    <t>Census Tract 6701 Middlesex County Connecticut</t>
  </si>
  <si>
    <t>Census Tract 1657 New Haven County Connecticut</t>
  </si>
  <si>
    <t>Census Tract 5141.02 Hartford County Connecticut</t>
  </si>
  <si>
    <t>Census Tract 111 Fairfield County Connecticut</t>
  </si>
  <si>
    <t>Census Tract 4602.04 Hartford County Connecticut</t>
  </si>
  <si>
    <t>Census Tract 7001 New London County Connecticut</t>
  </si>
  <si>
    <t>Census Tract 5247 Hartford County Connecticut</t>
  </si>
  <si>
    <t>Census Tract 1611 New Haven County Connecticut</t>
  </si>
  <si>
    <t>Census Tract 505 Fairfield County Connecticut</t>
  </si>
  <si>
    <t>Census Tract 4711 Hartford County Connecticut</t>
  </si>
  <si>
    <t>Census Tract 4962 Hartford County Connecticut</t>
  </si>
  <si>
    <t>Census Tract 1102.02 Fairfield County Connecticut</t>
  </si>
  <si>
    <t>Census Tract 203 Fairfield County Connecticut</t>
  </si>
  <si>
    <t>Census Tract 3442 New Haven County Connecticut</t>
  </si>
  <si>
    <t>Census Tract 4302.02 Hartford County Connecticut</t>
  </si>
  <si>
    <t>Census Tract 727 Fairfield County Connecticut</t>
  </si>
  <si>
    <t>Census Tract 5422 Middlesex County Connecticut</t>
  </si>
  <si>
    <t>Census Tract 7071 New London County Connecticut</t>
  </si>
  <si>
    <t>Census Tract 1103.02 Fairfield County Connecticut</t>
  </si>
  <si>
    <t>Census Tract 4664 Hartford County Connecticut</t>
  </si>
  <si>
    <t>Census Tract 2455 Fairfield County Connecticut</t>
  </si>
  <si>
    <t>Census Tract 1806.02 New Haven County Connecticut</t>
  </si>
  <si>
    <t>Census Tract 2661 Litchfield County Connecticut</t>
  </si>
  <si>
    <t>Census Tract 3519 New Haven County Connecticut</t>
  </si>
  <si>
    <t>Census Tract 3031 Litchfield County Connecticut</t>
  </si>
  <si>
    <t>Census Tract 6104 Middlesex County Connecticut</t>
  </si>
  <si>
    <t>Census Tract 351 Fairfield County Connecticut</t>
  </si>
  <si>
    <t>Census Tract 1508 New Haven County Connecticut</t>
  </si>
  <si>
    <t>Census Tract 2104 Fairfield County Connecticut</t>
  </si>
  <si>
    <t>Census Tract 7161.01 New London County Connecticut</t>
  </si>
  <si>
    <t>Census Tract 210 Fairfield County Connecticut</t>
  </si>
  <si>
    <t>Census Tract 2001 Fairfield County Connecticut</t>
  </si>
  <si>
    <t>Census Tract 454 Fairfield County Connecticut</t>
  </si>
  <si>
    <t>Census Tract 3452.01 New Haven County Connecticut</t>
  </si>
  <si>
    <t>Census Tract 207 Fairfield County Connecticut</t>
  </si>
  <si>
    <t>Census Tract 1845 New Haven County Connecticut</t>
  </si>
  <si>
    <t>Census Tract 353 Fairfield County Connecticut</t>
  </si>
  <si>
    <t>Census Tract 434 Fairfield County Connecticut</t>
  </si>
  <si>
    <t>Census Tract 3520 New Haven County Connecticut</t>
  </si>
  <si>
    <t>Census Tract 5502.01 Middlesex County Connecticut</t>
  </si>
  <si>
    <t>Census Tract 2456 Fairfield County Connecticut</t>
  </si>
  <si>
    <t>Census Tract 1651 New Haven County Connecticut</t>
  </si>
  <si>
    <t>Census Tract 354 Fairfield County Connecticut</t>
  </si>
  <si>
    <t>Census Tract 1574 New Haven County Connecticut</t>
  </si>
  <si>
    <t>Census Tract 1861 New Haven County Connecticut</t>
  </si>
  <si>
    <t>Census Tract 9081 Windham County Connecticut</t>
  </si>
  <si>
    <t>Census Tract 2651 Litchfield County Connecticut</t>
  </si>
  <si>
    <t>Census Tract 4715 Hartford County Connecticut</t>
  </si>
  <si>
    <t>Census Tract 3481.23 New Haven County Connecticut</t>
  </si>
  <si>
    <t>Census Tract 610 Fairfield County Connecticut</t>
  </si>
  <si>
    <t>Census Tract 603 Fairfield County Connecticut</t>
  </si>
  <si>
    <t>Census Tract 1510 New Haven County Connecticut</t>
  </si>
  <si>
    <t>Census Tract 4738 Hartford County Connecticut</t>
  </si>
  <si>
    <t>Census Tract 4943 Hartford County Connecticut</t>
  </si>
  <si>
    <t>Census Tract 6401 Middlesex County Connecticut</t>
  </si>
  <si>
    <t>Census Tract 7026 New London County Connecticut</t>
  </si>
  <si>
    <t>Census Tract 6801 Middlesex County Connecticut</t>
  </si>
  <si>
    <t>Census Tract 608 Fairfield County Connecticut</t>
  </si>
  <si>
    <t>Census Tract 4602.03 Hartford County Connecticut</t>
  </si>
  <si>
    <t>Census Tract 4254 Litchfield County Connecticut</t>
  </si>
  <si>
    <t>Census Tract 616 Fairfield County Connecticut</t>
  </si>
  <si>
    <t>Census Tract 220 Fairfield County Connecticut</t>
  </si>
  <si>
    <t>Census Tract 301 Fairfield County Connecticut</t>
  </si>
  <si>
    <t>Census Tract 1941 New Haven County Connecticut</t>
  </si>
  <si>
    <t>Census Tract 2051 Fairfield County Connecticut</t>
  </si>
  <si>
    <t>Census Tract 223 Fairfield County Connecticut</t>
  </si>
  <si>
    <t>Census Tract 113 Fairfield County Connecticut</t>
  </si>
  <si>
    <t>Census Tract 3491 Litchfield County Connecticut</t>
  </si>
  <si>
    <t>Census Tract 4975 Hartford County Connecticut</t>
  </si>
  <si>
    <t>Census Tract 1805 New Haven County Connecticut</t>
  </si>
  <si>
    <t>Census Tract 4306.02 Hartford County Connecticut</t>
  </si>
  <si>
    <t>Census Tract 8811 Tolland County Connecticut</t>
  </si>
  <si>
    <t>Census Tract 5114 Hartford County Connecticut</t>
  </si>
  <si>
    <t>Census Tract 1844 New Haven County Connecticut</t>
  </si>
  <si>
    <t>Census Tract 435 Fairfield County Connecticut</t>
  </si>
  <si>
    <t>Census Tract 2114 Fairfield County Connecticut</t>
  </si>
  <si>
    <t>Census Tract 1903.03 New Haven County Connecticut</t>
  </si>
  <si>
    <t>Census Tract 612 Fairfield County Connecticut</t>
  </si>
  <si>
    <t>Census Tract 6103 Middlesex County Connecticut</t>
  </si>
  <si>
    <t>Census Tract 1804 New Haven County Connecticut</t>
  </si>
  <si>
    <t>Census Tract 812 Fairfield County Connecticut</t>
  </si>
  <si>
    <t>Census Tract 4054.01 Hartford County Connecticut</t>
  </si>
  <si>
    <t>Census Tract 2203 Fairfield County Connecticut</t>
  </si>
  <si>
    <t>Census Tract 615 Fairfield County Connecticut</t>
  </si>
  <si>
    <t>Census Tract 805 Fairfield County Connecticut</t>
  </si>
  <si>
    <t>Census Tract 3106.01 Litchfield County Connecticut</t>
  </si>
  <si>
    <t>Census Tract 2109 Fairfield County Connecticut</t>
  </si>
  <si>
    <t>Census Tract 433 Fairfield County Connecticut</t>
  </si>
  <si>
    <t>Census Tract 4925 Hartford County Connecticut</t>
  </si>
  <si>
    <t>Census Tract 1419 New Haven County Connecticut</t>
  </si>
  <si>
    <t>Census Tract 4873 Hartford County Connecticut</t>
  </si>
  <si>
    <t>Census Tract 1251 New Haven County Connecticut</t>
  </si>
  <si>
    <t>Census Tract 1302 New Haven County Connecticut</t>
  </si>
  <si>
    <t>Census Tract 2535 Litchfield County Connecticut</t>
  </si>
  <si>
    <t>Census Tract 212 Fairfield County Connecticut</t>
  </si>
  <si>
    <t>Census Tract 1512 New Haven County Connecticut</t>
  </si>
  <si>
    <t>Census Tract 1862 New Haven County Connecticut</t>
  </si>
  <si>
    <t>Census Tract 3472 New Haven County Connecticut</t>
  </si>
  <si>
    <t>Census Tract 3411 New Haven County Connecticut</t>
  </si>
  <si>
    <t>Census Tract 1902 New Haven County Connecticut</t>
  </si>
  <si>
    <t>Census Tract 211 Fairfield County Connecticut</t>
  </si>
  <si>
    <t>Census Tract 216 Fairfield County Connecticut</t>
  </si>
  <si>
    <t>Census Tract 3461.02 New Haven County Connecticut</t>
  </si>
  <si>
    <t>Census Tract 2301 Fairfield County Connecticut</t>
  </si>
  <si>
    <t>Census Tract 2401 Fairfield County Connecticut</t>
  </si>
  <si>
    <t>Census Tract 217 Fairfield County Connecticut</t>
  </si>
  <si>
    <t>Census Tract 904 Fairfield County Connecticut</t>
  </si>
  <si>
    <t>Census Tract 2003.01 Fairfield County Connecticut</t>
  </si>
  <si>
    <t>Census Tract 1547 New Haven County Connecticut</t>
  </si>
  <si>
    <t>Census Tract 1411 New Haven County Connecticut</t>
  </si>
  <si>
    <t>Census Tract 811 Fairfield County Connecticut</t>
  </si>
  <si>
    <t>Census Tract 1052 Fairfield County Connecticut</t>
  </si>
  <si>
    <t>Census Tract 1672.01 New Haven County Connecticut</t>
  </si>
  <si>
    <t>Census Tract 1548 New Haven County Connecticut</t>
  </si>
  <si>
    <t>Census Tract 1942.01 New Haven County Connecticut</t>
  </si>
  <si>
    <t>Census Tract 453 Fairfield County Connecticut</t>
  </si>
  <si>
    <t>Census Tract 427 Fairfield County Connecticut</t>
  </si>
  <si>
    <t>Census Tract 439 Fairfield County Connecticut</t>
  </si>
  <si>
    <t>Census Tract 436 Fairfield County Connecticut</t>
  </si>
  <si>
    <t>Census Tract 2304 Fairfield County Connecticut</t>
  </si>
  <si>
    <t>Census Tract 2110 Fairfield County Connecticut</t>
  </si>
  <si>
    <t>Census Tract 206 Fairfield County Connecticut</t>
  </si>
  <si>
    <t>Census Tract 1505 New Haven County Connecticut</t>
  </si>
  <si>
    <t>Census Tract 426 Fairfield County Connecticut</t>
  </si>
  <si>
    <t>Census Tract 1511 New Haven County Connecticut</t>
  </si>
  <si>
    <t>Census Tract 1572 New Haven County Connecticut</t>
  </si>
  <si>
    <t>Census Tract 2532 Litchfield County Connecticut</t>
  </si>
  <si>
    <t>Census Tract 218.01 Fairfield County Connecticut</t>
  </si>
  <si>
    <t>Census Tract 809 Fairfield County Connecticut</t>
  </si>
  <si>
    <t>Census Tract 808 Fairfield County Connecticut</t>
  </si>
  <si>
    <t>Census Tract 1051 Fairfield County Connecticut</t>
  </si>
  <si>
    <t>Census Tract 2105 Fairfield County Connecticut</t>
  </si>
  <si>
    <t>Census Tract 613 Fairfield County Connecticut</t>
  </si>
  <si>
    <t>Census Tract 901 Fairfield County Connecticut</t>
  </si>
  <si>
    <t>Census Tract 101.01 Fairfield County Connecticut</t>
  </si>
  <si>
    <t>Census Tract 614 Fairfield County Connecticut</t>
  </si>
  <si>
    <t>Census Tract 903 Fairfield County Connecticut</t>
  </si>
  <si>
    <t>Census Tract 730 Fairfield County Connecticut</t>
  </si>
  <si>
    <t>Census Tract 105 Fairfield County Connecticut</t>
  </si>
  <si>
    <t>Census Tract 905 Fairfield County Connecticut</t>
  </si>
  <si>
    <t>Census Tract 2003.02 Fairfield County Connecticut</t>
  </si>
  <si>
    <t>Census Tract 430 Fairfield County Connecticut</t>
  </si>
  <si>
    <t>Census Tract 222 Fairfield County Connecticut</t>
  </si>
  <si>
    <t>Census Tract 2201 Fairfield County Connecticut</t>
  </si>
  <si>
    <t>Census Tract 452 Fairfield County Connecticut</t>
  </si>
  <si>
    <t>Census Tract 2113 Fairfield County Connecticut</t>
  </si>
  <si>
    <t>Census Tract 451.01 Fairfield County Connecticut</t>
  </si>
  <si>
    <t>Census Tract 2052 Fairfield County Connecticut</t>
  </si>
  <si>
    <t>Census Tract 602 Fairfield County Connecticut</t>
  </si>
  <si>
    <t>Census Tract 609 Fairfield County Connecticut</t>
  </si>
  <si>
    <t>Census Tract 425 Fairfield County Connecticut</t>
  </si>
  <si>
    <t>Census Tract 443 Fairfield County Connecticut</t>
  </si>
  <si>
    <t>Census Tract 1658.02 New Haven County Connecticut</t>
  </si>
  <si>
    <t>Census Tract 1003 Fairfield County Connecticut</t>
  </si>
  <si>
    <t>Census Tract 204 Fairfield County Connecticut</t>
  </si>
  <si>
    <t>Census Tract 451.02 Fairfield County Connecticut</t>
  </si>
  <si>
    <t>Census Tract 551 Fairfield County Connecticut</t>
  </si>
  <si>
    <t>Census Tract 305 Fairfield County Connecticut</t>
  </si>
  <si>
    <t>Census Tract 1659 New Haven County Connecticut</t>
  </si>
  <si>
    <t>Census Tract 906 Fairfield County Connecticut</t>
  </si>
  <si>
    <t>Census Tract 213 Fairfield County Connecticut</t>
  </si>
  <si>
    <t>Census Tract 428 Fairfield County Connecticut</t>
  </si>
  <si>
    <t>Census Tract 224 Fairfield County Connecticut</t>
  </si>
  <si>
    <t>Census Tract 2402 Fairfield County Connecticut</t>
  </si>
  <si>
    <t>Census Tract 1002 Fairfield County Connecticut</t>
  </si>
  <si>
    <t>Census Tract 429 Fairfield County Connecticut</t>
  </si>
  <si>
    <t>Census Tract 902 Fairfield County Connecticut</t>
  </si>
  <si>
    <t>Census Tract 304 Fairfield County Connecticut</t>
  </si>
  <si>
    <t>Census Tract 2111 Fairfield County Connecticut</t>
  </si>
  <si>
    <t>Census Tract 4173 Hartford County Connecticut</t>
  </si>
  <si>
    <t>Census Tract 5007 Hartford County Connecticut</t>
  </si>
  <si>
    <t>Census Tract 5381 Tolland County Connecticut</t>
  </si>
  <si>
    <t>Census Tract 9800 Hartford County Connecticut</t>
  </si>
  <si>
    <t>Census Tract 9800 New London County Connecticut</t>
  </si>
  <si>
    <t>Census Tract 9900 Fairfield County Connecticut</t>
  </si>
  <si>
    <t>Census Tract 9900 New Haven County Connecticut</t>
  </si>
  <si>
    <t>Census Tract 9901 Middlesex County Connecticut</t>
  </si>
  <si>
    <t>Census Tract 9901 New London County Connecticut</t>
  </si>
  <si>
    <t>Adjusted income in thousands of dollars</t>
  </si>
  <si>
    <t>Percentile Rank</t>
  </si>
  <si>
    <t>Data from B</t>
  </si>
  <si>
    <t>Percentile Rank, With Function</t>
  </si>
  <si>
    <t>Median household income in the past 12 months (in 2019 inflation-adjusted dollars)</t>
  </si>
  <si>
    <t>Median Household Income Adjusted for Household Size</t>
  </si>
  <si>
    <t>Income Percentile Rank</t>
  </si>
  <si>
    <t>Reverse Income Percentile</t>
  </si>
  <si>
    <t>Reverse Income Rank</t>
  </si>
  <si>
    <t>Median Housing Cost, Census</t>
  </si>
  <si>
    <t>Housing Cost Rank</t>
  </si>
  <si>
    <t>Column B&amp;C are from the Census Website</t>
  </si>
  <si>
    <t>Column E is calculated with the formula (Household income/(Avg HH size^0.5))</t>
  </si>
  <si>
    <t>Column F is calculated with the RANK.EQ function</t>
  </si>
  <si>
    <t>(additional processing required; open file, copy data, transpose to rearrange)</t>
  </si>
  <si>
    <t>-</t>
  </si>
  <si>
    <t>3. $21.4M of Collections was diverted to the State of CT General Fund for 2019.</t>
  </si>
  <si>
    <t>2. CLM $ Collected includes the 3 Mill Customer Charge plus the Conservation Adjustment Mechanism (CAM) Charge.</t>
  </si>
  <si>
    <t>Less the State Diversion</t>
  </si>
  <si>
    <t xml:space="preserve">4. Incentives include all residential incentives and is not just inclusive of HES and HES-IE.   </t>
  </si>
  <si>
    <t>As collected</t>
  </si>
  <si>
    <t>Less of State Diversion</t>
  </si>
  <si>
    <t>1. Distressed Tracts are tracts that are less than or equal to 60% of the State Median Income and 100% Distressed (Source - AppGeo).</t>
  </si>
  <si>
    <t>3. $5.35M of UI Collections were diverted to the State of CT General Fund for 2019.</t>
  </si>
  <si>
    <t>East Haven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</si>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</sst>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quot;$&quot;#,##0.00_);[Red]\(&quot;$&quot;#,##0.00\)"/>
    <numFmt numFmtId="42" formatCode="_(&quot;$&quot;* #,##0_);_(&quot;$&quot;* \(#,##0\);_(&quot;$&quot;* &quot;-&quot;_);_(@_)"/>
    <numFmt numFmtId="44" formatCode="_(&quot;$&quot;* #,##0.00_);_(&quot;$&quot;* \(#,##0.00\);_(&quot;$&quot;* &quot;-&quot;??_);_(@_)"/>
    <numFmt numFmtId="164" formatCode="0.000"/>
    <numFmt numFmtId="165" formatCode="_(&quot;$&quot;* #,##0_);_(&quot;$&quot;* \(#,##0\);_(&quot;$&quot;* &quot;-&quot;??_);_(@_)"/>
    <numFmt numFmtId="166" formatCode="0.000%"/>
    <numFmt numFmtId="167" formatCode="&quot;$&quot;#,##0.00"/>
    <numFmt numFmtId="168" formatCode="0##########"/>
    <numFmt numFmtId="169" formatCode="&quot;$&quot;#,##0"/>
  </numFmts>
  <fonts count="34" x14ac:knownFonts="1">
    <font>
      <sz val="11"/>
      <color theme="1"/>
      <name val="Calibri"/>
      <family val="2"/>
      <scheme val="minor"/>
    </font>
    <font>
      <sz val="11"/>
      <color theme="1"/>
      <name val="Calibri"/>
      <family val="2"/>
      <scheme val="minor"/>
    </font>
    <font>
      <b/>
      <sz val="16"/>
      <name val="Calibri"/>
      <family val="2"/>
    </font>
    <font>
      <b/>
      <sz val="11"/>
      <name val="Calibri"/>
      <family val="2"/>
    </font>
    <font>
      <b/>
      <sz val="11"/>
      <color theme="1"/>
      <name val="Calibri"/>
      <family val="2"/>
      <scheme val="minor"/>
    </font>
    <font>
      <b/>
      <sz val="14"/>
      <color rgb="FF333333"/>
      <name val="Roboto"/>
    </font>
    <font>
      <sz val="12"/>
      <color rgb="FF0A0101"/>
      <name val="Arial"/>
      <family val="2"/>
    </font>
    <font>
      <b/>
      <sz val="11"/>
      <color rgb="FF333333"/>
      <name val="Calibri"/>
      <family val="2"/>
      <scheme val="minor"/>
    </font>
    <font>
      <sz val="11"/>
      <color theme="1"/>
      <name val="Calibri"/>
      <family val="2"/>
      <scheme val="minor"/>
    </font>
    <font>
      <sz val="10"/>
      <color theme="1"/>
      <name val="Calibri"/>
      <family val="2"/>
      <scheme val="minor"/>
    </font>
    <font>
      <b/>
      <sz val="10"/>
      <color theme="1"/>
      <name val="Calibri"/>
      <family val="2"/>
    </font>
    <font>
      <sz val="10"/>
      <color theme="1"/>
      <name val="Calibri"/>
      <family val="2"/>
    </font>
    <font>
      <sz val="9"/>
      <color rgb="FF000000"/>
      <name val="Arial"/>
      <family val="2"/>
    </font>
    <font>
      <sz val="11"/>
      <name val="Calibri"/>
      <family val="2"/>
      <scheme val="minor"/>
    </font>
    <font>
      <sz val="11"/>
      <color rgb="FF000000"/>
      <name val="Calibri"/>
      <family val="2"/>
    </font>
    <font>
      <b/>
      <sz val="12"/>
      <name val="Calibri"/>
      <family val="2"/>
      <scheme val="minor"/>
    </font>
    <font>
      <b/>
      <sz val="11"/>
      <name val="Calibri"/>
      <family val="2"/>
      <scheme val="minor"/>
    </font>
    <font>
      <b/>
      <sz val="12"/>
      <color theme="1"/>
      <name val="Calibri"/>
      <family val="2"/>
    </font>
    <font>
      <b/>
      <vertAlign val="superscript"/>
      <sz val="12"/>
      <color theme="1"/>
      <name val="Calibri"/>
      <family val="2"/>
    </font>
    <font>
      <sz val="11"/>
      <color theme="1"/>
      <name val="Calibri"/>
      <family val="2"/>
    </font>
    <font>
      <b/>
      <sz val="12"/>
      <color rgb="FF000000"/>
      <name val="Calibri"/>
      <family val="2"/>
    </font>
    <font>
      <b/>
      <sz val="14"/>
      <color theme="1"/>
      <name val="Calibri"/>
      <family val="2"/>
      <scheme val="minor"/>
    </font>
    <font>
      <sz val="10"/>
      <color theme="1"/>
      <name val="Arial"/>
      <family val="2"/>
    </font>
    <font>
      <b/>
      <u/>
      <sz val="11"/>
      <color theme="1"/>
      <name val="Calibri"/>
      <family val="2"/>
      <scheme val="minor"/>
    </font>
    <font>
      <b/>
      <sz val="12"/>
      <name val="Calibri"/>
      <family val="2"/>
      <scheme val="minor"/>
    </font>
    <font>
      <sz val="16"/>
      <color theme="1"/>
      <name val="Calibri"/>
      <family val="2"/>
      <scheme val="minor"/>
    </font>
    <font>
      <u/>
      <sz val="11"/>
      <color theme="10"/>
      <name val="Calibri"/>
      <family val="2"/>
      <scheme val="minor"/>
    </font>
    <font>
      <sz val="11"/>
      <color rgb="FF000000"/>
      <name val="Calibri"/>
      <family val="2"/>
      <scheme val="minor"/>
    </font>
    <font>
      <sz val="12"/>
      <color rgb="FF000000"/>
      <name val="Arial"/>
      <family val="2"/>
    </font>
    <font>
      <b/>
      <sz val="12"/>
      <color rgb="FF000000"/>
      <name val="Arial"/>
      <family val="2"/>
    </font>
    <font>
      <b/>
      <sz val="11"/>
      <color rgb="FF000000"/>
      <name val="Calibri"/>
      <family val="2"/>
      <scheme val="minor"/>
    </font>
    <font>
      <sz val="11"/>
      <color rgb="FF000000"/>
      <name val="Calibri"/>
      <family val="2"/>
    </font>
    <font>
      <sz val="11"/>
      <color theme="1"/>
      <name val="Calibri"/>
      <family val="2"/>
      <scheme val="minor"/>
    </font>
    <font>
      <sz val="8"/>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CE6F1"/>
        <bgColor rgb="FF000000"/>
      </patternFill>
    </fill>
    <fill>
      <patternFill patternType="solid">
        <fgColor rgb="FFF2DCDB"/>
        <bgColor rgb="FF000000"/>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2DCDC"/>
        <bgColor indexed="64"/>
      </patternFill>
    </fill>
    <fill>
      <patternFill patternType="solid">
        <fgColor rgb="FFFFFDCD"/>
        <bgColor indexed="64"/>
      </patternFill>
    </fill>
    <fill>
      <patternFill patternType="solid">
        <fgColor theme="6" tint="0.79998168889431442"/>
        <bgColor indexed="64"/>
      </patternFill>
    </fill>
    <fill>
      <patternFill patternType="solid">
        <fgColor rgb="FFDCE6F1"/>
        <bgColor rgb="FFDCE6F1"/>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theme="0" tint="-0.249977111117893"/>
        <bgColor rgb="FF000000"/>
      </patternFill>
    </fill>
  </fills>
  <borders count="48">
    <border>
      <left/>
      <right/>
      <top/>
      <bottom/>
      <diagonal/>
    </border>
    <border>
      <left/>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right/>
      <top style="thin">
        <color rgb="FF95B3D7"/>
      </top>
      <bottom/>
      <diagonal/>
    </border>
    <border>
      <left/>
      <right/>
      <top/>
      <bottom style="thin">
        <color rgb="FF95B3D7"/>
      </bottom>
      <diagonal/>
    </border>
    <border>
      <left/>
      <right/>
      <top style="thin">
        <color indexed="64"/>
      </top>
      <bottom style="thin">
        <color theme="1"/>
      </bottom>
      <diagonal/>
    </border>
    <border>
      <left/>
      <right style="medium">
        <color indexed="64"/>
      </right>
      <top style="thin">
        <color indexed="64"/>
      </top>
      <bottom style="thin">
        <color indexed="64"/>
      </bottom>
      <diagonal/>
    </border>
    <border>
      <left/>
      <right style="thin">
        <color indexed="64"/>
      </right>
      <top/>
      <bottom/>
      <diagonal/>
    </border>
    <border>
      <left/>
      <right style="medium">
        <color indexed="64"/>
      </right>
      <top/>
      <bottom style="thin">
        <color indexed="64"/>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64"/>
      </left>
      <right/>
      <top style="medium">
        <color indexed="64"/>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indexed="64"/>
      </left>
      <right/>
      <top style="thin">
        <color indexed="64"/>
      </top>
      <bottom style="medium">
        <color indexed="64"/>
      </bottom>
      <diagonal/>
    </border>
  </borders>
  <cellStyleXfs count="5">
    <xf numFmtId="0" fontId="0" fillId="0" borderId="0"/>
    <xf numFmtId="44" fontId="8" fillId="0" borderId="0" applyFont="0" applyFill="0" applyBorder="0" applyAlignment="0" applyProtection="0"/>
    <xf numFmtId="9" fontId="8" fillId="0" borderId="0" applyFont="0" applyFill="0" applyBorder="0" applyAlignment="0" applyProtection="0"/>
    <xf numFmtId="0" fontId="22" fillId="0" borderId="0"/>
    <xf numFmtId="0" fontId="26" fillId="0" borderId="0" applyNumberFormat="0" applyFill="0" applyBorder="0" applyAlignment="0" applyProtection="0"/>
  </cellStyleXfs>
  <cellXfs count="347">
    <xf numFmtId="0" fontId="0" fillId="0" borderId="0" xfId="0"/>
    <xf numFmtId="0" fontId="0" fillId="0" borderId="0" xfId="0" applyAlignment="1">
      <alignment vertical="top" wrapText="1"/>
    </xf>
    <xf numFmtId="0" fontId="0" fillId="0" borderId="1" xfId="0" applyBorder="1"/>
    <xf numFmtId="0" fontId="3"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0" fontId="5" fillId="0" borderId="0" xfId="0" applyFont="1" applyAlignment="1">
      <alignment vertical="center"/>
    </xf>
    <xf numFmtId="164" fontId="0" fillId="0" borderId="0" xfId="0" applyNumberFormat="1"/>
    <xf numFmtId="164" fontId="6" fillId="0" borderId="0" xfId="0" applyNumberFormat="1" applyFont="1"/>
    <xf numFmtId="0" fontId="7" fillId="0" borderId="0" xfId="0" applyFont="1" applyAlignment="1">
      <alignment vertical="center"/>
    </xf>
    <xf numFmtId="0" fontId="4" fillId="0" borderId="0" xfId="0" applyFont="1"/>
    <xf numFmtId="164" fontId="0" fillId="0" borderId="0" xfId="0" applyNumberFormat="1" applyAlignment="1">
      <alignment horizontal="center" vertical="center"/>
    </xf>
    <xf numFmtId="0" fontId="0" fillId="2" borderId="0" xfId="0" applyFill="1"/>
    <xf numFmtId="3" fontId="0" fillId="0" borderId="0" xfId="0" applyNumberFormat="1"/>
    <xf numFmtId="0" fontId="4" fillId="2" borderId="2" xfId="0" applyFont="1" applyFill="1" applyBorder="1" applyAlignment="1">
      <alignment horizontal="left"/>
    </xf>
    <xf numFmtId="165" fontId="11" fillId="0" borderId="6" xfId="1" applyNumberFormat="1" applyFont="1" applyFill="1" applyBorder="1" applyAlignment="1">
      <alignment horizontal="center" vertical="center"/>
    </xf>
    <xf numFmtId="165" fontId="11" fillId="0" borderId="2"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165" fontId="11" fillId="0" borderId="5" xfId="1" applyNumberFormat="1" applyFont="1" applyFill="1" applyBorder="1" applyAlignment="1">
      <alignment horizontal="center" vertical="center"/>
    </xf>
    <xf numFmtId="0" fontId="0" fillId="0" borderId="2" xfId="0" applyBorder="1" applyAlignment="1">
      <alignment horizontal="right"/>
    </xf>
    <xf numFmtId="42" fontId="12" fillId="0" borderId="8" xfId="0" applyNumberFormat="1" applyFont="1" applyBorder="1"/>
    <xf numFmtId="42" fontId="0" fillId="0" borderId="3" xfId="0" applyNumberFormat="1" applyBorder="1"/>
    <xf numFmtId="42" fontId="0" fillId="0" borderId="9" xfId="0" applyNumberFormat="1" applyBorder="1"/>
    <xf numFmtId="42" fontId="0" fillId="0" borderId="10" xfId="0" applyNumberFormat="1" applyBorder="1"/>
    <xf numFmtId="42" fontId="12" fillId="0" borderId="11" xfId="0" applyNumberFormat="1" applyFont="1" applyBorder="1"/>
    <xf numFmtId="42" fontId="0" fillId="0" borderId="7" xfId="0" applyNumberFormat="1" applyBorder="1"/>
    <xf numFmtId="42" fontId="0" fillId="0" borderId="12" xfId="0" applyNumberFormat="1" applyBorder="1"/>
    <xf numFmtId="42" fontId="0" fillId="0" borderId="13" xfId="0" applyNumberFormat="1" applyBorder="1"/>
    <xf numFmtId="9" fontId="0" fillId="0" borderId="0" xfId="0" applyNumberFormat="1"/>
    <xf numFmtId="0" fontId="13" fillId="0" borderId="0" xfId="0" applyFont="1"/>
    <xf numFmtId="0" fontId="14" fillId="0" borderId="0" xfId="0" applyFont="1"/>
    <xf numFmtId="0" fontId="14" fillId="0" borderId="0" xfId="0" applyFont="1" applyAlignment="1">
      <alignment horizontal="center"/>
    </xf>
    <xf numFmtId="165" fontId="14" fillId="0" borderId="0" xfId="1" applyNumberFormat="1" applyFont="1" applyFill="1" applyBorder="1" applyAlignment="1">
      <alignment horizontal="center"/>
    </xf>
    <xf numFmtId="0" fontId="0" fillId="0" borderId="0" xfId="0" applyAlignment="1">
      <alignment horizontal="right"/>
    </xf>
    <xf numFmtId="9" fontId="0" fillId="0" borderId="0" xfId="2" applyFont="1"/>
    <xf numFmtId="42" fontId="0" fillId="0" borderId="0" xfId="0" applyNumberFormat="1"/>
    <xf numFmtId="166" fontId="14" fillId="0" borderId="2" xfId="2" applyNumberFormat="1" applyFont="1" applyBorder="1" applyAlignment="1">
      <alignment horizontal="center"/>
    </xf>
    <xf numFmtId="42" fontId="14" fillId="0" borderId="2" xfId="1" applyNumberFormat="1" applyFont="1" applyBorder="1" applyAlignment="1">
      <alignment horizontal="center"/>
    </xf>
    <xf numFmtId="0" fontId="0" fillId="0" borderId="2" xfId="0" applyBorder="1"/>
    <xf numFmtId="166" fontId="14" fillId="0" borderId="6" xfId="2" applyNumberFormat="1" applyFont="1" applyBorder="1" applyAlignment="1">
      <alignment horizontal="center"/>
    </xf>
    <xf numFmtId="42" fontId="14" fillId="0" borderId="2" xfId="1" applyNumberFormat="1" applyFont="1" applyBorder="1" applyAlignment="1">
      <alignment horizontal="right"/>
    </xf>
    <xf numFmtId="42" fontId="0" fillId="0" borderId="2" xfId="1" applyNumberFormat="1" applyFont="1" applyBorder="1"/>
    <xf numFmtId="42" fontId="14" fillId="0" borderId="2" xfId="1" applyNumberFormat="1" applyFont="1" applyBorder="1" applyAlignment="1">
      <alignment horizontal="center" vertical="center"/>
    </xf>
    <xf numFmtId="42" fontId="0" fillId="0" borderId="14" xfId="1" applyNumberFormat="1" applyFont="1" applyBorder="1"/>
    <xf numFmtId="9" fontId="15"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9" fontId="16" fillId="0" borderId="2" xfId="2" applyFont="1" applyBorder="1" applyAlignment="1">
      <alignment horizontal="center" vertical="center" wrapText="1"/>
    </xf>
    <xf numFmtId="42" fontId="16" fillId="0" borderId="2" xfId="0" applyNumberFormat="1"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Border="1" applyAlignment="1">
      <alignment horizontal="center" vertical="center"/>
    </xf>
    <xf numFmtId="166" fontId="0" fillId="0" borderId="0" xfId="0" applyNumberFormat="1"/>
    <xf numFmtId="167" fontId="0" fillId="0" borderId="0" xfId="0" applyNumberFormat="1"/>
    <xf numFmtId="166" fontId="14" fillId="0" borderId="8" xfId="2" applyNumberFormat="1" applyFont="1" applyBorder="1" applyAlignment="1">
      <alignment horizontal="center"/>
    </xf>
    <xf numFmtId="42" fontId="14" fillId="0" borderId="3" xfId="1" applyNumberFormat="1" applyFont="1" applyBorder="1" applyAlignment="1">
      <alignment horizontal="center"/>
    </xf>
    <xf numFmtId="166" fontId="14" fillId="0" borderId="3" xfId="2" applyNumberFormat="1" applyFont="1" applyBorder="1" applyAlignment="1">
      <alignment horizontal="center"/>
    </xf>
    <xf numFmtId="42" fontId="14" fillId="0" borderId="3" xfId="1" applyNumberFormat="1" applyFont="1" applyBorder="1" applyAlignment="1">
      <alignment horizontal="right"/>
    </xf>
    <xf numFmtId="49" fontId="4" fillId="0" borderId="3" xfId="0" applyNumberFormat="1" applyFont="1" applyBorder="1" applyAlignment="1">
      <alignment horizontal="center"/>
    </xf>
    <xf numFmtId="0" fontId="0" fillId="0" borderId="3" xfId="0" applyBorder="1"/>
    <xf numFmtId="49" fontId="0" fillId="0" borderId="10" xfId="0" applyNumberFormat="1" applyBorder="1"/>
    <xf numFmtId="166" fontId="15" fillId="0" borderId="11" xfId="0" applyNumberFormat="1" applyFont="1" applyBorder="1" applyAlignment="1">
      <alignment horizontal="center" vertical="center" wrapText="1"/>
    </xf>
    <xf numFmtId="42" fontId="15" fillId="0" borderId="7" xfId="0" applyNumberFormat="1" applyFont="1" applyBorder="1" applyAlignment="1">
      <alignment horizontal="center" vertical="center" wrapText="1"/>
    </xf>
    <xf numFmtId="166" fontId="15" fillId="0" borderId="7" xfId="0" applyNumberFormat="1" applyFont="1" applyBorder="1" applyAlignment="1">
      <alignment horizontal="center" vertical="center" wrapText="1"/>
    </xf>
    <xf numFmtId="166" fontId="16" fillId="0" borderId="7" xfId="0" applyNumberFormat="1" applyFont="1" applyBorder="1" applyAlignment="1">
      <alignment horizontal="center" vertical="center" wrapText="1"/>
    </xf>
    <xf numFmtId="167" fontId="16" fillId="0" borderId="7" xfId="0" applyNumberFormat="1" applyFont="1" applyBorder="1" applyAlignment="1">
      <alignment horizontal="center" vertical="center" wrapText="1"/>
    </xf>
    <xf numFmtId="0" fontId="17" fillId="0" borderId="7" xfId="0" applyFont="1" applyBorder="1" applyAlignment="1">
      <alignment horizontal="center" vertical="center" wrapText="1"/>
    </xf>
    <xf numFmtId="0" fontId="17" fillId="0" borderId="7" xfId="0" applyFont="1" applyBorder="1" applyAlignment="1">
      <alignment horizontal="center" vertical="center"/>
    </xf>
    <xf numFmtId="0" fontId="17" fillId="0" borderId="13" xfId="0" applyFont="1" applyBorder="1" applyAlignment="1">
      <alignment horizontal="center" vertical="center"/>
    </xf>
    <xf numFmtId="49" fontId="14" fillId="0" borderId="0" xfId="0" applyNumberFormat="1" applyFont="1" applyProtection="1">
      <protection hidden="1"/>
    </xf>
    <xf numFmtId="42" fontId="0" fillId="0" borderId="14" xfId="1" applyNumberFormat="1" applyFont="1" applyFill="1" applyBorder="1"/>
    <xf numFmtId="42" fontId="14" fillId="0" borderId="0" xfId="1" applyNumberFormat="1" applyFont="1" applyFill="1" applyBorder="1" applyAlignment="1">
      <alignment horizontal="center"/>
    </xf>
    <xf numFmtId="0" fontId="15" fillId="0" borderId="29"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7" xfId="0" applyFont="1" applyBorder="1" applyAlignment="1">
      <alignment horizontal="center" vertical="center" wrapText="1"/>
    </xf>
    <xf numFmtId="42" fontId="16" fillId="0" borderId="8" xfId="0" applyNumberFormat="1" applyFont="1" applyBorder="1" applyAlignment="1">
      <alignment horizontal="center" vertical="center" wrapText="1"/>
    </xf>
    <xf numFmtId="42" fontId="16" fillId="0" borderId="9" xfId="0" applyNumberFormat="1" applyFont="1" applyBorder="1" applyAlignment="1">
      <alignment horizontal="center" vertical="center" wrapText="1"/>
    </xf>
    <xf numFmtId="0" fontId="17" fillId="0" borderId="29" xfId="0" applyFont="1" applyBorder="1" applyAlignment="1">
      <alignment horizontal="center" vertical="center" wrapText="1"/>
    </xf>
    <xf numFmtId="0" fontId="17" fillId="0" borderId="8" xfId="0" applyFont="1" applyBorder="1" applyAlignment="1">
      <alignment horizontal="center" vertical="center"/>
    </xf>
    <xf numFmtId="0" fontId="17" fillId="0" borderId="19" xfId="0" applyFont="1" applyBorder="1" applyAlignment="1">
      <alignment horizontal="center" vertical="center"/>
    </xf>
    <xf numFmtId="8" fontId="0" fillId="0" borderId="2" xfId="1" applyNumberFormat="1" applyFont="1" applyBorder="1"/>
    <xf numFmtId="167" fontId="22" fillId="0" borderId="2" xfId="3" applyNumberFormat="1" applyBorder="1"/>
    <xf numFmtId="0" fontId="23" fillId="0" borderId="0" xfId="0" applyFont="1"/>
    <xf numFmtId="0" fontId="17" fillId="0" borderId="8" xfId="0" applyFont="1" applyBorder="1" applyAlignment="1">
      <alignment horizontal="center" vertical="center" wrapText="1"/>
    </xf>
    <xf numFmtId="167" fontId="16" fillId="0" borderId="19" xfId="0" applyNumberFormat="1" applyFont="1" applyBorder="1" applyAlignment="1">
      <alignment horizontal="center" vertical="center" wrapText="1"/>
    </xf>
    <xf numFmtId="9" fontId="16" fillId="0" borderId="8" xfId="2" applyFont="1" applyBorder="1" applyAlignment="1">
      <alignment horizontal="center" vertical="center" wrapText="1"/>
    </xf>
    <xf numFmtId="167" fontId="16" fillId="0" borderId="8" xfId="0" applyNumberFormat="1" applyFont="1" applyBorder="1" applyAlignment="1">
      <alignment horizontal="center" vertical="center" wrapText="1"/>
    </xf>
    <xf numFmtId="49" fontId="0" fillId="0" borderId="18" xfId="0" applyNumberFormat="1" applyBorder="1" applyAlignment="1">
      <alignment horizontal="center" vertical="center"/>
    </xf>
    <xf numFmtId="49" fontId="0" fillId="0" borderId="0" xfId="0" applyNumberFormat="1" applyAlignment="1">
      <alignment horizontal="center"/>
    </xf>
    <xf numFmtId="167" fontId="14" fillId="0" borderId="18" xfId="1" applyNumberFormat="1" applyFont="1" applyBorder="1" applyAlignment="1">
      <alignment horizontal="center"/>
    </xf>
    <xf numFmtId="167" fontId="14" fillId="0" borderId="0" xfId="1" applyNumberFormat="1" applyFont="1" applyBorder="1" applyAlignment="1">
      <alignment horizontal="center"/>
    </xf>
    <xf numFmtId="167" fontId="14" fillId="0" borderId="17" xfId="1" applyNumberFormat="1" applyFont="1" applyBorder="1" applyAlignment="1">
      <alignment horizontal="center"/>
    </xf>
    <xf numFmtId="166" fontId="14" fillId="0" borderId="16" xfId="2" applyNumberFormat="1" applyFont="1" applyBorder="1" applyAlignment="1">
      <alignment horizontal="center"/>
    </xf>
    <xf numFmtId="167" fontId="14" fillId="0" borderId="16" xfId="1" applyNumberFormat="1" applyFont="1" applyBorder="1" applyAlignment="1">
      <alignment horizontal="center"/>
    </xf>
    <xf numFmtId="49" fontId="0" fillId="0" borderId="6" xfId="0" applyNumberFormat="1" applyBorder="1"/>
    <xf numFmtId="0" fontId="0" fillId="0" borderId="4" xfId="0" applyBorder="1"/>
    <xf numFmtId="0" fontId="24" fillId="0" borderId="32" xfId="0" applyFont="1" applyBorder="1" applyAlignment="1">
      <alignment horizontal="center" vertical="center" wrapText="1"/>
    </xf>
    <xf numFmtId="0" fontId="16" fillId="0" borderId="8" xfId="0" applyFont="1" applyBorder="1" applyAlignment="1">
      <alignment horizontal="center" vertical="center" wrapText="1"/>
    </xf>
    <xf numFmtId="49" fontId="0" fillId="0" borderId="26" xfId="0" applyNumberFormat="1" applyBorder="1"/>
    <xf numFmtId="0" fontId="0" fillId="0" borderId="25" xfId="0" applyBorder="1"/>
    <xf numFmtId="2" fontId="0" fillId="0" borderId="0" xfId="0" applyNumberFormat="1"/>
    <xf numFmtId="168" fontId="0" fillId="0" borderId="2" xfId="0" applyNumberFormat="1" applyBorder="1"/>
    <xf numFmtId="168" fontId="0" fillId="9" borderId="0" xfId="0" applyNumberFormat="1" applyFill="1"/>
    <xf numFmtId="0" fontId="0" fillId="0" borderId="32" xfId="0" applyBorder="1"/>
    <xf numFmtId="0" fontId="0" fillId="0" borderId="15" xfId="0" applyBorder="1" applyAlignment="1">
      <alignment horizontal="center"/>
    </xf>
    <xf numFmtId="0" fontId="0" fillId="0" borderId="14" xfId="0" applyBorder="1" applyAlignment="1">
      <alignment horizontal="center"/>
    </xf>
    <xf numFmtId="42" fontId="0" fillId="0" borderId="14" xfId="1" applyNumberFormat="1" applyFont="1" applyFill="1" applyBorder="1" applyAlignment="1">
      <alignment horizontal="center"/>
    </xf>
    <xf numFmtId="0" fontId="0" fillId="0" borderId="0" xfId="0" applyAlignment="1">
      <alignment vertical="top"/>
    </xf>
    <xf numFmtId="0" fontId="26" fillId="0" borderId="0" xfId="4"/>
    <xf numFmtId="0" fontId="0" fillId="10" borderId="0" xfId="0" applyFill="1" applyAlignment="1">
      <alignment vertical="top" wrapText="1"/>
    </xf>
    <xf numFmtId="0" fontId="0" fillId="11" borderId="0" xfId="0" applyFill="1" applyAlignment="1">
      <alignment vertical="top" wrapText="1"/>
    </xf>
    <xf numFmtId="0" fontId="0" fillId="11" borderId="0" xfId="0" applyFill="1" applyAlignment="1">
      <alignment vertical="top"/>
    </xf>
    <xf numFmtId="0" fontId="0" fillId="12" borderId="0" xfId="0" applyFill="1" applyAlignment="1">
      <alignment vertical="top" wrapText="1"/>
    </xf>
    <xf numFmtId="0" fontId="13" fillId="12" borderId="0" xfId="0" applyFont="1" applyFill="1" applyAlignment="1">
      <alignment vertical="top" wrapText="1"/>
    </xf>
    <xf numFmtId="0" fontId="0" fillId="12" borderId="0" xfId="0" applyFill="1" applyAlignment="1">
      <alignment vertical="top"/>
    </xf>
    <xf numFmtId="0" fontId="27" fillId="0" borderId="0" xfId="0" applyFont="1"/>
    <xf numFmtId="0" fontId="27" fillId="13" borderId="35" xfId="0" applyFont="1" applyFill="1" applyBorder="1"/>
    <xf numFmtId="0" fontId="27" fillId="13" borderId="0" xfId="0" applyFont="1" applyFill="1"/>
    <xf numFmtId="0" fontId="27" fillId="0" borderId="36" xfId="0" applyFont="1" applyBorder="1"/>
    <xf numFmtId="4" fontId="27" fillId="0" borderId="0" xfId="0" applyNumberFormat="1" applyFont="1"/>
    <xf numFmtId="0" fontId="28" fillId="0" borderId="0" xfId="0" applyFont="1"/>
    <xf numFmtId="0" fontId="15" fillId="0" borderId="32" xfId="0" applyFont="1" applyBorder="1" applyAlignment="1">
      <alignment horizontal="center" vertical="center" wrapText="1"/>
    </xf>
    <xf numFmtId="2" fontId="0" fillId="11" borderId="0" xfId="0" applyNumberFormat="1" applyFill="1"/>
    <xf numFmtId="0" fontId="24" fillId="0" borderId="7" xfId="0" applyFont="1" applyBorder="1" applyAlignment="1">
      <alignment horizontal="center" vertical="center" wrapText="1"/>
    </xf>
    <xf numFmtId="0" fontId="15" fillId="0" borderId="0" xfId="0" applyFont="1" applyAlignment="1">
      <alignment horizontal="center" vertical="center" wrapText="1"/>
    </xf>
    <xf numFmtId="0" fontId="27" fillId="0" borderId="0" xfId="0" applyFont="1" applyAlignment="1">
      <alignment horizontal="left" indent="1"/>
    </xf>
    <xf numFmtId="49" fontId="0" fillId="0" borderId="2" xfId="0" applyNumberFormat="1" applyBorder="1"/>
    <xf numFmtId="0" fontId="0" fillId="0" borderId="0" xfId="0" pivotButton="1"/>
    <xf numFmtId="0" fontId="0" fillId="0" borderId="0" xfId="0" applyAlignment="1">
      <alignment horizontal="left"/>
    </xf>
    <xf numFmtId="0" fontId="27" fillId="11" borderId="0" xfId="0" applyFont="1" applyFill="1"/>
    <xf numFmtId="2" fontId="27" fillId="0" borderId="0" xfId="0" applyNumberFormat="1" applyFont="1"/>
    <xf numFmtId="0" fontId="0" fillId="0" borderId="0" xfId="0" applyAlignment="1">
      <alignment vertical="center"/>
    </xf>
    <xf numFmtId="2" fontId="0" fillId="16" borderId="0" xfId="0" applyNumberFormat="1" applyFill="1" applyAlignment="1">
      <alignment vertical="center"/>
    </xf>
    <xf numFmtId="2" fontId="0" fillId="16" borderId="0" xfId="0" applyNumberFormat="1" applyFill="1" applyAlignment="1">
      <alignment horizontal="center" vertical="center" wrapText="1"/>
    </xf>
    <xf numFmtId="2" fontId="0" fillId="16" borderId="0" xfId="0" applyNumberFormat="1" applyFill="1" applyAlignment="1">
      <alignment horizontal="center" vertical="center"/>
    </xf>
    <xf numFmtId="2" fontId="0" fillId="16" borderId="0" xfId="0" applyNumberFormat="1" applyFill="1" applyAlignment="1">
      <alignment vertical="center" wrapText="1"/>
    </xf>
    <xf numFmtId="0" fontId="27" fillId="16" borderId="0" xfId="0" applyFont="1" applyFill="1"/>
    <xf numFmtId="9" fontId="27" fillId="16" borderId="0" xfId="0" applyNumberFormat="1" applyFont="1" applyFill="1"/>
    <xf numFmtId="0" fontId="0" fillId="16" borderId="0" xfId="0" applyFill="1" applyAlignment="1">
      <alignment vertical="center"/>
    </xf>
    <xf numFmtId="0" fontId="0" fillId="16" borderId="0" xfId="0" applyFill="1" applyAlignment="1">
      <alignment horizontal="center" vertical="center" wrapText="1"/>
    </xf>
    <xf numFmtId="0" fontId="4" fillId="16" borderId="0" xfId="0" applyFont="1" applyFill="1" applyAlignment="1">
      <alignment vertical="center"/>
    </xf>
    <xf numFmtId="0" fontId="0" fillId="0" borderId="0" xfId="0" applyAlignment="1">
      <alignment horizontal="center" vertical="center" wrapText="1"/>
    </xf>
    <xf numFmtId="0" fontId="0" fillId="16" borderId="0" xfId="0" applyFill="1" applyAlignment="1">
      <alignment horizontal="center" vertical="center"/>
    </xf>
    <xf numFmtId="17" fontId="4" fillId="0" borderId="2" xfId="0" applyNumberFormat="1" applyFont="1" applyBorder="1"/>
    <xf numFmtId="0" fontId="0" fillId="0" borderId="0" xfId="0" applyAlignment="1">
      <alignment horizontal="left" vertical="top" wrapText="1"/>
    </xf>
    <xf numFmtId="0" fontId="0" fillId="0" borderId="0" xfId="0" applyAlignment="1">
      <alignment horizontal="left" vertical="top"/>
    </xf>
    <xf numFmtId="167" fontId="14" fillId="18" borderId="2" xfId="1" applyNumberFormat="1" applyFont="1" applyFill="1" applyBorder="1" applyAlignment="1">
      <alignment horizontal="center"/>
    </xf>
    <xf numFmtId="167" fontId="14" fillId="0" borderId="2" xfId="1" applyNumberFormat="1" applyFont="1" applyBorder="1" applyAlignment="1">
      <alignment horizontal="center"/>
    </xf>
    <xf numFmtId="167" fontId="0" fillId="0" borderId="0" xfId="0" applyNumberFormat="1" applyAlignment="1">
      <alignment horizontal="center" vertical="center"/>
    </xf>
    <xf numFmtId="0" fontId="30" fillId="19" borderId="2" xfId="0" applyFont="1" applyFill="1" applyBorder="1" applyAlignment="1">
      <alignment horizontal="center" vertical="top"/>
    </xf>
    <xf numFmtId="0" fontId="30" fillId="19" borderId="2" xfId="0" applyFont="1" applyFill="1" applyBorder="1" applyAlignment="1">
      <alignment vertical="top"/>
    </xf>
    <xf numFmtId="0" fontId="27" fillId="0" borderId="2" xfId="0" applyFont="1" applyBorder="1" applyAlignment="1">
      <alignment horizontal="center" vertical="top"/>
    </xf>
    <xf numFmtId="0" fontId="27" fillId="0" borderId="2" xfId="0" applyFont="1" applyBorder="1" applyAlignment="1">
      <alignment vertical="top"/>
    </xf>
    <xf numFmtId="42" fontId="14" fillId="0" borderId="37" xfId="1" applyNumberFormat="1" applyFont="1" applyBorder="1" applyAlignment="1">
      <alignment horizontal="center"/>
    </xf>
    <xf numFmtId="39" fontId="14" fillId="0" borderId="37" xfId="1" applyNumberFormat="1" applyFont="1" applyBorder="1" applyAlignment="1">
      <alignment horizontal="center"/>
    </xf>
    <xf numFmtId="39" fontId="14" fillId="0" borderId="0" xfId="1" applyNumberFormat="1" applyFont="1" applyBorder="1" applyAlignment="1">
      <alignment horizontal="center"/>
    </xf>
    <xf numFmtId="0" fontId="1" fillId="0" borderId="0" xfId="0" applyFont="1"/>
    <xf numFmtId="1" fontId="1" fillId="0" borderId="7" xfId="0" applyNumberFormat="1" applyFont="1" applyBorder="1"/>
    <xf numFmtId="2" fontId="1" fillId="0" borderId="7" xfId="0" applyNumberFormat="1" applyFont="1" applyBorder="1"/>
    <xf numFmtId="1" fontId="1" fillId="0" borderId="2" xfId="0" applyNumberFormat="1" applyFont="1" applyBorder="1"/>
    <xf numFmtId="2" fontId="1" fillId="0" borderId="2" xfId="0" applyNumberFormat="1" applyFont="1" applyBorder="1"/>
    <xf numFmtId="1" fontId="1" fillId="0" borderId="3" xfId="0" applyNumberFormat="1" applyFont="1" applyBorder="1"/>
    <xf numFmtId="2" fontId="1" fillId="0" borderId="3" xfId="0" applyNumberFormat="1" applyFont="1" applyBorder="1"/>
    <xf numFmtId="0" fontId="0" fillId="15" borderId="0" xfId="0" applyFill="1" applyAlignment="1">
      <alignment horizontal="center" vertical="center"/>
    </xf>
    <xf numFmtId="0" fontId="0" fillId="12" borderId="0" xfId="0" applyFill="1" applyAlignment="1">
      <alignment horizontal="center" vertical="center"/>
    </xf>
    <xf numFmtId="44" fontId="0" fillId="0" borderId="0" xfId="0" applyNumberFormat="1"/>
    <xf numFmtId="42" fontId="31" fillId="0" borderId="2" xfId="1" applyNumberFormat="1" applyFont="1" applyBorder="1" applyAlignment="1">
      <alignment horizontal="right"/>
    </xf>
    <xf numFmtId="166" fontId="31" fillId="0" borderId="2" xfId="2" applyNumberFormat="1" applyFont="1" applyBorder="1" applyAlignment="1">
      <alignment horizontal="center"/>
    </xf>
    <xf numFmtId="42" fontId="31" fillId="0" borderId="2" xfId="1" applyNumberFormat="1" applyFont="1" applyBorder="1" applyAlignment="1">
      <alignment horizontal="center"/>
    </xf>
    <xf numFmtId="166" fontId="31" fillId="0" borderId="6" xfId="2" applyNumberFormat="1" applyFont="1" applyBorder="1" applyAlignment="1">
      <alignment horizontal="center"/>
    </xf>
    <xf numFmtId="168" fontId="32" fillId="0" borderId="2" xfId="0" applyNumberFormat="1" applyFont="1" applyBorder="1"/>
    <xf numFmtId="0" fontId="32" fillId="0" borderId="2" xfId="0" applyFont="1" applyBorder="1"/>
    <xf numFmtId="49" fontId="32" fillId="0" borderId="2" xfId="0" applyNumberFormat="1" applyFont="1" applyBorder="1" applyAlignment="1">
      <alignment horizontal="center"/>
    </xf>
    <xf numFmtId="49" fontId="4" fillId="0" borderId="2" xfId="0" applyNumberFormat="1" applyFont="1" applyBorder="1" applyAlignment="1">
      <alignment horizontal="center"/>
    </xf>
    <xf numFmtId="169" fontId="14" fillId="0" borderId="2" xfId="1" applyNumberFormat="1" applyFont="1" applyBorder="1" applyAlignment="1">
      <alignment horizontal="right"/>
    </xf>
    <xf numFmtId="49" fontId="32" fillId="0" borderId="5" xfId="0" applyNumberFormat="1" applyFont="1" applyBorder="1" applyAlignment="1">
      <alignment horizontal="center" vertical="center"/>
    </xf>
    <xf numFmtId="0" fontId="32" fillId="0" borderId="2" xfId="0" applyFont="1" applyBorder="1" applyAlignment="1">
      <alignment horizontal="center" vertical="center"/>
    </xf>
    <xf numFmtId="167" fontId="31" fillId="0" borderId="2" xfId="1" applyNumberFormat="1" applyFont="1" applyBorder="1" applyAlignment="1">
      <alignment horizontal="center"/>
    </xf>
    <xf numFmtId="0" fontId="32" fillId="0" borderId="32" xfId="0" applyFont="1" applyBorder="1"/>
    <xf numFmtId="49" fontId="32" fillId="0" borderId="34" xfId="0" applyNumberFormat="1" applyFont="1" applyBorder="1" applyAlignment="1">
      <alignment horizontal="center"/>
    </xf>
    <xf numFmtId="42" fontId="31" fillId="0" borderId="0" xfId="1" applyNumberFormat="1" applyFont="1" applyFill="1" applyBorder="1" applyAlignment="1">
      <alignment horizontal="center"/>
    </xf>
    <xf numFmtId="3" fontId="32" fillId="0" borderId="0" xfId="0" applyNumberFormat="1" applyFont="1"/>
    <xf numFmtId="42" fontId="32" fillId="0" borderId="14" xfId="1" applyNumberFormat="1" applyFont="1" applyFill="1" applyBorder="1"/>
    <xf numFmtId="42" fontId="32" fillId="0" borderId="14" xfId="1" applyNumberFormat="1" applyFont="1" applyFill="1" applyBorder="1" applyAlignment="1">
      <alignment horizontal="center"/>
    </xf>
    <xf numFmtId="168" fontId="0" fillId="0" borderId="39" xfId="0" applyNumberFormat="1" applyBorder="1"/>
    <xf numFmtId="0" fontId="0" fillId="0" borderId="7" xfId="0" applyBorder="1"/>
    <xf numFmtId="0" fontId="0" fillId="0" borderId="40" xfId="0" applyBorder="1" applyAlignment="1">
      <alignment horizontal="center"/>
    </xf>
    <xf numFmtId="49" fontId="0" fillId="18" borderId="41" xfId="0" applyNumberFormat="1" applyFill="1" applyBorder="1"/>
    <xf numFmtId="0" fontId="0" fillId="18" borderId="42" xfId="0" applyFill="1" applyBorder="1"/>
    <xf numFmtId="49" fontId="4" fillId="18" borderId="43" xfId="0" applyNumberFormat="1" applyFont="1" applyFill="1" applyBorder="1" applyAlignment="1">
      <alignment horizontal="left"/>
    </xf>
    <xf numFmtId="42" fontId="14" fillId="18" borderId="28" xfId="1" applyNumberFormat="1" applyFont="1" applyFill="1" applyBorder="1" applyAlignment="1">
      <alignment horizontal="center"/>
    </xf>
    <xf numFmtId="3" fontId="0" fillId="18" borderId="28" xfId="0" applyNumberFormat="1" applyFill="1" applyBorder="1"/>
    <xf numFmtId="42" fontId="0" fillId="18" borderId="27" xfId="0" applyNumberFormat="1" applyFill="1" applyBorder="1"/>
    <xf numFmtId="42" fontId="0" fillId="18" borderId="27" xfId="0" applyNumberFormat="1" applyFill="1" applyBorder="1" applyAlignment="1">
      <alignment horizontal="center"/>
    </xf>
    <xf numFmtId="166" fontId="16" fillId="0" borderId="8" xfId="2" applyNumberFormat="1" applyFont="1" applyBorder="1" applyAlignment="1">
      <alignment horizontal="center" vertical="center" wrapText="1"/>
    </xf>
    <xf numFmtId="0" fontId="15" fillId="0" borderId="44" xfId="0" applyFont="1" applyBorder="1" applyAlignment="1">
      <alignment horizontal="center" vertical="center" wrapText="1"/>
    </xf>
    <xf numFmtId="0" fontId="31" fillId="0" borderId="45" xfId="0" applyFont="1" applyBorder="1" applyAlignment="1">
      <alignment vertical="center" wrapText="1"/>
    </xf>
    <xf numFmtId="166" fontId="14" fillId="0" borderId="15" xfId="2" applyNumberFormat="1" applyFont="1" applyBorder="1" applyAlignment="1">
      <alignment horizontal="center"/>
    </xf>
    <xf numFmtId="166" fontId="14" fillId="0" borderId="0" xfId="2" applyNumberFormat="1" applyFont="1" applyBorder="1" applyAlignment="1">
      <alignment horizontal="center"/>
    </xf>
    <xf numFmtId="166" fontId="14" fillId="0" borderId="14" xfId="2" applyNumberFormat="1" applyFont="1" applyBorder="1" applyAlignment="1">
      <alignment horizontal="center"/>
    </xf>
    <xf numFmtId="167" fontId="31" fillId="0" borderId="18" xfId="1" applyNumberFormat="1" applyFont="1" applyBorder="1" applyAlignment="1">
      <alignment horizontal="center"/>
    </xf>
    <xf numFmtId="166" fontId="31" fillId="0" borderId="0" xfId="2" applyNumberFormat="1" applyFont="1" applyBorder="1" applyAlignment="1">
      <alignment horizontal="center"/>
    </xf>
    <xf numFmtId="167" fontId="31" fillId="0" borderId="0" xfId="1" applyNumberFormat="1" applyFont="1" applyBorder="1" applyAlignment="1">
      <alignment horizontal="center"/>
    </xf>
    <xf numFmtId="166" fontId="31" fillId="0" borderId="14" xfId="2" applyNumberFormat="1" applyFont="1" applyBorder="1" applyAlignment="1">
      <alignment horizontal="center"/>
    </xf>
    <xf numFmtId="166" fontId="14" fillId="0" borderId="0" xfId="1" applyNumberFormat="1" applyFont="1" applyBorder="1" applyAlignment="1">
      <alignment horizontal="center"/>
    </xf>
    <xf numFmtId="0" fontId="31" fillId="0" borderId="46" xfId="0" applyFont="1" applyBorder="1" applyAlignment="1">
      <alignment vertical="center" wrapText="1"/>
    </xf>
    <xf numFmtId="49" fontId="4" fillId="0" borderId="21" xfId="0" applyNumberFormat="1" applyFont="1" applyBorder="1" applyAlignment="1">
      <alignment horizontal="center"/>
    </xf>
    <xf numFmtId="167" fontId="14" fillId="0" borderId="21" xfId="1" applyNumberFormat="1" applyFont="1" applyBorder="1" applyAlignment="1">
      <alignment horizontal="center"/>
    </xf>
    <xf numFmtId="166" fontId="14" fillId="0" borderId="1" xfId="2" applyNumberFormat="1" applyFont="1" applyBorder="1" applyAlignment="1">
      <alignment horizontal="center"/>
    </xf>
    <xf numFmtId="167" fontId="14" fillId="0" borderId="1" xfId="1" applyNumberFormat="1" applyFont="1" applyBorder="1" applyAlignment="1">
      <alignment horizontal="center"/>
    </xf>
    <xf numFmtId="166" fontId="14" fillId="0" borderId="20" xfId="2" applyNumberFormat="1" applyFont="1" applyBorder="1" applyAlignment="1">
      <alignment horizontal="center"/>
    </xf>
    <xf numFmtId="166" fontId="0" fillId="0" borderId="0" xfId="2" applyNumberFormat="1" applyFont="1"/>
    <xf numFmtId="165" fontId="19" fillId="6" borderId="1" xfId="1" applyNumberFormat="1" applyFont="1" applyFill="1" applyBorder="1" applyAlignment="1">
      <alignment vertical="center"/>
    </xf>
    <xf numFmtId="165" fontId="19" fillId="6" borderId="20" xfId="1" applyNumberFormat="1" applyFont="1" applyFill="1" applyBorder="1" applyAlignment="1">
      <alignment vertical="center"/>
    </xf>
    <xf numFmtId="2" fontId="17" fillId="0" borderId="19" xfId="0" applyNumberFormat="1" applyFont="1" applyBorder="1" applyAlignment="1">
      <alignment horizontal="center" vertical="center"/>
    </xf>
    <xf numFmtId="1" fontId="31" fillId="0" borderId="45" xfId="0" applyNumberFormat="1" applyFont="1" applyBorder="1" applyAlignment="1">
      <alignment vertical="center" wrapText="1"/>
    </xf>
    <xf numFmtId="49" fontId="4" fillId="0" borderId="21" xfId="0" applyNumberFormat="1" applyFont="1" applyBorder="1"/>
    <xf numFmtId="167" fontId="0" fillId="0" borderId="1" xfId="0" applyNumberFormat="1" applyBorder="1" applyAlignment="1">
      <alignment horizontal="center"/>
    </xf>
    <xf numFmtId="166" fontId="0" fillId="0" borderId="1" xfId="2" applyNumberFormat="1" applyFont="1" applyBorder="1" applyAlignment="1">
      <alignment horizontal="center"/>
    </xf>
    <xf numFmtId="167" fontId="0" fillId="0" borderId="1" xfId="0" applyNumberFormat="1" applyBorder="1"/>
    <xf numFmtId="166" fontId="0" fillId="0" borderId="20" xfId="2" applyNumberFormat="1" applyFont="1" applyBorder="1" applyAlignment="1">
      <alignment horizontal="center"/>
    </xf>
    <xf numFmtId="49" fontId="0" fillId="0" borderId="0" xfId="0" applyNumberFormat="1"/>
    <xf numFmtId="167" fontId="14" fillId="0" borderId="17" xfId="0" applyNumberFormat="1" applyFont="1" applyBorder="1" applyAlignment="1">
      <alignment horizontal="center"/>
    </xf>
    <xf numFmtId="166" fontId="14" fillId="0" borderId="16" xfId="0" applyNumberFormat="1" applyFont="1" applyBorder="1" applyAlignment="1">
      <alignment horizontal="center"/>
    </xf>
    <xf numFmtId="167" fontId="14" fillId="0" borderId="16" xfId="0" applyNumberFormat="1" applyFont="1" applyBorder="1" applyAlignment="1">
      <alignment horizontal="center"/>
    </xf>
    <xf numFmtId="42" fontId="0" fillId="0" borderId="16" xfId="0" applyNumberFormat="1" applyBorder="1"/>
    <xf numFmtId="166" fontId="0" fillId="0" borderId="16" xfId="0" applyNumberFormat="1" applyBorder="1"/>
    <xf numFmtId="167" fontId="0" fillId="0" borderId="16" xfId="0" applyNumberFormat="1" applyBorder="1"/>
    <xf numFmtId="167" fontId="0" fillId="0" borderId="16" xfId="0" applyNumberFormat="1" applyBorder="1" applyAlignment="1">
      <alignment horizontal="center"/>
    </xf>
    <xf numFmtId="166" fontId="0" fillId="0" borderId="15" xfId="0" applyNumberFormat="1" applyBorder="1"/>
    <xf numFmtId="0" fontId="0" fillId="0" borderId="18" xfId="0" applyBorder="1" applyAlignment="1">
      <alignment horizontal="center" vertical="center"/>
    </xf>
    <xf numFmtId="0" fontId="17" fillId="0" borderId="30" xfId="0" applyFont="1" applyBorder="1" applyAlignment="1">
      <alignment horizontal="center" vertical="center"/>
    </xf>
    <xf numFmtId="0" fontId="17" fillId="0" borderId="47" xfId="0" applyFont="1" applyBorder="1" applyAlignment="1">
      <alignment horizontal="center" vertical="center"/>
    </xf>
    <xf numFmtId="0" fontId="17" fillId="0" borderId="47" xfId="0" applyFont="1" applyBorder="1" applyAlignment="1">
      <alignment horizontal="center" vertical="center" wrapText="1"/>
    </xf>
    <xf numFmtId="167" fontId="16" fillId="0" borderId="25" xfId="0" applyNumberFormat="1" applyFont="1" applyBorder="1" applyAlignment="1">
      <alignment horizontal="center" vertical="center" wrapText="1"/>
    </xf>
    <xf numFmtId="0" fontId="15" fillId="0" borderId="25" xfId="0" applyFont="1" applyBorder="1" applyAlignment="1">
      <alignment horizontal="center" vertical="center" wrapText="1"/>
    </xf>
    <xf numFmtId="0" fontId="15" fillId="0" borderId="24" xfId="0" applyFont="1" applyBorder="1" applyAlignment="1">
      <alignment horizontal="center" vertical="center" wrapText="1"/>
    </xf>
    <xf numFmtId="49" fontId="0" fillId="0" borderId="11" xfId="0" applyNumberFormat="1" applyBorder="1" applyAlignment="1">
      <alignment horizontal="center"/>
    </xf>
    <xf numFmtId="167" fontId="14" fillId="0" borderId="17" xfId="1" applyNumberFormat="1" applyFont="1" applyFill="1" applyBorder="1" applyAlignment="1">
      <alignment horizontal="center"/>
    </xf>
    <xf numFmtId="167" fontId="14" fillId="0" borderId="15" xfId="1" applyNumberFormat="1" applyFont="1" applyFill="1" applyBorder="1" applyAlignment="1">
      <alignment horizontal="center"/>
    </xf>
    <xf numFmtId="0" fontId="0" fillId="0" borderId="17" xfId="0" applyBorder="1"/>
    <xf numFmtId="0" fontId="0" fillId="0" borderId="16" xfId="0" applyBorder="1"/>
    <xf numFmtId="8" fontId="0" fillId="0" borderId="15" xfId="0" applyNumberFormat="1" applyBorder="1"/>
    <xf numFmtId="1" fontId="0" fillId="0" borderId="16" xfId="0" applyNumberFormat="1" applyBorder="1"/>
    <xf numFmtId="167" fontId="0" fillId="0" borderId="15" xfId="0" applyNumberFormat="1" applyBorder="1" applyAlignment="1">
      <alignment horizontal="right"/>
    </xf>
    <xf numFmtId="49" fontId="0" fillId="0" borderId="6" xfId="0" applyNumberFormat="1" applyBorder="1" applyAlignment="1">
      <alignment horizontal="center"/>
    </xf>
    <xf numFmtId="167" fontId="14" fillId="0" borderId="18" xfId="1" applyNumberFormat="1" applyFont="1" applyFill="1" applyBorder="1" applyAlignment="1">
      <alignment horizontal="center"/>
    </xf>
    <xf numFmtId="167" fontId="14" fillId="0" borderId="14" xfId="1" applyNumberFormat="1" applyFont="1" applyFill="1" applyBorder="1" applyAlignment="1">
      <alignment horizontal="center"/>
    </xf>
    <xf numFmtId="0" fontId="0" fillId="0" borderId="18" xfId="0" applyBorder="1"/>
    <xf numFmtId="8" fontId="0" fillId="0" borderId="14" xfId="0" applyNumberFormat="1" applyBorder="1"/>
    <xf numFmtId="1" fontId="0" fillId="0" borderId="0" xfId="0" applyNumberFormat="1"/>
    <xf numFmtId="167" fontId="0" fillId="0" borderId="14" xfId="0" applyNumberFormat="1" applyBorder="1" applyAlignment="1">
      <alignment horizontal="right"/>
    </xf>
    <xf numFmtId="49" fontId="0" fillId="0" borderId="8" xfId="0" applyNumberFormat="1" applyBorder="1" applyAlignment="1">
      <alignment horizontal="center"/>
    </xf>
    <xf numFmtId="2" fontId="0" fillId="0" borderId="1" xfId="0" applyNumberFormat="1" applyBorder="1"/>
    <xf numFmtId="167" fontId="14" fillId="0" borderId="20" xfId="1" applyNumberFormat="1" applyFont="1" applyBorder="1" applyAlignment="1">
      <alignment horizontal="center"/>
    </xf>
    <xf numFmtId="0" fontId="2" fillId="0" borderId="1" xfId="0" applyFont="1" applyBorder="1" applyAlignment="1">
      <alignment horizontal="center" vertical="center" wrapText="1"/>
    </xf>
    <xf numFmtId="0" fontId="0" fillId="0" borderId="0" xfId="0" applyAlignment="1">
      <alignment vertical="top" wrapText="1"/>
    </xf>
    <xf numFmtId="0" fontId="3" fillId="0" borderId="0" xfId="0" applyFont="1"/>
    <xf numFmtId="0" fontId="25" fillId="2" borderId="0" xfId="0" applyFont="1" applyFill="1" applyAlignment="1">
      <alignment horizontal="center"/>
    </xf>
    <xf numFmtId="0" fontId="0" fillId="12" borderId="0" xfId="0" applyFill="1" applyAlignment="1">
      <alignment horizontal="center"/>
    </xf>
    <xf numFmtId="0" fontId="27" fillId="14" borderId="0" xfId="0" applyFont="1" applyFill="1" applyAlignment="1">
      <alignment horizontal="center"/>
    </xf>
    <xf numFmtId="0" fontId="27" fillId="11" borderId="0" xfId="0" applyFont="1" applyFill="1" applyAlignment="1">
      <alignment horizontal="center"/>
    </xf>
    <xf numFmtId="0" fontId="0" fillId="0" borderId="0" xfId="0" applyAlignment="1">
      <alignment horizontal="center" vertical="top"/>
    </xf>
    <xf numFmtId="0" fontId="0" fillId="17" borderId="0" xfId="0" applyFill="1" applyAlignment="1">
      <alignment horizontal="center"/>
    </xf>
    <xf numFmtId="0" fontId="0" fillId="16" borderId="0" xfId="0" applyFill="1" applyAlignment="1">
      <alignment horizontal="center" vertical="center"/>
    </xf>
    <xf numFmtId="0" fontId="0" fillId="15" borderId="0" xfId="0" applyFill="1" applyAlignment="1">
      <alignment horizontal="center" vertical="center"/>
    </xf>
    <xf numFmtId="0" fontId="0" fillId="0" borderId="0" xfId="0" applyAlignment="1">
      <alignment horizontal="center" vertical="center"/>
    </xf>
    <xf numFmtId="0" fontId="0" fillId="12" borderId="0" xfId="0" applyFill="1" applyAlignment="1">
      <alignment horizontal="center" vertical="center"/>
    </xf>
    <xf numFmtId="0" fontId="25"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3" xfId="0" applyBorder="1" applyAlignment="1">
      <alignment horizontal="center" vertical="top"/>
    </xf>
    <xf numFmtId="0" fontId="0" fillId="0" borderId="7" xfId="0" applyBorder="1" applyAlignment="1">
      <alignment horizontal="center" vertical="top"/>
    </xf>
    <xf numFmtId="0" fontId="9" fillId="3" borderId="6" xfId="0" applyFont="1" applyFill="1" applyBorder="1" applyAlignment="1">
      <alignment horizontal="center"/>
    </xf>
    <xf numFmtId="0" fontId="9" fillId="3" borderId="4" xfId="0" applyFont="1" applyFill="1" applyBorder="1" applyAlignment="1">
      <alignment horizontal="center"/>
    </xf>
    <xf numFmtId="0" fontId="9" fillId="3" borderId="5" xfId="0" applyFont="1" applyFill="1" applyBorder="1" applyAlignment="1">
      <alignment horizontal="center"/>
    </xf>
    <xf numFmtId="165" fontId="10" fillId="4" borderId="6" xfId="1" applyNumberFormat="1" applyFont="1" applyFill="1" applyBorder="1" applyAlignment="1">
      <alignment horizontal="center" vertical="center"/>
    </xf>
    <xf numFmtId="165" fontId="10" fillId="4" borderId="4" xfId="1" applyNumberFormat="1" applyFont="1" applyFill="1" applyBorder="1" applyAlignment="1">
      <alignment horizontal="center" vertical="center"/>
    </xf>
    <xf numFmtId="165" fontId="10" fillId="4" borderId="5" xfId="1" applyNumberFormat="1" applyFont="1" applyFill="1" applyBorder="1" applyAlignment="1">
      <alignment horizontal="center" vertical="center"/>
    </xf>
    <xf numFmtId="165" fontId="10" fillId="5" borderId="6" xfId="1" applyNumberFormat="1" applyFont="1" applyFill="1" applyBorder="1" applyAlignment="1">
      <alignment horizontal="center" vertical="center"/>
    </xf>
    <xf numFmtId="165" fontId="10" fillId="5" borderId="4" xfId="1" applyNumberFormat="1" applyFont="1" applyFill="1" applyBorder="1" applyAlignment="1">
      <alignment horizontal="center" vertical="center"/>
    </xf>
    <xf numFmtId="165" fontId="10" fillId="5" borderId="5" xfId="1" applyNumberFormat="1" applyFont="1" applyFill="1" applyBorder="1" applyAlignment="1">
      <alignment horizontal="center" vertical="center"/>
    </xf>
    <xf numFmtId="165" fontId="17" fillId="8" borderId="21" xfId="1" applyNumberFormat="1" applyFont="1" applyFill="1" applyBorder="1" applyAlignment="1">
      <alignment horizontal="center" vertical="center"/>
    </xf>
    <xf numFmtId="165" fontId="17" fillId="8" borderId="1" xfId="1" applyNumberFormat="1" applyFont="1" applyFill="1" applyBorder="1" applyAlignment="1">
      <alignment horizontal="center" vertical="center"/>
    </xf>
    <xf numFmtId="165" fontId="17" fillId="8" borderId="20" xfId="1" applyNumberFormat="1" applyFont="1" applyFill="1" applyBorder="1" applyAlignment="1">
      <alignment horizontal="center" vertical="center"/>
    </xf>
    <xf numFmtId="0" fontId="21" fillId="0" borderId="17" xfId="0" applyFont="1" applyBorder="1" applyAlignment="1">
      <alignment horizontal="center" vertical="center"/>
    </xf>
    <xf numFmtId="0" fontId="21" fillId="0" borderId="16" xfId="0" applyFont="1" applyBorder="1" applyAlignment="1">
      <alignment horizontal="center" vertical="center"/>
    </xf>
    <xf numFmtId="0" fontId="21" fillId="0" borderId="15" xfId="0" applyFont="1" applyBorder="1" applyAlignment="1">
      <alignment horizontal="center" vertical="center"/>
    </xf>
    <xf numFmtId="0" fontId="21" fillId="0" borderId="26" xfId="0" applyFont="1" applyBorder="1" applyAlignment="1">
      <alignment horizontal="center" vertical="center"/>
    </xf>
    <xf numFmtId="0" fontId="21" fillId="0" borderId="25" xfId="0" applyFont="1" applyBorder="1" applyAlignment="1">
      <alignment horizontal="center" vertical="center"/>
    </xf>
    <xf numFmtId="0" fontId="21" fillId="0" borderId="24" xfId="0" applyFont="1" applyBorder="1" applyAlignment="1">
      <alignment horizontal="center" vertical="center"/>
    </xf>
    <xf numFmtId="165" fontId="19" fillId="6" borderId="23" xfId="1" applyNumberFormat="1" applyFont="1" applyFill="1" applyBorder="1" applyAlignment="1">
      <alignment horizontal="center" vertical="center"/>
    </xf>
    <xf numFmtId="165" fontId="19" fillId="6" borderId="22" xfId="1" applyNumberFormat="1" applyFont="1" applyFill="1" applyBorder="1" applyAlignment="1">
      <alignment horizontal="center" vertical="center"/>
    </xf>
    <xf numFmtId="165" fontId="19" fillId="6" borderId="33" xfId="1" applyNumberFormat="1" applyFont="1" applyFill="1" applyBorder="1" applyAlignment="1">
      <alignment horizontal="center" vertical="center"/>
    </xf>
    <xf numFmtId="165" fontId="19" fillId="3" borderId="23" xfId="1" applyNumberFormat="1" applyFont="1" applyFill="1" applyBorder="1" applyAlignment="1">
      <alignment horizontal="center" vertical="center"/>
    </xf>
    <xf numFmtId="165" fontId="19" fillId="3" borderId="22" xfId="1" applyNumberFormat="1" applyFont="1" applyFill="1" applyBorder="1" applyAlignment="1">
      <alignment horizontal="center" vertical="center"/>
    </xf>
    <xf numFmtId="165" fontId="19" fillId="3" borderId="33" xfId="1" applyNumberFormat="1" applyFont="1" applyFill="1" applyBorder="1" applyAlignment="1">
      <alignment horizontal="center" vertical="center"/>
    </xf>
    <xf numFmtId="165" fontId="19" fillId="7" borderId="23" xfId="1" applyNumberFormat="1" applyFont="1" applyFill="1" applyBorder="1" applyAlignment="1">
      <alignment horizontal="center" vertical="center"/>
    </xf>
    <xf numFmtId="165" fontId="19" fillId="7" borderId="22" xfId="1" applyNumberFormat="1" applyFont="1" applyFill="1" applyBorder="1" applyAlignment="1">
      <alignment horizontal="center" vertical="center"/>
    </xf>
    <xf numFmtId="165" fontId="19" fillId="7" borderId="33" xfId="1" applyNumberFormat="1" applyFont="1" applyFill="1" applyBorder="1" applyAlignment="1">
      <alignment horizontal="center" vertical="center"/>
    </xf>
    <xf numFmtId="0" fontId="20" fillId="2" borderId="23" xfId="0" applyFont="1" applyFill="1" applyBorder="1" applyAlignment="1">
      <alignment horizontal="center"/>
    </xf>
    <xf numFmtId="0" fontId="20" fillId="2" borderId="22" xfId="0" applyFont="1" applyFill="1" applyBorder="1" applyAlignment="1">
      <alignment horizontal="center"/>
    </xf>
    <xf numFmtId="0" fontId="20" fillId="2" borderId="33" xfId="0" applyFont="1" applyFill="1" applyBorder="1" applyAlignment="1">
      <alignment horizontal="center"/>
    </xf>
    <xf numFmtId="0" fontId="14" fillId="0" borderId="31" xfId="0" applyFont="1" applyBorder="1" applyAlignment="1">
      <alignment horizontal="center"/>
    </xf>
    <xf numFmtId="0" fontId="14" fillId="0" borderId="4" xfId="0" applyFont="1" applyBorder="1" applyAlignment="1">
      <alignment horizontal="center"/>
    </xf>
    <xf numFmtId="0" fontId="14" fillId="0" borderId="38" xfId="0" applyFont="1" applyBorder="1" applyAlignment="1">
      <alignment horizontal="center"/>
    </xf>
    <xf numFmtId="165" fontId="17" fillId="8" borderId="16" xfId="1" applyNumberFormat="1" applyFont="1" applyFill="1" applyBorder="1" applyAlignment="1">
      <alignment horizontal="center" vertical="center"/>
    </xf>
    <xf numFmtId="0" fontId="14" fillId="0" borderId="19" xfId="0" applyFont="1" applyBorder="1" applyAlignment="1">
      <alignment horizontal="center"/>
    </xf>
    <xf numFmtId="0" fontId="14" fillId="0" borderId="9" xfId="0" applyFont="1" applyBorder="1" applyAlignment="1">
      <alignment horizontal="center"/>
    </xf>
    <xf numFmtId="165" fontId="19" fillId="3" borderId="18" xfId="1" applyNumberFormat="1" applyFont="1" applyFill="1" applyBorder="1" applyAlignment="1">
      <alignment horizontal="center" vertical="center"/>
    </xf>
    <xf numFmtId="165" fontId="19" fillId="3" borderId="0" xfId="1" applyNumberFormat="1" applyFont="1" applyFill="1" applyBorder="1" applyAlignment="1">
      <alignment horizontal="center" vertical="center"/>
    </xf>
    <xf numFmtId="165" fontId="19" fillId="7" borderId="17" xfId="1" applyNumberFormat="1" applyFont="1" applyFill="1" applyBorder="1" applyAlignment="1">
      <alignment horizontal="center" vertical="center"/>
    </xf>
    <xf numFmtId="165" fontId="19" fillId="7" borderId="16" xfId="1" applyNumberFormat="1" applyFont="1" applyFill="1" applyBorder="1" applyAlignment="1">
      <alignment horizontal="center" vertical="center"/>
    </xf>
    <xf numFmtId="165" fontId="19" fillId="7" borderId="15" xfId="1" applyNumberFormat="1" applyFont="1" applyFill="1" applyBorder="1" applyAlignment="1">
      <alignment horizontal="center" vertical="center"/>
    </xf>
    <xf numFmtId="165" fontId="19" fillId="6" borderId="16" xfId="1" applyNumberFormat="1" applyFont="1" applyFill="1" applyBorder="1" applyAlignment="1">
      <alignment horizontal="center" vertical="center"/>
    </xf>
    <xf numFmtId="165" fontId="19" fillId="6" borderId="15" xfId="1" applyNumberFormat="1" applyFont="1" applyFill="1" applyBorder="1" applyAlignment="1">
      <alignment horizontal="center" vertical="center"/>
    </xf>
    <xf numFmtId="0" fontId="14" fillId="0" borderId="30" xfId="0" applyFont="1" applyBorder="1" applyAlignment="1">
      <alignment horizontal="center"/>
    </xf>
    <xf numFmtId="0" fontId="14" fillId="0" borderId="28" xfId="0" applyFont="1" applyBorder="1" applyAlignment="1">
      <alignment horizontal="center"/>
    </xf>
    <xf numFmtId="42" fontId="19" fillId="3" borderId="26" xfId="1" applyNumberFormat="1" applyFont="1" applyFill="1" applyBorder="1" applyAlignment="1">
      <alignment horizontal="center" vertical="center"/>
    </xf>
    <xf numFmtId="42" fontId="19" fillId="3" borderId="25" xfId="1" applyNumberFormat="1" applyFont="1" applyFill="1" applyBorder="1" applyAlignment="1">
      <alignment horizontal="center" vertical="center"/>
    </xf>
    <xf numFmtId="165" fontId="19" fillId="6" borderId="1" xfId="1" applyNumberFormat="1" applyFont="1" applyFill="1" applyBorder="1" applyAlignment="1">
      <alignment horizontal="center" vertical="center"/>
    </xf>
    <xf numFmtId="165" fontId="19" fillId="6" borderId="20" xfId="1" applyNumberFormat="1" applyFont="1" applyFill="1" applyBorder="1" applyAlignment="1">
      <alignment horizontal="center" vertical="center"/>
    </xf>
    <xf numFmtId="165" fontId="19" fillId="7" borderId="21" xfId="1" applyNumberFormat="1" applyFont="1" applyFill="1" applyBorder="1" applyAlignment="1">
      <alignment horizontal="center" vertical="center"/>
    </xf>
    <xf numFmtId="165" fontId="19" fillId="7" borderId="1" xfId="1" applyNumberFormat="1" applyFont="1" applyFill="1" applyBorder="1" applyAlignment="1">
      <alignment horizontal="center" vertical="center"/>
    </xf>
    <xf numFmtId="165" fontId="19" fillId="7" borderId="20" xfId="1" applyNumberFormat="1" applyFont="1" applyFill="1" applyBorder="1" applyAlignment="1">
      <alignment horizontal="center" vertical="center"/>
    </xf>
    <xf numFmtId="0" fontId="30" fillId="19" borderId="6" xfId="0" applyFont="1" applyFill="1" applyBorder="1" applyAlignment="1">
      <alignment horizontal="center" vertical="top"/>
    </xf>
    <xf numFmtId="0" fontId="30" fillId="19" borderId="4" xfId="0" applyFont="1" applyFill="1" applyBorder="1" applyAlignment="1">
      <alignment horizontal="center" vertical="top"/>
    </xf>
    <xf numFmtId="0" fontId="30" fillId="19" borderId="5" xfId="0" applyFont="1" applyFill="1" applyBorder="1" applyAlignment="1">
      <alignment horizontal="center" vertical="top"/>
    </xf>
    <xf numFmtId="0" fontId="0" fillId="0" borderId="10" xfId="0" applyBorder="1" applyAlignment="1">
      <alignment horizontal="center" vertical="top"/>
    </xf>
    <xf numFmtId="0" fontId="0" fillId="0" borderId="13" xfId="0" applyBorder="1" applyAlignment="1">
      <alignment horizontal="center" vertical="top"/>
    </xf>
    <xf numFmtId="2" fontId="21" fillId="0" borderId="17" xfId="0" applyNumberFormat="1" applyFont="1" applyBorder="1" applyAlignment="1">
      <alignment horizontal="center" vertical="center"/>
    </xf>
    <xf numFmtId="2" fontId="21" fillId="0" borderId="26" xfId="0" applyNumberFormat="1" applyFont="1" applyBorder="1" applyAlignment="1">
      <alignment horizontal="center" vertical="center"/>
    </xf>
    <xf numFmtId="2" fontId="20" fillId="2" borderId="23" xfId="0" applyNumberFormat="1" applyFont="1" applyFill="1" applyBorder="1" applyAlignment="1">
      <alignment horizontal="center"/>
    </xf>
    <xf numFmtId="2" fontId="14" fillId="0" borderId="30" xfId="0" applyNumberFormat="1" applyFont="1" applyBorder="1" applyAlignment="1">
      <alignment horizontal="center"/>
    </xf>
    <xf numFmtId="0" fontId="14" fillId="0" borderId="27" xfId="0" applyFont="1" applyBorder="1" applyAlignment="1">
      <alignment horizontal="center"/>
    </xf>
    <xf numFmtId="165" fontId="19" fillId="3" borderId="26" xfId="1" applyNumberFormat="1" applyFont="1" applyFill="1" applyBorder="1" applyAlignment="1">
      <alignment horizontal="center" vertical="center"/>
    </xf>
    <xf numFmtId="165" fontId="19" fillId="3" borderId="25" xfId="1" applyNumberFormat="1" applyFont="1" applyFill="1" applyBorder="1" applyAlignment="1">
      <alignment horizontal="center" vertical="center"/>
    </xf>
    <xf numFmtId="165" fontId="19" fillId="7" borderId="18" xfId="1" applyNumberFormat="1" applyFont="1" applyFill="1" applyBorder="1" applyAlignment="1">
      <alignment horizontal="center" vertical="center"/>
    </xf>
    <xf numFmtId="165" fontId="19" fillId="7" borderId="0" xfId="1" applyNumberFormat="1" applyFont="1" applyFill="1" applyBorder="1" applyAlignment="1">
      <alignment horizontal="center" vertical="center"/>
    </xf>
    <xf numFmtId="165" fontId="19" fillId="6" borderId="21" xfId="1" applyNumberFormat="1" applyFont="1" applyFill="1" applyBorder="1" applyAlignment="1">
      <alignment horizontal="center" vertical="center"/>
    </xf>
    <xf numFmtId="0" fontId="20" fillId="2" borderId="17" xfId="0" applyFont="1" applyFill="1" applyBorder="1" applyAlignment="1">
      <alignment horizontal="center"/>
    </xf>
    <xf numFmtId="0" fontId="20" fillId="2" borderId="16" xfId="0" applyFont="1" applyFill="1" applyBorder="1" applyAlignment="1">
      <alignment horizontal="center"/>
    </xf>
    <xf numFmtId="165" fontId="17" fillId="8" borderId="17" xfId="1" applyNumberFormat="1" applyFont="1" applyFill="1" applyBorder="1" applyAlignment="1">
      <alignment horizontal="center" vertical="center"/>
    </xf>
    <xf numFmtId="165" fontId="17" fillId="8" borderId="15" xfId="1" applyNumberFormat="1" applyFont="1" applyFill="1" applyBorder="1" applyAlignment="1">
      <alignment horizontal="center" vertical="center"/>
    </xf>
    <xf numFmtId="0" fontId="14" fillId="0" borderId="21" xfId="0" applyFont="1" applyBorder="1" applyAlignment="1">
      <alignment horizontal="center"/>
    </xf>
    <xf numFmtId="0" fontId="14" fillId="0" borderId="1" xfId="0" applyFont="1" applyBorder="1" applyAlignment="1">
      <alignment horizontal="center"/>
    </xf>
    <xf numFmtId="165" fontId="19" fillId="3" borderId="17" xfId="1" applyNumberFormat="1" applyFont="1" applyFill="1" applyBorder="1" applyAlignment="1">
      <alignment horizontal="center" vertical="center"/>
    </xf>
    <xf numFmtId="165" fontId="19" fillId="3" borderId="16" xfId="1" applyNumberFormat="1" applyFont="1" applyFill="1" applyBorder="1" applyAlignment="1">
      <alignment horizontal="center" vertical="center"/>
    </xf>
  </cellXfs>
  <cellStyles count="5">
    <cellStyle name="Currency" xfId="1" builtinId="4"/>
    <cellStyle name="Hyperlink" xfId="4" builtinId="8"/>
    <cellStyle name="Normal" xfId="0" builtinId="0"/>
    <cellStyle name="Normal 20" xfId="3" xr:uid="{B7DB083B-4BF6-427B-BB3D-9E53AD916401}"/>
    <cellStyle name="Percent" xfId="2" builtinId="5"/>
  </cellStyles>
  <dxfs count="117">
    <dxf>
      <font>
        <b val="0"/>
        <i val="0"/>
        <strike val="0"/>
        <condense val="0"/>
        <extend val="0"/>
        <outline val="0"/>
        <shadow val="0"/>
        <u val="none"/>
        <vertAlign val="baseline"/>
        <sz val="11"/>
        <color theme="1"/>
        <name val="Calibri"/>
        <scheme val="minor"/>
      </font>
      <numFmt numFmtId="2" formatCode="0.00"/>
      <fill>
        <patternFill patternType="none">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 formatCode="0"/>
      <fill>
        <patternFill patternType="none">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7" formatCode="&quot;$&quot;#,##0.00"/>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quot;$&quot;#,##0.00"/>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quot;$&quot;#,##0.00"/>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fill>
        <patternFill patternType="none">
          <bgColor auto="1"/>
        </patternFill>
      </fill>
      <border diagonalUp="0" diagonalDown="0" outline="0">
        <left style="thin">
          <color indexed="64"/>
        </left>
        <right style="thin">
          <color indexed="64"/>
        </right>
        <top style="thin">
          <color indexed="64"/>
        </top>
        <bottom style="thin">
          <color indexed="64"/>
        </bottom>
      </border>
    </dxf>
    <dxf>
      <border outline="0">
        <left style="thin">
          <color rgb="FF000000"/>
        </left>
      </border>
    </dxf>
    <dxf>
      <fill>
        <patternFill patternType="none">
          <bgColor auto="1"/>
        </patternFill>
      </fill>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border diagonalUp="0" diagonalDown="0">
        <left/>
        <right style="medium">
          <color indexed="64"/>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167" formatCode="&quot;$&quot;#,##0.00"/>
      <alignment horizontal="center" vertical="bottom" textRotation="0" wrapText="0" indent="0" justifyLastLine="0" shrinkToFit="0" readingOrder="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32" formatCode="_(&quot;$&quot;* #,##0_);_(&quot;$&quot;* \(#,##0\);_(&quot;$&quot;* &quot;-&quot;_);_(@_)"/>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167" formatCode="&quot;$&quot;#,##0.0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166" formatCode="0.00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167" formatCode="&quot;$&quot;#,##0.0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166" formatCode="0.00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theme="1"/>
        <name val="Calibri"/>
        <scheme val="minor"/>
      </font>
      <numFmt numFmtId="32" formatCode="_(&quot;$&quot;* #,##0_);_(&quot;$&quot;* \(#,##0\);_(&quot;$&quot;* &quot;-&quot;_);_(@_)"/>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rgb="FF000000"/>
        <name val="Calibri"/>
        <scheme val="none"/>
      </font>
      <numFmt numFmtId="167" formatCode="&quot;$&quot;#,##0.00"/>
      <alignment horizontal="center" vertical="bottom" textRotation="0" wrapText="0" indent="0" justifyLastLine="0" shrinkToFit="0" readingOrder="0"/>
      <border diagonalUp="0" diagonalDown="0" outline="0">
        <left/>
        <right/>
        <top style="medium">
          <color auto="1"/>
        </top>
        <bottom style="medium">
          <color auto="1"/>
        </bottom>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1"/>
        <color rgb="FF000000"/>
        <name val="Calibri"/>
        <scheme val="none"/>
      </font>
      <numFmt numFmtId="167" formatCode="&quot;$&quot;#,##0.00"/>
      <alignment horizontal="center" vertical="bottom" textRotation="0" wrapText="0" indent="0" justifyLastLine="0" shrinkToFit="0" readingOrder="0"/>
      <border diagonalUp="0" diagonalDown="0" outline="0">
        <left style="medium">
          <color indexed="64"/>
        </left>
        <right/>
        <top style="medium">
          <color auto="1"/>
        </top>
        <bottom style="medium">
          <color auto="1"/>
        </bottom>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border outline="0">
        <left style="thin">
          <color rgb="FF000000"/>
        </left>
      </border>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right style="medium">
          <color indexed="64"/>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border diagonalUp="0" diagonalDown="0">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4" formatCode="0.00%"/>
      <alignment horizontal="center" vertical="bottom" textRotation="0" wrapText="0" indent="0" justifyLastLine="0" shrinkToFit="0" readingOrder="0"/>
      <border diagonalUp="0" diagonalDown="0">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6" formatCode="0.000%"/>
      <alignment horizontal="center" vertical="bottom" textRotation="0" wrapText="0" indent="0" justifyLastLine="0" shrinkToFit="0" readingOrder="0"/>
      <border diagonalUp="0" diagonalDown="0">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border diagonalUp="0" diagonalDown="0">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6" formatCode="0.000%"/>
      <alignment horizontal="center" vertical="bottom" textRotation="0" wrapText="0" indent="0" justifyLastLine="0" shrinkToFit="0" readingOrder="0"/>
      <border diagonalUp="0" diagonalDown="0">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1"/>
        <color rgb="FF000000"/>
        <name val="Calibri"/>
        <family val="2"/>
        <scheme val="none"/>
      </font>
      <numFmt numFmtId="166"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7" formatCode="&quot;$&quot;#,##0.00"/>
      <alignment horizontal="center" vertical="bottom" textRotation="0" wrapText="0" indent="0" justifyLastLine="0" shrinkToFit="0" readingOrder="0"/>
      <border diagonalUp="0" diagonalDown="0" outline="0">
        <left style="medium">
          <color indexed="64"/>
        </left>
        <right/>
        <top/>
        <bottom/>
      </border>
    </dxf>
    <dxf>
      <numFmt numFmtId="30" formatCode="@"/>
      <alignment horizontal="center" vertical="bottom"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dxf>
    <dxf>
      <font>
        <b val="0"/>
        <i val="0"/>
        <strike val="0"/>
        <condense val="0"/>
        <extend val="0"/>
        <outline val="0"/>
        <shadow val="0"/>
        <u val="none"/>
        <vertAlign val="baseline"/>
        <sz val="11"/>
        <color theme="1"/>
        <name val="Calibri"/>
        <scheme val="minor"/>
      </font>
      <numFmt numFmtId="32"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scheme val="minor"/>
      </font>
      <numFmt numFmtId="3" formatCode="#,##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dxf>
    <dxf>
      <font>
        <b val="0"/>
        <i val="0"/>
        <strike val="0"/>
        <condense val="0"/>
        <extend val="0"/>
        <outline val="0"/>
        <shadow val="0"/>
        <u val="none"/>
        <vertAlign val="baseline"/>
        <sz val="11"/>
        <color theme="1"/>
        <name val="Calibri"/>
        <scheme val="minor"/>
      </font>
      <numFmt numFmtId="32" formatCode="_(&quot;$&quot;* #,##0_);_(&quot;$&quot;* \(#,##0\);_(&quot;$&quot;* &quot;-&quot;_);_(@_)"/>
      <fill>
        <patternFill patternType="none">
          <fgColor indexed="64"/>
          <bgColor indexed="65"/>
        </patternFill>
      </fill>
      <border diagonalUp="0" diagonalDown="0">
        <left/>
        <right style="medium">
          <color indexed="64"/>
        </right>
        <top/>
        <bottom/>
        <vertical/>
        <horizontal/>
      </border>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theme="1"/>
        <name val="Calibri"/>
        <scheme val="minor"/>
      </font>
      <numFmt numFmtId="3" formatCode="#,##0"/>
      <fill>
        <patternFill patternType="none">
          <bgColor auto="1"/>
        </patternFill>
      </fill>
    </dxf>
    <dxf>
      <font>
        <b val="0"/>
        <i val="0"/>
        <strike val="0"/>
        <condense val="0"/>
        <extend val="0"/>
        <outline val="0"/>
        <shadow val="0"/>
        <u val="none"/>
        <vertAlign val="baseline"/>
        <sz val="11"/>
        <color rgb="FF000000"/>
        <name val="Calibri"/>
        <scheme val="none"/>
      </font>
      <numFmt numFmtId="32" formatCode="_(&quot;$&quot;* #,##0_);_(&quot;$&quot;* \(#,##0\);_(&quot;$&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2" formatCode="_(&quot;$&quot;* #,##0_);_(&quot;$&quot;* \(#,##0\);_(&quot;$&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bgColor auto="1"/>
        </patternFill>
      </fill>
      <alignment horizontal="center" vertical="bottom" textRotation="0" wrapText="0" indent="0" justifyLastLine="0" shrinkToFit="0" readingOrder="0"/>
      <border diagonalUp="0" diagonalDown="0">
        <left style="thin">
          <color indexed="64"/>
        </left>
        <right style="medium">
          <color indexed="64"/>
        </right>
        <top/>
        <bottom/>
        <vertical/>
        <horizontal/>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Calibri"/>
        <scheme val="minor"/>
      </font>
      <numFmt numFmtId="168" formatCode="0##########"/>
      <fill>
        <patternFill patternType="solid">
          <fgColor indexed="64"/>
          <bgColor theme="0"/>
        </patternFill>
      </fill>
      <border diagonalUp="0" diagonalDown="0" outline="0">
        <right style="thin">
          <color auto="1"/>
        </right>
      </border>
    </dxf>
    <dxf>
      <border outline="0">
        <left style="thin">
          <color rgb="FF000000"/>
        </left>
      </border>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font>
        <color rgb="FF000000"/>
      </font>
      <numFmt numFmtId="166" formatCode="0.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8"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166" formatCode="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2" formatCode="_(&quot;$&quot;* #,##0_);_(&quot;$&quot;* \(#,##0\);_(&quot;$&quot;* &quot;-&quot;_);_(@_)"/>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8" formatCode="0##########"/>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Invisible" pivot="0" table="0" count="0" xr9:uid="{DB49E743-9573-454A-B74F-BBE724087F24}"/>
  </tableStyles>
  <colors>
    <mruColors>
      <color rgb="FFFFFDCD"/>
      <color rgb="FFF2DC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ctgovexec.sharepoint.com/sites/DEEPEnergyTechPolicy/BTD/Building%20%20Transportation%20Documents/C&amp;LM/Equitable%20Distribution/2019-2022%20EDR/2019%20-%20ES%20-%20Equitable%20Distribution%20Reporting%20-%2016-245ee.xlsx" TargetMode="External"/><Relationship Id="rId1" Type="http://schemas.openxmlformats.org/officeDocument/2006/relationships/externalLinkPath" Target="https://ctgovexec.sharepoint.com/sites/DEEPEnergyTechPolicy/BTD/Building%20%20Transportation%20Documents/C&amp;LM/Equitable%20Distribution/2019-2022%20EDR/2019%20-%20ES%20-%20Equitable%20Distribution%20Reporting%20-%2016-245ee.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ctgovexec.sharepoint.com/sites/DEEPEnergyTechPolicy/BTD/Building%20%20Transportation%20Documents/C&amp;LM/Equitable%20Distribution/2019-2022%20EDR/2019%20-%20UI%20-%202019-2021%20Plan%20Compliance%20Item%20Equitable%20Distribution%20Report%20-%2016-245ee%20-%20REVISION%2005JAN2023.xlsx" TargetMode="External"/><Relationship Id="rId2" Type="http://schemas.microsoft.com/office/2019/04/relationships/externalLinkLongPath" Target="https://ctgovexec.sharepoint.com/sites/DEEPEnergyTechPolicy/BTD/Building%20%20Transportation%20Documents/C&amp;LM/Equitable%20Distribution/2019-2022%20EDR/2019%20-%20UI%20-%202019-2021%20Plan%20Compliance%20Item%20Equitable%20Distribution%20Report%20-%2016-245ee%20-%20REVISION%2005JAN2023.xlsx?3599F65E" TargetMode="External"/><Relationship Id="rId1" Type="http://schemas.openxmlformats.org/officeDocument/2006/relationships/externalLinkPath" Target="file:///3599F65E/2019%20-%20UI%20-%202019-2021%20Plan%20Compliance%20Item%20Equitable%20Distribution%20Report%20-%2016-245ee%20-%20REVISION%2005JAN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1.) CLM Reference"/>
      <sheetName val="2.) Small Load"/>
      <sheetName val="3.) Large Load"/>
      <sheetName val="HES Report"/>
      <sheetName val="2019 - ES - Equitable Distribut"/>
    </sheetNames>
    <sheetDataSet>
      <sheetData sheetId="0" refreshError="1"/>
      <sheetData sheetId="1">
        <row r="4">
          <cell r="B4">
            <v>112718710.6524774</v>
          </cell>
        </row>
        <row r="5">
          <cell r="B5">
            <v>81735058.186299995</v>
          </cell>
        </row>
      </sheetData>
      <sheetData sheetId="2">
        <row r="938">
          <cell r="H938">
            <v>52629786.815592907</v>
          </cell>
          <cell r="J938">
            <v>36999853.3169</v>
          </cell>
          <cell r="L938">
            <v>18029362.111024335</v>
          </cell>
          <cell r="N938">
            <v>7405447.7646000003</v>
          </cell>
        </row>
      </sheetData>
      <sheetData sheetId="3">
        <row r="233">
          <cell r="H233">
            <v>52735.964530559999</v>
          </cell>
          <cell r="J233">
            <v>0</v>
          </cell>
          <cell r="L233">
            <v>42006825.761329599</v>
          </cell>
          <cell r="N233">
            <v>37329757.104799993</v>
          </cell>
        </row>
      </sheetData>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ver Page"/>
      <sheetName val="1.) CLM Reference"/>
      <sheetName val="2.) Small Load"/>
      <sheetName val="3.) Large Load"/>
      <sheetName val="HES Report"/>
      <sheetName val="2019 - UI - 2019-2021 Plan Comp"/>
    </sheetNames>
    <sheetDataSet>
      <sheetData sheetId="0"/>
      <sheetData sheetId="1">
        <row r="4">
          <cell r="B4">
            <v>29100612.598399997</v>
          </cell>
        </row>
      </sheetData>
      <sheetData sheetId="2">
        <row r="338">
          <cell r="H338">
            <v>12129792.930899993</v>
          </cell>
          <cell r="J338">
            <v>8494544.2900000028</v>
          </cell>
          <cell r="L338">
            <v>5418125.9766000006</v>
          </cell>
          <cell r="N338">
            <v>3155916.3199999994</v>
          </cell>
        </row>
      </sheetData>
      <sheetData sheetId="3">
        <row r="181">
          <cell r="H181">
            <v>155286.23139999996</v>
          </cell>
          <cell r="J181">
            <v>800</v>
          </cell>
          <cell r="L181">
            <v>11397407.459500005</v>
          </cell>
          <cell r="N181">
            <v>5149727.3599999994</v>
          </cell>
        </row>
      </sheetData>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70.591605787034" createdVersion="7" refreshedVersion="7" minRefreshableVersion="3" recordCount="932" xr:uid="{3378345A-F552-4E57-8DEF-D491B1C457AB}">
  <cacheSource type="worksheet">
    <worksheetSource name="Table3"/>
  </cacheSource>
  <cacheFields count="19">
    <cacheField name="Census Tract" numFmtId="168">
      <sharedItems containsString="0" containsBlank="1" containsNumber="1" containsInteger="1" minValue="9000016000" maxValue="9015908100" count="640">
        <n v="9013528100"/>
        <n v="9013529100"/>
        <n v="9013850100"/>
        <n v="9015830100"/>
        <n v="9015902200"/>
        <n v="9003460301"/>
        <n v="9003460302"/>
        <n v="9003462101"/>
        <n v="9003462102"/>
        <n v="9003462201"/>
        <n v="9003462202"/>
        <n v="9003330100"/>
        <n v="9005290100"/>
        <n v="9005320100"/>
        <n v="9009130101"/>
        <n v="9009341100"/>
        <n v="9003400100"/>
        <n v="9003400200"/>
        <n v="9003400300"/>
        <n v="9003490302"/>
        <n v="9009171600"/>
        <n v="9009161100"/>
        <n v="9001200100"/>
        <n v="9001200200"/>
        <n v="9001200301"/>
        <n v="9001200302"/>
        <n v="9001205300"/>
        <n v="9001210400"/>
        <n v="9001210500"/>
        <n v="9001230400"/>
        <n v="9005303100"/>
        <n v="9005342100"/>
        <n v="9005362102"/>
        <n v="9003471100"/>
        <n v="9003471200"/>
        <n v="9003471300"/>
        <n v="9003471400"/>
        <n v="9003471500"/>
        <n v="9003473100"/>
        <n v="9003473501"/>
        <n v="9003503900"/>
        <n v="9003514900"/>
        <n v="9013526102"/>
        <n v="9013530600"/>
        <n v="9009184100"/>
        <n v="9009184200"/>
        <n v="9009184300"/>
        <n v="9009184400"/>
        <n v="9009184500"/>
        <n v="9009184600"/>
        <n v="9009184700"/>
        <n v="9005250100"/>
        <n v="9005268100"/>
        <n v="9003405100"/>
        <n v="9003405200"/>
        <n v="9003405300"/>
        <n v="9003405401"/>
        <n v="9003405402"/>
        <n v="9003405500"/>
        <n v="9003405600"/>
        <n v="9003405700"/>
        <n v="9003405800"/>
        <n v="9003405900"/>
        <n v="9003406001"/>
        <n v="9003406002"/>
        <n v="9003406100"/>
        <n v="9003410101"/>
        <n v="9003420500"/>
        <n v="9003430601"/>
        <n v="9005425400"/>
        <n v="9001205100"/>
        <n v="9001205200"/>
        <n v="9001211400"/>
        <n v="9005253400"/>
        <n v="9015902500"/>
        <n v="9015905100"/>
        <n v="9003410102"/>
        <n v="9005260200"/>
        <n v="9005261100"/>
        <n v="9005263200"/>
        <n v="9005425600"/>
        <n v="9015825000"/>
        <n v="9015906100"/>
        <n v="9003464101"/>
        <n v="9003464102"/>
        <n v="9003466102"/>
        <n v="9003466202"/>
        <n v="9013881100"/>
        <n v="9015815000"/>
        <n v="9009166002"/>
        <n v="9009343101"/>
        <n v="9009343102"/>
        <n v="9009343200"/>
        <n v="9009343300"/>
        <n v="9009343400"/>
        <n v="9009347100"/>
        <n v="9007600100"/>
        <n v="9007610100"/>
        <n v="9007610200"/>
        <n v="9007610300"/>
        <n v="9007610400"/>
        <n v="9007550201"/>
        <n v="9007595101"/>
        <n v="9011714101"/>
        <n v="9011714103"/>
        <n v="9011714104"/>
        <n v="9011715100"/>
        <n v="9011870100"/>
        <n v="9013526101"/>
        <n v="9005293100"/>
        <n v="9013850200"/>
        <n v="9013860100"/>
        <n v="9005262100"/>
        <n v="9005265100"/>
        <n v="9005266100"/>
        <n v="9007570100"/>
        <n v="9007570200"/>
        <n v="9007570300"/>
        <n v="9001210100"/>
        <n v="9001210200"/>
        <n v="9001210300"/>
        <n v="9001210600"/>
        <n v="9001210701"/>
        <n v="9001210702"/>
        <n v="9001210800"/>
        <n v="9001210900"/>
        <n v="9001211000"/>
        <n v="9001211100"/>
        <n v="9001211200"/>
        <n v="9001211300"/>
        <n v="9001220200"/>
        <n v="9001220300"/>
        <n v="9001240100"/>
        <n v="9001245200"/>
        <n v="9001245600"/>
        <n v="9001030100"/>
        <n v="9001030200"/>
        <n v="9001030300"/>
        <n v="9001030400"/>
        <n v="9001030500"/>
        <n v="9007620100"/>
        <n v="9007585100"/>
        <n v="9009190303"/>
        <n v="9003470100"/>
        <n v="9003477101"/>
        <n v="9003477200"/>
        <n v="9007595102"/>
        <n v="9007550100"/>
        <n v="9007550202"/>
        <n v="9007590100"/>
        <n v="9003496900"/>
        <n v="9003510100"/>
        <n v="9003510200"/>
        <n v="9003510300"/>
        <n v="9003510400"/>
        <n v="9003510500"/>
        <n v="9003510600"/>
        <n v="9003510700"/>
        <n v="9003510800"/>
        <n v="9003510900"/>
        <n v="9003511000"/>
        <n v="9003511100"/>
        <n v="9003511200"/>
        <n v="9003511300"/>
        <n v="9003511400"/>
        <n v="9003514102"/>
        <n v="9011695202"/>
        <n v="9011716101"/>
        <n v="9011716102"/>
        <n v="9011870701"/>
        <n v="9011870703"/>
        <n v="9011870704"/>
        <n v="9003484100"/>
        <n v="9003484200"/>
        <n v="9003487100"/>
        <n v="9013530100"/>
        <n v="9013535100"/>
        <n v="9013535200"/>
        <n v="9013538201"/>
        <n v="9013538202"/>
        <n v="9003480300"/>
        <n v="9003480400"/>
        <n v="9003480500"/>
        <n v="9003480600"/>
        <n v="9003480700"/>
        <n v="9003480800"/>
        <n v="9003480900"/>
        <n v="9003481000"/>
        <n v="9003481100"/>
        <n v="9003481200"/>
        <n v="9003481300"/>
        <n v="9003524300"/>
        <n v="9007630100"/>
        <n v="9007670100"/>
        <n v="9003420600"/>
        <n v="9003460100"/>
        <n v="9003460202"/>
        <n v="9003460203"/>
        <n v="9003460204"/>
        <n v="9003496200"/>
        <n v="9011712100"/>
        <n v="9003520100"/>
        <n v="9003520201"/>
        <n v="9003520202"/>
        <n v="9003520301"/>
        <n v="9003520302"/>
        <n v="9003520400"/>
        <n v="9003520501"/>
        <n v="9007560100"/>
        <n v="9005296100"/>
        <n v="9003468101"/>
        <n v="9003468102"/>
        <n v="9001010101"/>
        <n v="9001010102"/>
        <n v="9001010201"/>
        <n v="9001010202"/>
        <n v="9001010300"/>
        <n v="9001010400"/>
        <n v="9001010500"/>
        <n v="9001010600"/>
        <n v="9001010700"/>
        <n v="9001010800"/>
        <n v="9001010900"/>
        <n v="9001011000"/>
        <n v="9001011100"/>
        <n v="9001011200"/>
        <n v="9001011300"/>
        <n v="9001020200"/>
        <n v="9001021400"/>
        <n v="9011709100"/>
        <n v="9011709200"/>
        <n v="9011710100"/>
        <n v="9011702100"/>
        <n v="9011702400"/>
        <n v="9011702600"/>
        <n v="9011702700"/>
        <n v="9011702800"/>
        <n v="9011702900"/>
        <n v="9011703000"/>
        <n v="9009190100"/>
        <n v="9009190200"/>
        <n v="9009190301"/>
        <n v="9009190302"/>
        <n v="9009194201"/>
        <n v="9015820000"/>
        <n v="9003496700"/>
        <n v="9003496800"/>
        <n v="9003497100"/>
        <n v="9003500100"/>
        <n v="9003500200"/>
        <n v="9003500300"/>
        <n v="9003500400"/>
        <n v="9003500500"/>
        <n v="9003500900"/>
        <n v="9003501200"/>
        <n v="9003501300"/>
        <n v="9003501400"/>
        <n v="9003501500"/>
        <n v="9003501700"/>
        <n v="9003501800"/>
        <n v="9003502100"/>
        <n v="9003502300"/>
        <n v="9003502400"/>
        <n v="9003502500"/>
        <n v="9003502600"/>
        <n v="9003502700"/>
        <n v="9003502800"/>
        <n v="9003502900"/>
        <n v="9003503000"/>
        <n v="9003503100"/>
        <n v="9003503300"/>
        <n v="9003503500"/>
        <n v="9003503700"/>
        <n v="9003503800"/>
        <n v="9003504000"/>
        <n v="9003504100"/>
        <n v="9003504200"/>
        <n v="9003504300"/>
        <n v="9003504500"/>
        <n v="9003504800"/>
        <n v="9003504900"/>
        <n v="9003524400"/>
        <n v="9003524501"/>
        <n v="9003524502"/>
        <n v="9003524600"/>
        <n v="9003524700"/>
        <n v="9005298300"/>
        <n v="9005298400"/>
        <n v="9005310400"/>
        <n v="9005349200"/>
        <n v="9005425300"/>
        <n v="9005253500"/>
        <n v="9015904100"/>
        <n v="9015904400"/>
        <n v="9015904500"/>
        <n v="9015907100"/>
        <n v="9015907200"/>
        <n v="9015908100"/>
        <n v="9007640100"/>
        <n v="9011701100"/>
        <n v="9011701200"/>
        <n v="9011980000"/>
        <n v="9000016000"/>
        <n v="9011693400"/>
        <n v="9005300100"/>
        <n v="9005300400"/>
        <n v="9005300500"/>
        <n v="9005349100"/>
        <n v="9011650100"/>
        <n v="9009194100"/>
        <n v="9009194202"/>
        <n v="9003487201"/>
        <n v="9003487500"/>
        <n v="9003514101"/>
        <n v="9003514200"/>
        <n v="9003514300"/>
        <n v="9003514400"/>
        <n v="9003514500"/>
        <n v="9003514600"/>
        <n v="9003514700"/>
        <n v="9003514800"/>
        <n v="9003515000"/>
        <n v="9003515101"/>
        <n v="9003515102"/>
        <n v="9003515200"/>
        <n v="9013530500"/>
        <n v="9013840100"/>
        <n v="9013881200"/>
        <n v="9013881300"/>
        <n v="9013881500"/>
        <n v="9003524100"/>
        <n v="9003430301"/>
        <n v="9009170100"/>
        <n v="9009170200"/>
        <n v="9009170300"/>
        <n v="9009170400"/>
        <n v="9009170500"/>
        <n v="9009170600"/>
        <n v="9009170700"/>
        <n v="9009170800"/>
        <n v="9009170900"/>
        <n v="9009171000"/>
        <n v="9009171100"/>
        <n v="9009171200"/>
        <n v="9009171300"/>
        <n v="9009171400"/>
        <n v="9009171500"/>
        <n v="9009171700"/>
        <n v="9009175400"/>
        <n v="9009175700"/>
        <n v="9009344100"/>
        <n v="9009344200"/>
        <n v="9009345400"/>
        <n v="9007580100"/>
        <n v="9007541100"/>
        <n v="9007541200"/>
        <n v="9007541300"/>
        <n v="9007541401"/>
        <n v="9007541402"/>
        <n v="9007541500"/>
        <n v="9007541600"/>
        <n v="9007541700"/>
        <n v="9007542000"/>
        <n v="9007542100"/>
        <n v="9007542200"/>
        <n v="9007680200"/>
        <n v="9001100100"/>
        <n v="9001100200"/>
        <n v="9001100300"/>
        <n v="9001105200"/>
        <n v="9001110500"/>
        <n v="9011693600"/>
        <n v="9011695201"/>
        <n v="9011870501"/>
        <n v="9011870502"/>
        <n v="9009345100"/>
        <n v="9009345201"/>
        <n v="9009345202"/>
        <n v="9009345300"/>
        <n v="9009346102"/>
        <n v="9009347200"/>
        <n v="9009351900"/>
        <n v="9003415300"/>
        <n v="9003415400"/>
        <n v="9003415500"/>
        <n v="9003415600"/>
        <n v="9003415700"/>
        <n v="9003415800"/>
        <n v="9003417100"/>
        <n v="9003416000"/>
        <n v="9003416100"/>
        <n v="9003416200"/>
        <n v="9003416300"/>
        <n v="9003416400"/>
        <n v="9003416500"/>
        <n v="9003416600"/>
        <n v="9003416700"/>
        <n v="9003416800"/>
        <n v="9001020100"/>
        <n v="9003417300"/>
        <n v="9003417400"/>
        <n v="9003417500"/>
        <n v="9003494300"/>
        <n v="9001035100"/>
        <n v="9001035200"/>
        <n v="9001035300"/>
        <n v="9001035400"/>
        <n v="9001220100"/>
        <n v="9001257100"/>
        <n v="9005306100"/>
        <n v="9011690300"/>
        <n v="9011690400"/>
        <n v="9011690500"/>
        <n v="9011690700"/>
        <n v="9011690800"/>
        <n v="9011690900"/>
        <n v="9011870300"/>
        <n v="9005253100"/>
        <n v="9005253200"/>
        <n v="9005253300"/>
        <n v="9005253600"/>
        <n v="9005267100"/>
        <n v="9003492600"/>
        <n v="9003494100"/>
        <n v="9003494201"/>
        <n v="9003494202"/>
        <n v="9003494400"/>
        <n v="9003494500"/>
        <n v="9003494600"/>
        <n v="9001230100"/>
        <n v="9001230200"/>
        <n v="9001230300"/>
        <n v="9001230501"/>
        <n v="9001230502"/>
        <n v="9011707100"/>
        <n v="9011708100"/>
        <n v="9001042500"/>
        <n v="9001042600"/>
        <n v="9001042700"/>
        <n v="9001042800"/>
        <n v="9001042900"/>
        <n v="9001043000"/>
        <n v="9001043100"/>
        <n v="9001043200"/>
        <n v="9001043300"/>
        <n v="9001043400"/>
        <n v="9001043500"/>
        <n v="9001043600"/>
        <n v="9001043700"/>
        <n v="9001043800"/>
        <n v="9001043900"/>
        <n v="9001044000"/>
        <n v="9001044200"/>
        <n v="9001044300"/>
        <n v="9001044400"/>
        <n v="9001044500"/>
        <n v="9001044600"/>
        <n v="9001045300"/>
        <n v="9001045400"/>
        <n v="9001050400"/>
        <n v="9011660101"/>
        <n v="9011660102"/>
        <n v="9007670200"/>
        <n v="9009346101"/>
        <n v="9015907300"/>
        <n v="9003420400"/>
        <n v="9003420700"/>
        <n v="9005425500"/>
        <n v="9015901100"/>
        <n v="9007560200"/>
        <n v="9011697000"/>
        <n v="9011700100"/>
        <n v="9009352800"/>
        <n v="9015903100"/>
        <n v="9015903200"/>
        <n v="9001055100"/>
        <n v="9001240200"/>
        <n v="9001045102"/>
        <n v="9001245100"/>
        <n v="9001245300"/>
        <n v="9001245400"/>
        <n v="9001245500"/>
        <n v="9003490100"/>
        <n v="9003524200"/>
        <n v="9009120200"/>
        <n v="9009125300"/>
        <n v="9009125400"/>
        <n v="9009130102"/>
        <n v="9009130200"/>
        <n v="9003466101"/>
        <n v="9003466201"/>
        <n v="9003466300"/>
        <n v="9003466400"/>
        <n v="9013890202"/>
        <n v="9003487202"/>
        <n v="9003487300"/>
        <n v="9003487400"/>
        <n v="9013530301"/>
        <n v="9009348111"/>
        <n v="9009348122"/>
        <n v="9009348123"/>
        <n v="9009348124"/>
        <n v="9009348125"/>
        <n v="9003430100"/>
        <n v="9003430201"/>
        <n v="9003430202"/>
        <n v="9003430203"/>
        <n v="9003430302"/>
        <n v="9003430400"/>
        <n v="9003430500"/>
        <n v="9003430602"/>
        <n v="9011711100"/>
        <n v="9013890100"/>
        <n v="9013890201"/>
        <n v="9001020300"/>
        <n v="9001020400"/>
        <n v="9001020500"/>
        <n v="9001020600"/>
        <n v="9001020700"/>
        <n v="9001020800"/>
        <n v="9001020900"/>
        <n v="9001021000"/>
        <n v="9001021100"/>
        <n v="9001021200"/>
        <n v="9001021300"/>
        <n v="9001021500"/>
        <n v="9001021600"/>
        <n v="9001021700"/>
        <n v="9001021801"/>
        <n v="9001021802"/>
        <n v="9001021900"/>
        <n v="9001022000"/>
        <n v="9001022100"/>
        <n v="9001022200"/>
        <n v="9001022300"/>
        <n v="9001022400"/>
        <n v="9011705101"/>
        <n v="9011705102"/>
        <n v="9011705200"/>
        <n v="9011705300"/>
        <n v="9011705400"/>
        <n v="9003477102"/>
        <n v="9015900100"/>
        <n v="9015900200"/>
        <n v="9013533101"/>
        <n v="9013533102"/>
        <n v="9005310100"/>
        <n v="9005310200"/>
        <n v="9005310300"/>
        <n v="9005310500"/>
        <n v="9005310601"/>
        <n v="9005310602"/>
        <n v="9005310700"/>
        <n v="9005310801"/>
        <n v="9005310803"/>
        <n v="9005310804"/>
        <n v="9005320200"/>
        <n v="9013530302"/>
        <n v="9013530200"/>
        <n v="9013530400"/>
        <n v="9009350100"/>
        <n v="9009350200"/>
        <n v="9009350300"/>
        <n v="9009350400"/>
        <n v="9009350500"/>
        <n v="9009350800"/>
        <n v="9009350900"/>
        <n v="9009351000"/>
        <n v="9009351100"/>
        <n v="9009351200"/>
        <n v="9009351300"/>
        <n v="9009351400"/>
        <n v="9009351500"/>
        <n v="9009351601"/>
        <n v="9009351602"/>
        <n v="9009351700"/>
        <n v="9009351800"/>
        <n v="9009352000"/>
        <n v="9009352100"/>
        <n v="9009352200"/>
        <n v="9009352300"/>
        <n v="9009352400"/>
        <n v="9009352500"/>
        <n v="9009352600"/>
        <n v="9009352701"/>
        <n v="9009352702"/>
        <n v="9009361100"/>
        <n v="9011693300"/>
        <n v="9011693500"/>
        <n v="9011693700"/>
        <n v="9005360100"/>
        <n v="9005360200"/>
        <n v="9005360300"/>
        <n v="9005360400"/>
        <n v="9003496100"/>
        <n v="9003496300"/>
        <n v="9003496400"/>
        <n v="9003496500"/>
        <n v="9003496600"/>
        <n v="9003497000"/>
        <n v="9003497200"/>
        <n v="9003497300"/>
        <n v="9003497400"/>
        <n v="9003497500"/>
        <n v="9003497600"/>
        <n v="9003497700"/>
        <n v="9007680100"/>
        <n v="9001050100"/>
        <n v="9001050300"/>
        <n v="9001055200"/>
        <n v="9001105100"/>
        <n v="9001050200"/>
        <n v="9001050500"/>
        <n v="9001050600"/>
        <n v="9001060400"/>
        <n v="9003492100"/>
        <n v="9003492200"/>
        <n v="9003492300"/>
        <n v="9003492400"/>
        <n v="9003492500"/>
        <n v="9001045101"/>
        <n v="9001045200"/>
        <n v="9015800300"/>
        <n v="9015800400"/>
        <n v="9015800500"/>
        <n v="9015800600"/>
        <n v="9015800700"/>
        <n v="9003473400"/>
        <n v="9003473502"/>
        <n v="9003473601"/>
        <n v="9003473602"/>
        <n v="9003473700"/>
        <n v="9003473800"/>
        <n v="9003476100"/>
        <n v="9003476200"/>
        <n v="9003476300"/>
        <n v="9009361200"/>
        <n v="9009361300"/>
        <n v="9005362101"/>
        <m/>
      </sharedItems>
    </cacheField>
    <cacheField name="Town" numFmtId="0">
      <sharedItems containsBlank="1"/>
    </cacheField>
    <cacheField name="Distressed Tract1" numFmtId="0">
      <sharedItems/>
    </cacheField>
    <cacheField name="CLM $ Collected " numFmtId="42">
      <sharedItems containsSemiMixedTypes="0" containsString="0" containsNumber="1" minValue="7.6933152000000007" maxValue="70659148.926617205"/>
    </cacheField>
    <cacheField name="% of Total CLM $ Collected " numFmtId="166">
      <sharedItems containsSemiMixedTypes="0" containsString="0" containsNumber="1" minValue="6.825233499803976E-8" maxValue="0.62686264345647225"/>
    </cacheField>
    <cacheField name="Incentive Disbursements" numFmtId="42">
      <sharedItems containsSemiMixedTypes="0" containsString="0" containsNumber="1" minValue="0" maxValue="44405301.081499971"/>
    </cacheField>
    <cacheField name="% of Total Incentive Disbursements" numFmtId="166">
      <sharedItems containsSemiMixedTypes="0" containsString="0" containsNumber="1" minValue="0" maxValue="0.54328340943107023"/>
    </cacheField>
    <cacheField name="Residential CLM $ Collected" numFmtId="42">
      <sharedItems containsSemiMixedTypes="0" containsString="0" containsNumber="1" minValue="7.6933152000000007" maxValue="52629786.815592907"/>
    </cacheField>
    <cacheField name="% of Total Residential CLM $ Collected" numFmtId="166">
      <sharedItems containsSemiMixedTypes="0" containsString="0" containsNumber="1" minValue="6.825233499803976E-8" maxValue="0.4669126049343803"/>
    </cacheField>
    <cacheField name="Residential Incentive Disbursements" numFmtId="42">
      <sharedItems containsSemiMixedTypes="0" containsString="0" containsNumber="1" minValue="0" maxValue="36999853.3169"/>
    </cacheField>
    <cacheField name="% of Total Residential Incentive Disbursements " numFmtId="166">
      <sharedItems containsSemiMixedTypes="0" containsString="0" containsNumber="1" minValue="0" maxValue="0.45268033250267781"/>
    </cacheField>
    <cacheField name="C&amp;I CLM $ Collected" numFmtId="42">
      <sharedItems containsSemiMixedTypes="0" containsString="0" containsNumber="1" minValue="0" maxValue="18029362.111024335"/>
    </cacheField>
    <cacheField name="% of Total C&amp;I CLM $ Collected" numFmtId="166">
      <sharedItems containsSemiMixedTypes="0" containsString="0" containsNumber="1" minValue="0" maxValue="0.1599500385220923"/>
    </cacheField>
    <cacheField name="C&amp;I Incentive Disbursements" numFmtId="42">
      <sharedItems containsSemiMixedTypes="0" containsString="0" containsNumber="1" minValue="0" maxValue="7405447.7646000003"/>
    </cacheField>
    <cacheField name="% of TotalC&amp;I Incentive Disbursements " numFmtId="166">
      <sharedItems containsSemiMixedTypes="0" containsString="0" containsNumber="1" minValue="0" maxValue="9.0603076928392798E-2"/>
    </cacheField>
    <cacheField name="Affluence Rank " numFmtId="0">
      <sharedItems containsNonDate="0" containsString="0" containsBlank="1"/>
    </cacheField>
    <cacheField name="BIPOC Index" numFmtId="0">
      <sharedItems containsMixedTypes="1" containsNumber="1" containsInteger="1" minValue="1" maxValue="5"/>
    </cacheField>
    <cacheField name="Energy Burdened?" numFmtId="0">
      <sharedItems/>
    </cacheField>
    <cacheField name="Ratio of Billed Collects to Incentiv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2">
  <r>
    <x v="0"/>
    <s v="ANDOVER"/>
    <s v="No"/>
    <n v="78377.260780799988"/>
    <n v="6.9533496548274587E-4"/>
    <n v="28236.48"/>
    <n v="3.4546350888550357E-4"/>
    <n v="66033.272865599996"/>
    <n v="5.8582352906064476E-4"/>
    <n v="14369.65"/>
    <n v="1.7580766832326749E-4"/>
    <n v="12343.987915199999"/>
    <n v="1.0951143642210119E-4"/>
    <n v="13866.83"/>
    <n v="1.6965584056223608E-4"/>
    <m/>
    <n v="1"/>
    <s v="No"/>
    <m/>
  </r>
  <r>
    <x v="1"/>
    <s v="ANDOVER"/>
    <s v="No"/>
    <n v="992.09612159999995"/>
    <n v="8.8015212013800227E-6"/>
    <n v="0"/>
    <n v="0"/>
    <n v="992.09612159999995"/>
    <n v="8.8015212013800227E-6"/>
    <n v="0"/>
    <n v="0"/>
    <n v="0"/>
    <n v="0"/>
    <n v="0"/>
    <n v="0"/>
    <m/>
    <n v="2"/>
    <s v="No"/>
    <m/>
  </r>
  <r>
    <x v="2"/>
    <s v="ANDOVER"/>
    <s v="No"/>
    <n v="209.21302080000001"/>
    <n v="1.8560629339083183E-6"/>
    <n v="0"/>
    <n v="0"/>
    <n v="209.21302080000001"/>
    <n v="1.8560629339083183E-6"/>
    <n v="0"/>
    <n v="0"/>
    <n v="0"/>
    <n v="0"/>
    <n v="0"/>
    <n v="0"/>
    <m/>
    <n v="3"/>
    <s v="No"/>
    <m/>
  </r>
  <r>
    <x v="3"/>
    <s v="ASHFORD"/>
    <s v="No"/>
    <n v="112486.96013760001"/>
    <n v="9.9794399249657933E-4"/>
    <n v="106590.4568"/>
    <n v="1.3040971544553955E-3"/>
    <n v="88003.867884480002"/>
    <n v="7.8073877331514521E-4"/>
    <n v="106590.4568"/>
    <n v="1.3040971544553955E-3"/>
    <n v="24483.092253120005"/>
    <n v="2.1720521918143412E-4"/>
    <n v="0"/>
    <n v="0"/>
    <m/>
    <n v="4"/>
    <s v="No"/>
    <m/>
  </r>
  <r>
    <x v="4"/>
    <s v="ASHFORD"/>
    <s v="No"/>
    <n v="1561.7371968000002"/>
    <n v="1.3855172648443309E-5"/>
    <n v="2802.3708999999999"/>
    <n v="3.4286032972687342E-5"/>
    <n v="1561.7371968000002"/>
    <n v="1.3855172648443309E-5"/>
    <n v="2802.3708999999999"/>
    <n v="3.4286032972687342E-5"/>
    <n v="0"/>
    <n v="0"/>
    <n v="0"/>
    <n v="0"/>
    <m/>
    <n v="2"/>
    <s v="No"/>
    <m/>
  </r>
  <r>
    <x v="5"/>
    <s v="AVON"/>
    <s v="No"/>
    <n v="456.74789760000004"/>
    <n v="4.0521036388377228E-6"/>
    <n v="0"/>
    <n v="0"/>
    <n v="456.74789760000004"/>
    <n v="4.0521036388377228E-6"/>
    <n v="0"/>
    <n v="0"/>
    <n v="0"/>
    <n v="0"/>
    <n v="0"/>
    <n v="0"/>
    <m/>
    <n v="3"/>
    <s v="No"/>
    <m/>
  </r>
  <r>
    <x v="6"/>
    <s v="AVON"/>
    <s v="No"/>
    <n v="1956.2149727999999"/>
    <n v="1.7354838087451147E-5"/>
    <n v="0"/>
    <n v="0"/>
    <n v="1956.2149727999999"/>
    <n v="1.7354838087451147E-5"/>
    <n v="0"/>
    <n v="0"/>
    <n v="0"/>
    <n v="0"/>
    <n v="0"/>
    <n v="0"/>
    <m/>
    <n v="3"/>
    <s v="No"/>
    <m/>
  </r>
  <r>
    <x v="7"/>
    <s v="AVON"/>
    <s v="No"/>
    <n v="275379.37238880002"/>
    <n v="2.4430670897028005E-3"/>
    <n v="220994.56520000001"/>
    <n v="2.7037916177447829E-3"/>
    <n v="138431.24565696"/>
    <n v="1.2281123946117235E-3"/>
    <n v="186175.93520000001"/>
    <n v="2.2777977936425551E-3"/>
    <n v="136948.12673184002"/>
    <n v="1.214954695091077E-3"/>
    <n v="34818.629999999997"/>
    <n v="4.2599382410222732E-4"/>
    <m/>
    <n v="4"/>
    <s v="No"/>
    <m/>
  </r>
  <r>
    <x v="8"/>
    <s v="AVON"/>
    <s v="No"/>
    <n v="95029.398115199991"/>
    <n v="8.4306675941481224E-4"/>
    <n v="14426.35"/>
    <n v="1.7650137309644775E-4"/>
    <n v="95029.398115199991"/>
    <n v="8.4306675941481224E-4"/>
    <n v="14426.35"/>
    <n v="1.7650137309644775E-4"/>
    <n v="0"/>
    <n v="0"/>
    <n v="0"/>
    <n v="0"/>
    <m/>
    <n v="4"/>
    <s v="No"/>
    <m/>
  </r>
  <r>
    <x v="9"/>
    <s v="AVON"/>
    <s v="No"/>
    <n v="111900.19984415999"/>
    <n v="9.9273846548120171E-4"/>
    <n v="68021.914199999999"/>
    <n v="8.3222445434560758E-4"/>
    <n v="111899.55728735999"/>
    <n v="9.9273276494757866E-4"/>
    <n v="68021.914199999999"/>
    <n v="8.3222445434560758E-4"/>
    <n v="0.64255680000000004"/>
    <n v="5.7005336228611085E-9"/>
    <n v="0"/>
    <n v="0"/>
    <m/>
    <n v="4"/>
    <s v="No"/>
    <m/>
  </r>
  <r>
    <x v="10"/>
    <s v="AVON"/>
    <s v="No"/>
    <n v="83246.663882880006"/>
    <n v="7.3853456450134053E-4"/>
    <n v="17796.78"/>
    <n v="2.1773741152095983E-4"/>
    <n v="83246.663882880006"/>
    <n v="7.3853456450134053E-4"/>
    <n v="17796.78"/>
    <n v="2.1773741152095983E-4"/>
    <n v="0"/>
    <n v="0"/>
    <n v="0"/>
    <n v="0"/>
    <m/>
    <n v="5"/>
    <s v="No"/>
    <m/>
  </r>
  <r>
    <x v="11"/>
    <s v="BARKHAMSTED"/>
    <s v="No"/>
    <n v="3140.5924540799997"/>
    <n v="2.7862210593969155E-5"/>
    <n v="0"/>
    <n v="0"/>
    <n v="3140.5924540799997"/>
    <n v="2.7862210593969155E-5"/>
    <n v="0"/>
    <n v="0"/>
    <n v="0"/>
    <n v="0"/>
    <n v="0"/>
    <n v="0"/>
    <m/>
    <n v="3"/>
    <s v="No"/>
    <m/>
  </r>
  <r>
    <x v="12"/>
    <s v="BARKHAMSTED"/>
    <s v="No"/>
    <n v="80928.668013120012"/>
    <n v="7.1797013596643121E-4"/>
    <n v="51220.400099999999"/>
    <n v="6.2666377484252279E-4"/>
    <n v="72807.389144640008"/>
    <n v="6.4592106069339436E-4"/>
    <n v="47244.700100000002"/>
    <n v="5.7802246855094195E-4"/>
    <n v="8121.2788684800007"/>
    <n v="7.2049075273036814E-5"/>
    <n v="3975.7"/>
    <n v="4.8641306291580841E-5"/>
    <m/>
    <n v="2"/>
    <s v="No"/>
    <m/>
  </r>
  <r>
    <x v="13"/>
    <s v="BARKHAMSTED"/>
    <s v="No"/>
    <n v="168.22252800000001"/>
    <n v="1.4924099736967913E-6"/>
    <n v="0"/>
    <n v="0"/>
    <n v="168.22252800000001"/>
    <n v="1.4924099736967913E-6"/>
    <n v="0"/>
    <n v="0"/>
    <n v="0"/>
    <n v="0"/>
    <n v="0"/>
    <n v="0"/>
    <m/>
    <n v="1"/>
    <s v="No"/>
    <m/>
  </r>
  <r>
    <x v="14"/>
    <s v="BEACON FALLS"/>
    <s v="No"/>
    <n v="639.00826559999996"/>
    <n v="5.6690522975384611E-6"/>
    <n v="0"/>
    <n v="0"/>
    <n v="639.00826559999996"/>
    <n v="5.6690522975384611E-6"/>
    <n v="0"/>
    <n v="0"/>
    <n v="0"/>
    <n v="0"/>
    <n v="0"/>
    <n v="0"/>
    <m/>
    <n v="2"/>
    <s v="No"/>
    <m/>
  </r>
  <r>
    <x v="15"/>
    <s v="BEACON FALLS"/>
    <s v="No"/>
    <n v="139240.40006879999"/>
    <n v="1.235290922534516E-3"/>
    <n v="125450.95"/>
    <n v="1.5348487268958405E-3"/>
    <n v="113902.65690912001"/>
    <n v="1.0105035468360956E-3"/>
    <n v="123113.15"/>
    <n v="1.5062465572531468E-3"/>
    <n v="25337.743159679998"/>
    <n v="2.2478737569842056E-4"/>
    <n v="2337.8000000000002"/>
    <n v="2.8602169642693788E-5"/>
    <m/>
    <n v="1"/>
    <s v="No"/>
    <m/>
  </r>
  <r>
    <x v="16"/>
    <s v="BERLIN"/>
    <s v="No"/>
    <n v="308615.61708"/>
    <n v="2.7379271399891325E-3"/>
    <n v="439874.09740000003"/>
    <n v="5.3817065425877369E-3"/>
    <n v="134773.82566560002"/>
    <n v="1.1956650753495632E-3"/>
    <n v="362603.68420000002"/>
    <n v="4.4363299206750641E-3"/>
    <n v="173841.79141439998"/>
    <n v="1.5422620646395691E-3"/>
    <n v="77270.413199999995"/>
    <n v="9.4537662191267224E-4"/>
    <m/>
    <n v="2"/>
    <s v="No"/>
    <m/>
  </r>
  <r>
    <x v="17"/>
    <s v="BERLIN"/>
    <s v="No"/>
    <n v="119228.18040288001"/>
    <n v="1.0577496824859178E-3"/>
    <n v="19579.490000000002"/>
    <n v="2.3954824813817547E-4"/>
    <n v="119228.18040288001"/>
    <n v="1.0577496824859178E-3"/>
    <n v="19579.490000000002"/>
    <n v="2.3954824813817547E-4"/>
    <n v="0"/>
    <n v="0"/>
    <n v="0"/>
    <n v="0"/>
    <m/>
    <n v="2"/>
    <s v="No"/>
    <m/>
  </r>
  <r>
    <x v="18"/>
    <s v="BERLIN"/>
    <s v="No"/>
    <n v="118629.3053088"/>
    <n v="1.0524366773014778E-3"/>
    <n v="26337.480200000002"/>
    <n v="3.2222990702433432E-4"/>
    <n v="118629.3053088"/>
    <n v="1.0524366773014778E-3"/>
    <n v="26337.480200000002"/>
    <n v="3.2222990702433432E-4"/>
    <n v="0"/>
    <n v="0"/>
    <n v="0"/>
    <n v="0"/>
    <m/>
    <n v="2"/>
    <s v="No"/>
    <m/>
  </r>
  <r>
    <x v="19"/>
    <s v="BERLIN"/>
    <s v="No"/>
    <n v="76.724755200000004"/>
    <n v="6.8067452826487507E-7"/>
    <n v="0"/>
    <n v="0"/>
    <n v="76.724755200000004"/>
    <n v="6.8067452826487507E-7"/>
    <n v="0"/>
    <n v="0"/>
    <n v="0"/>
    <n v="0"/>
    <n v="0"/>
    <n v="0"/>
    <m/>
    <n v="5"/>
    <s v="No"/>
    <m/>
  </r>
  <r>
    <x v="20"/>
    <s v="BERLIN"/>
    <s v="No"/>
    <n v="154.1210112"/>
    <n v="1.3673063709464338E-6"/>
    <n v="228.35"/>
    <n v="2.7937828034515895E-6"/>
    <n v="154.1210112"/>
    <n v="1.3673063709464338E-6"/>
    <n v="228.35"/>
    <n v="2.7937828034515895E-6"/>
    <n v="0"/>
    <n v="0"/>
    <n v="0"/>
    <n v="0"/>
    <m/>
    <n v="3"/>
    <s v="No"/>
    <m/>
  </r>
  <r>
    <x v="21"/>
    <s v="BETHANY"/>
    <s v="No"/>
    <n v="139960.93200479998"/>
    <n v="1.2416832236159352E-3"/>
    <n v="52036.621699999996"/>
    <n v="6.366499621422195E-4"/>
    <n v="119240.17653311999"/>
    <n v="1.0578561078537253E-3"/>
    <n v="37333.951699999998"/>
    <n v="4.5676790998183594E-4"/>
    <n v="20720.75547168"/>
    <n v="1.8382711576220986E-4"/>
    <n v="14702.67"/>
    <n v="1.7988205216038354E-4"/>
    <m/>
    <n v="4"/>
    <s v="No"/>
    <m/>
  </r>
  <r>
    <x v="22"/>
    <s v="BETHEL"/>
    <s v="No"/>
    <n v="67102.061904000002"/>
    <n v="5.9530544233141647E-4"/>
    <n v="10371.963599999999"/>
    <n v="1.2689736607710025E-4"/>
    <n v="67101.224843520002"/>
    <n v="5.9529801623085907E-4"/>
    <n v="10371.963599999999"/>
    <n v="1.2689736607710025E-4"/>
    <n v="0.83706048000000011"/>
    <n v="7.4261005573487962E-9"/>
    <n v="0"/>
    <n v="0"/>
    <m/>
    <n v="4"/>
    <s v="No"/>
    <m/>
  </r>
  <r>
    <x v="23"/>
    <s v="BETHEL"/>
    <s v="No"/>
    <n v="247653.1882944"/>
    <n v="2.1970903221022334E-3"/>
    <n v="176536.53519999998"/>
    <n v="2.1598630883410824E-3"/>
    <n v="130171.54616064001"/>
    <n v="1.1548353011415415E-3"/>
    <n v="103523.648"/>
    <n v="1.2665758157783032E-3"/>
    <n v="117481.64213376"/>
    <n v="1.0422550209606919E-3"/>
    <n v="73012.887199999997"/>
    <n v="8.9328727256277941E-4"/>
    <m/>
    <n v="4"/>
    <s v="No"/>
    <m/>
  </r>
  <r>
    <x v="24"/>
    <s v="BETHEL"/>
    <s v="No"/>
    <n v="95432.935363199998"/>
    <n v="8.4664679724228656E-4"/>
    <n v="16100.537899999999"/>
    <n v="1.9698447957670491E-4"/>
    <n v="95432.935363199998"/>
    <n v="8.4664679724228656E-4"/>
    <n v="16100.537899999999"/>
    <n v="1.9698447957670491E-4"/>
    <n v="0"/>
    <n v="0"/>
    <n v="0"/>
    <n v="0"/>
    <m/>
    <n v="4"/>
    <s v="No"/>
    <m/>
  </r>
  <r>
    <x v="25"/>
    <s v="BETHEL"/>
    <s v="No"/>
    <n v="112578.35429088002"/>
    <n v="9.9875480866676953E-4"/>
    <n v="17053.723399999999"/>
    <n v="2.0864637254101149E-4"/>
    <n v="112578.35429088002"/>
    <n v="9.9875480866676953E-4"/>
    <n v="17053.723399999999"/>
    <n v="2.0864637254101149E-4"/>
    <n v="0"/>
    <n v="0"/>
    <n v="0"/>
    <n v="0"/>
    <m/>
    <n v="1"/>
    <s v="No"/>
    <m/>
  </r>
  <r>
    <x v="26"/>
    <s v="BETHEL"/>
    <s v="No"/>
    <n v="227.8298016"/>
    <n v="2.0212243404949967E-6"/>
    <n v="0"/>
    <n v="0"/>
    <n v="227.8298016"/>
    <n v="2.0212243404949967E-6"/>
    <n v="0"/>
    <n v="0"/>
    <n v="0"/>
    <n v="0"/>
    <n v="0"/>
    <n v="0"/>
    <m/>
    <n v="4"/>
    <s v="No"/>
    <m/>
  </r>
  <r>
    <x v="27"/>
    <s v="BETHEL"/>
    <s v="No"/>
    <n v="2053.6578431999997"/>
    <n v="1.8219316307934214E-5"/>
    <n v="0"/>
    <n v="0"/>
    <n v="2053.6578431999997"/>
    <n v="1.8219316307934214E-5"/>
    <n v="0"/>
    <n v="0"/>
    <n v="0"/>
    <n v="0"/>
    <n v="0"/>
    <n v="0"/>
    <m/>
    <n v="5"/>
    <s v="No"/>
    <m/>
  </r>
  <r>
    <x v="28"/>
    <s v="BETHEL"/>
    <s v="No"/>
    <n v="232.81395839999999"/>
    <n v="2.0654419931912439E-6"/>
    <n v="0"/>
    <n v="0"/>
    <n v="232.81395839999999"/>
    <n v="2.0654419931912439E-6"/>
    <n v="0"/>
    <n v="0"/>
    <n v="0"/>
    <n v="0"/>
    <n v="0"/>
    <n v="0"/>
    <m/>
    <n v="4"/>
    <s v="No"/>
    <m/>
  </r>
  <r>
    <x v="29"/>
    <s v="BETHEL"/>
    <s v="No"/>
    <n v="1151.9191007999998"/>
    <n v="1.0219413388709501E-5"/>
    <n v="1429.53"/>
    <n v="1.7489802194079926E-5"/>
    <n v="1151.9191007999998"/>
    <n v="1.0219413388709501E-5"/>
    <n v="1429.53"/>
    <n v="1.7489802194079926E-5"/>
    <n v="0"/>
    <n v="0"/>
    <n v="0"/>
    <n v="0"/>
    <m/>
    <n v="2"/>
    <s v="No"/>
    <m/>
  </r>
  <r>
    <x v="30"/>
    <s v="BETHLEHEM"/>
    <s v="No"/>
    <n v="164.1356352"/>
    <n v="1.4561525256090438E-6"/>
    <n v="0"/>
    <n v="0"/>
    <n v="164.1356352"/>
    <n v="1.4561525256090438E-6"/>
    <n v="0"/>
    <n v="0"/>
    <n v="0"/>
    <n v="0"/>
    <n v="0"/>
    <n v="0"/>
    <m/>
    <n v="1"/>
    <s v="No"/>
    <m/>
  </r>
  <r>
    <x v="31"/>
    <s v="BETHLEHEM"/>
    <s v="No"/>
    <n v="102039.57239616"/>
    <n v="9.0525851303212463E-4"/>
    <n v="35443.029300000002"/>
    <n v="4.3363313229941247E-4"/>
    <n v="86632.990318080003"/>
    <n v="7.6857683889924736E-4"/>
    <n v="35443.029300000002"/>
    <n v="4.3363313229941247E-4"/>
    <n v="15406.582078080002"/>
    <n v="1.366816741328773E-4"/>
    <n v="0"/>
    <n v="0"/>
    <m/>
    <n v="2"/>
    <s v="No"/>
    <m/>
  </r>
  <r>
    <x v="32"/>
    <s v="BETHLEHEM"/>
    <s v="No"/>
    <n v="203.81785919999999"/>
    <n v="1.8081989939397906E-6"/>
    <n v="0"/>
    <n v="0"/>
    <n v="203.81785919999999"/>
    <n v="1.8081989939397906E-6"/>
    <n v="0"/>
    <n v="0"/>
    <n v="0"/>
    <n v="0"/>
    <n v="0"/>
    <n v="0"/>
    <m/>
    <n v="1"/>
    <s v="No"/>
    <m/>
  </r>
  <r>
    <x v="33"/>
    <s v="BLOOMFIELD"/>
    <s v="No"/>
    <n v="47323.947098880002"/>
    <n v="4.1984109669941373E-4"/>
    <n v="41951.821199999998"/>
    <n v="5.1326593668507038E-4"/>
    <n v="47323.947098880002"/>
    <n v="4.1984109669941373E-4"/>
    <n v="41951.821199999998"/>
    <n v="5.1326593668507038E-4"/>
    <n v="0"/>
    <n v="0"/>
    <n v="0"/>
    <n v="0"/>
    <m/>
    <n v="3"/>
    <s v="No"/>
    <m/>
  </r>
  <r>
    <x v="34"/>
    <s v="BLOOMFIELD"/>
    <s v="No"/>
    <n v="39966.161745599995"/>
    <n v="3.5456546224006685E-4"/>
    <n v="17709.740000000002"/>
    <n v="2.1667250740354176E-4"/>
    <n v="39966.161745599995"/>
    <n v="3.5456546224006685E-4"/>
    <n v="17709.740000000002"/>
    <n v="2.1667250740354176E-4"/>
    <n v="0"/>
    <n v="0"/>
    <n v="0"/>
    <n v="0"/>
    <m/>
    <n v="1"/>
    <s v="No"/>
    <m/>
  </r>
  <r>
    <x v="35"/>
    <s v="BLOOMFIELD"/>
    <s v="No"/>
    <n v="96587.341911359996"/>
    <n v="8.5688827837241712E-4"/>
    <n v="52661.58"/>
    <n v="6.4429610950991973E-4"/>
    <n v="96587.341911359996"/>
    <n v="8.5688827837241712E-4"/>
    <n v="52661.58"/>
    <n v="6.4429610950991973E-4"/>
    <n v="0"/>
    <n v="0"/>
    <n v="0"/>
    <n v="0"/>
    <m/>
    <n v="1"/>
    <s v="No"/>
    <m/>
  </r>
  <r>
    <x v="36"/>
    <s v="BLOOMFIELD"/>
    <s v="No"/>
    <n v="363014.11744128005"/>
    <n v="3.2205311375543269E-3"/>
    <n v="478020.00659999996"/>
    <n v="5.8484084700893158E-3"/>
    <n v="142783.02120960003"/>
    <n v="1.2667197875409859E-3"/>
    <n v="440854.14079999999"/>
    <n v="5.3936970326142579E-3"/>
    <n v="220231.09623168001"/>
    <n v="1.953811350013341E-3"/>
    <n v="37165.8658"/>
    <n v="4.5471143747505824E-4"/>
    <m/>
    <n v="2"/>
    <s v="No"/>
    <m/>
  </r>
  <r>
    <x v="37"/>
    <s v="BLOOMFIELD"/>
    <s v="No"/>
    <n v="49318.771052159995"/>
    <n v="4.3753845982336066E-4"/>
    <n v="38345.180200000003"/>
    <n v="4.6913993885707198E-4"/>
    <n v="49318.771052159995"/>
    <n v="4.3753845982336066E-4"/>
    <n v="38345.180200000003"/>
    <n v="4.6913993885707198E-4"/>
    <n v="0"/>
    <n v="0"/>
    <n v="0"/>
    <n v="0"/>
    <m/>
    <n v="3"/>
    <s v="No"/>
    <m/>
  </r>
  <r>
    <x v="38"/>
    <s v="BLOOMFIELD"/>
    <s v="No"/>
    <n v="1546.3737216000002"/>
    <n v="1.3718873403082286E-5"/>
    <n v="6947.03"/>
    <n v="8.4994495069245872E-5"/>
    <n v="1546.3737216000002"/>
    <n v="1.3718873403082286E-5"/>
    <n v="6947.03"/>
    <n v="8.4994495069245872E-5"/>
    <n v="0"/>
    <n v="0"/>
    <n v="0"/>
    <n v="0"/>
    <m/>
    <n v="1"/>
    <s v="No"/>
    <m/>
  </r>
  <r>
    <x v="39"/>
    <s v="BLOOMFIELD"/>
    <s v="No"/>
    <n v="287.77282560000003"/>
    <n v="2.5530173645015446E-6"/>
    <n v="0"/>
    <n v="0"/>
    <n v="287.77282560000003"/>
    <n v="2.5530173645015446E-6"/>
    <n v="0"/>
    <n v="0"/>
    <n v="0"/>
    <n v="0"/>
    <n v="0"/>
    <n v="0"/>
    <m/>
    <n v="3"/>
    <s v="No"/>
    <m/>
  </r>
  <r>
    <x v="40"/>
    <s v="BLOOMFIELD"/>
    <s v="No"/>
    <n v="201.31130880000001"/>
    <n v="1.785961777194756E-6"/>
    <n v="0"/>
    <n v="0"/>
    <n v="201.31130880000001"/>
    <n v="1.785961777194756E-6"/>
    <n v="0"/>
    <n v="0"/>
    <n v="0"/>
    <n v="0"/>
    <n v="0"/>
    <n v="0"/>
    <m/>
    <n v="2"/>
    <s v="No"/>
    <m/>
  </r>
  <r>
    <x v="41"/>
    <s v="BOLTON"/>
    <s v="No"/>
    <n v="157.35695040000002"/>
    <n v="1.3960144636957974E-6"/>
    <n v="0"/>
    <n v="0"/>
    <n v="157.35695040000002"/>
    <n v="1.3960144636957974E-6"/>
    <n v="0"/>
    <n v="0"/>
    <n v="0"/>
    <n v="0"/>
    <n v="0"/>
    <n v="0"/>
    <m/>
    <n v="3"/>
    <s v="No"/>
    <m/>
  </r>
  <r>
    <x v="42"/>
    <s v="BOLTON"/>
    <s v="No"/>
    <n v="146.4682176"/>
    <n v="1.2994135290597457E-6"/>
    <n v="0"/>
    <n v="0"/>
    <n v="146.4682176"/>
    <n v="1.2994135290597457E-6"/>
    <n v="0"/>
    <n v="0"/>
    <n v="0"/>
    <n v="0"/>
    <n v="0"/>
    <n v="0"/>
    <m/>
    <n v="1"/>
    <s v="No"/>
    <m/>
  </r>
  <r>
    <x v="0"/>
    <s v="BOLTON"/>
    <s v="No"/>
    <n v="230.72420160000001"/>
    <n v="2.0469024198772541E-6"/>
    <n v="0"/>
    <n v="0"/>
    <n v="230.72420160000001"/>
    <n v="2.0469024198772541E-6"/>
    <n v="0"/>
    <n v="0"/>
    <n v="0"/>
    <n v="0"/>
    <n v="0"/>
    <n v="0"/>
    <m/>
    <n v="1"/>
    <s v="No"/>
    <m/>
  </r>
  <r>
    <x v="1"/>
    <s v="BOLTON"/>
    <s v="No"/>
    <n v="121854.88024128"/>
    <n v="1.0810528219841894E-3"/>
    <n v="98228.382099999988"/>
    <n v="1.2017900797979062E-3"/>
    <n v="101516.74534656"/>
    <n v="9.0062017884098996E-4"/>
    <n v="75181.872099999993"/>
    <n v="9.1982404819039554E-4"/>
    <n v="20338.134894720002"/>
    <n v="1.8043264314319938E-4"/>
    <n v="23046.51"/>
    <n v="2.819660316075108E-4"/>
    <m/>
    <n v="2"/>
    <s v="No"/>
    <m/>
  </r>
  <r>
    <x v="43"/>
    <s v="BOLTON"/>
    <s v="No"/>
    <n v="388.26639360000001"/>
    <n v="3.4445602806535159E-6"/>
    <n v="0"/>
    <n v="0"/>
    <n v="388.26639360000001"/>
    <n v="3.4445602806535159E-6"/>
    <n v="0"/>
    <n v="0"/>
    <n v="0"/>
    <n v="0"/>
    <n v="0"/>
    <n v="0"/>
    <m/>
    <n v="4"/>
    <s v="No"/>
    <m/>
  </r>
  <r>
    <x v="44"/>
    <s v="BRANFORD"/>
    <s v="No"/>
    <n v="98810.04429215999"/>
    <n v="8.7660729722859271E-4"/>
    <n v="14180.251700000001"/>
    <n v="1.7349044601740825E-4"/>
    <n v="98810.04429215999"/>
    <n v="8.7660729722859271E-4"/>
    <n v="14180.251700000001"/>
    <n v="1.7349044601740825E-4"/>
    <n v="0"/>
    <n v="0"/>
    <n v="0"/>
    <n v="0"/>
    <m/>
    <n v="3"/>
    <s v="No"/>
    <m/>
  </r>
  <r>
    <x v="45"/>
    <s v="BRANFORD"/>
    <s v="No"/>
    <n v="64502.505169920005"/>
    <n v="5.7224310672597577E-4"/>
    <n v="10900.4157"/>
    <n v="1.3336279366382185E-4"/>
    <n v="64502.505169920005"/>
    <n v="5.7224310672597577E-4"/>
    <n v="10900.4157"/>
    <n v="1.3336279366382185E-4"/>
    <n v="0"/>
    <n v="0"/>
    <n v="0"/>
    <n v="0"/>
    <m/>
    <n v="5"/>
    <s v="No"/>
    <m/>
  </r>
  <r>
    <x v="46"/>
    <s v="BRANFORD"/>
    <s v="No"/>
    <n v="83683.552723200002"/>
    <n v="7.4241048570192062E-4"/>
    <n v="11085.186100000001"/>
    <n v="1.3562339522330019E-4"/>
    <n v="83683.552723200002"/>
    <n v="7.4241048570192062E-4"/>
    <n v="11085.186100000001"/>
    <n v="1.3562339522330019E-4"/>
    <n v="0"/>
    <n v="0"/>
    <n v="0"/>
    <n v="0"/>
    <m/>
    <n v="2"/>
    <s v="No"/>
    <m/>
  </r>
  <r>
    <x v="47"/>
    <s v="BRANFORD"/>
    <s v="No"/>
    <n v="71578.025161919999"/>
    <n v="6.3501458407026962E-4"/>
    <n v="22676.038700000001"/>
    <n v="2.7743344414478974E-4"/>
    <n v="71578.025161919999"/>
    <n v="6.3501458407026962E-4"/>
    <n v="22676.038700000001"/>
    <n v="2.7743344414478974E-4"/>
    <n v="0"/>
    <n v="0"/>
    <n v="0"/>
    <n v="0"/>
    <m/>
    <n v="1"/>
    <s v="No"/>
    <m/>
  </r>
  <r>
    <x v="48"/>
    <s v="BRANFORD"/>
    <s v="No"/>
    <n v="51159.279490560002"/>
    <n v="4.5386679100942672E-4"/>
    <n v="16216.5388"/>
    <n v="1.9840371022967145E-4"/>
    <n v="51159.279490560002"/>
    <n v="4.5386679100942672E-4"/>
    <n v="16216.5388"/>
    <n v="1.9840371022967145E-4"/>
    <n v="0"/>
    <n v="0"/>
    <n v="0"/>
    <n v="0"/>
    <m/>
    <n v="1"/>
    <s v="No"/>
    <m/>
  </r>
  <r>
    <x v="49"/>
    <s v="BRANFORD"/>
    <s v="No"/>
    <n v="71746.751315519999"/>
    <n v="6.3651146202977889E-4"/>
    <n v="19083.82"/>
    <n v="2.3348389813954683E-4"/>
    <n v="71746.751315519999"/>
    <n v="6.3651146202977889E-4"/>
    <n v="19083.82"/>
    <n v="2.3348389813954683E-4"/>
    <n v="0"/>
    <n v="0"/>
    <n v="0"/>
    <n v="0"/>
    <m/>
    <n v="1"/>
    <s v="No"/>
    <m/>
  </r>
  <r>
    <x v="50"/>
    <s v="BRANFORD"/>
    <s v="No"/>
    <n v="386662.77964512003"/>
    <n v="3.4303335924169543E-3"/>
    <n v="306803.8248"/>
    <n v="3.7536380545627954E-3"/>
    <n v="127510.82612351999"/>
    <n v="1.1312303466338265E-3"/>
    <n v="184133.80179999999"/>
    <n v="2.2528130019838113E-3"/>
    <n v="259151.95352160002"/>
    <n v="2.299103245783128E-3"/>
    <n v="122670.023"/>
    <n v="1.500825052578984E-3"/>
    <m/>
    <n v="4"/>
    <s v="No"/>
    <m/>
  </r>
  <r>
    <x v="51"/>
    <s v="BRIDGEWATER"/>
    <s v="No"/>
    <n v="69851.627285760012"/>
    <n v="6.1969860089261736E-4"/>
    <n v="14188.062400000001"/>
    <n v="1.7358600721444314E-4"/>
    <n v="63737.97777504001"/>
    <n v="5.6546049370233048E-4"/>
    <n v="14188.062400000001"/>
    <n v="1.7358600721444314E-4"/>
    <n v="6113.6495107199999"/>
    <n v="5.4238107190286871E-5"/>
    <n v="0"/>
    <n v="0"/>
    <m/>
    <n v="2"/>
    <s v="No"/>
    <m/>
  </r>
  <r>
    <x v="52"/>
    <s v="BRIDGEWATER"/>
    <s v="No"/>
    <n v="1019.2745376"/>
    <n v="9.0426383667794178E-6"/>
    <n v="0"/>
    <n v="0"/>
    <n v="1019.2745376"/>
    <n v="9.0426383667794178E-6"/>
    <n v="0"/>
    <n v="0"/>
    <n v="0"/>
    <n v="0"/>
    <n v="0"/>
    <n v="0"/>
    <m/>
    <n v="1"/>
    <s v="No"/>
    <m/>
  </r>
  <r>
    <x v="53"/>
    <s v="BRISTOL"/>
    <s v="No"/>
    <n v="73591.994413439999"/>
    <n v="6.5288179741809836E-4"/>
    <n v="30053.519799999998"/>
    <n v="3.6769435866184302E-4"/>
    <n v="73591.994413439999"/>
    <n v="6.5288179741809836E-4"/>
    <n v="30053.519799999998"/>
    <n v="3.6769435866184302E-4"/>
    <n v="0"/>
    <n v="0"/>
    <n v="0"/>
    <n v="0"/>
    <m/>
    <n v="4"/>
    <s v="No"/>
    <m/>
  </r>
  <r>
    <x v="54"/>
    <s v="BRISTOL"/>
    <s v="No"/>
    <n v="78441.760748159999"/>
    <n v="6.9590718607493189E-4"/>
    <n v="42995.71"/>
    <n v="5.2603755296777555E-4"/>
    <n v="78441.760748159999"/>
    <n v="6.9590718607493189E-4"/>
    <n v="42995.71"/>
    <n v="5.2603755296777555E-4"/>
    <n v="0"/>
    <n v="0"/>
    <n v="0"/>
    <n v="0"/>
    <m/>
    <n v="2"/>
    <s v="No"/>
    <m/>
  </r>
  <r>
    <x v="55"/>
    <s v="BRISTOL"/>
    <s v="No"/>
    <n v="104034.2122656"/>
    <n v="9.2295424303022293E-4"/>
    <n v="85654.017500000002"/>
    <n v="1.0479471037356757E-3"/>
    <n v="104034.2122656"/>
    <n v="9.2295424303022293E-4"/>
    <n v="85654.017500000002"/>
    <n v="1.0479471037356757E-3"/>
    <n v="0"/>
    <n v="0"/>
    <n v="0"/>
    <n v="0"/>
    <m/>
    <n v="3"/>
    <s v="No"/>
    <m/>
  </r>
  <r>
    <x v="56"/>
    <s v="BRISTOL"/>
    <s v="No"/>
    <n v="70101.589985280007"/>
    <n v="6.2191618037053256E-4"/>
    <n v="9810.9004999999997"/>
    <n v="1.2003295425125728E-4"/>
    <n v="70101.589985280007"/>
    <n v="6.2191618037053256E-4"/>
    <n v="9810.9004999999997"/>
    <n v="1.2003295425125728E-4"/>
    <n v="0"/>
    <n v="0"/>
    <n v="0"/>
    <n v="0"/>
    <m/>
    <n v="4"/>
    <s v="No"/>
    <m/>
  </r>
  <r>
    <x v="57"/>
    <s v="BRISTOL"/>
    <s v="No"/>
    <n v="84617.753319359996"/>
    <n v="7.5069837855264903E-4"/>
    <n v="14170.022000000001"/>
    <n v="1.7336528919698139E-4"/>
    <n v="84617.753319359996"/>
    <n v="7.5069837855264903E-4"/>
    <n v="14170.022000000001"/>
    <n v="1.7336528919698139E-4"/>
    <n v="0"/>
    <n v="0"/>
    <n v="0"/>
    <n v="0"/>
    <m/>
    <n v="5"/>
    <s v="No"/>
    <m/>
  </r>
  <r>
    <x v="58"/>
    <s v="BRISTOL"/>
    <s v="No"/>
    <n v="95029.491893759987"/>
    <n v="8.4306759138458418E-4"/>
    <n v="79289.1728"/>
    <n v="9.7007544326052782E-4"/>
    <n v="95029.491893759987"/>
    <n v="8.4306759138458418E-4"/>
    <n v="79289.1728"/>
    <n v="9.7007544326052782E-4"/>
    <n v="0"/>
    <n v="0"/>
    <n v="0"/>
    <n v="0"/>
    <m/>
    <n v="2"/>
    <s v="No"/>
    <m/>
  </r>
  <r>
    <x v="59"/>
    <s v="BRISTOL"/>
    <s v="No"/>
    <n v="125510.08948992001"/>
    <n v="1.1134805283293176E-3"/>
    <n v="64317.655200000001"/>
    <n v="7.8690413425044328E-4"/>
    <n v="125510.08948992001"/>
    <n v="1.1134805283293176E-3"/>
    <n v="64317.655200000001"/>
    <n v="7.8690413425044328E-4"/>
    <n v="0"/>
    <n v="0"/>
    <n v="0"/>
    <n v="0"/>
    <m/>
    <n v="3"/>
    <s v="No"/>
    <m/>
  </r>
  <r>
    <x v="60"/>
    <s v="BRISTOL"/>
    <s v="No"/>
    <n v="33239.069625599994"/>
    <n v="2.9488511209180908E-4"/>
    <n v="28576.05"/>
    <n v="3.496180296937718E-4"/>
    <n v="33239.069625599994"/>
    <n v="2.9488511209180908E-4"/>
    <n v="28576.05"/>
    <n v="3.496180296937718E-4"/>
    <n v="0"/>
    <n v="0"/>
    <n v="0"/>
    <n v="0"/>
    <m/>
    <n v="3"/>
    <s v="Yes"/>
    <m/>
  </r>
  <r>
    <x v="61"/>
    <s v="BRISTOL"/>
    <s v="No"/>
    <n v="509551.29354240006"/>
    <n v="4.5205564417197391E-3"/>
    <n v="739362.14009999996"/>
    <n v="9.0458385484324284E-3"/>
    <n v="199806.49982016004"/>
    <n v="1.7726116512828348E-3"/>
    <n v="450736.245"/>
    <n v="5.5146011393621304E-3"/>
    <n v="309744.79372224002"/>
    <n v="2.7479447904369039E-3"/>
    <n v="288625.89510000002"/>
    <n v="3.5312374090702976E-3"/>
    <m/>
    <n v="2"/>
    <s v="No"/>
    <m/>
  </r>
  <r>
    <x v="62"/>
    <s v="BRISTOL"/>
    <s v="No"/>
    <n v="95207.098066559993"/>
    <n v="8.4464324969163831E-4"/>
    <n v="47858.912400000001"/>
    <n v="5.8553714234734421E-4"/>
    <n v="95207.098066559993"/>
    <n v="8.4464324969163831E-4"/>
    <n v="47858.912400000001"/>
    <n v="5.8553714234734421E-4"/>
    <n v="0"/>
    <n v="0"/>
    <n v="0"/>
    <n v="0"/>
    <m/>
    <n v="1"/>
    <s v="No"/>
    <m/>
  </r>
  <r>
    <x v="63"/>
    <s v="BRISTOL"/>
    <s v="No"/>
    <n v="65823.076327679999"/>
    <n v="5.8395874071536229E-4"/>
    <n v="61190"/>
    <n v="7.4863836103876847E-4"/>
    <n v="65823.076327679999"/>
    <n v="5.8395874071536229E-4"/>
    <n v="61190"/>
    <n v="7.4863836103876847E-4"/>
    <n v="0"/>
    <n v="0"/>
    <n v="0"/>
    <n v="0"/>
    <m/>
    <n v="4"/>
    <s v="No"/>
    <m/>
  </r>
  <r>
    <x v="64"/>
    <s v="BRISTOL"/>
    <s v="No"/>
    <n v="98369.128762559994"/>
    <n v="8.7269565268397592E-4"/>
    <n v="88476.909499999994"/>
    <n v="1.0824842052272502E-3"/>
    <n v="98369.128762559994"/>
    <n v="8.7269565268397592E-4"/>
    <n v="88476.909499999994"/>
    <n v="1.0824842052272502E-3"/>
    <n v="0"/>
    <n v="0"/>
    <n v="0"/>
    <n v="0"/>
    <m/>
    <n v="2"/>
    <s v="No"/>
    <m/>
  </r>
  <r>
    <x v="65"/>
    <s v="BRISTOL"/>
    <s v="No"/>
    <n v="52063.520731199998"/>
    <n v="4.6188889519608532E-4"/>
    <n v="10335.120000000001"/>
    <n v="1.2644659744956687E-4"/>
    <n v="52048.524265920001"/>
    <n v="4.6175585193118998E-4"/>
    <n v="10335.120000000001"/>
    <n v="1.2644659744956687E-4"/>
    <n v="14.996465279999999"/>
    <n v="1.3304326489535124E-7"/>
    <n v="0"/>
    <n v="0"/>
    <m/>
    <n v="4"/>
    <s v="No"/>
    <m/>
  </r>
  <r>
    <x v="66"/>
    <s v="BRISTOL"/>
    <s v="No"/>
    <n v="392.66588160000003"/>
    <n v="3.4835909613145471E-6"/>
    <n v="0"/>
    <n v="0"/>
    <n v="392.66588160000003"/>
    <n v="3.4835909613145471E-6"/>
    <n v="0"/>
    <n v="0"/>
    <n v="0"/>
    <n v="0"/>
    <n v="0"/>
    <n v="0"/>
    <m/>
    <n v="1"/>
    <s v="No"/>
    <m/>
  </r>
  <r>
    <x v="67"/>
    <s v="BRISTOL"/>
    <s v="No"/>
    <n v="546.64217280000003"/>
    <n v="4.8496134282918682E-6"/>
    <n v="894.67"/>
    <n v="1.0945976180267281E-5"/>
    <n v="546.64217280000003"/>
    <n v="4.8496134282918682E-6"/>
    <n v="894.67"/>
    <n v="1.0945976180267281E-5"/>
    <n v="0"/>
    <n v="0"/>
    <n v="0"/>
    <n v="0"/>
    <m/>
    <n v="4"/>
    <s v="No"/>
    <m/>
  </r>
  <r>
    <x v="68"/>
    <s v="BRISTOL"/>
    <s v="No"/>
    <n v="1476.5607936000001"/>
    <n v="1.3099518128382241E-5"/>
    <n v="0"/>
    <n v="0"/>
    <n v="1476.5607936000001"/>
    <n v="1.3099518128382241E-5"/>
    <n v="0"/>
    <n v="0"/>
    <n v="0"/>
    <n v="0"/>
    <n v="0"/>
    <n v="0"/>
    <m/>
    <n v="2"/>
    <s v="No"/>
    <m/>
  </r>
  <r>
    <x v="69"/>
    <s v="BRISTOL"/>
    <s v="No"/>
    <n v="559.63802880000003"/>
    <n v="4.964908004718203E-6"/>
    <n v="0"/>
    <n v="0"/>
    <n v="559.63802880000003"/>
    <n v="4.964908004718203E-6"/>
    <n v="0"/>
    <n v="0"/>
    <n v="0"/>
    <n v="0"/>
    <n v="0"/>
    <n v="0"/>
    <m/>
    <n v="2"/>
    <s v="No"/>
    <m/>
  </r>
  <r>
    <x v="70"/>
    <s v="BROOKFIELD"/>
    <s v="No"/>
    <n v="93675.313857600006"/>
    <n v="8.310538092154903E-4"/>
    <n v="12836.5"/>
    <n v="1.5705011148021164E-4"/>
    <n v="93675.313857600006"/>
    <n v="8.310538092154903E-4"/>
    <n v="12836.5"/>
    <n v="1.5705011148021164E-4"/>
    <n v="0"/>
    <n v="0"/>
    <n v="0"/>
    <n v="0"/>
    <m/>
    <n v="3"/>
    <s v="No"/>
    <m/>
  </r>
  <r>
    <x v="71"/>
    <s v="BROOKFIELD"/>
    <s v="No"/>
    <n v="332730.52255008003"/>
    <n v="2.9518659379978197E-3"/>
    <n v="427613.46220000001"/>
    <n v="5.2317019365831245E-3"/>
    <n v="173065.61753280001"/>
    <n v="1.5353761281601058E-3"/>
    <n v="346329.2622"/>
    <n v="4.2372180296318665E-3"/>
    <n v="159664.90501728002"/>
    <n v="1.416489809837714E-3"/>
    <n v="81284.2"/>
    <n v="9.9448390695125758E-4"/>
    <m/>
    <n v="1"/>
    <s v="No"/>
    <m/>
  </r>
  <r>
    <x v="26"/>
    <s v="BROOKFIELD"/>
    <s v="No"/>
    <n v="134676.70291584003"/>
    <n v="1.19480343712466E-3"/>
    <n v="17564.3"/>
    <n v="2.1489309960440005E-4"/>
    <n v="134676.70291584003"/>
    <n v="1.19480343712466E-3"/>
    <n v="17564.3"/>
    <n v="2.1489309960440005E-4"/>
    <n v="0"/>
    <n v="0"/>
    <n v="0"/>
    <n v="0"/>
    <m/>
    <n v="4"/>
    <s v="No"/>
    <m/>
  </r>
  <r>
    <x v="72"/>
    <s v="BROOKFIELD"/>
    <s v="No"/>
    <n v="1156.7643264000001"/>
    <n v="1.0262398493595402E-5"/>
    <n v="0"/>
    <n v="0"/>
    <n v="1156.7643264000001"/>
    <n v="1.0262398493595402E-5"/>
    <n v="0"/>
    <n v="0"/>
    <n v="0"/>
    <n v="0"/>
    <n v="0"/>
    <n v="0"/>
    <m/>
    <n v="4"/>
    <s v="No"/>
    <m/>
  </r>
  <r>
    <x v="73"/>
    <s v="BROOKFIELD"/>
    <s v="No"/>
    <n v="1729.7165952"/>
    <n v="1.5345425663471989E-5"/>
    <n v="888.71"/>
    <n v="1.087305765384481E-5"/>
    <n v="1729.7165952"/>
    <n v="1.5345425663471989E-5"/>
    <n v="888.71"/>
    <n v="1.087305765384481E-5"/>
    <n v="0"/>
    <n v="0"/>
    <n v="0"/>
    <n v="0"/>
    <m/>
    <n v="2"/>
    <s v="No"/>
    <m/>
  </r>
  <r>
    <x v="74"/>
    <s v="BROOKLYN"/>
    <s v="No"/>
    <n v="40.784411519999999"/>
    <n v="3.6182468095951038E-7"/>
    <n v="0"/>
    <n v="0"/>
    <n v="40.784411519999999"/>
    <n v="3.6182468095951038E-7"/>
    <n v="0"/>
    <n v="0"/>
    <n v="0"/>
    <n v="0"/>
    <n v="0"/>
    <n v="0"/>
    <m/>
    <n v="2"/>
    <s v="No"/>
    <m/>
  </r>
  <r>
    <x v="75"/>
    <s v="BROOKLYN"/>
    <s v="No"/>
    <n v="190454.70152448001"/>
    <n v="1.6896458486973839E-3"/>
    <n v="124998.14720000001"/>
    <n v="1.5293088421750405E-3"/>
    <n v="149299.51099680003"/>
    <n v="1.3245317492772317E-3"/>
    <n v="89586.357199999999"/>
    <n v="1.0960579118424853E-3"/>
    <n v="41155.190527679995"/>
    <n v="3.6511409942015217E-4"/>
    <n v="35411.79"/>
    <n v="4.3325093033255518E-4"/>
    <m/>
    <n v="4"/>
    <s v="No"/>
    <m/>
  </r>
  <r>
    <x v="63"/>
    <s v="BURLINGTON"/>
    <s v="No"/>
    <n v="70.362864000000002"/>
    <n v="6.2423410978267364E-7"/>
    <n v="0"/>
    <n v="0"/>
    <n v="70.362864000000002"/>
    <n v="6.2423410978267364E-7"/>
    <n v="0"/>
    <n v="0"/>
    <n v="0"/>
    <n v="0"/>
    <n v="0"/>
    <n v="0"/>
    <m/>
    <n v="4"/>
    <s v="No"/>
    <m/>
  </r>
  <r>
    <x v="66"/>
    <s v="BURLINGTON"/>
    <s v="No"/>
    <n v="142207.52071104001"/>
    <n v="1.2616141533900208E-3"/>
    <n v="95237.751399999994"/>
    <n v="1.1652007536707579E-3"/>
    <n v="121175.56571904001"/>
    <n v="1.0750261870244055E-3"/>
    <n v="88803.831399999995"/>
    <n v="1.0864839809324909E-3"/>
    <n v="21031.954991999999"/>
    <n v="1.8658796636561551E-4"/>
    <n v="6433.92"/>
    <n v="7.8716772738266925E-5"/>
    <m/>
    <n v="1"/>
    <s v="No"/>
    <m/>
  </r>
  <r>
    <x v="76"/>
    <s v="BURLINGTON"/>
    <s v="No"/>
    <n v="91578.06808704001"/>
    <n v="8.124477964389069E-4"/>
    <n v="36952.3531"/>
    <n v="4.5209918387497717E-4"/>
    <n v="91578.06808704001"/>
    <n v="8.124477964389069E-4"/>
    <n v="36952.3531"/>
    <n v="4.5209918387497717E-4"/>
    <n v="0"/>
    <n v="0"/>
    <n v="0"/>
    <n v="0"/>
    <m/>
    <n v="2"/>
    <s v="No"/>
    <m/>
  </r>
  <r>
    <x v="6"/>
    <s v="BURLINGTON"/>
    <s v="No"/>
    <n v="255.88232640000001"/>
    <n v="2.270096285867834E-6"/>
    <n v="0"/>
    <n v="0"/>
    <n v="255.88232640000001"/>
    <n v="2.270096285867834E-6"/>
    <n v="0"/>
    <n v="0"/>
    <n v="0"/>
    <n v="0"/>
    <n v="0"/>
    <n v="0"/>
    <m/>
    <n v="3"/>
    <s v="No"/>
    <m/>
  </r>
  <r>
    <x v="77"/>
    <s v="CANAAN"/>
    <s v="No"/>
    <n v="19721.679793920001"/>
    <n v="1.7496367444020747E-4"/>
    <n v="14058.66"/>
    <n v="1.7200281387156876E-4"/>
    <n v="19721.679793920001"/>
    <n v="1.7496367444020747E-4"/>
    <n v="14058.66"/>
    <n v="1.7200281387156876E-4"/>
    <n v="0"/>
    <n v="0"/>
    <n v="0"/>
    <n v="0"/>
    <m/>
    <n v="1"/>
    <s v="No"/>
    <m/>
  </r>
  <r>
    <x v="78"/>
    <s v="CANAAN"/>
    <s v="No"/>
    <n v="51.971846400000004"/>
    <n v="4.6107559338781112E-7"/>
    <n v="0"/>
    <n v="0"/>
    <n v="51.971846400000004"/>
    <n v="4.6107559338781112E-7"/>
    <n v="0"/>
    <n v="0"/>
    <n v="0"/>
    <n v="0"/>
    <n v="0"/>
    <n v="0"/>
    <m/>
    <n v="1"/>
    <s v="No"/>
    <m/>
  </r>
  <r>
    <x v="79"/>
    <s v="CANAAN"/>
    <s v="No"/>
    <n v="63.364204800000003"/>
    <n v="5.6214451383637567E-7"/>
    <n v="0"/>
    <n v="0"/>
    <n v="63.364204800000003"/>
    <n v="5.6214451383637567E-7"/>
    <n v="0"/>
    <n v="0"/>
    <n v="0"/>
    <n v="0"/>
    <n v="0"/>
    <n v="0"/>
    <m/>
    <n v="3"/>
    <s v="No"/>
    <m/>
  </r>
  <r>
    <x v="80"/>
    <s v="CANAAN"/>
    <s v="No"/>
    <n v="46016.585982720004"/>
    <n v="4.0824265746432778E-4"/>
    <n v="27381.788800000002"/>
    <n v="3.3500665941398441E-4"/>
    <n v="29049.917094720004"/>
    <n v="2.5772045232387092E-4"/>
    <n v="18845.7088"/>
    <n v="2.3057069045016989E-4"/>
    <n v="16966.668888"/>
    <n v="1.5052220514045683E-4"/>
    <n v="8536.08"/>
    <n v="1.0443596896381451E-4"/>
    <m/>
    <n v="1"/>
    <s v="No"/>
    <m/>
  </r>
  <r>
    <x v="81"/>
    <s v="CANTERBURY"/>
    <s v="No"/>
    <n v="1158.3620352"/>
    <n v="1.0276572793414407E-5"/>
    <n v="1214.33"/>
    <n v="1.4856905065536977E-5"/>
    <n v="1158.3620352"/>
    <n v="1.0276572793414407E-5"/>
    <n v="1214.33"/>
    <n v="1.4856905065536977E-5"/>
    <n v="0"/>
    <n v="0"/>
    <n v="0"/>
    <n v="0"/>
    <m/>
    <n v="2"/>
    <s v="No"/>
    <m/>
  </r>
  <r>
    <x v="82"/>
    <s v="CANTERBURY"/>
    <s v="No"/>
    <n v="116609.2051392"/>
    <n v="1.0345150726459014E-3"/>
    <n v="37815.000800000002"/>
    <n v="4.6265337835580517E-4"/>
    <n v="101396.99244096001"/>
    <n v="8.995577739846285E-4"/>
    <n v="34497.020799999998"/>
    <n v="4.2205904743311491E-4"/>
    <n v="15212.212698239999"/>
    <n v="1.3495729866127293E-4"/>
    <n v="3317.98"/>
    <n v="4.0594330922690195E-5"/>
    <m/>
    <n v="1"/>
    <s v="No"/>
    <m/>
  </r>
  <r>
    <x v="83"/>
    <s v="CANTON"/>
    <s v="No"/>
    <n v="203315.20553952002"/>
    <n v="1.8037396308263347E-3"/>
    <n v="381996.05530000001"/>
    <n v="4.6735888341733409E-3"/>
    <n v="118631.9710512"/>
    <n v="1.0524603268125888E-3"/>
    <n v="275715.35590000002"/>
    <n v="3.3732814537374856E-3"/>
    <n v="84683.234488320013"/>
    <n v="7.5127930401374581E-4"/>
    <n v="106280.6994"/>
    <n v="1.3003073804358559E-3"/>
    <m/>
    <n v="1"/>
    <s v="No"/>
    <m/>
  </r>
  <r>
    <x v="84"/>
    <s v="CANTON"/>
    <s v="No"/>
    <n v="92435.087191679995"/>
    <n v="8.2005096276044386E-4"/>
    <n v="43294.517699999997"/>
    <n v="5.2969336121738762E-4"/>
    <n v="92435.087191679995"/>
    <n v="8.2005096276044386E-4"/>
    <n v="43294.517699999997"/>
    <n v="5.2969336121738762E-4"/>
    <n v="0"/>
    <n v="0"/>
    <n v="0"/>
    <n v="0"/>
    <m/>
    <n v="3"/>
    <s v="No"/>
    <m/>
  </r>
  <r>
    <x v="85"/>
    <s v="CANTON"/>
    <s v="No"/>
    <n v="243.67374719999998"/>
    <n v="2.1617861470334727E-6"/>
    <n v="0"/>
    <n v="0"/>
    <n v="243.67374719999998"/>
    <n v="2.1617861470334727E-6"/>
    <n v="0"/>
    <n v="0"/>
    <n v="0"/>
    <n v="0"/>
    <n v="0"/>
    <n v="0"/>
    <m/>
    <n v="2"/>
    <s v="No"/>
    <m/>
  </r>
  <r>
    <x v="86"/>
    <s v="CANTON"/>
    <s v="No"/>
    <n v="466.21258560000001"/>
    <n v="4.1360709584177033E-6"/>
    <n v="0"/>
    <n v="0"/>
    <n v="466.21258560000001"/>
    <n v="4.1360709584177033E-6"/>
    <n v="0"/>
    <n v="0"/>
    <n v="0"/>
    <n v="0"/>
    <n v="0"/>
    <n v="0"/>
    <m/>
    <n v="2"/>
    <s v="No"/>
    <m/>
  </r>
  <r>
    <x v="87"/>
    <s v="CHAPLIN"/>
    <s v="No"/>
    <n v="94.999996800000005"/>
    <n v="8.4280592148444735E-7"/>
    <n v="0"/>
    <n v="0"/>
    <n v="94.999996800000005"/>
    <n v="8.4280592148444735E-7"/>
    <n v="0"/>
    <n v="0"/>
    <n v="0"/>
    <n v="0"/>
    <n v="0"/>
    <n v="0"/>
    <m/>
    <n v="4"/>
    <s v="No"/>
    <m/>
  </r>
  <r>
    <x v="88"/>
    <s v="CHAPLIN"/>
    <s v="No"/>
    <n v="56435.665334400008"/>
    <n v="5.0067699504119227E-4"/>
    <n v="36685.682000000001"/>
    <n v="4.4883655574553763E-4"/>
    <n v="47722.246640640005"/>
    <n v="4.2337466747443793E-4"/>
    <n v="36685.682000000001"/>
    <n v="4.4883655574553763E-4"/>
    <n v="8713.4186937600007"/>
    <n v="7.7302327566754265E-5"/>
    <n v="0"/>
    <n v="0"/>
    <m/>
    <n v="5"/>
    <s v="No"/>
    <m/>
  </r>
  <r>
    <x v="89"/>
    <s v="CHESHIRE"/>
    <s v="No"/>
    <n v="481.21136640000003"/>
    <n v="4.2691347657765608E-6"/>
    <n v="0"/>
    <n v="0"/>
    <n v="481.21136640000003"/>
    <n v="4.2691347657765608E-6"/>
    <n v="0"/>
    <n v="0"/>
    <n v="0"/>
    <n v="0"/>
    <n v="0"/>
    <n v="0"/>
    <m/>
    <n v="3"/>
    <s v="No"/>
    <m/>
  </r>
  <r>
    <x v="90"/>
    <s v="CHESHIRE"/>
    <s v="No"/>
    <n v="82328.833434240019"/>
    <n v="7.3039190173198232E-4"/>
    <n v="39982.78"/>
    <n v="4.8917540266340328E-4"/>
    <n v="82328.833434240019"/>
    <n v="7.3039190173198232E-4"/>
    <n v="39982.78"/>
    <n v="4.8917540266340328E-4"/>
    <n v="0"/>
    <n v="0"/>
    <n v="0"/>
    <n v="0"/>
    <m/>
    <n v="4"/>
    <s v="No"/>
    <m/>
  </r>
  <r>
    <x v="91"/>
    <s v="CHESHIRE"/>
    <s v="No"/>
    <n v="82879.846151039994"/>
    <n v="7.3528028906014111E-4"/>
    <n v="29712.117900000001"/>
    <n v="3.6351742519442155E-4"/>
    <n v="82879.846151039994"/>
    <n v="7.3528028906014111E-4"/>
    <n v="29712.117900000001"/>
    <n v="3.6351742519442155E-4"/>
    <n v="0"/>
    <n v="0"/>
    <n v="0"/>
    <n v="0"/>
    <m/>
    <n v="3"/>
    <s v="No"/>
    <m/>
  </r>
  <r>
    <x v="92"/>
    <s v="CHESHIRE"/>
    <s v="No"/>
    <n v="124500.06834911999"/>
    <n v="1.104519982782323E-3"/>
    <n v="63604.970600000001"/>
    <n v="7.7818468612359947E-4"/>
    <n v="124500.06834911999"/>
    <n v="1.104519982782323E-3"/>
    <n v="63604.970600000001"/>
    <n v="7.7818468612359947E-4"/>
    <n v="0"/>
    <n v="0"/>
    <n v="0"/>
    <n v="0"/>
    <m/>
    <n v="3"/>
    <s v="No"/>
    <m/>
  </r>
  <r>
    <x v="93"/>
    <s v="CHESHIRE"/>
    <s v="No"/>
    <n v="135596.24742815999"/>
    <n v="1.2029613064526283E-3"/>
    <n v="35106.553699999997"/>
    <n v="4.2951647039855383E-4"/>
    <n v="135596.24742815999"/>
    <n v="1.2029613064526283E-3"/>
    <n v="35106.553699999997"/>
    <n v="4.2951647039855383E-4"/>
    <n v="0"/>
    <n v="0"/>
    <n v="0"/>
    <n v="0"/>
    <m/>
    <n v="3"/>
    <s v="No"/>
    <m/>
  </r>
  <r>
    <x v="94"/>
    <s v="CHESHIRE"/>
    <s v="No"/>
    <n v="319177.76662368001"/>
    <n v="2.8316307450298619E-3"/>
    <n v="233729.35649999999"/>
    <n v="2.8595973586665472E-3"/>
    <n v="152085.30442559998"/>
    <n v="1.3492463100868283E-3"/>
    <n v="198425.37349999999"/>
    <n v="2.4276654094712445E-3"/>
    <n v="167092.46219808003"/>
    <n v="1.4823844349430338E-3"/>
    <n v="35303.983"/>
    <n v="4.319319491953022E-4"/>
    <m/>
    <n v="4"/>
    <s v="No"/>
    <m/>
  </r>
  <r>
    <x v="95"/>
    <s v="CHESHIRE"/>
    <s v="No"/>
    <n v="65.558160000000001"/>
    <n v="5.8160849800812663E-7"/>
    <n v="0"/>
    <n v="0"/>
    <n v="65.558160000000001"/>
    <n v="5.8160849800812663E-7"/>
    <n v="0"/>
    <n v="0"/>
    <n v="0"/>
    <n v="0"/>
    <n v="0"/>
    <n v="0"/>
    <m/>
    <n v="1"/>
    <s v="No"/>
    <m/>
  </r>
  <r>
    <x v="96"/>
    <s v="CHESTER"/>
    <s v="No"/>
    <n v="118950.99702912"/>
    <n v="1.0552906109426441E-3"/>
    <n v="36099.027499999997"/>
    <n v="4.4165904204434431E-4"/>
    <n v="88488.774820799998"/>
    <n v="7.8504069385267701E-4"/>
    <n v="28427.077499999999"/>
    <n v="3.4779540298614237E-4"/>
    <n v="30462.222208320003"/>
    <n v="2.7024991708996703E-4"/>
    <n v="7671.95"/>
    <n v="9.3863639058201979E-5"/>
    <m/>
    <n v="1"/>
    <s v="No"/>
    <m/>
  </r>
  <r>
    <x v="97"/>
    <s v="CLINTON"/>
    <s v="No"/>
    <n v="49833.557458559997"/>
    <n v="4.4210546030997138E-4"/>
    <n v="5070.47"/>
    <n v="6.203543635391803E-5"/>
    <n v="49833.557458559997"/>
    <n v="4.4210546030997138E-4"/>
    <n v="5070.47"/>
    <n v="6.203543635391803E-5"/>
    <n v="0"/>
    <n v="0"/>
    <n v="0"/>
    <n v="0"/>
    <m/>
    <n v="1"/>
    <s v="No"/>
    <m/>
  </r>
  <r>
    <x v="98"/>
    <s v="CLINTON"/>
    <s v="No"/>
    <n v="82281.225185279996"/>
    <n v="7.2996953841107095E-4"/>
    <n v="16245.14"/>
    <n v="1.9875363596086513E-4"/>
    <n v="82281.225185279996"/>
    <n v="7.2996953841107095E-4"/>
    <n v="16245.14"/>
    <n v="1.9875363596086513E-4"/>
    <n v="0"/>
    <n v="0"/>
    <n v="0"/>
    <n v="0"/>
    <m/>
    <n v="2"/>
    <s v="No"/>
    <m/>
  </r>
  <r>
    <x v="99"/>
    <s v="CLINTON"/>
    <s v="No"/>
    <n v="199379.29564224"/>
    <n v="1.7688216489358676E-3"/>
    <n v="120258.32740000001"/>
    <n v="1.4713187959797291E-3"/>
    <n v="89308.608989759989"/>
    <n v="7.9231396875277429E-4"/>
    <n v="89279.610400000005"/>
    <n v="1.0923049714665106E-3"/>
    <n v="110070.68665248001"/>
    <n v="9.7650768018309317E-4"/>
    <n v="30978.717000000001"/>
    <n v="3.7901382451321837E-4"/>
    <m/>
    <n v="1"/>
    <s v="No"/>
    <m/>
  </r>
  <r>
    <x v="100"/>
    <s v="CLINTON"/>
    <s v="No"/>
    <n v="67552.741402560001"/>
    <n v="5.9930370930902138E-4"/>
    <n v="9962.2000000000007"/>
    <n v="1.2188405099428696E-4"/>
    <n v="67241.355482879997"/>
    <n v="5.9654120503730345E-4"/>
    <n v="9962.2000000000007"/>
    <n v="1.2188405099428696E-4"/>
    <n v="311.38591968000003"/>
    <n v="2.7625042717178758E-6"/>
    <n v="0"/>
    <n v="0"/>
    <m/>
    <n v="1"/>
    <s v="No"/>
    <m/>
  </r>
  <r>
    <x v="101"/>
    <s v="COLCHESTER"/>
    <s v="No"/>
    <n v="472.47606719999999"/>
    <n v="4.1916383222009083E-6"/>
    <n v="0"/>
    <n v="0"/>
    <n v="472.47606719999999"/>
    <n v="4.1916383222009083E-6"/>
    <n v="0"/>
    <n v="0"/>
    <n v="0"/>
    <n v="0"/>
    <n v="0"/>
    <n v="0"/>
    <m/>
    <n v="2"/>
    <s v="No"/>
    <m/>
  </r>
  <r>
    <x v="102"/>
    <s v="COLCHESTER"/>
    <s v="No"/>
    <n v="1526.8828320000002"/>
    <n v="1.3545957216522166E-5"/>
    <n v="0"/>
    <n v="0"/>
    <n v="1526.8828320000002"/>
    <n v="1.3545957216522166E-5"/>
    <n v="0"/>
    <n v="0"/>
    <n v="0"/>
    <n v="0"/>
    <n v="0"/>
    <n v="0"/>
    <m/>
    <n v="1"/>
    <s v="No"/>
    <m/>
  </r>
  <r>
    <x v="103"/>
    <s v="COLCHESTER"/>
    <s v="No"/>
    <n v="62837.596506239999"/>
    <n v="5.5747263380233596E-4"/>
    <n v="68354.2"/>
    <n v="8.3628985550116333E-4"/>
    <n v="62835.427442879998"/>
    <n v="5.5745339064964693E-4"/>
    <n v="68354.2"/>
    <n v="8.3628985550116333E-4"/>
    <n v="2.16906336"/>
    <n v="1.924315268906358E-8"/>
    <n v="0"/>
    <n v="0"/>
    <m/>
    <n v="1"/>
    <s v="No"/>
    <m/>
  </r>
  <r>
    <x v="104"/>
    <s v="COLCHESTER"/>
    <s v="No"/>
    <n v="220309.76660256003"/>
    <n v="1.9545092853465668E-3"/>
    <n v="297088.71460000001"/>
    <n v="3.6347770613050895E-3"/>
    <n v="142560.62014464004"/>
    <n v="1.2647467250061803E-3"/>
    <n v="273925.8946"/>
    <n v="3.351388017313653E-3"/>
    <n v="77749.146457919996"/>
    <n v="6.8976256034038641E-4"/>
    <n v="23162.82"/>
    <n v="2.8338904399143663E-4"/>
    <m/>
    <n v="3"/>
    <s v="No"/>
    <m/>
  </r>
  <r>
    <x v="105"/>
    <s v="COLCHESTER"/>
    <s v="No"/>
    <n v="98284.121392319998"/>
    <n v="8.7194149776375078E-4"/>
    <n v="30020.496500000001"/>
    <n v="3.6729033007566736E-4"/>
    <n v="98268.869062080004"/>
    <n v="8.7180618455663813E-4"/>
    <n v="30020.496500000001"/>
    <n v="3.6729033007566736E-4"/>
    <n v="15.252330240000003"/>
    <n v="1.3531320711274281E-7"/>
    <n v="0"/>
    <n v="0"/>
    <m/>
    <n v="1"/>
    <s v="No"/>
    <m/>
  </r>
  <r>
    <x v="106"/>
    <s v="COLCHESTER"/>
    <s v="No"/>
    <n v="428.2438464"/>
    <n v="3.7992259130812528E-6"/>
    <n v="1963.71"/>
    <n v="2.402530864447524E-5"/>
    <n v="428.2438464"/>
    <n v="3.7992259130812528E-6"/>
    <n v="1963.71"/>
    <n v="2.402530864447524E-5"/>
    <n v="0"/>
    <n v="0"/>
    <n v="0"/>
    <n v="0"/>
    <m/>
    <n v="3"/>
    <s v="No"/>
    <m/>
  </r>
  <r>
    <x v="107"/>
    <s v="COLCHESTER"/>
    <s v="No"/>
    <n v="1162.304208"/>
    <n v="1.0311546337533041E-5"/>
    <n v="0"/>
    <n v="0"/>
    <n v="1162.304208"/>
    <n v="1.0311546337533041E-5"/>
    <n v="0"/>
    <n v="0"/>
    <n v="0"/>
    <n v="0"/>
    <n v="0"/>
    <n v="0"/>
    <m/>
    <n v="1"/>
    <s v="No"/>
    <m/>
  </r>
  <r>
    <x v="108"/>
    <s v="COLCHESTER"/>
    <s v="No"/>
    <n v="787.97724479999999"/>
    <n v="6.9906516871844766E-6"/>
    <n v="1107.58"/>
    <n v="1.3550855955537164E-5"/>
    <n v="787.97724479999999"/>
    <n v="6.9906516871844766E-6"/>
    <n v="1107.58"/>
    <n v="1.3550855955537164E-5"/>
    <n v="0"/>
    <n v="0"/>
    <n v="0"/>
    <n v="0"/>
    <m/>
    <n v="2"/>
    <s v="No"/>
    <m/>
  </r>
  <r>
    <x v="109"/>
    <s v="COLEBROOK"/>
    <s v="No"/>
    <n v="40187.747168639995"/>
    <n v="3.5653128869210255E-4"/>
    <n v="31218.78"/>
    <n v="3.8195091179653345E-4"/>
    <n v="33902.455685759996"/>
    <n v="3.0077043544513672E-4"/>
    <n v="31218.78"/>
    <n v="3.8195091179653345E-4"/>
    <n v="6285.2914828800003"/>
    <n v="5.5760853246965867E-5"/>
    <n v="0"/>
    <n v="0"/>
    <m/>
    <n v="1"/>
    <s v="No"/>
    <m/>
  </r>
  <r>
    <x v="13"/>
    <s v="COLEBROOK"/>
    <s v="No"/>
    <n v="236.81980800000002"/>
    <n v="2.1009804550562881E-6"/>
    <n v="0"/>
    <n v="0"/>
    <n v="236.81980800000002"/>
    <n v="2.1009804550562881E-6"/>
    <n v="0"/>
    <n v="0"/>
    <n v="0"/>
    <n v="0"/>
    <n v="0"/>
    <n v="0"/>
    <m/>
    <n v="1"/>
    <s v="No"/>
    <m/>
  </r>
  <r>
    <x v="110"/>
    <s v="COLUMBIA"/>
    <s v="No"/>
    <n v="384.0116256"/>
    <n v="3.4068135039615976E-6"/>
    <n v="0"/>
    <n v="0"/>
    <n v="384.0116256"/>
    <n v="3.4068135039615976E-6"/>
    <n v="0"/>
    <n v="0"/>
    <n v="0"/>
    <n v="0"/>
    <n v="0"/>
    <n v="0"/>
    <m/>
    <n v="1"/>
    <s v="No"/>
    <m/>
  </r>
  <r>
    <x v="111"/>
    <s v="COLUMBIA"/>
    <s v="No"/>
    <n v="134293.73153760002"/>
    <n v="1.1914058523224283E-3"/>
    <n v="44825.78"/>
    <n v="5.4842782270770392E-4"/>
    <n v="114568.80654240001"/>
    <n v="1.0164133876196175E-3"/>
    <n v="43500.86"/>
    <n v="5.3221788746816339E-4"/>
    <n v="19724.924995200003"/>
    <n v="1.7499246470281088E-4"/>
    <n v="1324.92"/>
    <n v="1.6209935239540532E-5"/>
    <m/>
    <n v="1"/>
    <s v="No"/>
    <m/>
  </r>
  <r>
    <x v="112"/>
    <s v="CORNWALL"/>
    <s v="No"/>
    <n v="207.17536319999999"/>
    <n v="1.8379855660232091E-6"/>
    <n v="0"/>
    <n v="0"/>
    <n v="207.17536319999999"/>
    <n v="1.8379855660232091E-6"/>
    <n v="0"/>
    <n v="0"/>
    <n v="0"/>
    <n v="0"/>
    <n v="0"/>
    <n v="0"/>
    <m/>
    <n v="1"/>
    <s v="No"/>
    <m/>
  </r>
  <r>
    <x v="79"/>
    <s v="CORNWALL"/>
    <s v="No"/>
    <n v="58439.273212799992"/>
    <n v="5.1845228600044834E-4"/>
    <n v="15124.35"/>
    <n v="1.850411602512943E-4"/>
    <n v="48379.472259839997"/>
    <n v="4.2920533760360826E-4"/>
    <n v="13559.24"/>
    <n v="1.6589258392762395E-4"/>
    <n v="10059.800952959999"/>
    <n v="8.9246948396840085E-5"/>
    <n v="1565.11"/>
    <n v="1.914857632367032E-5"/>
    <m/>
    <n v="3"/>
    <s v="No"/>
    <m/>
  </r>
  <r>
    <x v="113"/>
    <s v="CORNWALL"/>
    <s v="No"/>
    <n v="381.16122048"/>
    <n v="3.381525731385951E-6"/>
    <n v="0"/>
    <n v="0"/>
    <n v="381.16122048"/>
    <n v="3.381525731385951E-6"/>
    <n v="0"/>
    <n v="0"/>
    <n v="0"/>
    <n v="0"/>
    <n v="0"/>
    <n v="0"/>
    <m/>
    <n v="1"/>
    <s v="No"/>
    <m/>
  </r>
  <r>
    <x v="114"/>
    <s v="CORNWALL"/>
    <s v="No"/>
    <n v="40.9326048"/>
    <n v="3.6313939862388195E-7"/>
    <n v="0"/>
    <n v="0"/>
    <n v="40.9326048"/>
    <n v="3.6313939862388195E-7"/>
    <n v="0"/>
    <n v="0"/>
    <n v="0"/>
    <n v="0"/>
    <n v="0"/>
    <n v="0"/>
    <m/>
    <n v="2"/>
    <s v="No"/>
    <m/>
  </r>
  <r>
    <x v="2"/>
    <s v="COVENTRY"/>
    <s v="No"/>
    <n v="114483.14040672001"/>
    <n v="1.0156533883685249E-3"/>
    <n v="26282.479299999999"/>
    <n v="3.2155699014851051E-4"/>
    <n v="114445.98788832"/>
    <n v="1.0153237845415741E-3"/>
    <n v="26282.479299999999"/>
    <n v="3.2155699014851051E-4"/>
    <n v="37.152518400000005"/>
    <n v="3.2960382695065403E-7"/>
    <n v="0"/>
    <n v="0"/>
    <m/>
    <n v="3"/>
    <s v="No"/>
    <m/>
  </r>
  <r>
    <x v="110"/>
    <s v="COVENTRY"/>
    <s v="No"/>
    <n v="174738.03427008004"/>
    <n v="1.5502132100216632E-3"/>
    <n v="98738.7261"/>
    <n v="1.2080339610812203E-3"/>
    <n v="136588.91316768003"/>
    <n v="1.2117678811000309E-3"/>
    <n v="52139.396099999998"/>
    <n v="6.3790737116939291E-4"/>
    <n v="38149.121102400008"/>
    <n v="3.3844532892163227E-4"/>
    <n v="46599.33"/>
    <n v="5.701265899118273E-4"/>
    <m/>
    <n v="1"/>
    <s v="No"/>
    <m/>
  </r>
  <r>
    <x v="115"/>
    <s v="CROMWELL"/>
    <s v="No"/>
    <n v="105823.17838656"/>
    <n v="9.3882530924988146E-4"/>
    <n v="12420.4566"/>
    <n v="1.5195996522923932E-4"/>
    <n v="105823.17838656"/>
    <n v="9.3882530924988146E-4"/>
    <n v="12420.4566"/>
    <n v="1.5195996522923932E-4"/>
    <n v="0"/>
    <n v="0"/>
    <n v="0"/>
    <n v="0"/>
    <m/>
    <n v="2"/>
    <s v="No"/>
    <m/>
  </r>
  <r>
    <x v="116"/>
    <s v="CROMWELL"/>
    <s v="No"/>
    <n v="60556.671532799999"/>
    <n v="5.3723708497253864E-4"/>
    <n v="14839.490299999999"/>
    <n v="1.8155600092895411E-4"/>
    <n v="60556.671532799999"/>
    <n v="5.3723708497253864E-4"/>
    <n v="14839.490299999999"/>
    <n v="1.8155600092895411E-4"/>
    <n v="0"/>
    <n v="0"/>
    <n v="0"/>
    <n v="0"/>
    <m/>
    <n v="2"/>
    <s v="No"/>
    <m/>
  </r>
  <r>
    <x v="117"/>
    <s v="CROMWELL"/>
    <s v="No"/>
    <n v="258744.63329279999"/>
    <n v="2.2954896467059006E-3"/>
    <n v="300876.64160000003"/>
    <n v="3.6811210302708443E-3"/>
    <n v="129484.10068992"/>
    <n v="1.1487365313211566E-3"/>
    <n v="197087.67060000001"/>
    <n v="2.411299079897576E-3"/>
    <n v="129260.53260288"/>
    <n v="1.1467531153847442E-3"/>
    <n v="103788.97100000001"/>
    <n v="1.2698219503732681E-3"/>
    <m/>
    <n v="2"/>
    <s v="No"/>
    <m/>
  </r>
  <r>
    <x v="22"/>
    <s v="DANBURY"/>
    <s v="No"/>
    <n v="3129.7147199999999"/>
    <n v="2.776570723603476E-5"/>
    <n v="0"/>
    <n v="0"/>
    <n v="3129.7147199999999"/>
    <n v="2.776570723603476E-5"/>
    <n v="0"/>
    <n v="0"/>
    <n v="0"/>
    <n v="0"/>
    <n v="0"/>
    <n v="0"/>
    <m/>
    <n v="4"/>
    <s v="No"/>
    <m/>
  </r>
  <r>
    <x v="24"/>
    <s v="DANBURY"/>
    <s v="No"/>
    <n v="1133.7191136000001"/>
    <n v="1.005794962555387E-5"/>
    <n v="0"/>
    <n v="0"/>
    <n v="1133.7191136000001"/>
    <n v="1.005794962555387E-5"/>
    <n v="0"/>
    <n v="0"/>
    <n v="0"/>
    <n v="0"/>
    <n v="0"/>
    <n v="0"/>
    <m/>
    <n v="4"/>
    <s v="No"/>
    <m/>
  </r>
  <r>
    <x v="118"/>
    <s v="DANBURY"/>
    <s v="No"/>
    <n v="80635.962551039993"/>
    <n v="7.1537335801904621E-4"/>
    <n v="11314.693300000001"/>
    <n v="1.3843133596614372E-4"/>
    <n v="80635.962551039993"/>
    <n v="7.1537335801904621E-4"/>
    <n v="11314.693300000001"/>
    <n v="1.3843133596614372E-4"/>
    <n v="0"/>
    <n v="0"/>
    <n v="0"/>
    <n v="0"/>
    <m/>
    <n v="5"/>
    <s v="No"/>
    <m/>
  </r>
  <r>
    <x v="119"/>
    <s v="DANBURY"/>
    <s v="No"/>
    <n v="66177.26174016"/>
    <n v="5.871009467469056E-4"/>
    <n v="3072.29"/>
    <n v="3.7588399252096715E-5"/>
    <n v="66177.26174016"/>
    <n v="5.871009467469056E-4"/>
    <n v="3072.29"/>
    <n v="3.7588399252096715E-5"/>
    <n v="0"/>
    <n v="0"/>
    <n v="0"/>
    <n v="0"/>
    <m/>
    <n v="5"/>
    <s v="Yes"/>
    <m/>
  </r>
  <r>
    <x v="120"/>
    <s v="DANBURY"/>
    <s v="No"/>
    <n v="72919.210815359998"/>
    <n v="6.4691310247663248E-4"/>
    <n v="9926.9599999999991"/>
    <n v="1.2145290185483596E-4"/>
    <n v="72913.375704959995"/>
    <n v="6.4686133546859787E-4"/>
    <n v="9926.9599999999991"/>
    <n v="1.2145290185483596E-4"/>
    <n v="5.8351103999999996"/>
    <n v="5.1767008034630603E-8"/>
    <n v="0"/>
    <n v="0"/>
    <m/>
    <n v="5"/>
    <s v="No"/>
    <m/>
  </r>
  <r>
    <x v="27"/>
    <s v="DANBURY"/>
    <s v="No"/>
    <n v="164937.70064736"/>
    <n v="1.4632681627798135E-3"/>
    <n v="14744.53"/>
    <n v="1.8039419469663266E-4"/>
    <n v="164937.70064736"/>
    <n v="1.4632681627798135E-3"/>
    <n v="14744.53"/>
    <n v="1.8039419469663266E-4"/>
    <n v="0"/>
    <n v="0"/>
    <n v="0"/>
    <n v="0"/>
    <m/>
    <n v="5"/>
    <s v="No"/>
    <m/>
  </r>
  <r>
    <x v="28"/>
    <s v="DANBURY"/>
    <s v="No"/>
    <n v="876122.01728640008"/>
    <n v="7.7726405156244944E-3"/>
    <n v="897178.81859999895"/>
    <n v="1.0976670702980907E-2"/>
    <n v="237105.11016576004"/>
    <n v="2.1035115536122292E-3"/>
    <n v="664344.47099999897"/>
    <n v="8.1280234668182193E-3"/>
    <n v="639016.90712064004"/>
    <n v="5.6691289620122648E-3"/>
    <n v="232834.34760000001"/>
    <n v="2.8486472361626885E-3"/>
    <m/>
    <n v="4"/>
    <s v="No"/>
    <m/>
  </r>
  <r>
    <x v="121"/>
    <s v="DANBURY"/>
    <s v="No"/>
    <n v="79251.416470080003"/>
    <n v="7.0309016144107369E-4"/>
    <n v="3809.8373999999999"/>
    <n v="4.6612035086782201E-5"/>
    <n v="79251.416470080003"/>
    <n v="7.0309016144107369E-4"/>
    <n v="3809.8373999999999"/>
    <n v="4.6612035086782201E-5"/>
    <n v="0"/>
    <n v="0"/>
    <n v="0"/>
    <n v="0"/>
    <m/>
    <n v="5"/>
    <s v="No"/>
    <m/>
  </r>
  <r>
    <x v="122"/>
    <s v="DANBURY"/>
    <s v="No"/>
    <n v="103630.93667135999"/>
    <n v="9.1937652650112467E-4"/>
    <n v="7306.01"/>
    <n v="8.9386490474470542E-5"/>
    <n v="103630.93667135999"/>
    <n v="9.1937652650112467E-4"/>
    <n v="7306.01"/>
    <n v="8.9386490474470542E-5"/>
    <n v="0"/>
    <n v="0"/>
    <n v="0"/>
    <n v="0"/>
    <m/>
    <n v="5"/>
    <s v="No"/>
    <m/>
  </r>
  <r>
    <x v="123"/>
    <s v="DANBURY"/>
    <s v="No"/>
    <n v="69888.772857600008"/>
    <n v="6.2002814309217755E-4"/>
    <n v="4260.4978000000001"/>
    <n v="5.2125708288956999E-5"/>
    <n v="69888.772857600008"/>
    <n v="6.2002814309217755E-4"/>
    <n v="4260.4978000000001"/>
    <n v="5.2125708288956999E-5"/>
    <n v="0"/>
    <n v="0"/>
    <n v="0"/>
    <n v="0"/>
    <m/>
    <n v="5"/>
    <s v="No"/>
    <m/>
  </r>
  <r>
    <x v="124"/>
    <s v="DANBURY"/>
    <s v="No"/>
    <n v="112936.28332031998"/>
    <n v="1.0019302267261856E-3"/>
    <n v="15526.7817"/>
    <n v="1.8996477208849065E-4"/>
    <n v="112885.17400511999"/>
    <n v="1.0014768032004537E-3"/>
    <n v="15526.7817"/>
    <n v="1.8996477208849065E-4"/>
    <n v="51.109315200000005"/>
    <n v="4.5342352573189848E-7"/>
    <n v="0"/>
    <n v="0"/>
    <m/>
    <n v="4"/>
    <s v="No"/>
    <m/>
  </r>
  <r>
    <x v="125"/>
    <s v="DANBURY"/>
    <s v="No"/>
    <n v="129253.82222592001"/>
    <n v="1.1466935833255045E-3"/>
    <n v="22839.652999999998"/>
    <n v="2.7943520818130723E-4"/>
    <n v="129253.82222592001"/>
    <n v="1.1466935833255045E-3"/>
    <n v="22839.652999999998"/>
    <n v="2.7943520818130723E-4"/>
    <n v="0"/>
    <n v="0"/>
    <n v="0"/>
    <n v="0"/>
    <m/>
    <n v="4"/>
    <s v="No"/>
    <m/>
  </r>
  <r>
    <x v="126"/>
    <s v="DANBURY"/>
    <s v="No"/>
    <n v="90044.851150080009"/>
    <n v="7.9884564531346462E-4"/>
    <n v="25082.14"/>
    <n v="3.0687125642988943E-4"/>
    <n v="90044.851150080009"/>
    <n v="7.9884564531346462E-4"/>
    <n v="25082.14"/>
    <n v="3.0687125642988943E-4"/>
    <n v="0"/>
    <n v="0"/>
    <n v="0"/>
    <n v="0"/>
    <m/>
    <n v="5"/>
    <s v="No"/>
    <m/>
  </r>
  <r>
    <x v="127"/>
    <s v="DANBURY"/>
    <s v="No"/>
    <n v="854.27637120000009"/>
    <n v="7.5788337735144622E-6"/>
    <n v="0"/>
    <n v="0"/>
    <n v="854.27637120000009"/>
    <n v="7.5788337735144622E-6"/>
    <n v="0"/>
    <n v="0"/>
    <n v="0"/>
    <n v="0"/>
    <n v="0"/>
    <n v="0"/>
    <m/>
    <e v="#N/A"/>
    <e v="#N/A"/>
    <m/>
  </r>
  <r>
    <x v="128"/>
    <s v="DANBURY"/>
    <s v="No"/>
    <n v="126281.56981248001"/>
    <n v="1.1203248252352549E-3"/>
    <n v="9848.92"/>
    <n v="1.2049810960617662E-4"/>
    <n v="126281.56981248001"/>
    <n v="1.1203248252352549E-3"/>
    <n v="9848.92"/>
    <n v="1.2049810960617662E-4"/>
    <n v="0"/>
    <n v="0"/>
    <n v="0"/>
    <n v="0"/>
    <m/>
    <n v="5"/>
    <s v="No"/>
    <m/>
  </r>
  <r>
    <x v="129"/>
    <s v="DANBURY"/>
    <s v="No"/>
    <n v="81086.724829440005"/>
    <n v="7.1937235938972157E-4"/>
    <n v="21246.9"/>
    <n v="2.5994842937007045E-4"/>
    <n v="81086.724829440005"/>
    <n v="7.1937235938972157E-4"/>
    <n v="21246.9"/>
    <n v="2.5994842937007045E-4"/>
    <n v="0"/>
    <n v="0"/>
    <n v="0"/>
    <n v="0"/>
    <m/>
    <n v="3"/>
    <s v="No"/>
    <m/>
  </r>
  <r>
    <x v="72"/>
    <s v="DANBURY"/>
    <s v="No"/>
    <n v="96778.791999359993"/>
    <n v="8.5858675493315651E-4"/>
    <n v="19683.9421"/>
    <n v="2.4082618324115074E-4"/>
    <n v="96778.791999359993"/>
    <n v="8.5858675493315651E-4"/>
    <n v="19683.9421"/>
    <n v="2.4082618324115074E-4"/>
    <n v="0"/>
    <n v="0"/>
    <n v="0"/>
    <n v="0"/>
    <m/>
    <n v="4"/>
    <s v="No"/>
    <m/>
  </r>
  <r>
    <x v="130"/>
    <s v="DANBURY"/>
    <s v="No"/>
    <n v="607.07724480000002"/>
    <n v="5.3857717257933997E-6"/>
    <n v="1235.32"/>
    <n v="1.5113710412786589E-5"/>
    <n v="607.07724480000002"/>
    <n v="5.3857717257933997E-6"/>
    <n v="1235.32"/>
    <n v="1.5113710412786589E-5"/>
    <n v="0"/>
    <n v="0"/>
    <n v="0"/>
    <n v="0"/>
    <m/>
    <n v="3"/>
    <s v="No"/>
    <m/>
  </r>
  <r>
    <x v="131"/>
    <s v="DANBURY"/>
    <s v="No"/>
    <n v="570.49781759999996"/>
    <n v="5.0612521585604313E-6"/>
    <n v="0"/>
    <n v="0"/>
    <n v="570.49781759999996"/>
    <n v="5.0612521585604313E-6"/>
    <n v="0"/>
    <n v="0"/>
    <n v="0"/>
    <n v="0"/>
    <n v="0"/>
    <n v="0"/>
    <m/>
    <n v="2"/>
    <s v="No"/>
    <m/>
  </r>
  <r>
    <x v="132"/>
    <s v="DANBURY"/>
    <s v="No"/>
    <n v="66.391747200000012"/>
    <n v="5.8900378487021683E-7"/>
    <n v="0"/>
    <n v="0"/>
    <n v="66.391747200000012"/>
    <n v="5.8900378487021683E-7"/>
    <n v="0"/>
    <n v="0"/>
    <n v="0"/>
    <n v="0"/>
    <n v="0"/>
    <n v="0"/>
    <m/>
    <n v="1"/>
    <s v="No"/>
    <m/>
  </r>
  <r>
    <x v="133"/>
    <s v="DANBURY"/>
    <s v="No"/>
    <n v="295.62822719999997"/>
    <n v="2.6227076719449901E-6"/>
    <n v="0"/>
    <n v="0"/>
    <n v="295.62822719999997"/>
    <n v="2.6227076719449901E-6"/>
    <n v="0"/>
    <n v="0"/>
    <n v="0"/>
    <n v="0"/>
    <n v="0"/>
    <n v="0"/>
    <m/>
    <n v="3"/>
    <s v="No"/>
    <m/>
  </r>
  <r>
    <x v="134"/>
    <s v="DANBURY"/>
    <s v="No"/>
    <n v="3350.3837759999997"/>
    <n v="2.972340400813805E-5"/>
    <n v="0"/>
    <n v="0"/>
    <n v="3350.3837759999997"/>
    <n v="2.972340400813805E-5"/>
    <n v="0"/>
    <n v="0"/>
    <n v="0"/>
    <n v="0"/>
    <n v="0"/>
    <n v="0"/>
    <m/>
    <n v="3"/>
    <s v="No"/>
    <m/>
  </r>
  <r>
    <x v="135"/>
    <s v="DARIEN"/>
    <s v="No"/>
    <n v="144986.32474272"/>
    <n v="1.2862667067735254E-3"/>
    <n v="21254.052"/>
    <n v="2.6003593160177737E-4"/>
    <n v="144509.90071392001"/>
    <n v="1.2820400435510472E-3"/>
    <n v="21254.052"/>
    <n v="2.6003593160177737E-4"/>
    <n v="476.42402879999997"/>
    <n v="4.2266632224783071E-6"/>
    <n v="0"/>
    <n v="0"/>
    <m/>
    <n v="1"/>
    <s v="No"/>
    <m/>
  </r>
  <r>
    <x v="136"/>
    <s v="DARIEN"/>
    <s v="No"/>
    <n v="90975.895113599996"/>
    <n v="8.0710553365081876E-4"/>
    <n v="24472.4656"/>
    <n v="2.9941210226118057E-4"/>
    <n v="90975.895113599996"/>
    <n v="8.0710553365081876E-4"/>
    <n v="24472.4656"/>
    <n v="2.9941210226118057E-4"/>
    <n v="0"/>
    <n v="0"/>
    <n v="0"/>
    <n v="0"/>
    <m/>
    <n v="3"/>
    <s v="No"/>
    <m/>
  </r>
  <r>
    <x v="137"/>
    <s v="DARIEN"/>
    <s v="No"/>
    <n v="329747.23436832003"/>
    <n v="2.9253992745265018E-3"/>
    <n v="224847.87"/>
    <n v="2.7509354613475742E-3"/>
    <n v="178578.25472448004"/>
    <n v="1.5842822694721371E-3"/>
    <n v="84416.53"/>
    <n v="1.0328068747144962E-3"/>
    <n v="151168.97964383999"/>
    <n v="1.3411170050543647E-3"/>
    <n v="140431.34"/>
    <n v="1.718128586633078E-3"/>
    <m/>
    <n v="1"/>
    <s v="No"/>
    <m/>
  </r>
  <r>
    <x v="138"/>
    <s v="DARIEN"/>
    <s v="No"/>
    <n v="83365.854695999995"/>
    <n v="7.3959198267468593E-4"/>
    <n v="14030.75"/>
    <n v="1.7166134473189573E-4"/>
    <n v="83365.854695999995"/>
    <n v="7.3959198267468593E-4"/>
    <n v="14030.75"/>
    <n v="1.7166134473189573E-4"/>
    <n v="0"/>
    <n v="0"/>
    <n v="0"/>
    <n v="0"/>
    <m/>
    <n v="3"/>
    <s v="No"/>
    <m/>
  </r>
  <r>
    <x v="139"/>
    <s v="DARIEN"/>
    <s v="No"/>
    <n v="137375.18561088003"/>
    <n v="1.2187434083984594E-3"/>
    <n v="32728.266500000002"/>
    <n v="4.0041895394999234E-4"/>
    <n v="137375.18561088003"/>
    <n v="1.2187434083984594E-3"/>
    <n v="32728.266500000002"/>
    <n v="4.0041895394999234E-4"/>
    <n v="0"/>
    <n v="0"/>
    <n v="0"/>
    <n v="0"/>
    <m/>
    <n v="3"/>
    <s v="No"/>
    <m/>
  </r>
  <r>
    <x v="140"/>
    <s v="DEEP RIVER"/>
    <s v="No"/>
    <n v="136656.11013695999"/>
    <n v="1.212364028526585E-3"/>
    <n v="60771.553199999995"/>
    <n v="7.4351881002497665E-4"/>
    <n v="104659.926552"/>
    <n v="9.2850535590915874E-4"/>
    <n v="55582.743199999997"/>
    <n v="6.8003552494340163E-4"/>
    <n v="31996.183584960003"/>
    <n v="2.8385867261742644E-4"/>
    <n v="5188.8100000000004"/>
    <n v="6.3483285081574966E-5"/>
    <m/>
    <n v="1"/>
    <s v="No"/>
    <m/>
  </r>
  <r>
    <x v="141"/>
    <s v="DURHAM"/>
    <s v="No"/>
    <n v="186133.39589951999"/>
    <n v="1.6513087740453944E-3"/>
    <n v="75403.70670000001"/>
    <n v="9.2253811734165731E-4"/>
    <n v="149595.26773535999"/>
    <n v="1.327155597055901E-3"/>
    <n v="60194.636700000003"/>
    <n v="7.364604373657804E-4"/>
    <n v="36538.128164160007"/>
    <n v="3.2415317698949347E-4"/>
    <n v="15209.07"/>
    <n v="1.8607767997587681E-4"/>
    <m/>
    <n v="1"/>
    <s v="No"/>
    <m/>
  </r>
  <r>
    <x v="142"/>
    <s v="DURHAM"/>
    <s v="No"/>
    <n v="86.247331200000005"/>
    <n v="7.651554094325014E-7"/>
    <n v="0"/>
    <n v="0"/>
    <n v="86.247331200000005"/>
    <n v="7.651554094325014E-7"/>
    <n v="0"/>
    <n v="0"/>
    <n v="0"/>
    <n v="0"/>
    <n v="0"/>
    <n v="0"/>
    <m/>
    <n v="2"/>
    <s v="No"/>
    <m/>
  </r>
  <r>
    <x v="143"/>
    <s v="EAST GRANBY"/>
    <s v="No"/>
    <n v="175550.4483552"/>
    <n v="1.557420656597456E-3"/>
    <n v="67359.439799999993"/>
    <n v="8.2411931054684725E-4"/>
    <n v="111288.10370976001"/>
    <n v="9.8730816796575947E-4"/>
    <n v="53479.969799999999"/>
    <n v="6.5430882398226559E-4"/>
    <n v="64262.344645439996"/>
    <n v="5.7011248863169642E-4"/>
    <n v="13879.47"/>
    <n v="1.698104865645817E-4"/>
    <m/>
    <n v="3"/>
    <s v="No"/>
    <m/>
  </r>
  <r>
    <x v="144"/>
    <s v="EAST GRANBY"/>
    <s v="No"/>
    <n v="279.3906432"/>
    <n v="2.4786536466105272E-6"/>
    <n v="0"/>
    <n v="0"/>
    <n v="279.3906432"/>
    <n v="2.4786536466105272E-6"/>
    <n v="0"/>
    <n v="0"/>
    <n v="0"/>
    <n v="0"/>
    <n v="0"/>
    <n v="0"/>
    <m/>
    <n v="1"/>
    <s v="No"/>
    <m/>
  </r>
  <r>
    <x v="145"/>
    <s v="EAST GRANBY"/>
    <s v="No"/>
    <n v="239.47686720000002"/>
    <n v="2.1245529319292002E-6"/>
    <n v="0"/>
    <n v="0"/>
    <n v="239.47686720000002"/>
    <n v="2.1245529319292002E-6"/>
    <n v="0"/>
    <n v="0"/>
    <n v="0"/>
    <n v="0"/>
    <n v="0"/>
    <n v="0"/>
    <m/>
    <n v="1"/>
    <s v="No"/>
    <m/>
  </r>
  <r>
    <x v="102"/>
    <s v="EAST HADDAM"/>
    <s v="No"/>
    <n v="63151.540496640009"/>
    <n v="5.6025783236061195E-4"/>
    <n v="4781.78"/>
    <n v="5.8503414643699325E-5"/>
    <n v="63105.536903040011"/>
    <n v="5.5984970496691044E-4"/>
    <n v="4781.78"/>
    <n v="5.8503414643699325E-5"/>
    <n v="46.003593600000002"/>
    <n v="4.0812739370159666E-7"/>
    <n v="0"/>
    <n v="0"/>
    <m/>
    <n v="1"/>
    <s v="No"/>
    <m/>
  </r>
  <r>
    <x v="146"/>
    <s v="EAST HADDAM"/>
    <s v="No"/>
    <n v="164063.69662464"/>
    <n v="1.4555143123528454E-3"/>
    <n v="63836.366699999999"/>
    <n v="7.8101573690076505E-4"/>
    <n v="140629.99803552"/>
    <n v="1.2476189376322425E-3"/>
    <n v="55971.386700000003"/>
    <n v="6.8479044295072927E-4"/>
    <n v="23433.698589120002"/>
    <n v="2.078953747206029E-4"/>
    <n v="7864.98"/>
    <n v="9.6225293950035829E-5"/>
    <m/>
    <n v="1"/>
    <s v="No"/>
    <m/>
  </r>
  <r>
    <x v="147"/>
    <s v="EAST HAMPTON"/>
    <s v="No"/>
    <n v="173298.61325952"/>
    <n v="1.537443182736682E-3"/>
    <n v="123940.35619999999"/>
    <n v="1.5163671373121287E-3"/>
    <n v="122937.67875456001"/>
    <n v="1.0906590222947872E-3"/>
    <n v="79748.796199999997"/>
    <n v="9.7569877564933425E-4"/>
    <n v="50360.934504959994"/>
    <n v="4.4678416044189494E-4"/>
    <n v="44191.56"/>
    <n v="5.4066836166279445E-4"/>
    <m/>
    <n v="3"/>
    <s v="No"/>
    <m/>
  </r>
  <r>
    <x v="101"/>
    <s v="EAST HAMPTON"/>
    <s v="No"/>
    <n v="76930.412739840016"/>
    <n v="6.8249904824607037E-4"/>
    <n v="15684.3472"/>
    <n v="1.9189253116148059E-4"/>
    <n v="76930.412739840016"/>
    <n v="6.8249904824607037E-4"/>
    <n v="15684.3472"/>
    <n v="1.9189253116148059E-4"/>
    <n v="0"/>
    <n v="0"/>
    <n v="0"/>
    <n v="0"/>
    <m/>
    <n v="2"/>
    <s v="No"/>
    <m/>
  </r>
  <r>
    <x v="148"/>
    <s v="EAST HAMPTON"/>
    <s v="No"/>
    <n v="72378.179726400005"/>
    <n v="6.4211326857303115E-4"/>
    <n v="17842.5468"/>
    <n v="2.1829735239597194E-4"/>
    <n v="72315.440712000011"/>
    <n v="6.4155667052434139E-4"/>
    <n v="17842.5468"/>
    <n v="2.1829735239597194E-4"/>
    <n v="62.739014400000002"/>
    <n v="5.5659804868980808E-7"/>
    <n v="0"/>
    <n v="0"/>
    <m/>
    <n v="1"/>
    <s v="No"/>
    <m/>
  </r>
  <r>
    <x v="149"/>
    <s v="EAST HAMPTON"/>
    <s v="No"/>
    <n v="775.89023040000006"/>
    <n v="6.8834200276841713E-6"/>
    <n v="515.64"/>
    <n v="6.3086760007522563E-6"/>
    <n v="775.89023040000006"/>
    <n v="6.8834200276841713E-6"/>
    <n v="515.64"/>
    <n v="6.3086760007522563E-6"/>
    <n v="0"/>
    <n v="0"/>
    <n v="0"/>
    <n v="0"/>
    <m/>
    <n v="1"/>
    <s v="No"/>
    <m/>
  </r>
  <r>
    <x v="150"/>
    <s v="EAST HARTFORD"/>
    <s v="No"/>
    <n v="236.11936320000001"/>
    <n v="2.0947663598457818E-6"/>
    <n v="0"/>
    <n v="0"/>
    <n v="236.11936320000001"/>
    <n v="2.0947663598457818E-6"/>
    <n v="0"/>
    <n v="0"/>
    <n v="0"/>
    <n v="0"/>
    <n v="0"/>
    <n v="0"/>
    <m/>
    <n v="3"/>
    <s v="No"/>
    <m/>
  </r>
  <r>
    <x v="151"/>
    <s v="EAST HARTFORD"/>
    <s v="No"/>
    <n v="28572.322570560002"/>
    <n v="2.5348340488609041E-4"/>
    <n v="22163.206699999999"/>
    <n v="2.7115912304709024E-4"/>
    <n v="28572.322570560002"/>
    <n v="2.5348340488609041E-4"/>
    <n v="22163.206699999999"/>
    <n v="2.7115912304709024E-4"/>
    <n v="0"/>
    <n v="0"/>
    <n v="0"/>
    <n v="0"/>
    <m/>
    <n v="4"/>
    <s v="No"/>
    <m/>
  </r>
  <r>
    <x v="152"/>
    <s v="EAST HARTFORD"/>
    <s v="No"/>
    <n v="23940.745948800002"/>
    <n v="2.1239371715856136E-4"/>
    <n v="2074.27"/>
    <n v="2.5377971778916262E-5"/>
    <n v="23940.745948800002"/>
    <n v="2.1239371715856136E-4"/>
    <n v="2074.27"/>
    <n v="2.5377971778916262E-5"/>
    <n v="0"/>
    <n v="0"/>
    <n v="0"/>
    <n v="0"/>
    <m/>
    <n v="5"/>
    <s v="No"/>
    <m/>
  </r>
  <r>
    <x v="153"/>
    <s v="EAST HARTFORD"/>
    <s v="No"/>
    <n v="45262.2046176"/>
    <n v="4.0155005638014901E-4"/>
    <n v="42202.34"/>
    <n v="5.1633094704364854E-4"/>
    <n v="45069.819638400004"/>
    <n v="3.9984328579976915E-4"/>
    <n v="42202.34"/>
    <n v="5.1633094704364854E-4"/>
    <n v="192.38497919999998"/>
    <n v="1.7067705803798743E-6"/>
    <n v="0"/>
    <n v="0"/>
    <m/>
    <n v="4"/>
    <s v="No"/>
    <m/>
  </r>
  <r>
    <x v="154"/>
    <s v="EAST HARTFORD"/>
    <s v="No"/>
    <n v="57149.46894816"/>
    <n v="5.070096048592793E-4"/>
    <n v="9259.56"/>
    <n v="1.1328749505376922E-4"/>
    <n v="57149.46894816"/>
    <n v="5.070096048592793E-4"/>
    <n v="9259.56"/>
    <n v="1.1328749505376922E-4"/>
    <n v="0"/>
    <n v="0"/>
    <n v="0"/>
    <n v="0"/>
    <m/>
    <n v="4"/>
    <s v="No"/>
    <m/>
  </r>
  <r>
    <x v="155"/>
    <s v="EAST HARTFORD"/>
    <s v="No"/>
    <n v="47422.277971200005"/>
    <n v="4.2071345295465135E-4"/>
    <n v="3607.91"/>
    <n v="4.4141523601493431E-5"/>
    <n v="47422.277971200005"/>
    <n v="4.2071345295465135E-4"/>
    <n v="3607.91"/>
    <n v="4.4141523601493431E-5"/>
    <n v="0"/>
    <n v="0"/>
    <n v="0"/>
    <n v="0"/>
    <m/>
    <n v="5"/>
    <s v="No"/>
    <m/>
  </r>
  <r>
    <x v="156"/>
    <s v="EAST HARTFORD"/>
    <s v="No"/>
    <n v="59338.273852800005"/>
    <n v="5.2642789745657747E-4"/>
    <n v="16098.58"/>
    <n v="1.9696052535138906E-4"/>
    <n v="59338.273852800005"/>
    <n v="5.2642789745657747E-4"/>
    <n v="16098.58"/>
    <n v="1.9696052535138906E-4"/>
    <n v="0"/>
    <n v="0"/>
    <n v="0"/>
    <n v="0"/>
    <m/>
    <n v="5"/>
    <s v="No"/>
    <m/>
  </r>
  <r>
    <x v="157"/>
    <s v="EAST HARTFORD"/>
    <s v="No"/>
    <n v="682247.42991647997"/>
    <n v="6.052654665469997E-3"/>
    <n v="698719.04249999998"/>
    <n v="8.5485843896678793E-3"/>
    <n v="98289.779944319991"/>
    <n v="8.7199169840894311E-4"/>
    <n v="409325.7415"/>
    <n v="5.0079580364036378E-3"/>
    <n v="583957.64997216"/>
    <n v="5.1806629670610544E-3"/>
    <n v="289393.30099999998"/>
    <n v="3.5406263532642419E-3"/>
    <m/>
    <n v="5"/>
    <s v="No"/>
    <m/>
  </r>
  <r>
    <x v="158"/>
    <s v="EAST HARTFORD"/>
    <s v="No"/>
    <n v="40521.756297600004"/>
    <n v="3.5949449796788814E-4"/>
    <n v="5767.2932000000001"/>
    <n v="7.056082577019177E-5"/>
    <n v="40521.756297600004"/>
    <n v="3.5949449796788814E-4"/>
    <n v="5767.2932000000001"/>
    <n v="7.056082577019177E-5"/>
    <n v="0"/>
    <n v="0"/>
    <n v="0"/>
    <n v="0"/>
    <m/>
    <n v="3"/>
    <s v="No"/>
    <m/>
  </r>
  <r>
    <x v="159"/>
    <s v="EAST HARTFORD"/>
    <s v="No"/>
    <n v="56760.885907200005"/>
    <n v="5.0356223539674142E-4"/>
    <n v="28094.3"/>
    <n v="3.4372398605215674E-4"/>
    <n v="56760.885907200005"/>
    <n v="5.0356223539674142E-4"/>
    <n v="28094.3"/>
    <n v="3.4372398605215674E-4"/>
    <n v="0"/>
    <n v="0"/>
    <n v="0"/>
    <n v="0"/>
    <m/>
    <n v="4"/>
    <s v="No"/>
    <m/>
  </r>
  <r>
    <x v="160"/>
    <s v="EAST HARTFORD"/>
    <s v="No"/>
    <n v="52835.4427392"/>
    <n v="4.6873711057693644E-4"/>
    <n v="18406.3269"/>
    <n v="2.2519500577152795E-4"/>
    <n v="52835.4427392"/>
    <n v="4.6873711057693644E-4"/>
    <n v="18406.3269"/>
    <n v="2.2519500577152795E-4"/>
    <n v="0"/>
    <n v="0"/>
    <n v="0"/>
    <n v="0"/>
    <m/>
    <n v="4"/>
    <s v="No"/>
    <m/>
  </r>
  <r>
    <x v="161"/>
    <s v="EAST HARTFORD"/>
    <s v="No"/>
    <n v="56665.462170240004"/>
    <n v="5.0271567020443539E-4"/>
    <n v="32384.834299999999"/>
    <n v="3.9621718046844404E-4"/>
    <n v="56665.462170240004"/>
    <n v="5.0271567020443539E-4"/>
    <n v="32384.834299999999"/>
    <n v="3.9621718046844404E-4"/>
    <n v="0"/>
    <n v="0"/>
    <n v="0"/>
    <n v="0"/>
    <m/>
    <n v="4"/>
    <s v="No"/>
    <m/>
  </r>
  <r>
    <x v="162"/>
    <s v="EAST HARTFORD"/>
    <s v="No"/>
    <n v="37711.687535999998"/>
    <n v="3.3456457510651225E-4"/>
    <n v="16579.5"/>
    <n v="2.0284441423177416E-4"/>
    <n v="37711.687535999998"/>
    <n v="3.3456457510651225E-4"/>
    <n v="16579.5"/>
    <n v="2.0284441423177416E-4"/>
    <n v="0"/>
    <n v="0"/>
    <n v="0"/>
    <n v="0"/>
    <m/>
    <n v="5"/>
    <s v="No"/>
    <m/>
  </r>
  <r>
    <x v="163"/>
    <s v="EAST HARTFORD"/>
    <s v="No"/>
    <n v="38897.82654912"/>
    <n v="3.4508757529214232E-4"/>
    <n v="21005.37"/>
    <n v="2.5699339385214763E-4"/>
    <n v="38897.82654912"/>
    <n v="3.4508757529214232E-4"/>
    <n v="21005.37"/>
    <n v="2.5699339385214763E-4"/>
    <n v="0"/>
    <n v="0"/>
    <n v="0"/>
    <n v="0"/>
    <m/>
    <n v="4"/>
    <s v="No"/>
    <m/>
  </r>
  <r>
    <x v="164"/>
    <s v="EAST HARTFORD"/>
    <s v="No"/>
    <n v="33981.297984000004"/>
    <n v="3.0146989605627769E-4"/>
    <n v="15077.28"/>
    <n v="1.8446527517768595E-4"/>
    <n v="33981.297984000004"/>
    <n v="3.0146989605627769E-4"/>
    <n v="15077.28"/>
    <n v="1.8446527517768595E-4"/>
    <n v="0"/>
    <n v="0"/>
    <n v="0"/>
    <n v="0"/>
    <m/>
    <n v="4"/>
    <s v="No"/>
    <m/>
  </r>
  <r>
    <x v="165"/>
    <s v="EAST HARTFORD"/>
    <s v="No"/>
    <n v="1951.9243142400001"/>
    <n v="1.731677290257489E-5"/>
    <n v="0"/>
    <n v="0"/>
    <n v="1951.9243142400001"/>
    <n v="1.731677290257489E-5"/>
    <n v="0"/>
    <n v="0"/>
    <n v="0"/>
    <n v="0"/>
    <n v="0"/>
    <n v="0"/>
    <m/>
    <n v="5"/>
    <s v="No"/>
    <m/>
  </r>
  <r>
    <x v="166"/>
    <s v="EAST LYME"/>
    <s v="No"/>
    <n v="70.605993600000005"/>
    <n v="6.2639106845078325E-7"/>
    <n v="0"/>
    <n v="0"/>
    <n v="70.605993600000005"/>
    <n v="6.2639106845078325E-7"/>
    <n v="0"/>
    <n v="0"/>
    <n v="0"/>
    <n v="0"/>
    <n v="0"/>
    <n v="0"/>
    <m/>
    <n v="3"/>
    <s v="No"/>
    <m/>
  </r>
  <r>
    <x v="167"/>
    <s v="EAST LYME"/>
    <s v="No"/>
    <n v="94268.427937920002"/>
    <n v="8.3631570475072774E-4"/>
    <n v="40280.123399999997"/>
    <n v="4.928132957119683E-4"/>
    <n v="94268.427937920002"/>
    <n v="8.3631570475072774E-4"/>
    <n v="40280.123399999997"/>
    <n v="4.928132957119683E-4"/>
    <n v="0"/>
    <n v="0"/>
    <n v="0"/>
    <n v="0"/>
    <m/>
    <n v="5"/>
    <s v="No"/>
    <m/>
  </r>
  <r>
    <x v="168"/>
    <s v="EAST LYME"/>
    <s v="No"/>
    <n v="255083.41237536"/>
    <n v="2.2630086069898958E-3"/>
    <n v="240683.9578"/>
    <n v="2.9446844859571191E-3"/>
    <n v="138124.48498847999"/>
    <n v="1.2253909239108584E-3"/>
    <n v="220651.68780000001"/>
    <n v="2.6995966320482109E-3"/>
    <n v="116958.92738688001"/>
    <n v="1.0376176830790374E-3"/>
    <n v="20032.27"/>
    <n v="2.4508785390890816E-4"/>
    <m/>
    <n v="4"/>
    <s v="No"/>
    <m/>
  </r>
  <r>
    <x v="169"/>
    <s v="EAST LYME"/>
    <s v="No"/>
    <n v="50602.6302192"/>
    <n v="4.4892839818947865E-4"/>
    <n v="7191.9422999999997"/>
    <n v="8.7990911850913396E-5"/>
    <n v="50602.6302192"/>
    <n v="4.4892839818947865E-4"/>
    <n v="7191.9422999999997"/>
    <n v="8.7990911850913396E-5"/>
    <n v="0"/>
    <n v="0"/>
    <n v="0"/>
    <n v="0"/>
    <m/>
    <n v="3"/>
    <s v="No"/>
    <m/>
  </r>
  <r>
    <x v="170"/>
    <s v="EAST LYME"/>
    <s v="No"/>
    <n v="42616.216497600006"/>
    <n v="3.7807579816087405E-4"/>
    <n v="14608.0656"/>
    <n v="1.787246002407389E-4"/>
    <n v="42616.216497600006"/>
    <n v="3.7807579816087405E-4"/>
    <n v="14608.0656"/>
    <n v="1.787246002407389E-4"/>
    <n v="0"/>
    <n v="0"/>
    <n v="0"/>
    <n v="0"/>
    <m/>
    <n v="4"/>
    <s v="No"/>
    <m/>
  </r>
  <r>
    <x v="171"/>
    <s v="EAST LYME"/>
    <s v="No"/>
    <n v="110586.99898655999"/>
    <n v="9.8108821815315393E-4"/>
    <n v="67520.932400000005"/>
    <n v="8.2609511632203761E-4"/>
    <n v="110586.99898655999"/>
    <n v="9.8108821815315393E-4"/>
    <n v="67520.932400000005"/>
    <n v="8.2609511632203761E-4"/>
    <n v="0"/>
    <n v="0"/>
    <n v="0"/>
    <n v="0"/>
    <m/>
    <n v="4"/>
    <s v="No"/>
    <m/>
  </r>
  <r>
    <x v="172"/>
    <s v="EAST WINDSOR"/>
    <s v="No"/>
    <n v="173372.84362080001"/>
    <n v="1.5381017278961353E-3"/>
    <n v="304630.3566"/>
    <n v="3.7270464273194896E-3"/>
    <n v="108316.02669695999"/>
    <n v="9.609409659671205E-4"/>
    <n v="234607.06659999999"/>
    <n v="2.8703358363709294E-3"/>
    <n v="65056.816923840001"/>
    <n v="5.7716076192901474E-4"/>
    <n v="70023.289999999994"/>
    <n v="8.5671059094855984E-4"/>
    <m/>
    <n v="4"/>
    <s v="No"/>
    <m/>
  </r>
  <r>
    <x v="173"/>
    <s v="EAST WINDSOR"/>
    <s v="No"/>
    <n v="95034.406584960001"/>
    <n v="8.4311119276337537E-4"/>
    <n v="25148.027699999999"/>
    <n v="3.0767736951602467E-4"/>
    <n v="95034.406584960001"/>
    <n v="8.4311119276337537E-4"/>
    <n v="25148.027699999999"/>
    <n v="3.0767736951602467E-4"/>
    <n v="0"/>
    <n v="0"/>
    <n v="0"/>
    <n v="0"/>
    <m/>
    <n v="3"/>
    <s v="No"/>
    <m/>
  </r>
  <r>
    <x v="174"/>
    <s v="EAST WINDSOR"/>
    <s v="No"/>
    <n v="330.62152320000001"/>
    <n v="2.9331556516764806E-6"/>
    <n v="792.94"/>
    <n v="9.7013450237306931E-6"/>
    <n v="330.62152320000001"/>
    <n v="2.9331556516764806E-6"/>
    <n v="792.94"/>
    <n v="9.7013450237306931E-6"/>
    <n v="0"/>
    <n v="0"/>
    <n v="0"/>
    <n v="0"/>
    <m/>
    <n v="3"/>
    <s v="No"/>
    <m/>
  </r>
  <r>
    <x v="4"/>
    <s v="EASTFORD"/>
    <s v="No"/>
    <n v="42614.721250560004"/>
    <n v="3.7806253286506514E-4"/>
    <n v="21504.103599999999"/>
    <n v="2.6309522593090178E-4"/>
    <n v="35663.583467520002"/>
    <n v="3.1639452989729673E-4"/>
    <n v="21504.103599999999"/>
    <n v="2.6309522593090178E-4"/>
    <n v="6951.1377830399997"/>
    <n v="6.1668002967768358E-5"/>
    <n v="0"/>
    <n v="0"/>
    <m/>
    <n v="2"/>
    <s v="No"/>
    <m/>
  </r>
  <r>
    <x v="175"/>
    <s v="ELLINGTON"/>
    <s v="No"/>
    <n v="41.766192000000004"/>
    <n v="3.705346854859721E-7"/>
    <n v="0"/>
    <n v="0"/>
    <n v="41.766192000000004"/>
    <n v="3.705346854859721E-7"/>
    <n v="0"/>
    <n v="0"/>
    <n v="0"/>
    <n v="0"/>
    <n v="0"/>
    <n v="0"/>
    <m/>
    <n v="5"/>
    <s v="No"/>
    <m/>
  </r>
  <r>
    <x v="176"/>
    <s v="ELLINGTON"/>
    <s v="No"/>
    <n v="267742.94314752001"/>
    <n v="2.3753194265413238E-3"/>
    <n v="200257.17310000001"/>
    <n v="2.4500768402654183E-3"/>
    <n v="207453.90752064"/>
    <n v="1.8404567113994082E-3"/>
    <n v="175122.63310000001"/>
    <n v="2.1425644880663113E-3"/>
    <n v="60289.035626880002"/>
    <n v="5.348627151419154E-4"/>
    <n v="25134.54"/>
    <n v="3.0751235219910714E-4"/>
    <m/>
    <n v="4"/>
    <s v="No"/>
    <m/>
  </r>
  <r>
    <x v="177"/>
    <s v="ELLINGTON"/>
    <s v="No"/>
    <n v="127771.96699584002"/>
    <n v="1.1335470948543162E-3"/>
    <n v="36380.263400000003"/>
    <n v="4.4509986543446141E-4"/>
    <n v="127771.96699584002"/>
    <n v="1.1335470948543162E-3"/>
    <n v="36380.263400000003"/>
    <n v="4.4509986543446141E-4"/>
    <n v="0"/>
    <n v="0"/>
    <n v="0"/>
    <n v="0"/>
    <m/>
    <n v="5"/>
    <s v="No"/>
    <m/>
  </r>
  <r>
    <x v="178"/>
    <s v="ELLINGTON"/>
    <s v="No"/>
    <n v="165.72176639999998"/>
    <n v="1.4702241131105207E-6"/>
    <n v="0"/>
    <n v="0"/>
    <n v="165.72176639999998"/>
    <n v="1.4702241131105207E-6"/>
    <n v="0"/>
    <n v="0"/>
    <n v="0"/>
    <n v="0"/>
    <n v="0"/>
    <n v="0"/>
    <m/>
    <n v="3"/>
    <s v="No"/>
    <m/>
  </r>
  <r>
    <x v="179"/>
    <s v="ELLINGTON"/>
    <s v="No"/>
    <n v="227.66771520000003"/>
    <n v="2.0197863680495906E-6"/>
    <n v="0"/>
    <n v="0"/>
    <n v="227.66771520000003"/>
    <n v="2.0197863680495906E-6"/>
    <n v="0"/>
    <n v="0"/>
    <n v="0"/>
    <n v="0"/>
    <n v="0"/>
    <n v="0"/>
    <m/>
    <n v="1"/>
    <s v="No"/>
    <m/>
  </r>
  <r>
    <x v="180"/>
    <s v="ENFIELD"/>
    <s v="No"/>
    <n v="34392.488025599996"/>
    <n v="3.0511782672563862E-4"/>
    <n v="14221.0897"/>
    <n v="1.7399008473922717E-4"/>
    <n v="34392.488025599996"/>
    <n v="3.0511782672563862E-4"/>
    <n v="14221.0897"/>
    <n v="1.7399008473922717E-4"/>
    <n v="0"/>
    <n v="0"/>
    <n v="0"/>
    <n v="0"/>
    <m/>
    <n v="2"/>
    <s v="No"/>
    <m/>
  </r>
  <r>
    <x v="181"/>
    <s v="ENFIELD"/>
    <s v="No"/>
    <n v="58521.540743999998"/>
    <n v="5.1918213405073024E-4"/>
    <n v="9810.43"/>
    <n v="1.2002719784745163E-4"/>
    <n v="58521.540743999998"/>
    <n v="5.1918213405073024E-4"/>
    <n v="9810.43"/>
    <n v="1.2002719784745163E-4"/>
    <n v="0"/>
    <n v="0"/>
    <n v="0"/>
    <n v="0"/>
    <m/>
    <n v="3"/>
    <s v="No"/>
    <m/>
  </r>
  <r>
    <x v="182"/>
    <s v="ENFIELD"/>
    <s v="No"/>
    <n v="53208.866649600001"/>
    <n v="4.7204999366651771E-4"/>
    <n v="14584.495500000001"/>
    <n v="1.7843622826764659E-4"/>
    <n v="53208.866649600001"/>
    <n v="4.7204999366651771E-4"/>
    <n v="14584.495500000001"/>
    <n v="1.7843622826764659E-4"/>
    <n v="0"/>
    <n v="0"/>
    <n v="0"/>
    <n v="0"/>
    <m/>
    <n v="2"/>
    <s v="No"/>
    <m/>
  </r>
  <r>
    <x v="183"/>
    <s v="ENFIELD"/>
    <s v="No"/>
    <n v="52973.169868800003"/>
    <n v="4.6995897630626178E-4"/>
    <n v="43649.13"/>
    <n v="5.3403191933270363E-4"/>
    <n v="52973.169868800003"/>
    <n v="4.6995897630626178E-4"/>
    <n v="43649.13"/>
    <n v="5.3403191933270363E-4"/>
    <n v="0"/>
    <n v="0"/>
    <n v="0"/>
    <n v="0"/>
    <m/>
    <n v="5"/>
    <s v="No"/>
    <m/>
  </r>
  <r>
    <x v="184"/>
    <s v="ENFIELD"/>
    <s v="No"/>
    <n v="28925.4816288"/>
    <n v="2.5661650547068477E-4"/>
    <n v="16334.19"/>
    <n v="1.9984313172897273E-4"/>
    <n v="28925.4816288"/>
    <n v="2.5661650547068477E-4"/>
    <n v="16334.19"/>
    <n v="1.9984313172897273E-4"/>
    <n v="0"/>
    <n v="0"/>
    <n v="0"/>
    <n v="0"/>
    <m/>
    <n v="3"/>
    <s v="No"/>
    <m/>
  </r>
  <r>
    <x v="185"/>
    <s v="ENFIELD"/>
    <s v="No"/>
    <n v="400528.32643296011"/>
    <n v="3.5533437537963626E-3"/>
    <n v="936957.13520000002"/>
    <n v="1.1463344567081349E-2"/>
    <n v="93708.069782400009"/>
    <n v="8.3134440803985931E-4"/>
    <n v="798268.12080000003"/>
    <n v="9.7665327279818533E-3"/>
    <n v="306820.25665056007"/>
    <n v="2.7219993457565034E-3"/>
    <n v="138689.01439999999"/>
    <n v="1.6968118390994957E-3"/>
    <m/>
    <n v="3"/>
    <s v="No"/>
    <m/>
  </r>
  <r>
    <x v="186"/>
    <s v="ENFIELD"/>
    <s v="No"/>
    <n v="35031.230585279998"/>
    <n v="3.1078452177548982E-4"/>
    <n v="12948.832700000001"/>
    <n v="1.5842446298240252E-4"/>
    <n v="35031.230585279998"/>
    <n v="3.1078452177548982E-4"/>
    <n v="12948.832700000001"/>
    <n v="1.5842446298240252E-4"/>
    <n v="0"/>
    <n v="0"/>
    <n v="0"/>
    <n v="0"/>
    <m/>
    <n v="2"/>
    <s v="No"/>
    <m/>
  </r>
  <r>
    <x v="187"/>
    <s v="ENFIELD"/>
    <s v="No"/>
    <n v="63039.794659200001"/>
    <n v="5.5926646334305348E-4"/>
    <n v="5864.6796999999997"/>
    <n v="7.1752315715400167E-5"/>
    <n v="63039.794659200001"/>
    <n v="5.5926646334305348E-4"/>
    <n v="5864.6796999999997"/>
    <n v="7.1752315715400167E-5"/>
    <n v="0"/>
    <n v="0"/>
    <n v="0"/>
    <n v="0"/>
    <m/>
    <n v="1"/>
    <s v="No"/>
    <m/>
  </r>
  <r>
    <x v="188"/>
    <s v="ENFIELD"/>
    <s v="No"/>
    <n v="63124.477856640005"/>
    <n v="5.6001774231838786E-4"/>
    <n v="8987.7000000000007"/>
    <n v="1.0996138253812943E-4"/>
    <n v="63124.477856640005"/>
    <n v="5.6001774231838786E-4"/>
    <n v="8987.7000000000007"/>
    <n v="1.0996138253812943E-4"/>
    <n v="0"/>
    <n v="0"/>
    <n v="0"/>
    <n v="0"/>
    <m/>
    <n v="2"/>
    <s v="No"/>
    <m/>
  </r>
  <r>
    <x v="189"/>
    <s v="ENFIELD"/>
    <s v="No"/>
    <n v="64998.361042559998"/>
    <n v="5.7664216230219473E-4"/>
    <n v="15440.29"/>
    <n v="1.8890657623081038E-4"/>
    <n v="64998.361042559998"/>
    <n v="5.7664216230219473E-4"/>
    <n v="15440.29"/>
    <n v="1.8890657623081038E-4"/>
    <n v="0"/>
    <n v="0"/>
    <n v="0"/>
    <n v="0"/>
    <m/>
    <n v="3"/>
    <s v="No"/>
    <m/>
  </r>
  <r>
    <x v="190"/>
    <s v="ENFIELD"/>
    <s v="No"/>
    <n v="47713.246214400002"/>
    <n v="4.2329481891879086E-4"/>
    <n v="5946.1067999999996"/>
    <n v="7.2748547954134272E-5"/>
    <n v="47713.246214400002"/>
    <n v="4.2329481891879086E-4"/>
    <n v="5946.1067999999996"/>
    <n v="7.2748547954134272E-5"/>
    <n v="0"/>
    <n v="0"/>
    <n v="0"/>
    <n v="0"/>
    <m/>
    <n v="1"/>
    <s v="No"/>
    <m/>
  </r>
  <r>
    <x v="173"/>
    <s v="ENFIELD"/>
    <s v="No"/>
    <n v="658.84648319999997"/>
    <n v="5.8450498536244516E-6"/>
    <n v="0"/>
    <n v="0"/>
    <n v="658.84648319999997"/>
    <n v="5.8450498536244516E-6"/>
    <n v="0"/>
    <n v="0"/>
    <n v="0"/>
    <n v="0"/>
    <n v="0"/>
    <n v="0"/>
    <m/>
    <n v="3"/>
    <s v="No"/>
    <m/>
  </r>
  <r>
    <x v="191"/>
    <s v="ENFIELD"/>
    <s v="No"/>
    <n v="77128.346283840016"/>
    <n v="6.8425504370462601E-4"/>
    <n v="31690.293099999999"/>
    <n v="3.8771971052822671E-4"/>
    <n v="77128.346283840016"/>
    <n v="6.8425504370462601E-4"/>
    <n v="31690.293099999999"/>
    <n v="3.8771971052822671E-4"/>
    <n v="0"/>
    <n v="0"/>
    <n v="0"/>
    <n v="0"/>
    <m/>
    <n v="4"/>
    <s v="No"/>
    <m/>
  </r>
  <r>
    <x v="192"/>
    <s v="ESSEX"/>
    <s v="No"/>
    <n v="243904.75794719998"/>
    <n v="2.1638355915832089E-3"/>
    <n v="111069.48940000001"/>
    <n v="1.3588965599906663E-3"/>
    <n v="175416.2494992"/>
    <n v="1.5562300924468976E-3"/>
    <n v="96197.329400000002"/>
    <n v="1.1769408566485134E-3"/>
    <n v="68488.508447999993"/>
    <n v="6.0760549913631138E-4"/>
    <n v="14872.16"/>
    <n v="1.819557033421528E-4"/>
    <m/>
    <n v="2"/>
    <s v="No"/>
    <m/>
  </r>
  <r>
    <x v="193"/>
    <s v="ESSEX"/>
    <s v="No"/>
    <n v="449.22824639999999"/>
    <n v="3.9853919886026175E-6"/>
    <n v="0"/>
    <n v="0"/>
    <n v="449.22824639999999"/>
    <n v="3.9853919886026175E-6"/>
    <n v="0"/>
    <n v="0"/>
    <n v="0"/>
    <n v="0"/>
    <n v="0"/>
    <n v="0"/>
    <m/>
    <n v="2"/>
    <s v="No"/>
    <m/>
  </r>
  <r>
    <x v="64"/>
    <s v="FARMINGTON"/>
    <s v="No"/>
    <n v="1028.8434240000001"/>
    <n v="9.127530097217162E-6"/>
    <n v="0"/>
    <n v="0"/>
    <n v="1028.8434240000001"/>
    <n v="9.127530097217162E-6"/>
    <n v="0"/>
    <n v="0"/>
    <n v="0"/>
    <n v="0"/>
    <n v="0"/>
    <n v="0"/>
    <m/>
    <n v="2"/>
    <s v="No"/>
    <m/>
  </r>
  <r>
    <x v="66"/>
    <s v="FARMINGTON"/>
    <s v="No"/>
    <n v="170.59593599999999"/>
    <n v="1.513465998790242E-6"/>
    <n v="0"/>
    <n v="0"/>
    <n v="170.59593599999999"/>
    <n v="1.513465998790242E-6"/>
    <n v="0"/>
    <n v="0"/>
    <n v="0"/>
    <n v="0"/>
    <n v="0"/>
    <n v="0"/>
    <m/>
    <n v="1"/>
    <s v="No"/>
    <m/>
  </r>
  <r>
    <x v="76"/>
    <s v="FARMINGTON"/>
    <s v="No"/>
    <n v="37.430380799999995"/>
    <n v="3.3206892257135066E-7"/>
    <n v="361.58"/>
    <n v="4.423805500643861E-6"/>
    <n v="37.430380799999995"/>
    <n v="3.3206892257135066E-7"/>
    <n v="361.58"/>
    <n v="4.423805500643861E-6"/>
    <n v="0"/>
    <n v="0"/>
    <n v="0"/>
    <n v="0"/>
    <m/>
    <n v="2"/>
    <s v="No"/>
    <m/>
  </r>
  <r>
    <x v="194"/>
    <s v="FARMINGTON"/>
    <s v="No"/>
    <n v="1096.0629696000001"/>
    <n v="9.7238778127907042E-6"/>
    <n v="1548.06"/>
    <n v="1.8939975505632879E-5"/>
    <n v="1096.0629696000001"/>
    <n v="9.7238778127907042E-6"/>
    <n v="1548.06"/>
    <n v="1.8939975505632879E-5"/>
    <n v="0"/>
    <n v="0"/>
    <n v="0"/>
    <n v="0"/>
    <m/>
    <n v="3"/>
    <s v="No"/>
    <m/>
  </r>
  <r>
    <x v="195"/>
    <s v="FARMINGTON"/>
    <s v="No"/>
    <n v="58080.654737279998"/>
    <n v="5.1527075142252324E-4"/>
    <n v="4140.0200000000004"/>
    <n v="5.0651704322074235E-5"/>
    <n v="58080.654737279998"/>
    <n v="5.1527075142252324E-4"/>
    <n v="4140.0200000000004"/>
    <n v="5.0651704322074235E-5"/>
    <n v="0"/>
    <n v="0"/>
    <n v="0"/>
    <n v="0"/>
    <m/>
    <n v="3"/>
    <s v="No"/>
    <m/>
  </r>
  <r>
    <x v="196"/>
    <s v="FARMINGTON"/>
    <s v="No"/>
    <n v="92611.060343999998"/>
    <n v="8.2161213349511058E-4"/>
    <n v="17059.78"/>
    <n v="2.087204729348253E-4"/>
    <n v="92611.060343999998"/>
    <n v="8.2161213349511058E-4"/>
    <n v="17059.78"/>
    <n v="2.087204729348253E-4"/>
    <n v="0"/>
    <n v="0"/>
    <n v="0"/>
    <n v="0"/>
    <m/>
    <n v="4"/>
    <s v="No"/>
    <m/>
  </r>
  <r>
    <x v="197"/>
    <s v="FARMINGTON"/>
    <s v="No"/>
    <n v="101702.457576"/>
    <n v="9.0226775117716203E-4"/>
    <n v="21242.799999999999"/>
    <n v="2.5989826729652476E-4"/>
    <n v="101695.72983264001"/>
    <n v="9.0220806504944591E-4"/>
    <n v="21242.799999999999"/>
    <n v="2.5989826729652476E-4"/>
    <n v="6.7277433599999998"/>
    <n v="5.9686127716118744E-8"/>
    <n v="0"/>
    <n v="0"/>
    <m/>
    <n v="5"/>
    <s v="No"/>
    <m/>
  </r>
  <r>
    <x v="198"/>
    <s v="FARMINGTON"/>
    <s v="No"/>
    <n v="197109.42727680001"/>
    <n v="1.7486841903693105E-3"/>
    <n v="142165.11420000001"/>
    <n v="1.7393407107628264E-3"/>
    <n v="122782.0920192"/>
    <n v="1.0892787125444416E-3"/>
    <n v="95321.2546"/>
    <n v="1.1662223862706842E-3"/>
    <n v="74327.335257600003"/>
    <n v="6.5940547782486893E-4"/>
    <n v="46843.859600000003"/>
    <n v="5.7311832449214221E-4"/>
    <m/>
    <n v="4"/>
    <s v="No"/>
    <m/>
  </r>
  <r>
    <x v="5"/>
    <s v="FARMINGTON"/>
    <s v="No"/>
    <n v="85855.085585280001"/>
    <n v="7.6167554692831315E-4"/>
    <n v="15872.5816"/>
    <n v="1.9419551355577891E-4"/>
    <n v="85855.085585280001"/>
    <n v="7.6167554692831315E-4"/>
    <n v="15872.5816"/>
    <n v="1.9419551355577891E-4"/>
    <n v="0"/>
    <n v="0"/>
    <n v="0"/>
    <n v="0"/>
    <m/>
    <n v="3"/>
    <s v="No"/>
    <m/>
  </r>
  <r>
    <x v="6"/>
    <s v="FARMINGTON"/>
    <s v="No"/>
    <n v="62555.017970879999"/>
    <n v="5.5496569831909378E-4"/>
    <n v="11949.12"/>
    <n v="1.4619332591363899E-4"/>
    <n v="62555.017970879999"/>
    <n v="5.5496569831909378E-4"/>
    <n v="11949.12"/>
    <n v="1.4619332591363899E-4"/>
    <n v="0"/>
    <n v="0"/>
    <n v="0"/>
    <n v="0"/>
    <m/>
    <n v="3"/>
    <s v="No"/>
    <m/>
  </r>
  <r>
    <x v="7"/>
    <s v="FARMINGTON"/>
    <s v="No"/>
    <n v="634.86348480000004"/>
    <n v="5.6322812878630688E-6"/>
    <n v="599.75"/>
    <n v="7.3377325875633496E-6"/>
    <n v="634.86348480000004"/>
    <n v="5.6322812878630688E-6"/>
    <n v="599.75"/>
    <n v="7.3377325875633496E-6"/>
    <n v="0"/>
    <n v="0"/>
    <n v="0"/>
    <n v="0"/>
    <m/>
    <n v="4"/>
    <s v="No"/>
    <m/>
  </r>
  <r>
    <x v="199"/>
    <s v="FARMINGTON"/>
    <s v="No"/>
    <n v="151394.14717631997"/>
    <n v="1.3431146106974436E-3"/>
    <n v="61.31"/>
    <n v="7.5010651928888531E-7"/>
    <n v="5802.2531712"/>
    <n v="5.1475510477483219E-5"/>
    <n v="61.31"/>
    <n v="7.5010651928888531E-7"/>
    <n v="145591.89400511998"/>
    <n v="1.2916391002199604E-3"/>
    <n v="0"/>
    <n v="0"/>
    <m/>
    <n v="5"/>
    <s v="No"/>
    <m/>
  </r>
  <r>
    <x v="200"/>
    <s v="FRANKLIN"/>
    <s v="No"/>
    <n v="45315.20629152"/>
    <n v="4.0202026823418102E-4"/>
    <n v="14386.054400000001"/>
    <n v="1.7600837044991932E-4"/>
    <n v="40434.531238080002"/>
    <n v="3.5872066850324027E-4"/>
    <n v="13070.7744"/>
    <n v="1.5991637725647152E-4"/>
    <n v="4880.6750534399998"/>
    <n v="4.3299599730940758E-5"/>
    <n v="1315.28"/>
    <n v="1.6091993193447806E-5"/>
    <m/>
    <n v="1"/>
    <s v="No"/>
    <m/>
  </r>
  <r>
    <x v="107"/>
    <s v="FRANKLIN"/>
    <s v="No"/>
    <n v="49.980499199999997"/>
    <n v="4.4340907477281809E-7"/>
    <n v="0"/>
    <n v="0"/>
    <n v="49.980499199999997"/>
    <n v="4.4340907477281809E-7"/>
    <n v="0"/>
    <n v="0"/>
    <n v="0"/>
    <n v="0"/>
    <n v="0"/>
    <n v="0"/>
    <m/>
    <n v="1"/>
    <s v="No"/>
    <m/>
  </r>
  <r>
    <x v="157"/>
    <s v="GLASTONBURY"/>
    <s v="No"/>
    <n v="132.70245120000001"/>
    <n v="1.1772885835177304E-6"/>
    <n v="0"/>
    <n v="0"/>
    <n v="132.70245120000001"/>
    <n v="1.1772885835177304E-6"/>
    <n v="0"/>
    <n v="0"/>
    <n v="0"/>
    <n v="0"/>
    <n v="0"/>
    <n v="0"/>
    <m/>
    <n v="5"/>
    <s v="No"/>
    <m/>
  </r>
  <r>
    <x v="201"/>
    <s v="GLASTONBURY"/>
    <s v="No"/>
    <n v="99045.453948480019"/>
    <n v="8.7869576732337419E-4"/>
    <n v="7809.0663999999997"/>
    <n v="9.5541210507254706E-5"/>
    <n v="99045.453948480019"/>
    <n v="8.7869576732337419E-4"/>
    <n v="7809.0663999999997"/>
    <n v="9.5541210507254706E-5"/>
    <n v="0"/>
    <n v="0"/>
    <n v="0"/>
    <n v="0"/>
    <m/>
    <n v="4"/>
    <s v="No"/>
    <m/>
  </r>
  <r>
    <x v="202"/>
    <s v="GLASTONBURY"/>
    <s v="No"/>
    <n v="82610.552332799998"/>
    <n v="7.3289121082564768E-4"/>
    <n v="23410.549800000001"/>
    <n v="2.8641993190535166E-4"/>
    <n v="82572.919343999994"/>
    <n v="7.3255734443751963E-4"/>
    <n v="23410.549800000001"/>
    <n v="2.8641993190535166E-4"/>
    <n v="37.6329888"/>
    <n v="3.3386638812810869E-7"/>
    <n v="0"/>
    <n v="0"/>
    <m/>
    <n v="4"/>
    <s v="No"/>
    <m/>
  </r>
  <r>
    <x v="203"/>
    <s v="GLASTONBURY"/>
    <s v="No"/>
    <n v="92569.522809600006"/>
    <n v="8.2124362737789587E-4"/>
    <n v="20573.626"/>
    <n v="2.5171115622266046E-4"/>
    <n v="92512.798358400003"/>
    <n v="8.2074038837816235E-4"/>
    <n v="20573.626"/>
    <n v="2.5171115622266046E-4"/>
    <n v="56.724451200000004"/>
    <n v="5.0323899973347751E-7"/>
    <n v="0"/>
    <n v="0"/>
    <m/>
    <n v="2"/>
    <s v="No"/>
    <m/>
  </r>
  <r>
    <x v="204"/>
    <s v="GLASTONBURY"/>
    <s v="No"/>
    <n v="90725.333852160009"/>
    <n v="8.0488264394608735E-4"/>
    <n v="19678.828099999999"/>
    <n v="2.4076361523039157E-4"/>
    <n v="90718.103640960006"/>
    <n v="8.0481850010379042E-4"/>
    <n v="19678.828099999999"/>
    <n v="2.4076361523039157E-4"/>
    <n v="7.2302111999999994"/>
    <n v="6.4143842296878594E-8"/>
    <n v="0"/>
    <n v="0"/>
    <m/>
    <n v="4"/>
    <s v="No"/>
    <m/>
  </r>
  <r>
    <x v="205"/>
    <s v="GLASTONBURY"/>
    <s v="No"/>
    <n v="57957.166319040007"/>
    <n v="5.1417520643691104E-4"/>
    <n v="28100.66"/>
    <n v="3.4380179843941297E-4"/>
    <n v="57957.166319040007"/>
    <n v="5.1417520643691104E-4"/>
    <n v="28100.66"/>
    <n v="3.4380179843941297E-4"/>
    <n v="0"/>
    <n v="0"/>
    <n v="0"/>
    <n v="0"/>
    <m/>
    <n v="5"/>
    <s v="No"/>
    <m/>
  </r>
  <r>
    <x v="206"/>
    <s v="GLASTONBURY"/>
    <s v="No"/>
    <n v="409220.56738080003"/>
    <n v="3.6304581999918924E-3"/>
    <n v="412347.66379999998"/>
    <n v="5.0449302043699476E-3"/>
    <n v="167362.33605407999"/>
    <n v="1.4847786590646351E-3"/>
    <n v="366228.74699999997"/>
    <n v="4.4806813028168292E-3"/>
    <n v="241858.23132672001"/>
    <n v="2.1456795409272567E-3"/>
    <n v="46118.916799999999"/>
    <n v="5.6424890155311856E-4"/>
    <m/>
    <n v="3"/>
    <s v="No"/>
    <m/>
  </r>
  <r>
    <x v="207"/>
    <s v="GLASTONBURY"/>
    <s v="No"/>
    <n v="94824.764035200002"/>
    <n v="8.4125131920248671E-4"/>
    <n v="16202.107099999999"/>
    <n v="1.9822714340118634E-4"/>
    <n v="94824.764035200002"/>
    <n v="8.4125131920248671E-4"/>
    <n v="16202.107099999999"/>
    <n v="1.9822714340118634E-4"/>
    <n v="0"/>
    <n v="0"/>
    <n v="0"/>
    <n v="0"/>
    <m/>
    <n v="3"/>
    <s v="No"/>
    <m/>
  </r>
  <r>
    <x v="208"/>
    <s v="GLASTONBURY"/>
    <s v="No"/>
    <n v="360.64802880000002"/>
    <n v="3.1995400471880173E-6"/>
    <n v="0"/>
    <n v="0"/>
    <n v="360.64802880000002"/>
    <n v="3.1995400471880173E-6"/>
    <n v="0"/>
    <n v="0"/>
    <n v="0"/>
    <n v="0"/>
    <n v="0"/>
    <n v="0"/>
    <m/>
    <n v="1"/>
    <s v="No"/>
    <m/>
  </r>
  <r>
    <x v="209"/>
    <s v="GOSHEN"/>
    <s v="No"/>
    <n v="100384.60425984001"/>
    <n v="8.9057622890431544E-4"/>
    <n v="47056.84"/>
    <n v="5.7572406558691871E-4"/>
    <n v="87595.087141440003"/>
    <n v="7.7711221707906202E-4"/>
    <n v="47056.84"/>
    <n v="5.7572406558691871E-4"/>
    <n v="12789.517118399999"/>
    <n v="1.1346401182525328E-4"/>
    <n v="0"/>
    <n v="0"/>
    <m/>
    <n v="3"/>
    <s v="No"/>
    <m/>
  </r>
  <r>
    <x v="11"/>
    <s v="GRANBY"/>
    <s v="No"/>
    <n v="47.225030400000001"/>
    <n v="4.189635432009092E-7"/>
    <n v="0"/>
    <n v="0"/>
    <n v="47.225030400000001"/>
    <n v="4.189635432009092E-7"/>
    <n v="0"/>
    <n v="0"/>
    <n v="0"/>
    <n v="0"/>
    <n v="0"/>
    <n v="0"/>
    <m/>
    <n v="3"/>
    <s v="No"/>
    <m/>
  </r>
  <r>
    <x v="210"/>
    <s v="GRANBY"/>
    <s v="No"/>
    <n v="203015.85685056"/>
    <n v="1.8010839165511516E-3"/>
    <n v="112382.2395"/>
    <n v="1.3749576007378059E-3"/>
    <n v="151167.66732288001"/>
    <n v="1.3411053626131728E-3"/>
    <n v="101117.8395"/>
    <n v="1.2371415857993339E-3"/>
    <n v="51848.189527679999"/>
    <n v="4.5997855393797876E-4"/>
    <n v="11264.4"/>
    <n v="1.3781601493847201E-4"/>
    <m/>
    <n v="1"/>
    <s v="No"/>
    <m/>
  </r>
  <r>
    <x v="211"/>
    <s v="GRANBY"/>
    <s v="No"/>
    <n v="81276.893277120005"/>
    <n v="7.2105946569691053E-4"/>
    <n v="23168.03"/>
    <n v="2.8345278652879582E-4"/>
    <n v="81261.084064320006"/>
    <n v="7.2091921202732461E-4"/>
    <n v="23168.03"/>
    <n v="2.8345278652879582E-4"/>
    <n v="15.809212799999999"/>
    <n v="1.4025366958588906E-7"/>
    <n v="0"/>
    <n v="0"/>
    <m/>
    <n v="2"/>
    <s v="No"/>
    <m/>
  </r>
  <r>
    <x v="143"/>
    <s v="GRANBY"/>
    <s v="No"/>
    <n v="761.58031679999999"/>
    <n v="6.7564676032182905E-6"/>
    <n v="0"/>
    <n v="0"/>
    <n v="761.58031679999999"/>
    <n v="6.7564676032182905E-6"/>
    <n v="0"/>
    <n v="0"/>
    <n v="0"/>
    <n v="0"/>
    <n v="0"/>
    <n v="0"/>
    <m/>
    <n v="3"/>
    <s v="No"/>
    <m/>
  </r>
  <r>
    <x v="212"/>
    <s v="GREENWICH"/>
    <s v="No"/>
    <n v="240578.94357504"/>
    <n v="2.1343301585197154E-3"/>
    <n v="21123.27"/>
    <n v="2.5843585933288751E-4"/>
    <n v="240328.44483264"/>
    <n v="2.1321078234614985E-3"/>
    <n v="21123.27"/>
    <n v="2.5843585933288751E-4"/>
    <n v="250.49874240000003"/>
    <n v="2.2223350582168356E-6"/>
    <n v="0"/>
    <n v="0"/>
    <m/>
    <n v="2"/>
    <s v="No"/>
    <m/>
  </r>
  <r>
    <x v="213"/>
    <s v="GREENWICH"/>
    <s v="No"/>
    <n v="815679.35501184"/>
    <n v="7.23641487992759E-3"/>
    <n v="354251.39610000001"/>
    <n v="4.3341425816636634E-3"/>
    <n v="347737.14485856006"/>
    <n v="3.0849993124093394E-3"/>
    <n v="199896.71350000001"/>
    <n v="2.44566674246897E-3"/>
    <n v="467942.21015327994"/>
    <n v="4.1514155675182506E-3"/>
    <n v="154354.6826"/>
    <n v="1.8884758391946937E-3"/>
    <m/>
    <n v="3"/>
    <s v="No"/>
    <m/>
  </r>
  <r>
    <x v="214"/>
    <s v="GREENWICH"/>
    <s v="No"/>
    <n v="185024.45169216002"/>
    <n v="1.6414706185081211E-3"/>
    <n v="4279.21"/>
    <n v="5.2354645545688974E-5"/>
    <n v="184550.60946816002"/>
    <n v="1.6372668601324519E-3"/>
    <n v="4279.21"/>
    <n v="5.2354645545688974E-5"/>
    <n v="473.84222399999999"/>
    <n v="4.2037583756693337E-6"/>
    <n v="0"/>
    <n v="0"/>
    <m/>
    <n v="3"/>
    <s v="No"/>
    <m/>
  </r>
  <r>
    <x v="215"/>
    <s v="GREENWICH"/>
    <s v="No"/>
    <n v="149235.83767008001"/>
    <n v="1.3239668623445172E-3"/>
    <n v="12605.017599999999"/>
    <n v="1.5421800485257116E-4"/>
    <n v="149235.83767008001"/>
    <n v="1.3239668623445172E-3"/>
    <n v="12605.017599999999"/>
    <n v="1.5421800485257116E-4"/>
    <n v="0"/>
    <n v="0"/>
    <n v="0"/>
    <n v="0"/>
    <m/>
    <n v="4"/>
    <s v="No"/>
    <m/>
  </r>
  <r>
    <x v="216"/>
    <s v="GREENWICH"/>
    <s v="No"/>
    <n v="232331.66626463999"/>
    <n v="2.0611632702306256E-3"/>
    <n v="14940.7438"/>
    <n v="1.8279480227377252E-4"/>
    <n v="232331.66626463999"/>
    <n v="2.0611632702306256E-3"/>
    <n v="14940.7438"/>
    <n v="1.8279480227377252E-4"/>
    <n v="0"/>
    <n v="0"/>
    <n v="0"/>
    <n v="0"/>
    <m/>
    <n v="2"/>
    <s v="No"/>
    <m/>
  </r>
  <r>
    <x v="217"/>
    <s v="GREENWICH"/>
    <s v="No"/>
    <n v="104263.06610592001"/>
    <n v="9.2498455227520344E-4"/>
    <n v="6235.2754999999997"/>
    <n v="7.6286426392305722E-5"/>
    <n v="104263.06610592001"/>
    <n v="9.2498455227520344E-4"/>
    <n v="6235.2754999999997"/>
    <n v="7.6286426392305722E-5"/>
    <n v="0"/>
    <n v="0"/>
    <n v="0"/>
    <n v="0"/>
    <m/>
    <n v="3"/>
    <s v="No"/>
    <m/>
  </r>
  <r>
    <x v="218"/>
    <s v="GREENWICH"/>
    <s v="No"/>
    <n v="79218.90946368"/>
    <n v="7.0280177093153147E-4"/>
    <n v="2031.71"/>
    <n v="2.4857264986208143E-5"/>
    <n v="79218.90946368"/>
    <n v="7.0280177093153147E-4"/>
    <n v="2031.71"/>
    <n v="2.4857264986208143E-5"/>
    <n v="0"/>
    <n v="0"/>
    <n v="0"/>
    <n v="0"/>
    <m/>
    <n v="3"/>
    <s v="No"/>
    <m/>
  </r>
  <r>
    <x v="219"/>
    <s v="GREENWICH"/>
    <s v="No"/>
    <n v="37228.613912640001"/>
    <n v="3.3027891906446118E-4"/>
    <n v="0"/>
    <n v="0"/>
    <n v="37228.613912640001"/>
    <n v="3.3027891906446118E-4"/>
    <n v="0"/>
    <n v="0"/>
    <n v="0"/>
    <n v="0"/>
    <n v="0"/>
    <n v="0"/>
    <m/>
    <n v="3"/>
    <s v="No"/>
    <m/>
  </r>
  <r>
    <x v="220"/>
    <s v="GREENWICH"/>
    <s v="No"/>
    <n v="75171.932176319999"/>
    <n v="6.6689843896531318E-4"/>
    <n v="287.59500000000003"/>
    <n v="3.5186247661863806E-6"/>
    <n v="75171.932176319999"/>
    <n v="6.6689843896531318E-4"/>
    <n v="287.59500000000003"/>
    <n v="3.5186247661863806E-6"/>
    <n v="0"/>
    <n v="0"/>
    <n v="0"/>
    <n v="0"/>
    <m/>
    <n v="3"/>
    <s v="No"/>
    <m/>
  </r>
  <r>
    <x v="221"/>
    <s v="GREENWICH"/>
    <s v="No"/>
    <n v="69440.01003071999"/>
    <n v="6.1604688013873943E-4"/>
    <n v="4273.3671000000004"/>
    <n v="5.2283159697025576E-5"/>
    <n v="69433.055366399989"/>
    <n v="6.1598518084959972E-4"/>
    <n v="4273.3671000000004"/>
    <n v="5.2283159697025576E-5"/>
    <n v="6.9546643200000009"/>
    <n v="6.1699289139687715E-8"/>
    <n v="0"/>
    <n v="0"/>
    <m/>
    <n v="3"/>
    <s v="No"/>
    <m/>
  </r>
  <r>
    <x v="222"/>
    <s v="GREENWICH"/>
    <s v="No"/>
    <n v="95240.909289600007"/>
    <n v="8.4494321074375016E-4"/>
    <n v="5192.7631000000001"/>
    <n v="6.3531649884729445E-5"/>
    <n v="95240.909289600007"/>
    <n v="8.4494321074375016E-4"/>
    <n v="5192.7631000000001"/>
    <n v="6.3531649884729445E-5"/>
    <n v="0"/>
    <n v="0"/>
    <n v="0"/>
    <n v="0"/>
    <m/>
    <n v="5"/>
    <s v="No"/>
    <m/>
  </r>
  <r>
    <x v="223"/>
    <s v="GREENWICH"/>
    <s v="No"/>
    <n v="149163.66117504"/>
    <n v="1.3233265383501935E-3"/>
    <n v="6130.23"/>
    <n v="7.5001231246783613E-5"/>
    <n v="149163.66117504"/>
    <n v="1.3233265383501935E-3"/>
    <n v="6130.23"/>
    <n v="7.5001231246783613E-5"/>
    <n v="0"/>
    <n v="0"/>
    <n v="0"/>
    <n v="0"/>
    <m/>
    <n v="2"/>
    <s v="No"/>
    <m/>
  </r>
  <r>
    <x v="224"/>
    <s v="GREENWICH"/>
    <s v="No"/>
    <n v="156251.62535040002"/>
    <n v="1.3862084160289837E-3"/>
    <n v="3011.9016999999999"/>
    <n v="3.6849569411633932E-5"/>
    <n v="155955.16353600001"/>
    <n v="1.3835783130701764E-3"/>
    <n v="3011.9016999999999"/>
    <n v="3.6849569411633932E-5"/>
    <n v="296.46181439999998"/>
    <n v="2.6301029588070805E-6"/>
    <n v="0"/>
    <n v="0"/>
    <m/>
    <n v="3"/>
    <s v="No"/>
    <m/>
  </r>
  <r>
    <x v="225"/>
    <s v="GREENWICH"/>
    <s v="No"/>
    <n v="117303.06865248001"/>
    <n v="1.0406707810395085E-3"/>
    <n v="2614.33"/>
    <n v="3.1985417983567306E-5"/>
    <n v="117112.78500768001"/>
    <n v="1.0389826527447601E-3"/>
    <n v="2614.33"/>
    <n v="3.1985417983567306E-5"/>
    <n v="190.28364479999999"/>
    <n v="1.6881282947483556E-6"/>
    <n v="0"/>
    <n v="0"/>
    <m/>
    <n v="4"/>
    <s v="No"/>
    <m/>
  </r>
  <r>
    <x v="226"/>
    <s v="GREENWICH"/>
    <s v="No"/>
    <n v="58602.084949439995"/>
    <n v="5.1989669337254791E-4"/>
    <n v="628.98"/>
    <n v="7.6953514679876551E-6"/>
    <n v="58601.731832639998"/>
    <n v="5.1989356064686336E-4"/>
    <n v="628.98"/>
    <n v="7.6953514679876551E-6"/>
    <n v="0.35311680000000001"/>
    <n v="3.1327256846353841E-9"/>
    <n v="0"/>
    <n v="0"/>
    <m/>
    <n v="5"/>
    <s v="No"/>
    <m/>
  </r>
  <r>
    <x v="227"/>
    <s v="GREENWICH"/>
    <s v="No"/>
    <n v="19079.450639999999"/>
    <n v="1.6926604757593243E-4"/>
    <n v="0"/>
    <n v="0"/>
    <n v="19079.450639999999"/>
    <n v="1.6926604757593243E-4"/>
    <n v="0"/>
    <n v="0"/>
    <n v="0"/>
    <n v="0"/>
    <n v="0"/>
    <n v="0"/>
    <m/>
    <n v="4"/>
    <s v="No"/>
    <m/>
  </r>
  <r>
    <x v="228"/>
    <s v="GREENWICH"/>
    <s v="No"/>
    <n v="1134.8595072000003"/>
    <n v="1.0068066788830481E-5"/>
    <n v="615.08000000000004"/>
    <n v="7.5252898040157824E-6"/>
    <n v="1134.8595072000003"/>
    <n v="1.0068066788830481E-5"/>
    <n v="615.08000000000004"/>
    <n v="7.5252898040157824E-6"/>
    <n v="0"/>
    <n v="0"/>
    <n v="0"/>
    <n v="0"/>
    <m/>
    <n v="4"/>
    <s v="No"/>
    <m/>
  </r>
  <r>
    <x v="229"/>
    <s v="GRISWOLD"/>
    <s v="No"/>
    <n v="154501.39903680002"/>
    <n v="1.370681035495009E-3"/>
    <n v="76633.350099999996"/>
    <n v="9.375823765284219E-4"/>
    <n v="132624.27114048001"/>
    <n v="1.1765949980511519E-3"/>
    <n v="76633.350099999996"/>
    <n v="9.375823765284219E-4"/>
    <n v="21877.127896320002"/>
    <n v="1.9408603744385691E-4"/>
    <n v="0"/>
    <n v="0"/>
    <m/>
    <n v="3"/>
    <s v="No"/>
    <m/>
  </r>
  <r>
    <x v="230"/>
    <s v="GRISWOLD"/>
    <s v="No"/>
    <n v="26264.613977280002"/>
    <n v="2.3301024138092146E-4"/>
    <n v="3627.62"/>
    <n v="4.4382668594075126E-5"/>
    <n v="26264.613977280002"/>
    <n v="2.3301024138092146E-4"/>
    <n v="3627.62"/>
    <n v="4.4382668594075126E-5"/>
    <n v="0"/>
    <n v="0"/>
    <n v="0"/>
    <n v="0"/>
    <m/>
    <n v="5"/>
    <s v="No"/>
    <m/>
  </r>
  <r>
    <x v="231"/>
    <s v="GRISWOLD"/>
    <s v="No"/>
    <n v="230.99048640000001"/>
    <n v="2.0492648031804218E-6"/>
    <n v="0"/>
    <n v="0"/>
    <n v="230.99048640000001"/>
    <n v="2.0492648031804218E-6"/>
    <n v="0"/>
    <n v="0"/>
    <n v="0"/>
    <n v="0"/>
    <n v="0"/>
    <n v="0"/>
    <m/>
    <n v="3"/>
    <s v="No"/>
    <m/>
  </r>
  <r>
    <x v="232"/>
    <s v="GROTON"/>
    <s v="No"/>
    <n v="1500.225408"/>
    <n v="1.3309462105411576E-5"/>
    <n v="0"/>
    <n v="0"/>
    <n v="1500.225408"/>
    <n v="1.3309462105411576E-5"/>
    <n v="0"/>
    <n v="0"/>
    <n v="0"/>
    <n v="0"/>
    <n v="0"/>
    <n v="0"/>
    <m/>
    <n v="4"/>
    <s v="No"/>
    <m/>
  </r>
  <r>
    <x v="233"/>
    <s v="GROTON"/>
    <s v="No"/>
    <n v="159.43512960000001"/>
    <n v="1.4144513246922582E-6"/>
    <n v="0"/>
    <n v="0"/>
    <n v="159.43512960000001"/>
    <n v="1.4144513246922582E-6"/>
    <n v="0"/>
    <n v="0"/>
    <n v="0"/>
    <n v="0"/>
    <n v="0"/>
    <n v="0"/>
    <m/>
    <n v="5"/>
    <s v="No"/>
    <m/>
  </r>
  <r>
    <x v="234"/>
    <s v="GROTON"/>
    <s v="No"/>
    <n v="30.819571199999999"/>
    <n v="2.7342018926227514E-7"/>
    <n v="0"/>
    <n v="0"/>
    <n v="30.819571199999999"/>
    <n v="2.7342018926227514E-7"/>
    <n v="0"/>
    <n v="0"/>
    <n v="0"/>
    <n v="0"/>
    <n v="0"/>
    <n v="0"/>
    <m/>
    <n v="3"/>
    <s v="No"/>
    <m/>
  </r>
  <r>
    <x v="235"/>
    <s v="GROTON"/>
    <s v="No"/>
    <n v="2747.5092"/>
    <n v="2.4374916853607691E-5"/>
    <n v="59.2"/>
    <n v="7.242914033909968E-7"/>
    <n v="2747.5092"/>
    <n v="2.4374916853607691E-5"/>
    <n v="59.2"/>
    <n v="7.242914033909968E-7"/>
    <n v="0"/>
    <n v="0"/>
    <n v="0"/>
    <n v="0"/>
    <m/>
    <n v="5"/>
    <s v="No"/>
    <m/>
  </r>
  <r>
    <x v="236"/>
    <s v="GROTON"/>
    <s v="No"/>
    <n v="4683.0465792000005"/>
    <n v="4.1546310741951998E-5"/>
    <n v="456.93"/>
    <n v="5.5903795768825697E-6"/>
    <n v="4683.0465792000005"/>
    <n v="4.1546310741951998E-5"/>
    <n v="456.93"/>
    <n v="5.5903795768825697E-6"/>
    <n v="0"/>
    <n v="0"/>
    <n v="0"/>
    <n v="0"/>
    <m/>
    <n v="5"/>
    <s v="No"/>
    <m/>
  </r>
  <r>
    <x v="237"/>
    <s v="GROTON"/>
    <s v="No"/>
    <n v="50928.539080319999"/>
    <n v="4.5181974479230493E-4"/>
    <n v="58206.132299999997"/>
    <n v="7.1213177786366591E-4"/>
    <n v="35301.1096512"/>
    <n v="3.131787921176344E-4"/>
    <n v="49359.212299999999"/>
    <n v="6.0389278964596534E-4"/>
    <n v="15627.429429119999"/>
    <n v="1.3864095267467053E-4"/>
    <n v="8846.92"/>
    <n v="1.0823898821770063E-4"/>
    <m/>
    <n v="2"/>
    <s v="No"/>
    <m/>
  </r>
  <r>
    <x v="238"/>
    <s v="GROTON"/>
    <s v="No"/>
    <n v="39.334896000000001"/>
    <n v="3.4896509880487595E-7"/>
    <n v="0"/>
    <n v="0"/>
    <n v="39.334896000000001"/>
    <n v="3.4896509880487595E-7"/>
    <n v="0"/>
    <n v="0"/>
    <n v="0"/>
    <n v="0"/>
    <n v="0"/>
    <n v="0"/>
    <m/>
    <n v="2"/>
    <s v="No"/>
    <m/>
  </r>
  <r>
    <x v="239"/>
    <s v="GUILFORD"/>
    <s v="No"/>
    <n v="74457.283976639999"/>
    <n v="6.6055833628366238E-4"/>
    <n v="30283.0586"/>
    <n v="3.7050268601969248E-4"/>
    <n v="74457.283976639999"/>
    <n v="6.6055833628366238E-4"/>
    <n v="30283.0586"/>
    <n v="3.7050268601969248E-4"/>
    <n v="0"/>
    <n v="0"/>
    <n v="0"/>
    <n v="0"/>
    <m/>
    <n v="2"/>
    <s v="No"/>
    <m/>
  </r>
  <r>
    <x v="240"/>
    <s v="GUILFORD"/>
    <s v="No"/>
    <n v="99217.489559040012"/>
    <n v="8.8022200559884913E-4"/>
    <n v="24604.87"/>
    <n v="3.0103202402961203E-4"/>
    <n v="99217.489559040012"/>
    <n v="8.8022200559884913E-4"/>
    <n v="24604.87"/>
    <n v="3.0103202402961203E-4"/>
    <n v="0"/>
    <n v="0"/>
    <n v="0"/>
    <n v="0"/>
    <m/>
    <n v="3"/>
    <s v="No"/>
    <m/>
  </r>
  <r>
    <x v="241"/>
    <s v="GUILFORD"/>
    <s v="No"/>
    <n v="304348.46683679998"/>
    <n v="2.7000705124736167E-3"/>
    <n v="204784.0661"/>
    <n v="2.5054618011433045E-3"/>
    <n v="168002.32320576001"/>
    <n v="1.4904563956886208E-3"/>
    <n v="178510.27609999999"/>
    <n v="2.1840111215571502E-3"/>
    <n v="136346.14363104"/>
    <n v="1.2096141167849963E-3"/>
    <n v="26273.79"/>
    <n v="3.2145067958615437E-4"/>
    <m/>
    <n v="3"/>
    <s v="No"/>
    <m/>
  </r>
  <r>
    <x v="242"/>
    <s v="GUILFORD"/>
    <s v="No"/>
    <n v="114957.60608448001"/>
    <n v="1.0198626778024932E-3"/>
    <n v="20711.39"/>
    <n v="2.5339665083240297E-4"/>
    <n v="114957.60608448001"/>
    <n v="1.0198626778024932E-3"/>
    <n v="20711.39"/>
    <n v="2.5339665083240297E-4"/>
    <n v="0"/>
    <n v="0"/>
    <n v="0"/>
    <n v="0"/>
    <m/>
    <n v="2"/>
    <s v="No"/>
    <m/>
  </r>
  <r>
    <x v="142"/>
    <s v="GUILFORD"/>
    <s v="No"/>
    <n v="79355.569138560008"/>
    <n v="7.0401416658518075E-4"/>
    <n v="18373.099999999999"/>
    <n v="2.2478848621018785E-4"/>
    <n v="79310.844869760011"/>
    <n v="7.036173889025661E-4"/>
    <n v="18373.099999999999"/>
    <n v="2.2478848621018785E-4"/>
    <n v="44.724268800000004"/>
    <n v="3.9677768261463897E-7"/>
    <n v="0"/>
    <n v="0"/>
    <m/>
    <n v="2"/>
    <s v="No"/>
    <m/>
  </r>
  <r>
    <x v="243"/>
    <s v="GUILFORD"/>
    <s v="No"/>
    <n v="910.06882560000008"/>
    <n v="8.0738044316868533E-6"/>
    <n v="0"/>
    <n v="0"/>
    <n v="910.06882560000008"/>
    <n v="8.0738044316868533E-6"/>
    <n v="0"/>
    <n v="0"/>
    <n v="0"/>
    <n v="0"/>
    <n v="0"/>
    <n v="0"/>
    <m/>
    <n v="3"/>
    <s v="No"/>
    <m/>
  </r>
  <r>
    <x v="149"/>
    <s v="HADDAM"/>
    <s v="No"/>
    <n v="217943.65422720002"/>
    <n v="1.9335179844200065E-3"/>
    <n v="74360.083700000003"/>
    <n v="9.0976975302947607E-4"/>
    <n v="183426.55475616001"/>
    <n v="1.6272946496139551E-3"/>
    <n v="59673.923699999999"/>
    <n v="7.3008969497500437E-4"/>
    <n v="34517.099471039997"/>
    <n v="3.0622333480605121E-4"/>
    <n v="14686.16"/>
    <n v="1.7968005805447164E-4"/>
    <m/>
    <n v="1"/>
    <s v="No"/>
    <m/>
  </r>
  <r>
    <x v="244"/>
    <s v="HAMPTON"/>
    <s v="No"/>
    <n v="44289.82572768"/>
    <n v="3.9292345939113678E-4"/>
    <n v="11419.08"/>
    <n v="1.3970847092287269E-4"/>
    <n v="39907.668815999998"/>
    <n v="3.540465339338308E-4"/>
    <n v="11419.08"/>
    <n v="1.3970847092287269E-4"/>
    <n v="4382.1569116800001"/>
    <n v="3.8876925457305935E-5"/>
    <n v="0"/>
    <n v="0"/>
    <m/>
    <n v="4"/>
    <s v="No"/>
    <m/>
  </r>
  <r>
    <x v="33"/>
    <s v="HARTFORD"/>
    <s v="No"/>
    <n v="393.70786559999999"/>
    <n v="3.4928350698921594E-6"/>
    <n v="823.31"/>
    <n v="1.0072911407531107E-5"/>
    <n v="393.70786559999999"/>
    <n v="3.4928350698921594E-6"/>
    <n v="823.31"/>
    <n v="1.0072911407531107E-5"/>
    <n v="0"/>
    <n v="0"/>
    <n v="0"/>
    <n v="0"/>
    <m/>
    <n v="3"/>
    <s v="No"/>
    <m/>
  </r>
  <r>
    <x v="245"/>
    <s v="HARTFORD"/>
    <s v="No"/>
    <n v="144.50581439999999"/>
    <n v="1.2820037912385751E-6"/>
    <n v="0"/>
    <n v="0"/>
    <n v="144.50581439999999"/>
    <n v="1.2820037912385751E-6"/>
    <n v="0"/>
    <n v="0"/>
    <n v="0"/>
    <n v="0"/>
    <n v="0"/>
    <n v="0"/>
    <m/>
    <n v="5"/>
    <s v="No"/>
    <m/>
  </r>
  <r>
    <x v="246"/>
    <s v="HARTFORD"/>
    <s v="No"/>
    <n v="153.42635519999999"/>
    <n v="1.3611436318946919E-6"/>
    <n v="0"/>
    <n v="0"/>
    <n v="153.42635519999999"/>
    <n v="1.3611436318946919E-6"/>
    <n v="0"/>
    <n v="0"/>
    <n v="0"/>
    <n v="0"/>
    <n v="0"/>
    <n v="0"/>
    <m/>
    <n v="5"/>
    <s v="No"/>
    <m/>
  </r>
  <r>
    <x v="150"/>
    <s v="HARTFORD"/>
    <s v="No"/>
    <n v="284.866848"/>
    <n v="2.527236572801758E-6"/>
    <n v="0"/>
    <n v="0"/>
    <n v="284.866848"/>
    <n v="2.527236572801758E-6"/>
    <n v="0"/>
    <n v="0"/>
    <n v="0"/>
    <n v="0"/>
    <n v="0"/>
    <n v="0"/>
    <m/>
    <n v="3"/>
    <s v="No"/>
    <m/>
  </r>
  <r>
    <x v="247"/>
    <s v="HARTFORD"/>
    <s v="No"/>
    <n v="80.979523199999988"/>
    <n v="7.1842130495679313E-7"/>
    <n v="0"/>
    <n v="0"/>
    <n v="80.979523199999988"/>
    <n v="7.1842130495679313E-7"/>
    <n v="0"/>
    <n v="0"/>
    <n v="0"/>
    <n v="0"/>
    <n v="0"/>
    <n v="0"/>
    <m/>
    <n v="2"/>
    <s v="No"/>
    <m/>
  </r>
  <r>
    <x v="248"/>
    <s v="HARTFORD"/>
    <s v="No"/>
    <n v="27599.33412"/>
    <n v="2.4485140009356031E-4"/>
    <n v="2246.44"/>
    <n v="2.7484411828271466E-5"/>
    <n v="27599.33412"/>
    <n v="2.4485140009356031E-4"/>
    <n v="2246.44"/>
    <n v="2.7484411828271466E-5"/>
    <n v="0"/>
    <n v="0"/>
    <n v="0"/>
    <n v="0"/>
    <m/>
    <n v="5"/>
    <s v="Yes"/>
    <m/>
  </r>
  <r>
    <x v="249"/>
    <s v="HARTFORD"/>
    <s v="No"/>
    <n v="18357.163539839996"/>
    <n v="1.6285817530717586E-4"/>
    <n v="1257.69"/>
    <n v="1.5387399579912547E-5"/>
    <n v="18357.163539839996"/>
    <n v="1.6285817530717586E-4"/>
    <n v="1257.69"/>
    <n v="1.5387399579912547E-5"/>
    <n v="0"/>
    <n v="0"/>
    <n v="0"/>
    <n v="0"/>
    <m/>
    <n v="5"/>
    <s v="Yes"/>
    <m/>
  </r>
  <r>
    <x v="250"/>
    <s v="HARTFORD"/>
    <s v="Yes"/>
    <n v="19192.581737280001"/>
    <n v="1.7026970612228322E-4"/>
    <n v="15607.35"/>
    <n v="1.9095049720801476E-4"/>
    <n v="19192.581737280001"/>
    <n v="1.7026970612228322E-4"/>
    <n v="15607.35"/>
    <n v="1.9095049720801476E-4"/>
    <n v="0"/>
    <n v="0"/>
    <n v="0"/>
    <n v="0"/>
    <m/>
    <n v="5"/>
    <e v="#N/A"/>
    <m/>
  </r>
  <r>
    <x v="251"/>
    <s v="HARTFORD"/>
    <s v="No"/>
    <n v="20330.00047296"/>
    <n v="1.8036047746890349E-4"/>
    <n v="601.65"/>
    <n v="7.3609784265235331E-6"/>
    <n v="20330.00047296"/>
    <n v="1.8036047746890349E-4"/>
    <n v="601.65"/>
    <n v="7.3609784265235331E-6"/>
    <n v="0"/>
    <n v="0"/>
    <n v="0"/>
    <n v="0"/>
    <m/>
    <n v="5"/>
    <s v="Yes"/>
    <m/>
  </r>
  <r>
    <x v="252"/>
    <s v="HARTFORD"/>
    <s v="No"/>
    <n v="16445.239833600001"/>
    <n v="1.4589627346166381E-4"/>
    <n v="148437.2053"/>
    <n v="1.8160775632124072E-3"/>
    <n v="16445.239833600001"/>
    <n v="1.4589627346166381E-4"/>
    <n v="148437.2053"/>
    <n v="1.8160775632124072E-3"/>
    <n v="0"/>
    <n v="0"/>
    <n v="0"/>
    <n v="0"/>
    <m/>
    <n v="5"/>
    <s v="No"/>
    <m/>
  </r>
  <r>
    <x v="253"/>
    <s v="HARTFORD"/>
    <s v="No"/>
    <n v="20985.07844736"/>
    <n v="1.8617209446317222E-4"/>
    <n v="8680.39"/>
    <n v="1.0620155160610091E-4"/>
    <n v="20985.07844736"/>
    <n v="1.8617209446317222E-4"/>
    <n v="8680.39"/>
    <n v="1.0620155160610091E-4"/>
    <n v="0"/>
    <n v="0"/>
    <n v="0"/>
    <n v="0"/>
    <m/>
    <n v="5"/>
    <s v="Yes"/>
    <m/>
  </r>
  <r>
    <x v="254"/>
    <s v="HARTFORD"/>
    <s v="No"/>
    <n v="23903.896184639998"/>
    <n v="2.1206679925871405E-4"/>
    <n v="1628.75"/>
    <n v="1.992718958231564E-5"/>
    <n v="23903.896184639998"/>
    <n v="2.1206679925871405E-4"/>
    <n v="1628.75"/>
    <n v="1.992718958231564E-5"/>
    <n v="0"/>
    <n v="0"/>
    <n v="0"/>
    <n v="0"/>
    <m/>
    <n v="4"/>
    <s v="Yes"/>
    <m/>
  </r>
  <r>
    <x v="255"/>
    <s v="HARTFORD"/>
    <s v="No"/>
    <n v="14078.583889920001"/>
    <n v="1.249001501917958E-4"/>
    <n v="2029.63"/>
    <n v="2.4831816909872782E-5"/>
    <n v="14078.583889920001"/>
    <n v="1.249001501917958E-4"/>
    <n v="2029.63"/>
    <n v="2.4831816909872782E-5"/>
    <n v="0"/>
    <n v="0"/>
    <n v="0"/>
    <n v="0"/>
    <m/>
    <n v="4"/>
    <s v="Yes"/>
    <m/>
  </r>
  <r>
    <x v="256"/>
    <s v="HARTFORD"/>
    <s v="No"/>
    <n v="25922.267818560002"/>
    <n v="2.2997306896528334E-4"/>
    <n v="53046.98"/>
    <n v="6.4901134442321175E-4"/>
    <n v="25922.267818560002"/>
    <n v="2.2997306896528334E-4"/>
    <n v="53046.98"/>
    <n v="6.4901134442321175E-4"/>
    <n v="0"/>
    <n v="0"/>
    <n v="0"/>
    <n v="0"/>
    <m/>
    <n v="4"/>
    <s v="Yes"/>
    <m/>
  </r>
  <r>
    <x v="257"/>
    <s v="HARTFORD"/>
    <s v="No"/>
    <n v="34494.509257919999"/>
    <n v="3.0602292253208857E-4"/>
    <n v="10977.39"/>
    <n v="1.3430454744375495E-4"/>
    <n v="34494.509257919999"/>
    <n v="3.0602292253208857E-4"/>
    <n v="10977.39"/>
    <n v="1.3430454744375495E-4"/>
    <n v="0"/>
    <n v="0"/>
    <n v="0"/>
    <n v="0"/>
    <m/>
    <n v="3"/>
    <s v="Yes"/>
    <m/>
  </r>
  <r>
    <x v="258"/>
    <s v="HARTFORD"/>
    <s v="No"/>
    <n v="10912.4263584"/>
    <n v="9.6811135393874909E-5"/>
    <n v="1164.8900000000001"/>
    <n v="1.4252023866488823E-5"/>
    <n v="10912.4263584"/>
    <n v="9.6811135393874909E-5"/>
    <n v="1164.8900000000001"/>
    <n v="1.4252023866488823E-5"/>
    <n v="0"/>
    <n v="0"/>
    <n v="0"/>
    <n v="0"/>
    <m/>
    <n v="5"/>
    <s v="Yes"/>
    <m/>
  </r>
  <r>
    <x v="259"/>
    <s v="HARTFORD"/>
    <s v="Yes"/>
    <n v="19569.573285120001"/>
    <n v="1.7361424001251108E-4"/>
    <n v="1213.1500000000001"/>
    <n v="1.4842468176077495E-5"/>
    <n v="19569.573285120001"/>
    <n v="1.7361424001251108E-4"/>
    <n v="1213.1500000000001"/>
    <n v="1.4842468176077495E-5"/>
    <n v="0"/>
    <n v="0"/>
    <n v="0"/>
    <n v="0"/>
    <m/>
    <n v="5"/>
    <e v="#N/A"/>
    <m/>
  </r>
  <r>
    <x v="260"/>
    <s v="HARTFORD"/>
    <s v="No"/>
    <n v="27091.375603200002"/>
    <n v="2.4034497419621231E-4"/>
    <n v="2298.11"/>
    <n v="2.8116576301467627E-5"/>
    <n v="27091.375603200002"/>
    <n v="2.4034497419621231E-4"/>
    <n v="2298.11"/>
    <n v="2.8116576301467627E-5"/>
    <n v="0"/>
    <n v="0"/>
    <n v="0"/>
    <n v="0"/>
    <m/>
    <n v="5"/>
    <s v="No"/>
    <m/>
  </r>
  <r>
    <x v="261"/>
    <s v="HARTFORD"/>
    <s v="No"/>
    <n v="61237.230647040007"/>
    <n v="5.4327476150645712E-4"/>
    <n v="31422.542399999998"/>
    <n v="3.8444387386839691E-4"/>
    <n v="61237.230647040007"/>
    <n v="5.4327476150645712E-4"/>
    <n v="31422.542399999998"/>
    <n v="3.8444387386839691E-4"/>
    <n v="0"/>
    <n v="0"/>
    <n v="0"/>
    <n v="0"/>
    <m/>
    <n v="5"/>
    <s v="No"/>
    <m/>
  </r>
  <r>
    <x v="262"/>
    <s v="HARTFORD"/>
    <s v="No"/>
    <n v="1035759.4729718401"/>
    <n v="9.1888868048285791E-3"/>
    <n v="1565113.7553999999"/>
    <n v="1.9148622269682756E-2"/>
    <n v="171829.57790591998"/>
    <n v="1.5244104276146936E-3"/>
    <n v="1207764.3359999999"/>
    <n v="1.4776576450794514E-2"/>
    <n v="863929.89506592008"/>
    <n v="7.6644763772138851E-3"/>
    <n v="357349.41940000001"/>
    <n v="4.3720458188882417E-3"/>
    <m/>
    <n v="5"/>
    <s v="Yes"/>
    <m/>
  </r>
  <r>
    <x v="263"/>
    <s v="HARTFORD"/>
    <s v="No"/>
    <n v="19614.414487680002"/>
    <n v="1.7401205508953276E-4"/>
    <n v="18113.2"/>
    <n v="2.2160870013347641E-4"/>
    <n v="19596.776592960003"/>
    <n v="1.7385557800939319E-4"/>
    <n v="18113.2"/>
    <n v="2.2160870013347641E-4"/>
    <n v="17.637894720000002"/>
    <n v="1.5647708013959921E-7"/>
    <n v="0"/>
    <n v="0"/>
    <m/>
    <n v="5"/>
    <s v="Yes"/>
    <m/>
  </r>
  <r>
    <x v="264"/>
    <s v="HARTFORD"/>
    <s v="No"/>
    <n v="36489.036245759999"/>
    <n v="3.237176510850909E-4"/>
    <n v="8703.0400000000009"/>
    <n v="1.0647866647581049E-4"/>
    <n v="36489.036245759999"/>
    <n v="3.237176510850909E-4"/>
    <n v="8703.0400000000009"/>
    <n v="1.0647866647581049E-4"/>
    <n v="0"/>
    <n v="0"/>
    <n v="0"/>
    <n v="0"/>
    <m/>
    <n v="5"/>
    <s v="Yes"/>
    <m/>
  </r>
  <r>
    <x v="265"/>
    <s v="HARTFORD"/>
    <s v="No"/>
    <n v="32741.750923200001"/>
    <n v="2.9047307881427035E-4"/>
    <n v="2431"/>
    <n v="2.9742439216951235E-5"/>
    <n v="32741.750923200001"/>
    <n v="2.9047307881427035E-4"/>
    <n v="2431"/>
    <n v="2.9742439216951235E-5"/>
    <n v="0"/>
    <n v="0"/>
    <n v="0"/>
    <n v="0"/>
    <m/>
    <n v="5"/>
    <s v="Yes"/>
    <m/>
  </r>
  <r>
    <x v="266"/>
    <s v="HARTFORD"/>
    <s v="Yes"/>
    <n v="34597.11747456"/>
    <n v="3.0693322585303724E-4"/>
    <n v="3386.56"/>
    <n v="4.1433383362631992E-5"/>
    <n v="34597.11747456"/>
    <n v="3.0693322585303724E-4"/>
    <n v="3386.56"/>
    <n v="4.1433383362631992E-5"/>
    <n v="0"/>
    <n v="0"/>
    <n v="0"/>
    <n v="0"/>
    <m/>
    <n v="5"/>
    <e v="#N/A"/>
    <m/>
  </r>
  <r>
    <x v="267"/>
    <s v="HARTFORD"/>
    <s v="No"/>
    <n v="21805.829562239996"/>
    <n v="1.9345350417881784E-4"/>
    <n v="534.38"/>
    <n v="6.5379533808121765E-6"/>
    <n v="21805.829562239996"/>
    <n v="1.9345350417881784E-4"/>
    <n v="534.38"/>
    <n v="6.5379533808121765E-6"/>
    <n v="0"/>
    <n v="0"/>
    <n v="0"/>
    <n v="0"/>
    <m/>
    <n v="5"/>
    <s v="No"/>
    <m/>
  </r>
  <r>
    <x v="268"/>
    <s v="HARTFORD"/>
    <s v="Yes"/>
    <n v="27613.769650560003"/>
    <n v="2.4497946694667137E-4"/>
    <n v="677.72"/>
    <n v="8.2916684105767965E-6"/>
    <n v="27613.769650560003"/>
    <n v="2.4497946694667137E-4"/>
    <n v="677.72"/>
    <n v="8.2916684105767965E-6"/>
    <n v="0"/>
    <n v="0"/>
    <n v="0"/>
    <n v="0"/>
    <m/>
    <n v="5"/>
    <e v="#N/A"/>
    <m/>
  </r>
  <r>
    <x v="269"/>
    <s v="HARTFORD"/>
    <s v="No"/>
    <n v="37160.74254816"/>
    <n v="3.2967678864541074E-4"/>
    <n v="78848.03"/>
    <n v="9.6467821458303066E-4"/>
    <n v="37160.74254816"/>
    <n v="3.2967678864541074E-4"/>
    <n v="78848.03"/>
    <n v="9.6467821458303066E-4"/>
    <n v="0"/>
    <n v="0"/>
    <n v="0"/>
    <n v="0"/>
    <m/>
    <n v="5"/>
    <s v="No"/>
    <m/>
  </r>
  <r>
    <x v="270"/>
    <s v="HARTFORD"/>
    <s v="No"/>
    <n v="24785.822180160001"/>
    <n v="2.1989093058895137E-4"/>
    <n v="61180.35"/>
    <n v="7.4852029664615482E-4"/>
    <n v="24785.822180160001"/>
    <n v="2.1989093058895137E-4"/>
    <n v="61180.35"/>
    <n v="7.4852029664615482E-4"/>
    <n v="0"/>
    <n v="0"/>
    <n v="0"/>
    <n v="0"/>
    <m/>
    <n v="5"/>
    <s v="Yes"/>
    <m/>
  </r>
  <r>
    <x v="271"/>
    <s v="HARTFORD"/>
    <s v="No"/>
    <n v="14693.71104"/>
    <n v="1.3035733779196714E-4"/>
    <n v="2186.64"/>
    <n v="2.6752779633629883E-5"/>
    <n v="14693.213203200001"/>
    <n v="1.3035292116231339E-4"/>
    <n v="2186.64"/>
    <n v="2.6752779633629883E-5"/>
    <n v="0.49783680000000002"/>
    <n v="4.4166296537482467E-9"/>
    <n v="0"/>
    <n v="0"/>
    <m/>
    <n v="4"/>
    <s v="Yes"/>
    <m/>
  </r>
  <r>
    <x v="272"/>
    <s v="HARTFORD"/>
    <s v="No"/>
    <n v="32750.498957759999"/>
    <n v="2.9055068824139523E-4"/>
    <n v="26309.74"/>
    <n v="3.2189051532858522E-4"/>
    <n v="32750.498957759999"/>
    <n v="2.9055068824139523E-4"/>
    <n v="26309.74"/>
    <n v="3.2189051532858522E-4"/>
    <n v="0"/>
    <n v="0"/>
    <n v="0"/>
    <n v="0"/>
    <m/>
    <n v="2"/>
    <s v="Yes"/>
    <m/>
  </r>
  <r>
    <x v="273"/>
    <s v="HARTFORD"/>
    <s v="No"/>
    <n v="5708.3524675200006"/>
    <n v="5.0642457090548158E-5"/>
    <n v="98479.72"/>
    <n v="1.204865111560007E-3"/>
    <n v="5708.3524675200006"/>
    <n v="5.0642457090548158E-5"/>
    <n v="98479.72"/>
    <n v="1.204865111560007E-3"/>
    <n v="0"/>
    <n v="0"/>
    <n v="0"/>
    <n v="0"/>
    <m/>
    <n v="4"/>
    <s v="Yes"/>
    <m/>
  </r>
  <r>
    <x v="40"/>
    <s v="HARTFORD"/>
    <s v="No"/>
    <n v="55706.715325440004"/>
    <n v="4.9421001183369768E-4"/>
    <n v="43874.208400000003"/>
    <n v="5.3678567524839628E-4"/>
    <n v="55706.715325440004"/>
    <n v="4.9421001183369768E-4"/>
    <n v="43874.208400000003"/>
    <n v="5.3678567524839628E-4"/>
    <n v="0"/>
    <n v="0"/>
    <n v="0"/>
    <n v="0"/>
    <m/>
    <n v="2"/>
    <s v="No"/>
    <m/>
  </r>
  <r>
    <x v="274"/>
    <s v="HARTFORD"/>
    <s v="No"/>
    <n v="32737.94073504"/>
    <n v="2.9043927619057153E-4"/>
    <n v="14980.31"/>
    <n v="1.8327888096507063E-4"/>
    <n v="32737.94073504"/>
    <n v="2.9043927619057153E-4"/>
    <n v="14980.31"/>
    <n v="1.8327888096507063E-4"/>
    <n v="0"/>
    <n v="0"/>
    <n v="0"/>
    <n v="0"/>
    <m/>
    <n v="1"/>
    <s v="Yes"/>
    <m/>
  </r>
  <r>
    <x v="275"/>
    <s v="HARTFORD"/>
    <s v="No"/>
    <n v="16383.093013440001"/>
    <n v="1.453449291480156E-4"/>
    <n v="14080.65"/>
    <n v="1.7227185387090266E-4"/>
    <n v="16383.093013440001"/>
    <n v="1.453449291480156E-4"/>
    <n v="14080.65"/>
    <n v="1.7227185387090266E-4"/>
    <n v="0"/>
    <n v="0"/>
    <n v="0"/>
    <n v="0"/>
    <m/>
    <n v="5"/>
    <s v="Yes"/>
    <m/>
  </r>
  <r>
    <x v="276"/>
    <s v="HARTFORD"/>
    <s v="No"/>
    <n v="54014.641560000004"/>
    <n v="4.7919853986382375E-4"/>
    <n v="3657.96"/>
    <n v="4.4753867938313014E-5"/>
    <n v="54014.641560000004"/>
    <n v="4.7919853986382375E-4"/>
    <n v="3657.96"/>
    <n v="4.4753867938313014E-5"/>
    <n v="0"/>
    <n v="0"/>
    <n v="0"/>
    <n v="0"/>
    <m/>
    <n v="5"/>
    <s v="No"/>
    <m/>
  </r>
  <r>
    <x v="277"/>
    <s v="HARTFORD"/>
    <s v="No"/>
    <n v="23985.625936320001"/>
    <n v="2.1279187632184676E-4"/>
    <n v="18422.213"/>
    <n v="2.2538936667800447E-4"/>
    <n v="23985.625936320001"/>
    <n v="2.1279187632184676E-4"/>
    <n v="18422.213"/>
    <n v="2.2538936667800447E-4"/>
    <n v="0"/>
    <n v="0"/>
    <n v="0"/>
    <n v="0"/>
    <m/>
    <n v="5"/>
    <s v="Yes"/>
    <m/>
  </r>
  <r>
    <x v="278"/>
    <s v="HARTFORD"/>
    <s v="No"/>
    <n v="37871.045095680005"/>
    <n v="3.3597833825867716E-4"/>
    <n v="81361.004799999995"/>
    <n v="9.9542358695766243E-4"/>
    <n v="37871.045095680005"/>
    <n v="3.3597833825867716E-4"/>
    <n v="81361.004799999995"/>
    <n v="9.9542358695766243E-4"/>
    <n v="0"/>
    <n v="0"/>
    <n v="0"/>
    <n v="0"/>
    <m/>
    <n v="5"/>
    <s v="Yes"/>
    <m/>
  </r>
  <r>
    <x v="279"/>
    <s v="HARTFORD"/>
    <s v="No"/>
    <n v="58254.756370559997"/>
    <n v="5.1681531871106124E-4"/>
    <n v="18063.281900000002"/>
    <n v="2.2099796954726676E-4"/>
    <n v="58254.756370559997"/>
    <n v="5.1681531871106124E-4"/>
    <n v="18063.281900000002"/>
    <n v="2.2099796954726676E-4"/>
    <n v="0"/>
    <n v="0"/>
    <n v="0"/>
    <n v="0"/>
    <m/>
    <n v="5"/>
    <s v="Yes"/>
    <m/>
  </r>
  <r>
    <x v="280"/>
    <s v="HARTFORD"/>
    <s v="No"/>
    <n v="42553.5758928"/>
    <n v="3.7752007316688315E-4"/>
    <n v="30501.02"/>
    <n v="3.7316936791650099E-4"/>
    <n v="42553.5758928"/>
    <n v="3.7752007316688315E-4"/>
    <n v="30501.02"/>
    <n v="3.7316936791650099E-4"/>
    <n v="0"/>
    <n v="0"/>
    <n v="0"/>
    <n v="0"/>
    <m/>
    <n v="5"/>
    <s v="Yes"/>
    <m/>
  </r>
  <r>
    <x v="281"/>
    <s v="HARTFORD"/>
    <s v="No"/>
    <n v="36222.419747520005"/>
    <n v="3.2135232507402608E-4"/>
    <n v="28619.973300000001"/>
    <n v="3.5015541598766651E-4"/>
    <n v="36222.419747520005"/>
    <n v="3.2135232507402608E-4"/>
    <n v="28619.973300000001"/>
    <n v="3.5015541598766651E-4"/>
    <n v="0"/>
    <n v="0"/>
    <n v="0"/>
    <n v="0"/>
    <m/>
    <n v="5"/>
    <s v="Yes"/>
    <m/>
  </r>
  <r>
    <x v="282"/>
    <s v="HARTFORD"/>
    <s v="No"/>
    <n v="26853.682265279996"/>
    <n v="2.382362440967984E-4"/>
    <n v="1003.633"/>
    <n v="1.2279100575329666E-5"/>
    <n v="26853.682265279996"/>
    <n v="2.382362440967984E-4"/>
    <n v="1003.633"/>
    <n v="1.2279100575329666E-5"/>
    <n v="0"/>
    <n v="0"/>
    <n v="0"/>
    <n v="0"/>
    <m/>
    <n v="5"/>
    <s v="No"/>
    <m/>
  </r>
  <r>
    <x v="283"/>
    <s v="HARTFORD"/>
    <s v="No"/>
    <n v="38598.850080000004"/>
    <n v="3.4243516321796799E-4"/>
    <n v="2487.0500000000002"/>
    <n v="3.0428191466276665E-5"/>
    <n v="38598.850080000004"/>
    <n v="3.4243516321796799E-4"/>
    <n v="2487.0500000000002"/>
    <n v="3.0428191466276665E-5"/>
    <n v="0"/>
    <n v="0"/>
    <n v="0"/>
    <n v="0"/>
    <m/>
    <n v="5"/>
    <s v="No"/>
    <m/>
  </r>
  <r>
    <x v="284"/>
    <s v="HARTFORD"/>
    <s v="No"/>
    <n v="29057.523577920001"/>
    <n v="2.577879343164875E-4"/>
    <n v="2328.62"/>
    <n v="2.8489855536559844E-5"/>
    <n v="29057.523577920001"/>
    <n v="2.577879343164875E-4"/>
    <n v="2328.62"/>
    <n v="2.8489855536559844E-5"/>
    <n v="0"/>
    <n v="0"/>
    <n v="0"/>
    <n v="0"/>
    <m/>
    <n v="5"/>
    <s v="No"/>
    <m/>
  </r>
  <r>
    <x v="285"/>
    <s v="HARTFORD"/>
    <s v="No"/>
    <n v="39743.093231999999"/>
    <n v="3.5258647834015568E-4"/>
    <n v="14436.07"/>
    <n v="1.7662029391470719E-4"/>
    <n v="39743.093231999999"/>
    <n v="3.5258647834015568E-4"/>
    <n v="14436.07"/>
    <n v="1.7662029391470719E-4"/>
    <n v="0"/>
    <n v="0"/>
    <n v="0"/>
    <n v="0"/>
    <m/>
    <n v="5"/>
    <s v="No"/>
    <m/>
  </r>
  <r>
    <x v="11"/>
    <s v="HARTLAND"/>
    <s v="No"/>
    <n v="40778.266129920004"/>
    <n v="3.61770161261366E-4"/>
    <n v="12321.41"/>
    <n v="1.5074816453810577E-4"/>
    <n v="36984.536107200001"/>
    <n v="3.2811354825754596E-4"/>
    <n v="12321.41"/>
    <n v="1.5074816453810577E-4"/>
    <n v="3793.7300227200003"/>
    <n v="3.3656613003820052E-5"/>
    <n v="0"/>
    <n v="0"/>
    <m/>
    <n v="3"/>
    <s v="No"/>
    <m/>
  </r>
  <r>
    <x v="210"/>
    <s v="HARTLAND"/>
    <s v="No"/>
    <n v="58.605811199999998"/>
    <n v="5.1992975133194472E-7"/>
    <n v="0"/>
    <n v="0"/>
    <n v="58.605811199999998"/>
    <n v="5.1992975133194472E-7"/>
    <n v="0"/>
    <n v="0"/>
    <n v="0"/>
    <n v="0"/>
    <n v="0"/>
    <n v="0"/>
    <m/>
    <n v="1"/>
    <s v="No"/>
    <m/>
  </r>
  <r>
    <x v="76"/>
    <s v="HARWINTON"/>
    <s v="No"/>
    <n v="819.44516160000001"/>
    <n v="7.2698237662283782E-6"/>
    <n v="0"/>
    <n v="0"/>
    <n v="819.44516160000001"/>
    <n v="7.2698237662283782E-6"/>
    <n v="0"/>
    <n v="0"/>
    <n v="0"/>
    <n v="0"/>
    <n v="0"/>
    <n v="0"/>
    <m/>
    <n v="2"/>
    <s v="No"/>
    <m/>
  </r>
  <r>
    <x v="286"/>
    <s v="HARWINTON"/>
    <s v="No"/>
    <n v="56629.998823680005"/>
    <n v="5.0240105210461227E-4"/>
    <n v="11448.81"/>
    <n v="1.4007220712933914E-4"/>
    <n v="56592.082183680002"/>
    <n v="5.0206466926470462E-4"/>
    <n v="11448.81"/>
    <n v="1.4007220712933914E-4"/>
    <n v="37.916640000000001"/>
    <n v="3.3638283990756994E-7"/>
    <n v="0"/>
    <n v="0"/>
    <m/>
    <n v="1"/>
    <s v="No"/>
    <m/>
  </r>
  <r>
    <x v="287"/>
    <s v="HARWINTON"/>
    <s v="No"/>
    <n v="84260.560625280006"/>
    <n v="7.4752949299662771E-4"/>
    <n v="57299.408799999997"/>
    <n v="7.010383313045004E-4"/>
    <n v="67464.014728320006"/>
    <n v="5.9851655805679002E-4"/>
    <n v="51350.918799999999"/>
    <n v="6.282606257275189E-4"/>
    <n v="16796.54589696"/>
    <n v="1.4901293493983767E-4"/>
    <n v="5948.49"/>
    <n v="7.2777705576981591E-5"/>
    <m/>
    <n v="1"/>
    <s v="No"/>
    <m/>
  </r>
  <r>
    <x v="288"/>
    <s v="HARWINTON"/>
    <s v="No"/>
    <n v="525.13099199999999"/>
    <n v="4.6587739423229321E-6"/>
    <n v="841.03"/>
    <n v="1.0289709442465033E-5"/>
    <n v="525.13099199999999"/>
    <n v="4.6587739423229321E-6"/>
    <n v="841.03"/>
    <n v="1.0289709442465033E-5"/>
    <n v="0"/>
    <n v="0"/>
    <n v="0"/>
    <n v="0"/>
    <m/>
    <n v="3"/>
    <s v="No"/>
    <m/>
  </r>
  <r>
    <x v="289"/>
    <s v="HARWINTON"/>
    <s v="No"/>
    <n v="24.486623999999999"/>
    <n v="2.1723655157389628E-7"/>
    <n v="0"/>
    <n v="0"/>
    <n v="24.486623999999999"/>
    <n v="2.1723655157389628E-7"/>
    <n v="0"/>
    <n v="0"/>
    <n v="0"/>
    <n v="0"/>
    <n v="0"/>
    <n v="0"/>
    <m/>
    <n v="1"/>
    <s v="No"/>
    <m/>
  </r>
  <r>
    <x v="290"/>
    <s v="HARWINTON"/>
    <s v="No"/>
    <n v="51.618729600000002"/>
    <n v="4.5794286770317574E-7"/>
    <n v="0"/>
    <n v="0"/>
    <n v="51.618729600000002"/>
    <n v="4.5794286770317574E-7"/>
    <n v="0"/>
    <n v="0"/>
    <n v="0"/>
    <n v="0"/>
    <n v="0"/>
    <n v="0"/>
    <m/>
    <n v="1"/>
    <s v="No"/>
    <m/>
  </r>
  <r>
    <x v="202"/>
    <s v="HEBRON"/>
    <s v="No"/>
    <n v="66.993782400000001"/>
    <n v="5.9434482538172624E-7"/>
    <n v="0"/>
    <n v="0"/>
    <n v="66.993782400000001"/>
    <n v="5.9434482538172624E-7"/>
    <n v="0"/>
    <n v="0"/>
    <n v="0"/>
    <n v="0"/>
    <n v="0"/>
    <n v="0"/>
    <m/>
    <n v="4"/>
    <s v="No"/>
    <m/>
  </r>
  <r>
    <x v="105"/>
    <s v="HEBRON"/>
    <s v="No"/>
    <n v="991.81825920000006"/>
    <n v="8.7990561057593257E-6"/>
    <n v="0"/>
    <n v="0"/>
    <n v="991.81825920000006"/>
    <n v="8.7990561057593257E-6"/>
    <n v="0"/>
    <n v="0"/>
    <n v="0"/>
    <n v="0"/>
    <n v="0"/>
    <n v="0"/>
    <m/>
    <n v="1"/>
    <s v="No"/>
    <m/>
  </r>
  <r>
    <x v="108"/>
    <s v="HEBRON"/>
    <s v="No"/>
    <n v="49109.467147199997"/>
    <n v="4.3568159059775976E-4"/>
    <n v="6905.26"/>
    <n v="8.4483453651684358E-5"/>
    <n v="49109.467147199997"/>
    <n v="4.3568159059775976E-4"/>
    <n v="6905.26"/>
    <n v="8.4483453651684358E-5"/>
    <n v="0"/>
    <n v="0"/>
    <n v="0"/>
    <n v="0"/>
    <m/>
    <n v="2"/>
    <s v="No"/>
    <m/>
  </r>
  <r>
    <x v="42"/>
    <s v="HEBRON"/>
    <s v="No"/>
    <n v="166494.54109824001"/>
    <n v="1.477079893253558E-3"/>
    <n v="82230.272499999992"/>
    <n v="1.0060587748352886E-3"/>
    <n v="136065.06323711999"/>
    <n v="1.2071204722756423E-3"/>
    <n v="75257.462499999994"/>
    <n v="9.2074887043530921E-4"/>
    <n v="30429.477861120002"/>
    <n v="2.6995942097791557E-4"/>
    <n v="6972.81"/>
    <n v="8.5309904399979324E-5"/>
    <m/>
    <n v="1"/>
    <s v="No"/>
    <m/>
  </r>
  <r>
    <x v="111"/>
    <s v="HEBRON"/>
    <s v="No"/>
    <n v="234.27273600000001"/>
    <n v="2.0783837451999016E-6"/>
    <n v="0"/>
    <n v="0"/>
    <n v="234.27273600000001"/>
    <n v="2.0783837451999016E-6"/>
    <n v="0"/>
    <n v="0"/>
    <n v="0"/>
    <n v="0"/>
    <n v="0"/>
    <n v="0"/>
    <m/>
    <n v="1"/>
    <s v="No"/>
    <m/>
  </r>
  <r>
    <x v="291"/>
    <s v="KENT"/>
    <s v="No"/>
    <n v="135.63158400000003"/>
    <n v="1.2032747998525748E-6"/>
    <n v="0"/>
    <n v="0"/>
    <n v="135.63158400000003"/>
    <n v="1.2032747998525748E-6"/>
    <n v="0"/>
    <n v="0"/>
    <n v="0"/>
    <n v="0"/>
    <n v="0"/>
    <n v="0"/>
    <m/>
    <n v="4"/>
    <s v="No"/>
    <m/>
  </r>
  <r>
    <x v="113"/>
    <s v="KENT"/>
    <s v="No"/>
    <n v="75.347020799999996"/>
    <n v="6.6845176247892055E-7"/>
    <n v="0"/>
    <n v="0"/>
    <n v="75.347020799999996"/>
    <n v="6.6845176247892055E-7"/>
    <n v="0"/>
    <n v="0"/>
    <n v="0"/>
    <n v="0"/>
    <n v="0"/>
    <n v="0"/>
    <m/>
    <n v="1"/>
    <s v="No"/>
    <m/>
  </r>
  <r>
    <x v="114"/>
    <s v="KENT"/>
    <s v="No"/>
    <n v="153538.50220128"/>
    <n v="1.3621385598940529E-3"/>
    <n v="30652.258000000002"/>
    <n v="3.7501971222842753E-4"/>
    <n v="107590.69931904001"/>
    <n v="9.5450612144378107E-4"/>
    <n v="25083.518"/>
    <n v="3.0688811578046161E-4"/>
    <n v="45947.802882239994"/>
    <n v="4.0763243845027186E-4"/>
    <n v="5568.74"/>
    <n v="6.8131596447965862E-5"/>
    <m/>
    <n v="2"/>
    <s v="No"/>
    <m/>
  </r>
  <r>
    <x v="292"/>
    <s v="KILLINGLY"/>
    <s v="No"/>
    <n v="259469.20060127997"/>
    <n v="2.3019177481655943E-3"/>
    <n v="230692.6937"/>
    <n v="2.8224448458111884E-3"/>
    <n v="154442.43547775998"/>
    <n v="1.3701579319330651E-3"/>
    <n v="226131.45370000001"/>
    <n v="2.7666396613381622E-3"/>
    <n v="105026.76512351999"/>
    <n v="9.3175981623252937E-4"/>
    <n v="4561.24"/>
    <n v="5.5805184473026181E-5"/>
    <m/>
    <n v="2"/>
    <s v="No"/>
    <m/>
  </r>
  <r>
    <x v="293"/>
    <s v="KILLINGLY"/>
    <s v="No"/>
    <n v="60618.712996800001"/>
    <n v="5.3778749460409734E-4"/>
    <n v="12798.2778"/>
    <n v="1.5658247616131483E-4"/>
    <n v="60618.712996800001"/>
    <n v="5.3778749460409734E-4"/>
    <n v="12798.2778"/>
    <n v="1.5658247616131483E-4"/>
    <n v="0"/>
    <n v="0"/>
    <n v="0"/>
    <n v="0"/>
    <m/>
    <n v="3"/>
    <s v="No"/>
    <m/>
  </r>
  <r>
    <x v="294"/>
    <s v="KILLINGLY"/>
    <s v="No"/>
    <n v="103701.58665984"/>
    <n v="9.2000330787638212E-4"/>
    <n v="41168.17"/>
    <n v="5.0367823689762047E-4"/>
    <n v="103701.58665984"/>
    <n v="9.2000330787638212E-4"/>
    <n v="41168.17"/>
    <n v="5.0367823689762047E-4"/>
    <n v="0"/>
    <n v="0"/>
    <n v="0"/>
    <n v="0"/>
    <m/>
    <n v="5"/>
    <s v="No"/>
    <m/>
  </r>
  <r>
    <x v="295"/>
    <s v="KILLINGLY"/>
    <s v="No"/>
    <n v="1382.5854144"/>
    <n v="1.2265802246999111E-5"/>
    <n v="0"/>
    <n v="0"/>
    <n v="1382.5854144"/>
    <n v="1.2265802246999111E-5"/>
    <n v="0"/>
    <n v="0"/>
    <n v="0"/>
    <n v="0"/>
    <n v="0"/>
    <n v="0"/>
    <m/>
    <n v="4"/>
    <s v="No"/>
    <m/>
  </r>
  <r>
    <x v="296"/>
    <s v="KILLINGLY"/>
    <s v="No"/>
    <n v="306.37802879999998"/>
    <n v="2.7180760587706937E-6"/>
    <n v="0"/>
    <n v="0"/>
    <n v="306.37802879999998"/>
    <n v="2.7180760587706937E-6"/>
    <n v="0"/>
    <n v="0"/>
    <n v="0"/>
    <n v="0"/>
    <n v="0"/>
    <n v="0"/>
    <m/>
    <n v="3"/>
    <s v="No"/>
    <m/>
  </r>
  <r>
    <x v="297"/>
    <s v="KILLINGLY"/>
    <s v="No"/>
    <n v="141.2640864"/>
    <n v="1.2532443423304471E-6"/>
    <n v="0"/>
    <n v="0"/>
    <n v="141.2640864"/>
    <n v="1.2532443423304471E-6"/>
    <n v="0"/>
    <n v="0"/>
    <n v="0"/>
    <n v="0"/>
    <n v="0"/>
    <n v="0"/>
    <m/>
    <e v="#N/A"/>
    <e v="#N/A"/>
    <m/>
  </r>
  <r>
    <x v="149"/>
    <s v="KILLINGWORTH"/>
    <s v="No"/>
    <n v="798.21763200000009"/>
    <n v="7.0815007320389038E-6"/>
    <n v="0"/>
    <n v="0"/>
    <n v="798.21763200000009"/>
    <n v="7.0815007320389038E-6"/>
    <n v="0"/>
    <n v="0"/>
    <n v="0"/>
    <n v="0"/>
    <n v="0"/>
    <n v="0"/>
    <m/>
    <n v="1"/>
    <s v="No"/>
    <m/>
  </r>
  <r>
    <x v="298"/>
    <s v="KILLINGWORTH"/>
    <s v="No"/>
    <n v="171906.27661151998"/>
    <n v="1.5250908710402438E-3"/>
    <n v="77881.463700000008"/>
    <n v="9.5285261218611443E-4"/>
    <n v="152083.24419167999"/>
    <n v="1.3492280324299238E-3"/>
    <n v="67481.353700000007"/>
    <n v="8.2561088469758847E-4"/>
    <n v="19823.032419839998"/>
    <n v="1.7586283861032007E-4"/>
    <n v="10400.11"/>
    <n v="1.2724172748852601E-4"/>
    <m/>
    <n v="1"/>
    <s v="No"/>
    <m/>
  </r>
  <r>
    <x v="105"/>
    <s v="LEBANON"/>
    <s v="No"/>
    <n v="49.528972799999998"/>
    <n v="4.3940329438918598E-7"/>
    <n v="0"/>
    <n v="0"/>
    <n v="49.528972799999998"/>
    <n v="4.3940329438918598E-7"/>
    <n v="0"/>
    <n v="0"/>
    <n v="0"/>
    <n v="0"/>
    <n v="0"/>
    <n v="0"/>
    <m/>
    <n v="1"/>
    <s v="No"/>
    <m/>
  </r>
  <r>
    <x v="107"/>
    <s v="LEBANON"/>
    <s v="No"/>
    <n v="105876.06717888001"/>
    <n v="9.3929451965881763E-4"/>
    <n v="66859.39"/>
    <n v="8.1800137521901987E-4"/>
    <n v="93097.006948800001"/>
    <n v="8.2592327759875648E-4"/>
    <n v="66859.39"/>
    <n v="8.1800137521901987E-4"/>
    <n v="12779.060230080002"/>
    <n v="1.1337124206006109E-4"/>
    <n v="0"/>
    <n v="0"/>
    <m/>
    <n v="1"/>
    <s v="No"/>
    <m/>
  </r>
  <r>
    <x v="299"/>
    <s v="LEDYARD"/>
    <s v="No"/>
    <n v="233295.33706271998"/>
    <n v="2.0697126121500082E-3"/>
    <n v="103588.01820000009"/>
    <n v="1.2673633627799017E-3"/>
    <n v="174690.90243935998"/>
    <n v="1.549795073312618E-3"/>
    <n v="90400.118200000099"/>
    <n v="1.1060139945572645E-3"/>
    <n v="58604.434623360001"/>
    <n v="5.1991753883739045E-4"/>
    <n v="13187.9"/>
    <n v="1.6134936822263725E-4"/>
    <m/>
    <n v="4"/>
    <s v="No"/>
    <m/>
  </r>
  <r>
    <x v="300"/>
    <s v="LEDYARD"/>
    <s v="No"/>
    <n v="138641.1926976"/>
    <n v="1.2299749695065631E-3"/>
    <n v="35876.579899999997"/>
    <n v="4.3893747305135512E-4"/>
    <n v="138641.1926976"/>
    <n v="1.2299749695065631E-3"/>
    <n v="35876.579899999997"/>
    <n v="4.3893747305135512E-4"/>
    <n v="0"/>
    <n v="0"/>
    <n v="0"/>
    <n v="0"/>
    <m/>
    <n v="3"/>
    <s v="No"/>
    <m/>
  </r>
  <r>
    <x v="301"/>
    <s v="LEDYARD"/>
    <s v="No"/>
    <n v="64.956124800000012"/>
    <n v="5.7626745749661721E-7"/>
    <n v="0"/>
    <n v="0"/>
    <n v="64.956124800000012"/>
    <n v="5.7626745749661721E-7"/>
    <n v="0"/>
    <n v="0"/>
    <n v="0"/>
    <n v="0"/>
    <n v="0"/>
    <n v="0"/>
    <m/>
    <e v="#N/A"/>
    <e v="#N/A"/>
    <m/>
  </r>
  <r>
    <x v="302"/>
    <s v="LISBON"/>
    <s v="No"/>
    <n v="84.533846399999987"/>
    <n v="7.4995398643820495E-7"/>
    <n v="0"/>
    <n v="0"/>
    <n v="84.533846399999987"/>
    <n v="7.4995398643820495E-7"/>
    <n v="0"/>
    <n v="0"/>
    <n v="0"/>
    <n v="0"/>
    <n v="0"/>
    <n v="0"/>
    <m/>
    <e v="#N/A"/>
    <e v="#N/A"/>
    <m/>
  </r>
  <r>
    <x v="199"/>
    <s v="LISBON"/>
    <s v="No"/>
    <n v="13291.498120319999"/>
    <n v="1.1791740735306105E-4"/>
    <n v="0"/>
    <n v="0"/>
    <n v="511.48679040000002"/>
    <n v="4.5377274761149711E-6"/>
    <n v="0"/>
    <n v="0"/>
    <n v="12780.011329919998"/>
    <n v="1.1337967987694607E-4"/>
    <n v="0"/>
    <n v="0"/>
    <m/>
    <n v="5"/>
    <s v="No"/>
    <m/>
  </r>
  <r>
    <x v="303"/>
    <s v="LISBON"/>
    <s v="No"/>
    <n v="44.7532128"/>
    <n v="3.9703446340846151E-7"/>
    <n v="0"/>
    <n v="0"/>
    <n v="44.7532128"/>
    <n v="3.9703446340846151E-7"/>
    <n v="0"/>
    <n v="0"/>
    <n v="0"/>
    <n v="0"/>
    <n v="0"/>
    <n v="0"/>
    <m/>
    <n v="3"/>
    <s v="No"/>
    <m/>
  </r>
  <r>
    <x v="229"/>
    <s v="LISBON"/>
    <s v="No"/>
    <n v="1041.2546112"/>
    <n v="9.2376377016082786E-6"/>
    <n v="0"/>
    <n v="0"/>
    <n v="1041.2546112"/>
    <n v="9.2376377016082786E-6"/>
    <n v="0"/>
    <n v="0"/>
    <n v="0"/>
    <n v="0"/>
    <n v="0"/>
    <n v="0"/>
    <m/>
    <n v="3"/>
    <s v="No"/>
    <m/>
  </r>
  <r>
    <x v="230"/>
    <s v="LISBON"/>
    <s v="No"/>
    <n v="14.0899392"/>
    <n v="1.2500089043282827E-7"/>
    <n v="0"/>
    <n v="0"/>
    <n v="14.0899392"/>
    <n v="1.2500089043282827E-7"/>
    <n v="0"/>
    <n v="0"/>
    <n v="0"/>
    <n v="0"/>
    <n v="0"/>
    <n v="0"/>
    <m/>
    <n v="5"/>
    <s v="No"/>
    <m/>
  </r>
  <r>
    <x v="231"/>
    <s v="LISBON"/>
    <s v="No"/>
    <n v="93374.923184639993"/>
    <n v="8.2838885083172961E-4"/>
    <n v="184063.5822"/>
    <n v="2.2519538896083125E-3"/>
    <n v="81352.816283519991"/>
    <n v="7.2173302739718631E-4"/>
    <n v="178185.68220000001"/>
    <n v="2.180039828121962E-3"/>
    <n v="12022.106901119998"/>
    <n v="1.0665582343454324E-4"/>
    <n v="5877.9"/>
    <n v="7.191406148635033E-5"/>
    <m/>
    <n v="3"/>
    <s v="No"/>
    <m/>
  </r>
  <r>
    <x v="168"/>
    <s v="LISBON"/>
    <s v="No"/>
    <n v="67.653705599999995"/>
    <n v="6.0019942748088085E-7"/>
    <n v="0"/>
    <n v="0"/>
    <n v="67.653705599999995"/>
    <n v="6.0019942748088085E-7"/>
    <n v="0"/>
    <n v="0"/>
    <n v="0"/>
    <n v="0"/>
    <n v="0"/>
    <n v="0"/>
    <m/>
    <n v="4"/>
    <s v="No"/>
    <m/>
  </r>
  <r>
    <x v="75"/>
    <s v="LISBON"/>
    <s v="No"/>
    <n v="45.320515200000003"/>
    <n v="4.0206736696738397E-7"/>
    <n v="0"/>
    <n v="0"/>
    <n v="45.320515200000003"/>
    <n v="4.0206736696738397E-7"/>
    <n v="0"/>
    <n v="0"/>
    <n v="0"/>
    <n v="0"/>
    <n v="0"/>
    <n v="0"/>
    <m/>
    <n v="4"/>
    <s v="No"/>
    <m/>
  </r>
  <r>
    <x v="209"/>
    <s v="LITCHFIELD"/>
    <s v="No"/>
    <n v="509.46071040000004"/>
    <n v="4.5197528205473915E-6"/>
    <n v="0"/>
    <n v="0"/>
    <n v="509.46071040000004"/>
    <n v="4.5197528205473915E-6"/>
    <n v="0"/>
    <n v="0"/>
    <n v="0"/>
    <n v="0"/>
    <n v="0"/>
    <n v="0"/>
    <m/>
    <n v="3"/>
    <s v="No"/>
    <m/>
  </r>
  <r>
    <x v="304"/>
    <s v="LITCHFIELD"/>
    <s v="No"/>
    <n v="69544.787889600004"/>
    <n v="6.1697643174799313E-4"/>
    <n v="74664.482900000003"/>
    <n v="9.1349397133621754E-4"/>
    <n v="68888.674877760001"/>
    <n v="6.1115563227253722E-4"/>
    <n v="74664.482900000003"/>
    <n v="9.1349397133621754E-4"/>
    <n v="656.1130118399999"/>
    <n v="5.8207994754558479E-6"/>
    <n v="0"/>
    <n v="0"/>
    <m/>
    <n v="1"/>
    <s v="No"/>
    <m/>
  </r>
  <r>
    <x v="305"/>
    <s v="LITCHFIELD"/>
    <s v="No"/>
    <n v="46661.577552000002"/>
    <n v="4.1396479148756522E-4"/>
    <n v="11260.856400000001"/>
    <n v="1.3777266022534608E-4"/>
    <n v="46661.577552000002"/>
    <n v="4.1396479148756522E-4"/>
    <n v="11260.856400000001"/>
    <n v="1.3777266022534608E-4"/>
    <n v="0"/>
    <n v="0"/>
    <n v="0"/>
    <n v="0"/>
    <m/>
    <n v="2"/>
    <s v="No"/>
    <m/>
  </r>
  <r>
    <x v="306"/>
    <s v="LITCHFIELD"/>
    <s v="No"/>
    <n v="184605.2111664"/>
    <n v="1.6377512668287661E-3"/>
    <n v="100008.2558"/>
    <n v="1.2235662152714154E-3"/>
    <n v="108012.43597536"/>
    <n v="9.5824761789879503E-4"/>
    <n v="85264.085800000001"/>
    <n v="1.0431764250495332E-3"/>
    <n v="76592.775191040011"/>
    <n v="6.795036489299712E-4"/>
    <n v="14744.17"/>
    <n v="1.803897902218823E-4"/>
    <m/>
    <n v="1"/>
    <s v="No"/>
    <m/>
  </r>
  <r>
    <x v="30"/>
    <s v="LITCHFIELD"/>
    <s v="No"/>
    <n v="538.43944320000003"/>
    <n v="4.7768417513225511E-6"/>
    <n v="1069.8900000000001"/>
    <n v="1.3089731918479622E-5"/>
    <n v="538.43944320000003"/>
    <n v="4.7768417513225511E-6"/>
    <n v="1069.8900000000001"/>
    <n v="1.3089731918479622E-5"/>
    <n v="0"/>
    <n v="0"/>
    <n v="0"/>
    <n v="0"/>
    <m/>
    <n v="1"/>
    <s v="No"/>
    <m/>
  </r>
  <r>
    <x v="307"/>
    <s v="LITCHFIELD"/>
    <s v="No"/>
    <n v="278.03027520000001"/>
    <n v="2.4665849493008667E-6"/>
    <n v="0"/>
    <n v="0"/>
    <n v="278.03027520000001"/>
    <n v="2.4665849493008667E-6"/>
    <n v="0"/>
    <n v="0"/>
    <n v="0"/>
    <n v="0"/>
    <n v="0"/>
    <n v="0"/>
    <m/>
    <n v="1"/>
    <s v="No"/>
    <m/>
  </r>
  <r>
    <x v="308"/>
    <s v="LYME"/>
    <s v="No"/>
    <n v="84478.104887040012"/>
    <n v="7.4945946771422993E-4"/>
    <n v="36851.571000000004"/>
    <n v="4.5086614994515136E-4"/>
    <n v="79093.234615680005"/>
    <n v="7.0168682872475394E-4"/>
    <n v="36851.571000000004"/>
    <n v="4.5086614994515136E-4"/>
    <n v="5384.8702713599996"/>
    <n v="4.7772638989475945E-5"/>
    <n v="0"/>
    <n v="0"/>
    <m/>
    <n v="1"/>
    <s v="No"/>
    <m/>
  </r>
  <r>
    <x v="241"/>
    <s v="MADISON"/>
    <s v="No"/>
    <n v="1231.9318943999999"/>
    <n v="1.0929258215152622E-5"/>
    <n v="957.25"/>
    <n v="1.1711620707703237E-5"/>
    <n v="1231.9318943999999"/>
    <n v="1.0929258215152622E-5"/>
    <n v="957.25"/>
    <n v="1.1711620707703237E-5"/>
    <n v="0"/>
    <n v="0"/>
    <n v="0"/>
    <n v="0"/>
    <m/>
    <n v="3"/>
    <s v="No"/>
    <m/>
  </r>
  <r>
    <x v="309"/>
    <s v="MADISON"/>
    <s v="No"/>
    <n v="147742.19007552002"/>
    <n v="1.3107157562423099E-3"/>
    <n v="34658.589500000002"/>
    <n v="4.240357842653288E-4"/>
    <n v="147620.49213312002"/>
    <n v="1.3096360957166034E-3"/>
    <n v="34658.589500000002"/>
    <n v="4.240357842653288E-4"/>
    <n v="121.6979424"/>
    <n v="1.0796605257063881E-6"/>
    <n v="0"/>
    <n v="0"/>
    <m/>
    <n v="1"/>
    <s v="No"/>
    <m/>
  </r>
  <r>
    <x v="243"/>
    <s v="MADISON"/>
    <s v="No"/>
    <n v="291931.58114208002"/>
    <n v="2.5899123530798104E-3"/>
    <n v="188699.47329999998"/>
    <n v="2.308672404317549E-3"/>
    <n v="189577.17501696001"/>
    <n v="1.6818607480478076E-3"/>
    <n v="170986.45329999999"/>
    <n v="2.0919597672551709E-3"/>
    <n v="102354.40612512"/>
    <n v="9.0805160503200269E-4"/>
    <n v="17713.02"/>
    <n v="2.1671263706237825E-4"/>
    <m/>
    <n v="3"/>
    <s v="No"/>
    <m/>
  </r>
  <r>
    <x v="310"/>
    <s v="MADISON"/>
    <s v="No"/>
    <n v="130404.20613695998"/>
    <n v="1.1568993770609093E-3"/>
    <n v="29098.8796"/>
    <n v="3.5601466794914942E-4"/>
    <n v="130324.01967935999"/>
    <n v="1.1561879915497034E-3"/>
    <n v="29098.8796"/>
    <n v="3.5601466794914942E-4"/>
    <n v="80.186457599999997"/>
    <n v="7.1138551120605468E-7"/>
    <n v="0"/>
    <n v="0"/>
    <m/>
    <n v="3"/>
    <s v="No"/>
    <m/>
  </r>
  <r>
    <x v="311"/>
    <s v="MANCHESTER"/>
    <s v="No"/>
    <n v="744.42231360000005"/>
    <n v="6.6042479486402706E-6"/>
    <n v="0"/>
    <n v="0"/>
    <n v="744.42231360000005"/>
    <n v="6.6042479486402706E-6"/>
    <n v="0"/>
    <n v="0"/>
    <n v="0"/>
    <n v="0"/>
    <n v="0"/>
    <n v="0"/>
    <m/>
    <n v="4"/>
    <s v="No"/>
    <m/>
  </r>
  <r>
    <x v="312"/>
    <s v="MANCHESTER"/>
    <s v="No"/>
    <n v="1016.2990943999999"/>
    <n v="9.0162413011744574E-6"/>
    <n v="304.04000000000002"/>
    <n v="3.7198236197128152E-6"/>
    <n v="1016.2990943999999"/>
    <n v="9.0162413011744574E-6"/>
    <n v="304.04000000000002"/>
    <n v="3.7198236197128152E-6"/>
    <n v="0"/>
    <n v="0"/>
    <n v="0"/>
    <n v="0"/>
    <m/>
    <n v="5"/>
    <s v="No"/>
    <m/>
  </r>
  <r>
    <x v="313"/>
    <s v="MANCHESTER"/>
    <s v="No"/>
    <n v="53717.175388800002"/>
    <n v="4.76559526611471E-4"/>
    <n v="17130.2068"/>
    <n v="2.095821203302364E-4"/>
    <n v="53717.175388800002"/>
    <n v="4.76559526611471E-4"/>
    <n v="17130.2068"/>
    <n v="2.095821203302364E-4"/>
    <n v="0"/>
    <n v="0"/>
    <n v="0"/>
    <n v="0"/>
    <m/>
    <n v="3"/>
    <s v="No"/>
    <m/>
  </r>
  <r>
    <x v="165"/>
    <s v="MANCHESTER"/>
    <s v="No"/>
    <n v="631648.48832064006"/>
    <n v="5.6037589914248835E-3"/>
    <n v="943389.83539999998"/>
    <n v="1.1542046415991004E-2"/>
    <n v="132904.43400960002"/>
    <n v="1.1790805026093418E-3"/>
    <n v="734509.85600000003"/>
    <n v="8.9864725406547125E-3"/>
    <n v="498744.05431103997"/>
    <n v="4.4246784888155415E-3"/>
    <n v="208879.97940000001"/>
    <n v="2.5555738753362924E-3"/>
    <m/>
    <n v="5"/>
    <s v="No"/>
    <m/>
  </r>
  <r>
    <x v="314"/>
    <s v="MANCHESTER"/>
    <s v="No"/>
    <n v="43657.98804864"/>
    <n v="3.8731802196745991E-4"/>
    <n v="17546.2"/>
    <n v="2.1467165240167413E-4"/>
    <n v="43657.86648384"/>
    <n v="3.8731694348812586E-4"/>
    <n v="17546.2"/>
    <n v="2.1467165240167413E-4"/>
    <n v="0.1215648"/>
    <n v="1.0784793340548043E-9"/>
    <n v="0"/>
    <n v="0"/>
    <m/>
    <n v="5"/>
    <s v="No"/>
    <m/>
  </r>
  <r>
    <x v="315"/>
    <s v="MANCHESTER"/>
    <s v="No"/>
    <n v="59959.54349856"/>
    <n v="5.3193957907681389E-4"/>
    <n v="23289.680899999999"/>
    <n v="2.8494114296603873E-4"/>
    <n v="59959.54349856"/>
    <n v="5.3193957907681389E-4"/>
    <n v="23289.680899999999"/>
    <n v="2.8494114296603873E-4"/>
    <n v="0"/>
    <n v="0"/>
    <n v="0"/>
    <n v="0"/>
    <m/>
    <n v="3"/>
    <s v="No"/>
    <m/>
  </r>
  <r>
    <x v="316"/>
    <s v="MANCHESTER"/>
    <s v="No"/>
    <n v="56814.210017279998"/>
    <n v="5.0403530778881658E-4"/>
    <n v="19789.490000000002"/>
    <n v="2.4211752507588002E-4"/>
    <n v="56749.340724479996"/>
    <n v="5.0345981067370139E-4"/>
    <n v="19789.490000000002"/>
    <n v="2.4211752507588002E-4"/>
    <n v="64.869292800000011"/>
    <n v="5.7549711511514953E-7"/>
    <n v="0"/>
    <n v="0"/>
    <m/>
    <n v="4"/>
    <s v="No"/>
    <m/>
  </r>
  <r>
    <x v="317"/>
    <s v="MANCHESTER"/>
    <s v="No"/>
    <n v="54927.830548799997"/>
    <n v="4.8730002526508459E-4"/>
    <n v="25536.752199999999"/>
    <n v="3.1243327853017097E-4"/>
    <n v="54927.830548799997"/>
    <n v="4.8730002526508459E-4"/>
    <n v="25536.752199999999"/>
    <n v="3.1243327853017097E-4"/>
    <n v="0"/>
    <n v="0"/>
    <n v="0"/>
    <n v="0"/>
    <m/>
    <n v="5"/>
    <s v="No"/>
    <m/>
  </r>
  <r>
    <x v="318"/>
    <s v="MANCHESTER"/>
    <s v="No"/>
    <n v="65624.928019200001"/>
    <n v="5.8220083994331656E-4"/>
    <n v="48251.67"/>
    <n v="5.9034239493681176E-4"/>
    <n v="65624.928019200001"/>
    <n v="5.8220083994331656E-4"/>
    <n v="48251.67"/>
    <n v="5.9034239493681176E-4"/>
    <n v="0"/>
    <n v="0"/>
    <n v="0"/>
    <n v="0"/>
    <m/>
    <n v="5"/>
    <s v="No"/>
    <m/>
  </r>
  <r>
    <x v="319"/>
    <s v="MANCHESTER"/>
    <s v="No"/>
    <n v="61058.657744640004"/>
    <n v="5.416905267208894E-4"/>
    <n v="8211.23"/>
    <n v="1.0046154223422726E-4"/>
    <n v="61058.657744640004"/>
    <n v="5.416905267208894E-4"/>
    <n v="8211.23"/>
    <n v="1.0046154223422726E-4"/>
    <n v="0"/>
    <n v="0"/>
    <n v="0"/>
    <n v="0"/>
    <m/>
    <n v="5"/>
    <s v="No"/>
    <m/>
  </r>
  <r>
    <x v="320"/>
    <s v="MANCHESTER"/>
    <s v="No"/>
    <n v="42600.301349760004"/>
    <n v="3.7793460467358271E-4"/>
    <n v="8567.1447000000007"/>
    <n v="1.0481603476041791E-4"/>
    <n v="42600.301349760004"/>
    <n v="3.7793460467358271E-4"/>
    <n v="8567.1447000000007"/>
    <n v="1.0481603476041791E-4"/>
    <n v="0"/>
    <n v="0"/>
    <n v="0"/>
    <n v="0"/>
    <m/>
    <n v="5"/>
    <s v="Yes"/>
    <m/>
  </r>
  <r>
    <x v="41"/>
    <s v="MANCHESTER"/>
    <s v="No"/>
    <n v="46407.520434240003"/>
    <n v="4.1171088779855584E-4"/>
    <n v="37234.143300000003"/>
    <n v="4.5554678893274463E-4"/>
    <n v="46407.520434240003"/>
    <n v="4.1171088779855584E-4"/>
    <n v="37234.143300000003"/>
    <n v="4.5554678893274463E-4"/>
    <n v="0"/>
    <n v="0"/>
    <n v="0"/>
    <n v="0"/>
    <m/>
    <n v="3"/>
    <s v="No"/>
    <m/>
  </r>
  <r>
    <x v="321"/>
    <s v="MANCHESTER"/>
    <s v="No"/>
    <n v="54351.689230079995"/>
    <n v="4.8218870598734463E-4"/>
    <n v="14280.3079"/>
    <n v="1.7471459881328611E-4"/>
    <n v="54351.689230079995"/>
    <n v="4.8218870598734463E-4"/>
    <n v="14280.3079"/>
    <n v="1.7471459881328611E-4"/>
    <n v="0"/>
    <n v="0"/>
    <n v="0"/>
    <n v="0"/>
    <m/>
    <n v="4"/>
    <s v="No"/>
    <m/>
  </r>
  <r>
    <x v="322"/>
    <s v="MANCHESTER"/>
    <s v="No"/>
    <n v="38263.875379200006"/>
    <n v="3.3946338773490058E-4"/>
    <n v="5126.2425000000003"/>
    <n v="6.2717793487290064E-5"/>
    <n v="38263.875379200006"/>
    <n v="3.3946338773490058E-4"/>
    <n v="5126.2425000000003"/>
    <n v="6.2717793487290064E-5"/>
    <n v="0"/>
    <n v="0"/>
    <n v="0"/>
    <n v="0"/>
    <m/>
    <n v="3"/>
    <s v="No"/>
    <m/>
  </r>
  <r>
    <x v="323"/>
    <s v="MANCHESTER"/>
    <s v="No"/>
    <n v="77689.852358400007"/>
    <n v="6.8923652434177743E-4"/>
    <n v="17970.6512"/>
    <n v="2.1986466516044087E-4"/>
    <n v="77689.852358400007"/>
    <n v="6.8923652434177743E-4"/>
    <n v="17970.6512"/>
    <n v="2.1986466516044087E-4"/>
    <n v="0"/>
    <n v="0"/>
    <n v="0"/>
    <n v="0"/>
    <m/>
    <n v="5"/>
    <s v="No"/>
    <m/>
  </r>
  <r>
    <x v="324"/>
    <s v="MANCHESTER"/>
    <s v="No"/>
    <n v="65201.310581760001"/>
    <n v="5.7844265787231986E-4"/>
    <n v="11137.36"/>
    <n v="1.3626172473768161E-4"/>
    <n v="65201.310581760001"/>
    <n v="5.7844265787231986E-4"/>
    <n v="11137.36"/>
    <n v="1.3626172473768161E-4"/>
    <n v="0"/>
    <n v="0"/>
    <n v="0"/>
    <n v="0"/>
    <m/>
    <n v="4"/>
    <s v="No"/>
    <m/>
  </r>
  <r>
    <x v="201"/>
    <s v="MANCHESTER"/>
    <s v="No"/>
    <n v="138.59544959999999"/>
    <n v="1.2295691531400059E-6"/>
    <n v="0"/>
    <n v="0"/>
    <n v="138.59544959999999"/>
    <n v="1.2295691531400059E-6"/>
    <n v="0"/>
    <n v="0"/>
    <n v="0"/>
    <n v="0"/>
    <n v="0"/>
    <n v="0"/>
    <m/>
    <n v="4"/>
    <s v="No"/>
    <m/>
  </r>
  <r>
    <x v="325"/>
    <s v="MANCHESTER"/>
    <s v="No"/>
    <n v="26.200108799999999"/>
    <n v="2.3243797456819258E-7"/>
    <n v="0"/>
    <n v="0"/>
    <n v="26.200108799999999"/>
    <n v="2.3243797456819258E-7"/>
    <n v="0"/>
    <n v="0"/>
    <n v="0"/>
    <n v="0"/>
    <n v="0"/>
    <n v="0"/>
    <m/>
    <n v="4"/>
    <s v="No"/>
    <m/>
  </r>
  <r>
    <x v="326"/>
    <s v="MANSFIELD"/>
    <s v="No"/>
    <n v="135.83419199999997"/>
    <n v="1.2050722654093323E-6"/>
    <n v="0"/>
    <n v="0"/>
    <n v="135.83419199999997"/>
    <n v="1.2050722654093323E-6"/>
    <n v="0"/>
    <n v="0"/>
    <n v="0"/>
    <n v="0"/>
    <n v="0"/>
    <n v="0"/>
    <m/>
    <n v="4"/>
    <s v="No"/>
    <m/>
  </r>
  <r>
    <x v="87"/>
    <s v="MANSFIELD"/>
    <s v="No"/>
    <n v="88638.925294079992"/>
    <n v="7.8637277503432689E-4"/>
    <n v="31198.000400000001"/>
    <n v="3.8169668062008243E-4"/>
    <n v="88594.930414079994"/>
    <n v="7.8598246822771654E-4"/>
    <n v="31198.000400000001"/>
    <n v="3.8169668062008243E-4"/>
    <n v="43.994880000000002"/>
    <n v="3.9030680661031012E-7"/>
    <n v="0"/>
    <n v="0"/>
    <m/>
    <n v="4"/>
    <s v="No"/>
    <m/>
  </r>
  <r>
    <x v="327"/>
    <s v="MANSFIELD"/>
    <s v="No"/>
    <n v="5767.4219616000009"/>
    <n v="5.1166500470197149E-5"/>
    <n v="154"/>
    <n v="1.8841364209833361E-6"/>
    <n v="5767.4219616000009"/>
    <n v="5.1166500470197149E-5"/>
    <n v="154"/>
    <n v="1.8841364209833361E-6"/>
    <n v="0"/>
    <n v="0"/>
    <n v="0"/>
    <n v="0"/>
    <m/>
    <n v="5"/>
    <s v="No"/>
    <m/>
  </r>
  <r>
    <x v="328"/>
    <s v="MANSFIELD"/>
    <s v="No"/>
    <n v="61596.592404479998"/>
    <n v="5.4646289021516759E-4"/>
    <n v="16521.36"/>
    <n v="2.0213309155959255E-4"/>
    <n v="61596.592404479998"/>
    <n v="5.4646289021516759E-4"/>
    <n v="16521.36"/>
    <n v="2.0213309155959255E-4"/>
    <n v="0"/>
    <n v="0"/>
    <n v="0"/>
    <n v="0"/>
    <m/>
    <n v="4"/>
    <s v="No"/>
    <m/>
  </r>
  <r>
    <x v="329"/>
    <s v="MANSFIELD"/>
    <s v="No"/>
    <n v="206961.85025856001"/>
    <n v="1.8360913557345705E-3"/>
    <n v="189906.91070000012"/>
    <n v="2.3234449808201313E-3"/>
    <n v="102936.9654864"/>
    <n v="9.132198628829649E-4"/>
    <n v="73029.014800000106"/>
    <n v="8.9348458813773562E-4"/>
    <n v="104024.88477216"/>
    <n v="9.2287149285160569E-4"/>
    <n v="116877.8959"/>
    <n v="1.4299603926823958E-3"/>
    <m/>
    <n v="4"/>
    <s v="No"/>
    <m/>
  </r>
  <r>
    <x v="88"/>
    <s v="MANSFIELD"/>
    <s v="No"/>
    <n v="297.9263808"/>
    <n v="2.643096066974503E-6"/>
    <n v="0"/>
    <n v="0"/>
    <n v="297.9263808"/>
    <n v="2.643096066974503E-6"/>
    <n v="0"/>
    <n v="0"/>
    <n v="0"/>
    <n v="0"/>
    <n v="0"/>
    <n v="0"/>
    <m/>
    <n v="5"/>
    <s v="No"/>
    <m/>
  </r>
  <r>
    <x v="330"/>
    <s v="MARLBOROUGH"/>
    <s v="No"/>
    <n v="159114.29809535999"/>
    <n v="1.4116050225762842E-3"/>
    <n v="48667.315399999999"/>
    <n v="5.9542767179625452E-4"/>
    <n v="136171.01564351999"/>
    <n v="1.2080604440495091E-3"/>
    <n v="32944.274400000002"/>
    <n v="4.0306173545395422E-4"/>
    <n v="22943.282451840001"/>
    <n v="2.0354457852677488E-4"/>
    <n v="15723.040999999999"/>
    <n v="1.9236593634230033E-4"/>
    <m/>
    <n v="1"/>
    <s v="No"/>
    <m/>
  </r>
  <r>
    <x v="108"/>
    <s v="MARLBOROUGH"/>
    <s v="No"/>
    <n v="514.10911680000004"/>
    <n v="4.5609918160352967E-6"/>
    <n v="0"/>
    <n v="0"/>
    <n v="514.10911680000004"/>
    <n v="4.5609918160352967E-6"/>
    <n v="0"/>
    <n v="0"/>
    <n v="0"/>
    <n v="0"/>
    <n v="0"/>
    <n v="0"/>
    <m/>
    <n v="2"/>
    <s v="No"/>
    <m/>
  </r>
  <r>
    <x v="42"/>
    <s v="MARLBOROUGH"/>
    <s v="No"/>
    <n v="656.1315360000001"/>
    <n v="5.8209638151638962E-6"/>
    <n v="0"/>
    <n v="0"/>
    <n v="656.1315360000001"/>
    <n v="5.8209638151638962E-6"/>
    <n v="0"/>
    <n v="0"/>
    <n v="0"/>
    <n v="0"/>
    <n v="0"/>
    <n v="0"/>
    <m/>
    <n v="1"/>
    <s v="No"/>
    <m/>
  </r>
  <r>
    <x v="331"/>
    <s v="MERIDEN"/>
    <s v="No"/>
    <n v="2211.6110400000002"/>
    <n v="1.9620620455982763E-5"/>
    <n v="176.8"/>
    <n v="2.1630864885055446E-6"/>
    <n v="2211.6110400000002"/>
    <n v="1.9620620455982763E-5"/>
    <n v="176.8"/>
    <n v="2.1630864885055446E-6"/>
    <n v="0"/>
    <n v="0"/>
    <n v="0"/>
    <n v="0"/>
    <m/>
    <n v="1"/>
    <s v="No"/>
    <m/>
  </r>
  <r>
    <x v="332"/>
    <s v="MERIDEN"/>
    <s v="Yes"/>
    <n v="15409.842909120001"/>
    <n v="1.3671060305710936E-4"/>
    <n v="24.64"/>
    <n v="3.0146182735733378E-7"/>
    <n v="15409.842909120001"/>
    <n v="1.3671060305710936E-4"/>
    <n v="24.64"/>
    <n v="3.0146182735733378E-7"/>
    <n v="0"/>
    <n v="0"/>
    <n v="0"/>
    <n v="0"/>
    <m/>
    <n v="5"/>
    <e v="#N/A"/>
    <m/>
  </r>
  <r>
    <x v="333"/>
    <s v="MERIDEN"/>
    <s v="No"/>
    <n v="27634.187327039999"/>
    <n v="2.4516060525424968E-4"/>
    <n v="10720.27"/>
    <n v="1.3115877369983785E-4"/>
    <n v="27634.187327039999"/>
    <n v="2.4516060525424968E-4"/>
    <n v="10720.27"/>
    <n v="1.3115877369983785E-4"/>
    <n v="0"/>
    <n v="0"/>
    <n v="0"/>
    <n v="0"/>
    <m/>
    <n v="5"/>
    <s v="No"/>
    <m/>
  </r>
  <r>
    <x v="334"/>
    <s v="MERIDEN"/>
    <s v="No"/>
    <n v="26998.412106239997"/>
    <n v="2.3952023537138117E-4"/>
    <n v="10029.17"/>
    <n v="1.2270340564437301E-4"/>
    <n v="26998.412106239997"/>
    <n v="2.3952023537138117E-4"/>
    <n v="10029.17"/>
    <n v="1.2270340564437301E-4"/>
    <n v="0"/>
    <n v="0"/>
    <n v="0"/>
    <n v="0"/>
    <m/>
    <n v="4"/>
    <s v="No"/>
    <m/>
  </r>
  <r>
    <x v="335"/>
    <s v="MERIDEN"/>
    <s v="No"/>
    <n v="25467.548316479999"/>
    <n v="2.2593896052447668E-4"/>
    <n v="90980.7"/>
    <n v="1.1131172108867441E-3"/>
    <n v="25467.548316479999"/>
    <n v="2.2593896052447668E-4"/>
    <n v="90980.7"/>
    <n v="1.1131172108867441E-3"/>
    <n v="0"/>
    <n v="0"/>
    <n v="0"/>
    <n v="0"/>
    <m/>
    <n v="5"/>
    <s v="No"/>
    <m/>
  </r>
  <r>
    <x v="336"/>
    <s v="MERIDEN"/>
    <s v="No"/>
    <n v="96969.884918399999"/>
    <n v="8.6028206281890023E-4"/>
    <n v="50845.675799999997"/>
    <n v="6.2207915340448713E-4"/>
    <n v="96969.884918399999"/>
    <n v="8.6028206281890023E-4"/>
    <n v="50845.675799999997"/>
    <n v="6.2207915340448713E-4"/>
    <n v="0"/>
    <n v="0"/>
    <n v="0"/>
    <n v="0"/>
    <m/>
    <n v="4"/>
    <s v="No"/>
    <m/>
  </r>
  <r>
    <x v="337"/>
    <s v="MERIDEN"/>
    <s v="No"/>
    <n v="38795.349159359997"/>
    <n v="3.4417843262038174E-4"/>
    <n v="5765.8999000000003"/>
    <n v="7.0543779229442709E-5"/>
    <n v="38795.349159359997"/>
    <n v="3.4417843262038174E-4"/>
    <n v="5765.8999000000003"/>
    <n v="7.0543779229442709E-5"/>
    <n v="0"/>
    <n v="0"/>
    <n v="0"/>
    <n v="0"/>
    <m/>
    <n v="3"/>
    <s v="No"/>
    <m/>
  </r>
  <r>
    <x v="338"/>
    <s v="MERIDEN"/>
    <s v="No"/>
    <n v="41239.000774079999"/>
    <n v="3.6585763388674483E-4"/>
    <n v="16580.21"/>
    <n v="2.02853100834754E-4"/>
    <n v="41239.000774079999"/>
    <n v="3.6585763388674483E-4"/>
    <n v="16580.21"/>
    <n v="2.02853100834754E-4"/>
    <n v="0"/>
    <n v="0"/>
    <n v="0"/>
    <n v="0"/>
    <m/>
    <n v="4"/>
    <s v="No"/>
    <m/>
  </r>
  <r>
    <x v="339"/>
    <s v="MERIDEN"/>
    <s v="No"/>
    <n v="78850.006606080002"/>
    <n v="6.9952899700194535E-4"/>
    <n v="25700.38"/>
    <n v="3.1443520773449167E-4"/>
    <n v="78850.006606080002"/>
    <n v="6.9952899700194535E-4"/>
    <n v="25700.38"/>
    <n v="3.1443520773449167E-4"/>
    <n v="0"/>
    <n v="0"/>
    <n v="0"/>
    <n v="0"/>
    <m/>
    <n v="3"/>
    <s v="No"/>
    <m/>
  </r>
  <r>
    <x v="340"/>
    <s v="MERIDEN"/>
    <s v="No"/>
    <n v="25729.242598079996"/>
    <n v="2.2826061839374405E-4"/>
    <n v="4202.71"/>
    <n v="5.1418694661239462E-5"/>
    <n v="25729.242598079996"/>
    <n v="2.2826061839374405E-4"/>
    <n v="4202.71"/>
    <n v="5.1418694661239462E-5"/>
    <n v="0"/>
    <n v="0"/>
    <n v="0"/>
    <n v="0"/>
    <m/>
    <n v="4"/>
    <s v="No"/>
    <m/>
  </r>
  <r>
    <x v="341"/>
    <s v="MERIDEN"/>
    <s v="No"/>
    <n v="21095.331353280002"/>
    <n v="1.8715021872738532E-4"/>
    <n v="11921.13"/>
    <n v="1.4585087800179919E-4"/>
    <n v="21095.331353280002"/>
    <n v="1.8715021872738532E-4"/>
    <n v="11921.13"/>
    <n v="1.4585087800179919E-4"/>
    <n v="0"/>
    <n v="0"/>
    <n v="0"/>
    <n v="0"/>
    <m/>
    <n v="5"/>
    <s v="No"/>
    <m/>
  </r>
  <r>
    <x v="342"/>
    <s v="MERIDEN"/>
    <s v="No"/>
    <n v="86641.140948479995"/>
    <n v="7.6864914837078782E-4"/>
    <n v="71986.295199999993"/>
    <n v="8.8072727661024609E-4"/>
    <n v="86641.140948479995"/>
    <n v="7.6864914837078782E-4"/>
    <n v="71986.295199999993"/>
    <n v="8.8072727661024609E-4"/>
    <n v="0"/>
    <n v="0"/>
    <n v="0"/>
    <n v="0"/>
    <m/>
    <n v="3"/>
    <s v="No"/>
    <m/>
  </r>
  <r>
    <x v="343"/>
    <s v="MERIDEN"/>
    <s v="No"/>
    <n v="506628.12262752"/>
    <n v="4.4946231170928056E-3"/>
    <n v="578343.46900000004"/>
    <n v="7.0758311284464092E-3"/>
    <n v="174906.90572255998"/>
    <n v="1.5517113770207572E-3"/>
    <n v="483872.49900000001"/>
    <n v="5.9200116784293693E-3"/>
    <n v="331721.21690495999"/>
    <n v="2.9429117400720482E-3"/>
    <n v="94470.97"/>
    <n v="1.1558194500170397E-3"/>
    <m/>
    <n v="3"/>
    <s v="No"/>
    <m/>
  </r>
  <r>
    <x v="344"/>
    <s v="MERIDEN"/>
    <s v="No"/>
    <n v="72013.899225600006"/>
    <n v="6.3888150253621837E-4"/>
    <n v="39596.46"/>
    <n v="4.8444891187019367E-4"/>
    <n v="72013.899225600006"/>
    <n v="6.3888150253621837E-4"/>
    <n v="39596.46"/>
    <n v="4.8444891187019367E-4"/>
    <n v="0"/>
    <n v="0"/>
    <n v="0"/>
    <n v="0"/>
    <m/>
    <n v="2"/>
    <s v="No"/>
    <m/>
  </r>
  <r>
    <x v="345"/>
    <s v="MERIDEN"/>
    <s v="No"/>
    <n v="25513.065071999998"/>
    <n v="2.2634276886522616E-4"/>
    <n v="677.99"/>
    <n v="8.2949717666395595E-6"/>
    <n v="25513.065071999998"/>
    <n v="2.2634276886522616E-4"/>
    <n v="677.99"/>
    <n v="8.2949717666395595E-6"/>
    <n v="0"/>
    <n v="0"/>
    <n v="0"/>
    <n v="0"/>
    <m/>
    <n v="5"/>
    <s v="No"/>
    <m/>
  </r>
  <r>
    <x v="346"/>
    <s v="MERIDEN"/>
    <s v="No"/>
    <n v="39338.779705920009"/>
    <n v="3.4899955365179114E-4"/>
    <n v="134145.59239999999"/>
    <n v="1.6412246516573079E-3"/>
    <n v="39338.779705920009"/>
    <n v="3.4899955365179114E-4"/>
    <n v="134145.59239999999"/>
    <n v="1.6412246516573079E-3"/>
    <n v="0"/>
    <n v="0"/>
    <n v="0"/>
    <n v="0"/>
    <m/>
    <n v="5"/>
    <s v="No"/>
    <m/>
  </r>
  <r>
    <x v="20"/>
    <s v="MERIDEN"/>
    <s v="No"/>
    <n v="74736.719772479992"/>
    <n v="6.6303739050831113E-4"/>
    <n v="22467.59"/>
    <n v="2.7488314682286362E-4"/>
    <n v="74736.719772479992"/>
    <n v="6.6303739050831113E-4"/>
    <n v="22467.59"/>
    <n v="2.7488314682286362E-4"/>
    <n v="0"/>
    <n v="0"/>
    <n v="0"/>
    <n v="0"/>
    <m/>
    <n v="3"/>
    <s v="No"/>
    <m/>
  </r>
  <r>
    <x v="347"/>
    <s v="MERIDEN"/>
    <s v="No"/>
    <n v="71849.104246079994"/>
    <n v="6.3741950054412597E-4"/>
    <n v="40708.639999999999"/>
    <n v="4.9805604722531868E-4"/>
    <n v="71849.104246079994"/>
    <n v="6.3741950054412597E-4"/>
    <n v="40708.639999999999"/>
    <n v="4.9805604722531868E-4"/>
    <n v="0"/>
    <n v="0"/>
    <n v="0"/>
    <n v="0"/>
    <m/>
    <n v="2"/>
    <s v="No"/>
    <m/>
  </r>
  <r>
    <x v="348"/>
    <s v="MERIDEN"/>
    <s v="No"/>
    <n v="95.069462399999992"/>
    <n v="8.4342219538962138E-7"/>
    <n v="0"/>
    <n v="0"/>
    <n v="95.069462399999992"/>
    <n v="8.4342219538962138E-7"/>
    <n v="0"/>
    <n v="0"/>
    <n v="0"/>
    <n v="0"/>
    <n v="0"/>
    <n v="0"/>
    <m/>
    <n v="4"/>
    <s v="No"/>
    <m/>
  </r>
  <r>
    <x v="349"/>
    <s v="MERIDEN"/>
    <s v="No"/>
    <n v="292.10284799999999"/>
    <n v="2.5914317712574011E-6"/>
    <n v="264.70999999999998"/>
    <n v="3.2386347532370057E-6"/>
    <n v="292.10284799999999"/>
    <n v="2.5914317712574011E-6"/>
    <n v="264.70999999999998"/>
    <n v="3.2386347532370057E-6"/>
    <n v="0"/>
    <n v="0"/>
    <n v="0"/>
    <n v="0"/>
    <m/>
    <n v="2"/>
    <s v="No"/>
    <m/>
  </r>
  <r>
    <x v="90"/>
    <s v="MERIDEN"/>
    <s v="No"/>
    <n v="718.03117440000005"/>
    <n v="6.3701152208328485E-6"/>
    <n v="0"/>
    <n v="0"/>
    <n v="718.03117440000005"/>
    <n v="6.3701152208328485E-6"/>
    <n v="0"/>
    <n v="0"/>
    <n v="0"/>
    <n v="0"/>
    <n v="0"/>
    <n v="0"/>
    <m/>
    <n v="4"/>
    <s v="No"/>
    <m/>
  </r>
  <r>
    <x v="350"/>
    <s v="MIDDLEBURY"/>
    <s v="No"/>
    <n v="166541.10562656002"/>
    <n v="1.477492997059044E-3"/>
    <n v="51741.262999999999"/>
    <n v="6.3303635120764621E-4"/>
    <n v="107042.58100224001"/>
    <n v="9.4964341219500427E-4"/>
    <n v="48404.012999999999"/>
    <n v="5.9220625853929139E-4"/>
    <n v="59498.524624320002"/>
    <n v="5.2784958486403963E-4"/>
    <n v="3337.25"/>
    <n v="4.0830092668354795E-5"/>
    <m/>
    <n v="2"/>
    <s v="No"/>
    <m/>
  </r>
  <r>
    <x v="351"/>
    <s v="MIDDLEBURY"/>
    <s v="No"/>
    <n v="66473.724133440017"/>
    <n v="5.8973105484132877E-4"/>
    <n v="18638.996200000001"/>
    <n v="2.2804163370772731E-4"/>
    <n v="66473.724133440017"/>
    <n v="5.8973105484132877E-4"/>
    <n v="18638.996200000001"/>
    <n v="2.2804163370772731E-4"/>
    <n v="0"/>
    <n v="0"/>
    <n v="0"/>
    <n v="0"/>
    <m/>
    <n v="3"/>
    <s v="No"/>
    <m/>
  </r>
  <r>
    <x v="352"/>
    <s v="MIDDLEBURY"/>
    <s v="No"/>
    <n v="381.09985920000003"/>
    <n v="3.3809813561030471E-6"/>
    <n v="0"/>
    <n v="0"/>
    <n v="381.09985920000003"/>
    <n v="3.3809813561030471E-6"/>
    <n v="0"/>
    <n v="0"/>
    <n v="0"/>
    <n v="0"/>
    <n v="0"/>
    <n v="0"/>
    <m/>
    <n v="4"/>
    <s v="No"/>
    <m/>
  </r>
  <r>
    <x v="353"/>
    <s v="MIDDLEFIELD"/>
    <s v="No"/>
    <n v="124991.71460640003"/>
    <n v="1.1088816921598888E-3"/>
    <n v="131187.26260000002"/>
    <n v="1.6050305158036694E-3"/>
    <n v="98224.217153280013"/>
    <n v="8.714100488260081E-4"/>
    <n v="53267.192600000002"/>
    <n v="6.5170556896879258E-4"/>
    <n v="26767.497453120006"/>
    <n v="2.3747164333388064E-4"/>
    <n v="77920.070000000007"/>
    <n v="9.5332494683487686E-4"/>
    <m/>
    <n v="1"/>
    <s v="No"/>
    <m/>
  </r>
  <r>
    <x v="141"/>
    <s v="MIDDLEFIELD"/>
    <s v="No"/>
    <n v="395.59501440000003"/>
    <n v="3.5095771776493913E-6"/>
    <n v="0"/>
    <n v="0"/>
    <n v="395.59501440000003"/>
    <n v="3.5095771776493913E-6"/>
    <n v="0"/>
    <n v="0"/>
    <n v="0"/>
    <n v="0"/>
    <n v="0"/>
    <n v="0"/>
    <m/>
    <n v="1"/>
    <s v="No"/>
    <m/>
  </r>
  <r>
    <x v="354"/>
    <s v="MIDDLETOWN"/>
    <s v="No"/>
    <n v="32800.354997759998"/>
    <n v="2.9099299315875463E-4"/>
    <n v="3801.79"/>
    <n v="4.6513577947598945E-5"/>
    <n v="32734.81420416"/>
    <n v="2.9041153872922282E-4"/>
    <n v="3801.79"/>
    <n v="4.6513577947598945E-5"/>
    <n v="65.540793600000001"/>
    <n v="5.8145442953183307E-7"/>
    <n v="0"/>
    <n v="0"/>
    <m/>
    <n v="4"/>
    <s v="Yes"/>
    <m/>
  </r>
  <r>
    <x v="355"/>
    <s v="MIDDLETOWN"/>
    <s v="No"/>
    <n v="93768.011069760003"/>
    <n v="8.3187618565701824E-4"/>
    <n v="34895.177799999998"/>
    <n v="4.2693035980304652E-4"/>
    <n v="93768.011069760003"/>
    <n v="8.3187618565701824E-4"/>
    <n v="34895.177799999998"/>
    <n v="4.2693035980304652E-4"/>
    <n v="0"/>
    <n v="0"/>
    <n v="0"/>
    <n v="0"/>
    <m/>
    <n v="4"/>
    <s v="No"/>
    <m/>
  </r>
  <r>
    <x v="356"/>
    <s v="MIDDLETOWN"/>
    <s v="No"/>
    <n v="500137.82079263998"/>
    <n v="4.4370434854831943E-3"/>
    <n v="452025.68660000002"/>
    <n v="5.5303770087211639E-3"/>
    <n v="160261.96821695997"/>
    <n v="1.4217867405444601E-3"/>
    <n v="356256.52659999998"/>
    <n v="4.3586746557147966E-3"/>
    <n v="339875.85257568001"/>
    <n v="3.015256744938734E-3"/>
    <n v="95769.16"/>
    <n v="1.1717023530063667E-3"/>
    <m/>
    <n v="4"/>
    <s v="No"/>
    <m/>
  </r>
  <r>
    <x v="357"/>
    <s v="MIDDLETOWN"/>
    <s v="No"/>
    <n v="69125.694399359985"/>
    <n v="6.1325838451507071E-4"/>
    <n v="17537.349699999999"/>
    <n v="2.1456337206033236E-4"/>
    <n v="69095.818402559991"/>
    <n v="6.1299333537968717E-4"/>
    <n v="17537.349699999999"/>
    <n v="2.1456337206033236E-4"/>
    <n v="29.875996800000003"/>
    <n v="2.6504913538365933E-7"/>
    <n v="0"/>
    <n v="0"/>
    <m/>
    <n v="2"/>
    <s v="No"/>
    <m/>
  </r>
  <r>
    <x v="358"/>
    <s v="MIDDLETOWN"/>
    <s v="No"/>
    <n v="112928.96280384"/>
    <n v="1.0018652817278121E-3"/>
    <n v="285103.42810000002"/>
    <n v="3.4881412508468439E-3"/>
    <n v="112928.96280384"/>
    <n v="1.0018652817278121E-3"/>
    <n v="285103.42810000002"/>
    <n v="3.4881412508468439E-3"/>
    <n v="0"/>
    <n v="0"/>
    <n v="0"/>
    <n v="0"/>
    <m/>
    <n v="2"/>
    <s v="No"/>
    <m/>
  </r>
  <r>
    <x v="359"/>
    <s v="MIDDLETOWN"/>
    <s v="No"/>
    <n v="21092.82943392"/>
    <n v="1.8712802259556726E-4"/>
    <n v="7092.3125"/>
    <n v="8.6771975910684268E-5"/>
    <n v="21092.82943392"/>
    <n v="1.8712802259556726E-4"/>
    <n v="7092.3125"/>
    <n v="8.6771975910684268E-5"/>
    <n v="0"/>
    <n v="0"/>
    <n v="0"/>
    <n v="0"/>
    <m/>
    <n v="5"/>
    <s v="No"/>
    <m/>
  </r>
  <r>
    <x v="360"/>
    <s v="MIDDLETOWN"/>
    <s v="No"/>
    <n v="15013.82183904"/>
    <n v="1.3319724606617489E-4"/>
    <n v="37706.81"/>
    <n v="4.6132970155908222E-4"/>
    <n v="15013.82183904"/>
    <n v="1.3319724606617489E-4"/>
    <n v="37706.81"/>
    <n v="4.6132970155908222E-4"/>
    <n v="0"/>
    <n v="0"/>
    <n v="0"/>
    <n v="0"/>
    <m/>
    <n v="5"/>
    <s v="Yes"/>
    <m/>
  </r>
  <r>
    <x v="361"/>
    <s v="MIDDLETOWN"/>
    <s v="No"/>
    <n v="36521.771909760006"/>
    <n v="3.2400807016290433E-4"/>
    <n v="4608.43"/>
    <n v="5.6382537704884649E-5"/>
    <n v="36521.771909760006"/>
    <n v="3.2400807016290433E-4"/>
    <n v="4608.43"/>
    <n v="5.6382537704884649E-5"/>
    <n v="0"/>
    <n v="0"/>
    <n v="0"/>
    <n v="0"/>
    <m/>
    <n v="4"/>
    <s v="Yes"/>
    <m/>
  </r>
  <r>
    <x v="362"/>
    <s v="MIDDLETOWN"/>
    <s v="No"/>
    <n v="71103.73662144001"/>
    <n v="6.3080686613475954E-4"/>
    <n v="22533.360000000001"/>
    <n v="2.7568781989044849E-4"/>
    <n v="71103.73662144001"/>
    <n v="6.3080686613475954E-4"/>
    <n v="22533.360000000001"/>
    <n v="2.7568781989044849E-4"/>
    <n v="0"/>
    <n v="0"/>
    <n v="0"/>
    <n v="0"/>
    <m/>
    <n v="2"/>
    <s v="No"/>
    <m/>
  </r>
  <r>
    <x v="363"/>
    <s v="MIDDLETOWN"/>
    <s v="No"/>
    <n v="59097.286108800006"/>
    <n v="5.2428994056721075E-4"/>
    <n v="30046.16"/>
    <n v="3.6760431406943295E-4"/>
    <n v="59097.286108800006"/>
    <n v="5.2428994056721075E-4"/>
    <n v="30046.16"/>
    <n v="3.6760431406943295E-4"/>
    <n v="0"/>
    <n v="0"/>
    <n v="0"/>
    <n v="0"/>
    <m/>
    <n v="4"/>
    <s v="No"/>
    <m/>
  </r>
  <r>
    <x v="364"/>
    <s v="MIDDLETOWN"/>
    <s v="No"/>
    <n v="46529.618961600005"/>
    <n v="4.1279410217044877E-4"/>
    <n v="11053.972100000001"/>
    <n v="1.3524150279314062E-4"/>
    <n v="46529.618961600005"/>
    <n v="4.1279410217044877E-4"/>
    <n v="11053.972100000001"/>
    <n v="1.3524150279314062E-4"/>
    <n v="0"/>
    <n v="0"/>
    <n v="0"/>
    <n v="0"/>
    <m/>
    <n v="3"/>
    <s v="No"/>
    <m/>
  </r>
  <r>
    <x v="353"/>
    <s v="MIDDLETOWN"/>
    <s v="No"/>
    <n v="289.41684480000004"/>
    <n v="2.5676025135906669E-6"/>
    <n v="0"/>
    <n v="0"/>
    <n v="289.41684480000004"/>
    <n v="2.5676025135906669E-6"/>
    <n v="0"/>
    <n v="0"/>
    <n v="0"/>
    <n v="0"/>
    <n v="0"/>
    <n v="0"/>
    <m/>
    <n v="1"/>
    <s v="No"/>
    <m/>
  </r>
  <r>
    <x v="149"/>
    <s v="MIDDLETOWN"/>
    <s v="No"/>
    <n v="599.83545600000002"/>
    <n v="5.3215251711789913E-6"/>
    <n v="0"/>
    <n v="0"/>
    <n v="599.83545600000002"/>
    <n v="5.3215251711789913E-6"/>
    <n v="0"/>
    <n v="0"/>
    <n v="0"/>
    <n v="0"/>
    <n v="0"/>
    <n v="0"/>
    <m/>
    <n v="1"/>
    <s v="No"/>
    <m/>
  </r>
  <r>
    <x v="365"/>
    <s v="MIDDLETOWN"/>
    <s v="No"/>
    <n v="109151.62550496"/>
    <n v="9.683540990943814E-4"/>
    <n v="359384.16"/>
    <n v="4.3969401622110556E-3"/>
    <n v="109151.62550496"/>
    <n v="9.683540990943814E-4"/>
    <n v="359384.16"/>
    <n v="4.3969401622110556E-3"/>
    <n v="0"/>
    <n v="0"/>
    <n v="0"/>
    <n v="0"/>
    <m/>
    <n v="2"/>
    <s v="No"/>
    <m/>
  </r>
  <r>
    <x v="366"/>
    <s v="MONROE"/>
    <s v="No"/>
    <n v="100563.03417888001"/>
    <n v="8.921591951927617E-4"/>
    <n v="20403.166799999999"/>
    <n v="2.4962564721609106E-4"/>
    <n v="100563.03417888001"/>
    <n v="8.921591951927617E-4"/>
    <n v="20403.166799999999"/>
    <n v="2.4962564721609106E-4"/>
    <n v="0"/>
    <n v="0"/>
    <n v="0"/>
    <n v="0"/>
    <m/>
    <n v="3"/>
    <s v="No"/>
    <m/>
  </r>
  <r>
    <x v="367"/>
    <s v="MONROE"/>
    <s v="No"/>
    <n v="133580.15600255999"/>
    <n v="1.1850752659369962E-3"/>
    <n v="32119.5658"/>
    <n v="3.9297171266201798E-4"/>
    <n v="133580.15600255999"/>
    <n v="1.1850752659369962E-3"/>
    <n v="32119.5658"/>
    <n v="3.9297171266201798E-4"/>
    <n v="0"/>
    <n v="0"/>
    <n v="0"/>
    <n v="0"/>
    <m/>
    <n v="4"/>
    <s v="No"/>
    <m/>
  </r>
  <r>
    <x v="368"/>
    <s v="MONROE"/>
    <s v="No"/>
    <n v="256326.97744223999"/>
    <n v="2.2740410705417015E-3"/>
    <n v="156101.05499999999"/>
    <n v="1.9098420979183305E-3"/>
    <n v="139355.86578912"/>
    <n v="1.2363152930196966E-3"/>
    <n v="96915.585000000006"/>
    <n v="1.1857284640221189E-3"/>
    <n v="116971.11165312"/>
    <n v="1.0377257775220049E-3"/>
    <n v="59185.47"/>
    <n v="7.2411363389621175E-4"/>
    <m/>
    <n v="2"/>
    <s v="No"/>
    <m/>
  </r>
  <r>
    <x v="369"/>
    <s v="MONROE"/>
    <s v="No"/>
    <n v="279.45432000000005"/>
    <n v="2.4792185643569375E-6"/>
    <n v="0"/>
    <n v="0"/>
    <n v="279.45432000000005"/>
    <n v="2.4792185643569375E-6"/>
    <n v="0"/>
    <n v="0"/>
    <n v="0"/>
    <n v="0"/>
    <n v="0"/>
    <n v="0"/>
    <m/>
    <n v="3"/>
    <s v="No"/>
    <m/>
  </r>
  <r>
    <x v="370"/>
    <s v="MONROE"/>
    <s v="No"/>
    <n v="763.01015040000004"/>
    <n v="6.7691525744331265E-6"/>
    <n v="0"/>
    <n v="0"/>
    <n v="763.01015040000004"/>
    <n v="6.7691525744331265E-6"/>
    <n v="0"/>
    <n v="0"/>
    <n v="0"/>
    <n v="0"/>
    <n v="0"/>
    <n v="0"/>
    <m/>
    <n v="1"/>
    <s v="No"/>
    <m/>
  </r>
  <r>
    <x v="29"/>
    <s v="MONROE"/>
    <s v="No"/>
    <n v="408.54455999999999"/>
    <n v="3.6244609048056099E-6"/>
    <n v="1374.16"/>
    <n v="1.6812369508171827E-5"/>
    <n v="408.54455999999999"/>
    <n v="3.6244609048056099E-6"/>
    <n v="1374.16"/>
    <n v="1.6812369508171827E-5"/>
    <n v="0"/>
    <n v="0"/>
    <n v="0"/>
    <n v="0"/>
    <m/>
    <n v="2"/>
    <s v="No"/>
    <m/>
  </r>
  <r>
    <x v="371"/>
    <s v="MONTVILLE"/>
    <s v="No"/>
    <n v="386.32135679999999"/>
    <n v="3.427304611308639E-6"/>
    <n v="467.33"/>
    <n v="5.7176199585593669E-6"/>
    <n v="386.32135679999999"/>
    <n v="3.427304611308639E-6"/>
    <n v="467.33"/>
    <n v="5.7176199585593669E-6"/>
    <n v="0"/>
    <n v="0"/>
    <n v="0"/>
    <n v="0"/>
    <m/>
    <n v="2"/>
    <s v="No"/>
    <m/>
  </r>
  <r>
    <x v="372"/>
    <s v="MONTVILLE"/>
    <s v="No"/>
    <n v="192522.74222016"/>
    <n v="1.7079927645173843E-3"/>
    <n v="190334.15599999999"/>
    <n v="2.3286721784202854E-3"/>
    <n v="106350.08769791998"/>
    <n v="9.4349985980417663E-4"/>
    <n v="162569.386"/>
    <n v="1.9889798772694707E-3"/>
    <n v="86172.654522240016"/>
    <n v="7.6449290471320753E-4"/>
    <n v="27764.77"/>
    <n v="3.3969230115081495E-4"/>
    <m/>
    <n v="3"/>
    <s v="No"/>
    <m/>
  </r>
  <r>
    <x v="166"/>
    <s v="MONTVILLE"/>
    <s v="No"/>
    <n v="99676.927511999995"/>
    <n v="8.8429797444466453E-4"/>
    <n v="14638.392099999999"/>
    <n v="1.7909563441717363E-4"/>
    <n v="99676.927511999995"/>
    <n v="8.8429797444466453E-4"/>
    <n v="14638.392099999999"/>
    <n v="1.7909563441717363E-4"/>
    <n v="0"/>
    <n v="0"/>
    <n v="0"/>
    <n v="0"/>
    <m/>
    <n v="3"/>
    <s v="No"/>
    <m/>
  </r>
  <r>
    <x v="106"/>
    <s v="MONTVILLE"/>
    <s v="No"/>
    <n v="663.31543680000004"/>
    <n v="5.8846968081906578E-6"/>
    <n v="0"/>
    <n v="0"/>
    <n v="663.31543680000004"/>
    <n v="5.8846968081906578E-6"/>
    <n v="0"/>
    <n v="0"/>
    <n v="0"/>
    <n v="0"/>
    <n v="0"/>
    <n v="0"/>
    <m/>
    <n v="3"/>
    <s v="No"/>
    <m/>
  </r>
  <r>
    <x v="168"/>
    <s v="MONTVILLE"/>
    <s v="No"/>
    <n v="658.65545280000003"/>
    <n v="5.8433551003852238E-6"/>
    <n v="0"/>
    <n v="0"/>
    <n v="658.65545280000003"/>
    <n v="5.8433551003852238E-6"/>
    <n v="0"/>
    <n v="0"/>
    <n v="0"/>
    <n v="0"/>
    <n v="0"/>
    <n v="0"/>
    <m/>
    <n v="4"/>
    <s v="No"/>
    <m/>
  </r>
  <r>
    <x v="373"/>
    <s v="MONTVILLE"/>
    <s v="No"/>
    <n v="80574.145113599996"/>
    <n v="7.1482493587083176E-4"/>
    <n v="31425.54"/>
    <n v="3.8448054846148487E-4"/>
    <n v="80574.145113599996"/>
    <n v="7.1482493587083176E-4"/>
    <n v="31425.54"/>
    <n v="3.8448054846148487E-4"/>
    <n v="0"/>
    <n v="0"/>
    <n v="0"/>
    <n v="0"/>
    <m/>
    <n v="5"/>
    <s v="No"/>
    <m/>
  </r>
  <r>
    <x v="374"/>
    <s v="MONTVILLE"/>
    <s v="No"/>
    <n v="40248.384848640002"/>
    <n v="3.5706924445516093E-4"/>
    <n v="10395.2546"/>
    <n v="1.2718232335879587E-4"/>
    <n v="40248.384848640002"/>
    <n v="3.5706924445516093E-4"/>
    <n v="10395.2546"/>
    <n v="1.2718232335879587E-4"/>
    <n v="0"/>
    <n v="0"/>
    <n v="0"/>
    <n v="0"/>
    <m/>
    <n v="5"/>
    <s v="No"/>
    <m/>
  </r>
  <r>
    <x v="304"/>
    <s v="MORRIS"/>
    <s v="No"/>
    <n v="536.4886176"/>
    <n v="4.7595347258189093E-6"/>
    <n v="0"/>
    <n v="0"/>
    <n v="536.4886176"/>
    <n v="4.7595347258189093E-6"/>
    <n v="0"/>
    <n v="0"/>
    <n v="0"/>
    <n v="0"/>
    <n v="0"/>
    <n v="0"/>
    <m/>
    <n v="1"/>
    <s v="No"/>
    <m/>
  </r>
  <r>
    <x v="30"/>
    <s v="MORRIS"/>
    <s v="No"/>
    <n v="70145.255482560009"/>
    <n v="6.2230356501170923E-4"/>
    <n v="31889.019799999998"/>
    <n v="3.9015106256258921E-4"/>
    <n v="58713.956403840006"/>
    <n v="5.2088917681875166E-4"/>
    <n v="31889.019799999998"/>
    <n v="3.9015106256258921E-4"/>
    <n v="11431.29907872"/>
    <n v="1.0141438819295753E-4"/>
    <n v="0"/>
    <n v="0"/>
    <m/>
    <n v="1"/>
    <s v="No"/>
    <m/>
  </r>
  <r>
    <x v="350"/>
    <s v="NAUGATUCK"/>
    <s v="No"/>
    <n v="231.36675839999998"/>
    <n v="2.052602953500115E-6"/>
    <n v="0"/>
    <n v="0"/>
    <n v="231.36675839999998"/>
    <n v="2.052602953500115E-6"/>
    <n v="0"/>
    <n v="0"/>
    <n v="0"/>
    <n v="0"/>
    <n v="0"/>
    <n v="0"/>
    <m/>
    <n v="2"/>
    <s v="No"/>
    <m/>
  </r>
  <r>
    <x v="375"/>
    <s v="NAUGATUCK"/>
    <s v="No"/>
    <n v="115370.42856768001"/>
    <n v="1.0235250909086256E-3"/>
    <n v="53359.099099999999"/>
    <n v="6.5283001302057894E-4"/>
    <n v="115340.70307968001"/>
    <n v="1.0232613770333699E-3"/>
    <n v="53359.099099999999"/>
    <n v="6.5283001302057894E-4"/>
    <n v="29.725488000000002"/>
    <n v="2.6371387525578193E-7"/>
    <n v="0"/>
    <n v="0"/>
    <m/>
    <n v="2"/>
    <s v="No"/>
    <m/>
  </r>
  <r>
    <x v="376"/>
    <s v="NAUGATUCK"/>
    <s v="No"/>
    <n v="120469.52720159998"/>
    <n v="1.0687624663576847E-3"/>
    <n v="55301.3724"/>
    <n v="6.7659305109871843E-4"/>
    <n v="120430.25714015999"/>
    <n v="1.0684140764478582E-3"/>
    <n v="55301.3724"/>
    <n v="6.7659305109871843E-4"/>
    <n v="39.270061440000006"/>
    <n v="3.4838990982671347E-7"/>
    <n v="0"/>
    <n v="0"/>
    <m/>
    <n v="4"/>
    <s v="No"/>
    <m/>
  </r>
  <r>
    <x v="377"/>
    <s v="NAUGATUCK"/>
    <s v="No"/>
    <n v="76552.852731840016"/>
    <n v="6.7914947118105184E-4"/>
    <n v="51535.862300000001"/>
    <n v="6.3052334510527305E-4"/>
    <n v="76552.852731840016"/>
    <n v="6.7914947118105184E-4"/>
    <n v="51535.862300000001"/>
    <n v="6.3052334510527305E-4"/>
    <n v="0"/>
    <n v="0"/>
    <n v="0"/>
    <n v="0"/>
    <m/>
    <n v="3"/>
    <s v="No"/>
    <m/>
  </r>
  <r>
    <x v="378"/>
    <s v="NAUGATUCK"/>
    <s v="No"/>
    <n v="93780.901569599999"/>
    <n v="8.3199054555135497E-4"/>
    <n v="25594.8802"/>
    <n v="3.131444543865276E-4"/>
    <n v="93771.541079999995"/>
    <n v="8.319075026426327E-4"/>
    <n v="25594.8802"/>
    <n v="3.131444543865276E-4"/>
    <n v="9.3604896000000011"/>
    <n v="8.3042908722219938E-8"/>
    <n v="0"/>
    <n v="0"/>
    <m/>
    <n v="4"/>
    <s v="No"/>
    <m/>
  </r>
  <r>
    <x v="352"/>
    <s v="NAUGATUCK"/>
    <s v="No"/>
    <n v="283435.20482112002"/>
    <n v="2.5145355476516936E-3"/>
    <n v="1161160.6663000002"/>
    <n v="1.4206396766163041E-2"/>
    <n v="141079.33048031997"/>
    <n v="1.2516052540317028E-3"/>
    <n v="1079229.5663000001"/>
    <n v="1.3203998262778443E-2"/>
    <n v="142355.87434080002"/>
    <n v="1.2629302936199903E-3"/>
    <n v="81931.100000000006"/>
    <n v="1.0023985033845962E-3"/>
    <m/>
    <n v="4"/>
    <s v="No"/>
    <m/>
  </r>
  <r>
    <x v="379"/>
    <s v="NAUGATUCK"/>
    <s v="No"/>
    <n v="364.28918399999998"/>
    <n v="3.2318430710508967E-6"/>
    <n v="0"/>
    <n v="0"/>
    <n v="364.28918399999998"/>
    <n v="3.2318430710508967E-6"/>
    <n v="0"/>
    <n v="0"/>
    <n v="0"/>
    <n v="0"/>
    <n v="0"/>
    <n v="0"/>
    <m/>
    <n v="2"/>
    <s v="No"/>
    <m/>
  </r>
  <r>
    <x v="380"/>
    <s v="NAUGATUCK"/>
    <s v="No"/>
    <n v="782.27527680000003"/>
    <n v="6.9400658708014303E-6"/>
    <n v="0"/>
    <n v="0"/>
    <n v="782.27527680000003"/>
    <n v="6.9400658708014303E-6"/>
    <n v="0"/>
    <n v="0"/>
    <n v="0"/>
    <n v="0"/>
    <n v="0"/>
    <n v="0"/>
    <m/>
    <n v="2"/>
    <s v="No"/>
    <m/>
  </r>
  <r>
    <x v="381"/>
    <s v="NAUGATUCK"/>
    <s v="No"/>
    <n v="679.60511999999994"/>
    <n v="6.0292130389540004E-6"/>
    <n v="0"/>
    <n v="0"/>
    <n v="679.60511999999994"/>
    <n v="6.0292130389540004E-6"/>
    <n v="0"/>
    <n v="0"/>
    <n v="0"/>
    <n v="0"/>
    <n v="0"/>
    <n v="0"/>
    <m/>
    <n v="4"/>
    <s v="No"/>
    <m/>
  </r>
  <r>
    <x v="18"/>
    <s v="NEW BRITAIN"/>
    <s v="No"/>
    <n v="617.43919679999999"/>
    <n v="5.47769924998188E-6"/>
    <n v="436.28"/>
    <n v="5.3377340113416223E-6"/>
    <n v="617.43919679999999"/>
    <n v="5.47769924998188E-6"/>
    <n v="436.28"/>
    <n v="5.3377340113416223E-6"/>
    <n v="0"/>
    <n v="0"/>
    <n v="0"/>
    <n v="0"/>
    <m/>
    <n v="2"/>
    <s v="No"/>
    <m/>
  </r>
  <r>
    <x v="382"/>
    <s v="NEW BRITAIN"/>
    <s v="No"/>
    <n v="61846.119786240008"/>
    <n v="5.4867660770994379E-4"/>
    <n v="907.27"/>
    <n v="1.1100132796529555E-5"/>
    <n v="61846.119786240008"/>
    <n v="5.4867660770994379E-4"/>
    <n v="907.27"/>
    <n v="1.1100132796529555E-5"/>
    <n v="0"/>
    <n v="0"/>
    <n v="0"/>
    <n v="0"/>
    <m/>
    <n v="5"/>
    <s v="Yes"/>
    <m/>
  </r>
  <r>
    <x v="383"/>
    <s v="NEW BRITAIN"/>
    <s v="No"/>
    <n v="60029.682335999998"/>
    <n v="5.3256182570325227E-4"/>
    <n v="7314.39"/>
    <n v="8.948901685893704E-5"/>
    <n v="60029.682335999998"/>
    <n v="5.3256182570325227E-4"/>
    <n v="7314.39"/>
    <n v="8.948901685893704E-5"/>
    <n v="0"/>
    <n v="0"/>
    <n v="0"/>
    <n v="0"/>
    <m/>
    <n v="3"/>
    <s v="Yes"/>
    <m/>
  </r>
  <r>
    <x v="384"/>
    <s v="NEW BRITAIN"/>
    <s v="No"/>
    <n v="30047.905635839998"/>
    <n v="2.6657424895925729E-4"/>
    <n v="2366.27"/>
    <n v="2.8950490187534019E-5"/>
    <n v="30047.905635839998"/>
    <n v="2.6657424895925729E-4"/>
    <n v="2366.27"/>
    <n v="2.8950490187534019E-5"/>
    <n v="0"/>
    <n v="0"/>
    <n v="0"/>
    <n v="0"/>
    <m/>
    <n v="4"/>
    <s v="Yes"/>
    <m/>
  </r>
  <r>
    <x v="385"/>
    <s v="NEW BRITAIN"/>
    <s v="No"/>
    <n v="37752.075993600003"/>
    <n v="3.3492288702621233E-4"/>
    <n v="1307.4318000000001"/>
    <n v="1.5995973196959748E-5"/>
    <n v="37751.387126400004"/>
    <n v="3.3491677564331937E-4"/>
    <n v="1307.4318000000001"/>
    <n v="1.5995973196959748E-5"/>
    <n v="0.68886720000000001"/>
    <n v="6.1113828929772247E-9"/>
    <n v="0"/>
    <n v="0"/>
    <m/>
    <n v="5"/>
    <s v="No"/>
    <m/>
  </r>
  <r>
    <x v="386"/>
    <s v="NEW BRITAIN"/>
    <s v="No"/>
    <n v="35649.427536000003"/>
    <n v="3.1626894354665403E-4"/>
    <n v="7072.64"/>
    <n v="8.6531289717555734E-5"/>
    <n v="35649.427536000003"/>
    <n v="3.1626894354665403E-4"/>
    <n v="7072.64"/>
    <n v="8.6531289717555734E-5"/>
    <n v="0"/>
    <n v="0"/>
    <n v="0"/>
    <n v="0"/>
    <m/>
    <n v="4"/>
    <s v="No"/>
    <m/>
  </r>
  <r>
    <x v="387"/>
    <s v="NEW BRITAIN"/>
    <s v="No"/>
    <n v="33526.781089920005"/>
    <n v="2.9743758508102785E-4"/>
    <n v="4495.78"/>
    <n v="5.5004304147587416E-5"/>
    <n v="33526.124061120005"/>
    <n v="2.9743175615700807E-4"/>
    <n v="4495.78"/>
    <n v="5.5004304147587416E-5"/>
    <n v="0.65702879999999997"/>
    <n v="5.8289240197723945E-9"/>
    <n v="0"/>
    <n v="0"/>
    <m/>
    <n v="3"/>
    <s v="No"/>
    <m/>
  </r>
  <r>
    <x v="388"/>
    <s v="NEW BRITAIN"/>
    <s v="Yes"/>
    <n v="13994.03441376"/>
    <n v="1.2415005754372893E-4"/>
    <n v="1500.57"/>
    <n v="1.835895187814912E-5"/>
    <n v="13994.03441376"/>
    <n v="1.2415005754372893E-4"/>
    <n v="1500.57"/>
    <n v="1.835895187814912E-5"/>
    <n v="0"/>
    <n v="0"/>
    <n v="0"/>
    <n v="0"/>
    <m/>
    <n v="4"/>
    <e v="#N/A"/>
    <m/>
  </r>
  <r>
    <x v="389"/>
    <s v="NEW BRITAIN"/>
    <s v="No"/>
    <n v="53175.932429759996"/>
    <n v="4.7175781307245876E-4"/>
    <n v="772.94"/>
    <n v="9.4566519820445456E-6"/>
    <n v="53175.932429759996"/>
    <n v="4.7175781307245876E-4"/>
    <n v="772.94"/>
    <n v="9.4566519820445456E-6"/>
    <n v="0"/>
    <n v="0"/>
    <n v="0"/>
    <n v="0"/>
    <m/>
    <n v="3"/>
    <s v="Yes"/>
    <m/>
  </r>
  <r>
    <x v="390"/>
    <s v="NEW BRITAIN"/>
    <s v="No"/>
    <n v="45937.126019520001"/>
    <n v="4.0753771715104663E-4"/>
    <n v="2835.0911999999998"/>
    <n v="3.4686354459281499E-5"/>
    <n v="45937.126019520001"/>
    <n v="4.0753771715104663E-4"/>
    <n v="2835.0911999999998"/>
    <n v="3.4686354459281499E-5"/>
    <n v="0"/>
    <n v="0"/>
    <n v="0"/>
    <n v="0"/>
    <m/>
    <n v="5"/>
    <s v="Yes"/>
    <m/>
  </r>
  <r>
    <x v="391"/>
    <s v="NEW BRITAIN"/>
    <s v="No"/>
    <n v="25037.862480000003"/>
    <n v="2.2212694179224722E-4"/>
    <n v="31916.26"/>
    <n v="3.9048433693229616E-4"/>
    <n v="25037.862480000003"/>
    <n v="2.2212694179224722E-4"/>
    <n v="31916.26"/>
    <n v="3.9048433693229616E-4"/>
    <n v="0"/>
    <n v="0"/>
    <n v="0"/>
    <n v="0"/>
    <m/>
    <n v="4"/>
    <s v="Yes"/>
    <m/>
  </r>
  <r>
    <x v="392"/>
    <s v="NEW BRITAIN"/>
    <s v="No"/>
    <n v="46612.013846400005"/>
    <n v="4.1352508005622346E-4"/>
    <n v="7464.55"/>
    <n v="9.132617221591663E-5"/>
    <n v="46612.013846400005"/>
    <n v="4.1352508005622346E-4"/>
    <n v="7464.55"/>
    <n v="9.132617221591663E-5"/>
    <n v="0"/>
    <n v="0"/>
    <n v="0"/>
    <n v="0"/>
    <m/>
    <n v="4"/>
    <s v="Yes"/>
    <m/>
  </r>
  <r>
    <x v="393"/>
    <s v="NEW BRITAIN"/>
    <s v="No"/>
    <n v="55528.130845440013"/>
    <n v="4.9262567433581257E-4"/>
    <n v="6996.7744000000002"/>
    <n v="8.5603100496388501E-5"/>
    <n v="55528.130845440013"/>
    <n v="4.9262567433581257E-4"/>
    <n v="6996.7744000000002"/>
    <n v="8.5603100496388501E-5"/>
    <n v="0"/>
    <n v="0"/>
    <n v="0"/>
    <n v="0"/>
    <m/>
    <n v="3"/>
    <s v="No"/>
    <m/>
  </r>
  <r>
    <x v="394"/>
    <s v="NEW BRITAIN"/>
    <s v="No"/>
    <n v="58912.03814112"/>
    <n v="5.2264648699497168E-4"/>
    <n v="9258.3799999999992"/>
    <n v="1.1327305816430972E-4"/>
    <n v="58902.579241920001"/>
    <n v="5.2256257103155046E-4"/>
    <n v="9258.3799999999992"/>
    <n v="1.1327305816430972E-4"/>
    <n v="9.4588992000000012"/>
    <n v="8.3915963421216693E-8"/>
    <n v="0"/>
    <n v="0"/>
    <m/>
    <n v="3"/>
    <s v="No"/>
    <m/>
  </r>
  <r>
    <x v="395"/>
    <s v="NEW BRITAIN"/>
    <s v="No"/>
    <n v="21919.58064"/>
    <n v="1.9446266296977235E-4"/>
    <n v="3646.41"/>
    <n v="4.4612557706739262E-5"/>
    <n v="21919.58064"/>
    <n v="1.9446266296977235E-4"/>
    <n v="3646.41"/>
    <n v="4.4612557706739262E-5"/>
    <n v="0"/>
    <n v="0"/>
    <n v="0"/>
    <n v="0"/>
    <m/>
    <n v="4"/>
    <s v="Yes"/>
    <m/>
  </r>
  <r>
    <x v="396"/>
    <s v="NEW BRITAIN"/>
    <s v="No"/>
    <n v="490335.53576543997"/>
    <n v="4.3500811260802257E-3"/>
    <n v="674060.61529999995"/>
    <n v="8.2468971119296578E-3"/>
    <n v="134497.10365920002"/>
    <n v="1.1932100968921433E-3"/>
    <n v="572786.77769999998"/>
    <n v="7.0078469436510114E-3"/>
    <n v="355838.43210623995"/>
    <n v="3.156871029188082E-3"/>
    <n v="101273.8376"/>
    <n v="1.2390501682786469E-3"/>
    <m/>
    <n v="5"/>
    <s v="No"/>
    <m/>
  </r>
  <r>
    <x v="397"/>
    <s v="NEW BRITAIN"/>
    <s v="No"/>
    <n v="37524.223036800002"/>
    <n v="3.3290145726108227E-4"/>
    <n v="42090.9902"/>
    <n v="5.1496862098099143E-4"/>
    <n v="37524.223036800002"/>
    <n v="3.3290145726108227E-4"/>
    <n v="42090.9902"/>
    <n v="5.1496862098099143E-4"/>
    <n v="0"/>
    <n v="0"/>
    <n v="0"/>
    <n v="0"/>
    <m/>
    <n v="5"/>
    <s v="No"/>
    <m/>
  </r>
  <r>
    <x v="388"/>
    <s v="NEW BRITAIN"/>
    <s v="Yes"/>
    <n v="18956.984523840001"/>
    <n v="1.68179572087958E-4"/>
    <n v="1649.1361999999999"/>
    <n v="2.0176607646636748E-5"/>
    <n v="18956.984523840001"/>
    <n v="1.68179572087958E-4"/>
    <n v="1649.1361999999999"/>
    <n v="2.0176607646636748E-5"/>
    <n v="0"/>
    <n v="0"/>
    <n v="0"/>
    <n v="0"/>
    <m/>
    <n v="4"/>
    <e v="#N/A"/>
    <m/>
  </r>
  <r>
    <x v="398"/>
    <s v="NEW BRITAIN"/>
    <s v="No"/>
    <n v="25307.12677536"/>
    <n v="2.2451575811033094E-4"/>
    <n v="29318.762900000002"/>
    <n v="3.5870486362379883E-4"/>
    <n v="25307.12677536"/>
    <n v="2.2451575811033094E-4"/>
    <n v="29318.762900000002"/>
    <n v="3.5870486362379883E-4"/>
    <n v="0"/>
    <n v="0"/>
    <n v="0"/>
    <n v="0"/>
    <m/>
    <n v="4"/>
    <s v="No"/>
    <m/>
  </r>
  <r>
    <x v="399"/>
    <s v="NEW BRITAIN"/>
    <s v="Yes"/>
    <n v="1344.3822288000001"/>
    <n v="1.1926877277232699E-5"/>
    <n v="0"/>
    <n v="0"/>
    <n v="1344.3822288000001"/>
    <n v="1.1926877277232699E-5"/>
    <n v="0"/>
    <n v="0"/>
    <n v="0"/>
    <n v="0"/>
    <n v="0"/>
    <n v="0"/>
    <m/>
    <e v="#N/A"/>
    <e v="#N/A"/>
    <m/>
  </r>
  <r>
    <x v="400"/>
    <s v="NEW BRITAIN"/>
    <s v="No"/>
    <n v="42183.385027200005"/>
    <n v="3.742358724919719E-4"/>
    <n v="6750.4196000000002"/>
    <n v="8.2589035229089372E-5"/>
    <n v="42183.385027200005"/>
    <n v="3.742358724919719E-4"/>
    <n v="6750.4196000000002"/>
    <n v="8.2589035229089372E-5"/>
    <n v="0"/>
    <n v="0"/>
    <n v="0"/>
    <n v="0"/>
    <m/>
    <n v="4"/>
    <s v="No"/>
    <m/>
  </r>
  <r>
    <x v="401"/>
    <s v="NEW BRITAIN"/>
    <s v="No"/>
    <n v="60109.840428480005"/>
    <n v="5.3327295956928048E-4"/>
    <n v="6313.4265999999998"/>
    <n v="7.724257791081163E-5"/>
    <n v="60109.840428480005"/>
    <n v="5.3327295956928048E-4"/>
    <n v="6313.4265999999998"/>
    <n v="7.724257791081163E-5"/>
    <n v="0"/>
    <n v="0"/>
    <n v="0"/>
    <n v="0"/>
    <m/>
    <n v="4"/>
    <s v="No"/>
    <m/>
  </r>
  <r>
    <x v="195"/>
    <s v="NEW BRITAIN"/>
    <s v="No"/>
    <n v="481.512384"/>
    <n v="4.2718052860323154E-6"/>
    <n v="0"/>
    <n v="0"/>
    <n v="481.512384"/>
    <n v="4.2718052860323154E-6"/>
    <n v="0"/>
    <n v="0"/>
    <n v="0"/>
    <n v="0"/>
    <n v="0"/>
    <n v="0"/>
    <m/>
    <n v="3"/>
    <s v="No"/>
    <m/>
  </r>
  <r>
    <x v="196"/>
    <s v="NEW BRITAIN"/>
    <s v="No"/>
    <n v="647.01417600000002"/>
    <n v="5.7400778651097848E-6"/>
    <n v="5360.46"/>
    <n v="6.5583363111846322E-5"/>
    <n v="647.01417600000002"/>
    <n v="5.7400778651097848E-6"/>
    <n v="5360.46"/>
    <n v="6.5583363111846322E-5"/>
    <n v="0"/>
    <n v="0"/>
    <n v="0"/>
    <n v="0"/>
    <m/>
    <n v="4"/>
    <s v="No"/>
    <m/>
  </r>
  <r>
    <x v="402"/>
    <s v="NEW BRITAIN"/>
    <s v="No"/>
    <n v="144.546336"/>
    <n v="1.2823632843499269E-6"/>
    <n v="0"/>
    <n v="0"/>
    <n v="144.546336"/>
    <n v="1.2823632843499269E-6"/>
    <n v="0"/>
    <n v="0"/>
    <n v="0"/>
    <n v="0"/>
    <n v="0"/>
    <n v="0"/>
    <m/>
    <n v="3"/>
    <s v="No"/>
    <m/>
  </r>
  <r>
    <x v="403"/>
    <s v="NEW CANAAN"/>
    <s v="No"/>
    <n v="371354.68936800002"/>
    <n v="3.2945257022405283E-3"/>
    <n v="173505.5471"/>
    <n v="2.1227800034659067E-3"/>
    <n v="247121.76777120001"/>
    <n v="2.1923757496934127E-3"/>
    <n v="87927.7071"/>
    <n v="1.0757649049393835E-3"/>
    <n v="124232.92159680001"/>
    <n v="1.1021499525471156E-3"/>
    <n v="85577.84"/>
    <n v="1.0470150985265232E-3"/>
    <m/>
    <n v="2"/>
    <s v="No"/>
    <m/>
  </r>
  <r>
    <x v="404"/>
    <s v="NEW CANAAN"/>
    <s v="No"/>
    <n v="168416.02037664002"/>
    <n v="1.4941265687103428E-3"/>
    <n v="16177.38"/>
    <n v="1.9792461593563248E-4"/>
    <n v="168416.02037664002"/>
    <n v="1.4941265687103428E-3"/>
    <n v="16177.38"/>
    <n v="1.9792461593563248E-4"/>
    <n v="0"/>
    <n v="0"/>
    <n v="0"/>
    <n v="0"/>
    <m/>
    <n v="2"/>
    <s v="No"/>
    <m/>
  </r>
  <r>
    <x v="405"/>
    <s v="NEW CANAAN"/>
    <s v="No"/>
    <n v="138509.7232608"/>
    <n v="1.2288086197848622E-3"/>
    <n v="18915.32"/>
    <n v="2.3142235926334101E-4"/>
    <n v="138484.17728639999"/>
    <n v="1.2285819850562344E-3"/>
    <n v="18915.32"/>
    <n v="2.3142235926334101E-4"/>
    <n v="25.545974400000002"/>
    <n v="2.2663472862780246E-7"/>
    <n v="0"/>
    <n v="0"/>
    <m/>
    <n v="3"/>
    <s v="No"/>
    <m/>
  </r>
  <r>
    <x v="406"/>
    <s v="NEW CANAAN"/>
    <s v="No"/>
    <n v="198378.27666432"/>
    <n v="1.7599409673513678E-3"/>
    <n v="65011.672400000003"/>
    <n v="7.9539519323296843E-4"/>
    <n v="198378.27666432"/>
    <n v="1.7599409673513678E-3"/>
    <n v="65011.672400000003"/>
    <n v="7.9539519323296843E-4"/>
    <n v="0"/>
    <n v="0"/>
    <n v="0"/>
    <n v="0"/>
    <m/>
    <n v="2"/>
    <s v="No"/>
    <m/>
  </r>
  <r>
    <x v="125"/>
    <s v="NEW FAIRFIELD"/>
    <s v="No"/>
    <n v="1348.85928672"/>
    <n v="1.1966596130421174E-5"/>
    <n v="0"/>
    <n v="0"/>
    <n v="1348.85928672"/>
    <n v="1.1966596130421174E-5"/>
    <n v="0"/>
    <n v="0"/>
    <n v="0"/>
    <n v="0"/>
    <n v="0"/>
    <n v="0"/>
    <m/>
    <n v="4"/>
    <s v="No"/>
    <m/>
  </r>
  <r>
    <x v="126"/>
    <s v="NEW FAIRFIELD"/>
    <s v="No"/>
    <n v="2135.6677728000004"/>
    <n v="1.8946879009151099E-5"/>
    <n v="0"/>
    <n v="0"/>
    <n v="2135.6677728000004"/>
    <n v="1.8946879009151099E-5"/>
    <n v="0"/>
    <n v="0"/>
    <n v="0"/>
    <n v="0"/>
    <n v="0"/>
    <n v="0"/>
    <m/>
    <n v="5"/>
    <s v="No"/>
    <m/>
  </r>
  <r>
    <x v="407"/>
    <s v="NEW FAIRFIELD"/>
    <s v="No"/>
    <n v="108677.484"/>
    <n v="9.6414768560530392E-4"/>
    <n v="12699.62"/>
    <n v="1.5537543230291167E-4"/>
    <n v="108677.484"/>
    <n v="9.6414768560530392E-4"/>
    <n v="12699.62"/>
    <n v="1.5537543230291167E-4"/>
    <n v="0"/>
    <n v="0"/>
    <n v="0"/>
    <n v="0"/>
    <m/>
    <n v="2"/>
    <s v="No"/>
    <m/>
  </r>
  <r>
    <x v="130"/>
    <s v="NEW FAIRFIELD"/>
    <s v="No"/>
    <n v="163374.38195040001"/>
    <n v="1.4493989596287959E-3"/>
    <n v="41482.424299999999"/>
    <n v="5.0752302892411794E-4"/>
    <n v="129933.76020192"/>
    <n v="1.1527257493435872E-3"/>
    <n v="41482.424299999999"/>
    <n v="5.0752302892411794E-4"/>
    <n v="33440.62174848"/>
    <n v="2.9667321028520853E-4"/>
    <n v="0"/>
    <n v="0"/>
    <m/>
    <n v="3"/>
    <s v="No"/>
    <m/>
  </r>
  <r>
    <x v="131"/>
    <s v="NEW FAIRFIELD"/>
    <s v="No"/>
    <n v="102730.65265440001"/>
    <n v="9.1138952938459765E-4"/>
    <n v="5080.6705000000002"/>
    <n v="6.2160235922504014E-5"/>
    <n v="102730.65265440001"/>
    <n v="9.1138952938459765E-4"/>
    <n v="5080.6705000000002"/>
    <n v="6.2160235922504014E-5"/>
    <n v="0"/>
    <n v="0"/>
    <n v="0"/>
    <n v="0"/>
    <m/>
    <n v="2"/>
    <s v="No"/>
    <m/>
  </r>
  <r>
    <x v="408"/>
    <s v="NEW FAIRFIELD"/>
    <s v="No"/>
    <n v="2100.1940064"/>
    <n v="1.8632168468242151E-5"/>
    <n v="0"/>
    <n v="0"/>
    <n v="2100.1940064"/>
    <n v="1.8632168468242151E-5"/>
    <n v="0"/>
    <n v="0"/>
    <n v="0"/>
    <n v="0"/>
    <n v="0"/>
    <n v="0"/>
    <m/>
    <n v="1"/>
    <s v="No"/>
    <m/>
  </r>
  <r>
    <x v="12"/>
    <s v="NEW HARTFORD"/>
    <s v="No"/>
    <n v="265.45121280000001"/>
    <n v="2.3549880163055765E-6"/>
    <n v="0"/>
    <n v="0"/>
    <n v="265.45121280000001"/>
    <n v="2.3549880163055765E-6"/>
    <n v="0"/>
    <n v="0"/>
    <n v="0"/>
    <n v="0"/>
    <n v="0"/>
    <n v="0"/>
    <m/>
    <n v="2"/>
    <s v="No"/>
    <m/>
  </r>
  <r>
    <x v="409"/>
    <s v="NEW HARTFORD"/>
    <s v="No"/>
    <n v="173563.23320064001"/>
    <n v="1.5397907960085892E-3"/>
    <n v="201562.2647"/>
    <n v="2.4660441819295705E-3"/>
    <n v="143068.34479392"/>
    <n v="1.2692510761147138E-3"/>
    <n v="178001.4547"/>
    <n v="2.1777858687551002E-3"/>
    <n v="30494.888406720002"/>
    <n v="2.7053971989387518E-4"/>
    <n v="23560.81"/>
    <n v="2.8825831317447014E-4"/>
    <m/>
    <n v="1"/>
    <s v="No"/>
    <m/>
  </r>
  <r>
    <x v="410"/>
    <s v="NEW LONDON"/>
    <s v="No"/>
    <n v="79342.157646720007"/>
    <n v="7.0389518463655513E-4"/>
    <n v="20285.972600000001"/>
    <n v="2.4819181695279234E-4"/>
    <n v="79342.157646720007"/>
    <n v="7.0389518463655513E-4"/>
    <n v="20285.972600000001"/>
    <n v="2.4819181695279234E-4"/>
    <n v="0"/>
    <n v="0"/>
    <n v="0"/>
    <n v="0"/>
    <m/>
    <n v="5"/>
    <s v="No"/>
    <m/>
  </r>
  <r>
    <x v="411"/>
    <s v="NEW LONDON"/>
    <s v="No"/>
    <n v="39959.697971520007"/>
    <n v="3.5450811795319047E-4"/>
    <n v="4461.97"/>
    <n v="5.4590650560616992E-5"/>
    <n v="39959.697971520007"/>
    <n v="3.5450811795319047E-4"/>
    <n v="4461.97"/>
    <n v="5.4590650560616992E-5"/>
    <n v="0"/>
    <n v="0"/>
    <n v="0"/>
    <n v="0"/>
    <m/>
    <n v="5"/>
    <s v="No"/>
    <m/>
  </r>
  <r>
    <x v="412"/>
    <s v="NEW LONDON"/>
    <s v="No"/>
    <n v="41927.549011199997"/>
    <n v="3.7196618705537412E-4"/>
    <n v="16842.5"/>
    <n v="2.06062127729947E-4"/>
    <n v="41927.549011199997"/>
    <n v="3.7196618705537412E-4"/>
    <n v="16842.5"/>
    <n v="2.06062127729947E-4"/>
    <n v="0"/>
    <n v="0"/>
    <n v="0"/>
    <n v="0"/>
    <m/>
    <n v="5"/>
    <s v="No"/>
    <m/>
  </r>
  <r>
    <x v="413"/>
    <s v="NEW LONDON"/>
    <s v="No"/>
    <n v="14865.608877119999"/>
    <n v="1.3188235379086352E-4"/>
    <n v="4541.3999999999996"/>
    <n v="5.5562448975673521E-5"/>
    <n v="14847.8146848"/>
    <n v="1.3172449009443726E-4"/>
    <n v="4541.3999999999996"/>
    <n v="5.5562448975673521E-5"/>
    <n v="17.794192320000001"/>
    <n v="1.5786369642624109E-7"/>
    <n v="0"/>
    <n v="0"/>
    <m/>
    <n v="5"/>
    <s v="No"/>
    <m/>
  </r>
  <r>
    <x v="414"/>
    <s v="NEW LONDON"/>
    <s v="No"/>
    <n v="43011.512809920001"/>
    <n v="3.8158272536073111E-4"/>
    <n v="11641.346100000001"/>
    <n v="1.4242781932650856E-4"/>
    <n v="43011.512809920001"/>
    <n v="3.8158272536073111E-4"/>
    <n v="11641.346100000001"/>
    <n v="1.4242781932650856E-4"/>
    <n v="0"/>
    <n v="0"/>
    <n v="0"/>
    <n v="0"/>
    <m/>
    <n v="5"/>
    <s v="Yes"/>
    <m/>
  </r>
  <r>
    <x v="415"/>
    <s v="NEW LONDON"/>
    <s v="No"/>
    <n v="314079.29086463997"/>
    <n v="2.7863988955034854E-3"/>
    <n v="226740.76459999999"/>
    <n v="2.7740943682108385E-3"/>
    <n v="104774.0469552"/>
    <n v="9.2951779122304231E-4"/>
    <n v="113608.8646"/>
    <n v="1.3899649320741846E-3"/>
    <n v="209305.24390943997"/>
    <n v="1.8568811042804431E-3"/>
    <n v="113131.9"/>
    <n v="1.3841294361366537E-3"/>
    <m/>
    <n v="5"/>
    <s v="No"/>
    <m/>
  </r>
  <r>
    <x v="303"/>
    <s v="NEW LONDON"/>
    <s v="No"/>
    <n v="472.06506239999999"/>
    <n v="4.1879920349286277E-6"/>
    <n v="0"/>
    <n v="0"/>
    <n v="472.06506239999999"/>
    <n v="4.1879920349286277E-6"/>
    <n v="0"/>
    <n v="0"/>
    <n v="0"/>
    <n v="0"/>
    <n v="0"/>
    <n v="0"/>
    <m/>
    <n v="3"/>
    <s v="No"/>
    <m/>
  </r>
  <r>
    <x v="371"/>
    <s v="NEW LONDON"/>
    <s v="No"/>
    <n v="117.425808"/>
    <n v="1.0417596805381766E-6"/>
    <n v="0"/>
    <n v="0"/>
    <n v="117.425808"/>
    <n v="1.0417596805381766E-6"/>
    <n v="0"/>
    <n v="0"/>
    <n v="0"/>
    <n v="0"/>
    <n v="0"/>
    <n v="0"/>
    <m/>
    <n v="2"/>
    <s v="No"/>
    <m/>
  </r>
  <r>
    <x v="416"/>
    <s v="NEW LONDON"/>
    <s v="No"/>
    <n v="41310.163071360003"/>
    <n v="3.6648896028205292E-4"/>
    <n v="21513.050299999999"/>
    <n v="2.6320468569270445E-4"/>
    <n v="41310.163071360003"/>
    <n v="3.6648896028205292E-4"/>
    <n v="21513.050299999999"/>
    <n v="2.6320468569270445E-4"/>
    <n v="0"/>
    <n v="0"/>
    <n v="0"/>
    <n v="0"/>
    <m/>
    <n v="5"/>
    <s v="No"/>
    <m/>
  </r>
  <r>
    <x v="417"/>
    <s v="NEW MILFORD"/>
    <s v="No"/>
    <n v="96741.50344416"/>
    <n v="8.5825594423647497E-4"/>
    <n v="48216.78"/>
    <n v="5.8991552792559028E-4"/>
    <n v="96741.50344416"/>
    <n v="8.5825594423647497E-4"/>
    <n v="48216.78"/>
    <n v="5.8991552792559028E-4"/>
    <n v="0"/>
    <n v="0"/>
    <n v="0"/>
    <n v="0"/>
    <m/>
    <n v="4"/>
    <s v="No"/>
    <m/>
  </r>
  <r>
    <x v="418"/>
    <s v="NEW MILFORD"/>
    <s v="No"/>
    <n v="373255.31217888003"/>
    <n v="3.3113873465929005E-3"/>
    <n v="435948.83130000002"/>
    <n v="5.3336822775159106E-3"/>
    <n v="182694.09673440002"/>
    <n v="1.6207965445742495E-3"/>
    <n v="376294.26130000001"/>
    <n v="4.6038293683269499E-3"/>
    <n v="190561.21544448001"/>
    <n v="1.6905908020186508E-3"/>
    <n v="59654.57"/>
    <n v="7.2985290918896036E-4"/>
    <m/>
    <n v="4"/>
    <s v="No"/>
    <m/>
  </r>
  <r>
    <x v="419"/>
    <s v="NEW MILFORD"/>
    <s v="No"/>
    <n v="51696.375353280004"/>
    <n v="4.5863171299630006E-4"/>
    <n v="13320.82"/>
    <n v="1.629755981776834E-4"/>
    <n v="51696.375353280004"/>
    <n v="4.5863171299630006E-4"/>
    <n v="13320.82"/>
    <n v="1.629755981776834E-4"/>
    <n v="0"/>
    <n v="0"/>
    <n v="0"/>
    <n v="0"/>
    <m/>
    <n v="3"/>
    <s v="No"/>
    <m/>
  </r>
  <r>
    <x v="73"/>
    <s v="NEW MILFORD"/>
    <s v="No"/>
    <n v="154072.5097392"/>
    <n v="1.3668760833702254E-3"/>
    <n v="19810.52"/>
    <n v="2.4237481980921298E-4"/>
    <n v="154010.8821744"/>
    <n v="1.3663293457040183E-3"/>
    <n v="19810.52"/>
    <n v="2.4237481980921298E-4"/>
    <n v="61.627564800000002"/>
    <n v="5.4673766620702125E-7"/>
    <n v="0"/>
    <n v="0"/>
    <m/>
    <n v="2"/>
    <s v="No"/>
    <m/>
  </r>
  <r>
    <x v="291"/>
    <s v="NEW MILFORD"/>
    <s v="No"/>
    <n v="147618.1887696"/>
    <n v="1.309615661101031E-3"/>
    <n v="29305.079600000001"/>
    <n v="3.5853745320893362E-4"/>
    <n v="147618.1887696"/>
    <n v="1.309615661101031E-3"/>
    <n v="29305.079600000001"/>
    <n v="3.5853745320893362E-4"/>
    <n v="0"/>
    <n v="0"/>
    <n v="0"/>
    <n v="0"/>
    <m/>
    <n v="4"/>
    <s v="No"/>
    <m/>
  </r>
  <r>
    <x v="420"/>
    <s v="NEW MILFORD"/>
    <s v="No"/>
    <n v="49566.037328640006"/>
    <n v="4.3973211760252345E-4"/>
    <n v="7377.73"/>
    <n v="9.0263959721957057E-5"/>
    <n v="49566.037328640006"/>
    <n v="4.3973211760252345E-4"/>
    <n v="7377.73"/>
    <n v="9.0263959721957057E-5"/>
    <n v="0"/>
    <n v="0"/>
    <n v="0"/>
    <n v="0"/>
    <m/>
    <n v="4"/>
    <s v="No"/>
    <m/>
  </r>
  <r>
    <x v="114"/>
    <s v="NEW MILFORD"/>
    <s v="No"/>
    <n v="101.72079360000001"/>
    <n v="9.0243042181004869E-7"/>
    <n v="0"/>
    <n v="0"/>
    <n v="101.72079360000001"/>
    <n v="9.0243042181004869E-7"/>
    <n v="0"/>
    <n v="0"/>
    <n v="0"/>
    <n v="0"/>
    <n v="0"/>
    <n v="0"/>
    <m/>
    <n v="2"/>
    <s v="No"/>
    <m/>
  </r>
  <r>
    <x v="421"/>
    <s v="NEW MILFORD"/>
    <s v="No"/>
    <n v="644.94757440000012"/>
    <n v="5.7217437164308539E-6"/>
    <n v="0"/>
    <n v="0"/>
    <n v="644.94757440000012"/>
    <n v="5.7217437164308539E-6"/>
    <n v="0"/>
    <n v="0"/>
    <n v="0"/>
    <n v="0"/>
    <n v="0"/>
    <n v="0"/>
    <m/>
    <n v="3"/>
    <s v="No"/>
    <m/>
  </r>
  <r>
    <x v="52"/>
    <s v="NEW MILFORD"/>
    <s v="No"/>
    <n v="82.426723199999998"/>
    <n v="7.3126034464792179E-7"/>
    <n v="0"/>
    <n v="0"/>
    <n v="82.426723199999998"/>
    <n v="7.3126034464792179E-7"/>
    <n v="0"/>
    <n v="0"/>
    <n v="0"/>
    <n v="0"/>
    <n v="0"/>
    <n v="0"/>
    <m/>
    <n v="1"/>
    <s v="No"/>
    <m/>
  </r>
  <r>
    <x v="16"/>
    <s v="NEWINGTON"/>
    <s v="No"/>
    <n v="585.9944352"/>
    <n v="5.1987325955730369E-6"/>
    <n v="0"/>
    <n v="0"/>
    <n v="585.9944352"/>
    <n v="5.1987325955730369E-6"/>
    <n v="0"/>
    <n v="0"/>
    <n v="0"/>
    <n v="0"/>
    <n v="0"/>
    <n v="0"/>
    <m/>
    <n v="2"/>
    <s v="No"/>
    <m/>
  </r>
  <r>
    <x v="392"/>
    <s v="NEWINGTON"/>
    <s v="No"/>
    <n v="152.5175136"/>
    <n v="1.3530807149686632E-6"/>
    <n v="0"/>
    <n v="0"/>
    <n v="152.5175136"/>
    <n v="1.3530807149686632E-6"/>
    <n v="0"/>
    <n v="0"/>
    <n v="0"/>
    <n v="0"/>
    <n v="0"/>
    <n v="0"/>
    <m/>
    <n v="4"/>
    <s v="Yes"/>
    <m/>
  </r>
  <r>
    <x v="422"/>
    <s v="NEWINGTON"/>
    <s v="No"/>
    <n v="234.1974816"/>
    <n v="2.0777161151359629E-6"/>
    <n v="0"/>
    <n v="0"/>
    <n v="234.1974816"/>
    <n v="2.0777161151359629E-6"/>
    <n v="0"/>
    <n v="0"/>
    <n v="0"/>
    <n v="0"/>
    <n v="0"/>
    <n v="0"/>
    <m/>
    <n v="1"/>
    <s v="No"/>
    <m/>
  </r>
  <r>
    <x v="423"/>
    <s v="NEWINGTON"/>
    <s v="No"/>
    <n v="339493.02707520005"/>
    <n v="3.0118604543117036E-3"/>
    <n v="315843.81949999998"/>
    <n v="3.8642392445612777E-3"/>
    <n v="100798.62502464"/>
    <n v="8.9424927273531215E-4"/>
    <n v="230400.13449999999"/>
    <n v="2.8188654857851251E-3"/>
    <n v="238694.40205056005"/>
    <n v="2.1176111815763917E-3"/>
    <n v="85443.684999999998"/>
    <n v="1.0453737587761531E-3"/>
    <m/>
    <n v="4"/>
    <s v="No"/>
    <m/>
  </r>
  <r>
    <x v="424"/>
    <s v="NEWINGTON"/>
    <s v="No"/>
    <n v="75521.807827200013"/>
    <n v="6.7000241033665653E-4"/>
    <n v="9254.0817000000006"/>
    <n v="1.1322046995925577E-4"/>
    <n v="75520.036454400019"/>
    <n v="6.6998669535207455E-4"/>
    <n v="9254.0817000000006"/>
    <n v="1.1322046995925577E-4"/>
    <n v="1.7713728"/>
    <n v="1.5714984581941433E-8"/>
    <n v="0"/>
    <n v="0"/>
    <m/>
    <n v="4"/>
    <s v="No"/>
    <m/>
  </r>
  <r>
    <x v="425"/>
    <s v="NEWINGTON"/>
    <s v="No"/>
    <n v="49848.942931199999"/>
    <n v="4.4224195470873574E-4"/>
    <n v="7119.7650000000003"/>
    <n v="8.710784769702872E-5"/>
    <n v="49848.942931199999"/>
    <n v="4.4224195470873574E-4"/>
    <n v="7119.7650000000003"/>
    <n v="8.710784769702872E-5"/>
    <n v="0"/>
    <n v="0"/>
    <n v="0"/>
    <n v="0"/>
    <m/>
    <n v="4"/>
    <s v="No"/>
    <m/>
  </r>
  <r>
    <x v="402"/>
    <s v="NEWINGTON"/>
    <s v="No"/>
    <n v="64243.089359999998"/>
    <n v="5.6994166264079805E-4"/>
    <n v="12201.13"/>
    <n v="1.4927658058540527E-4"/>
    <n v="64243.089359999998"/>
    <n v="5.6994166264079805E-4"/>
    <n v="12201.13"/>
    <n v="1.4927658058540527E-4"/>
    <n v="0"/>
    <n v="0"/>
    <n v="0"/>
    <n v="0"/>
    <m/>
    <n v="3"/>
    <s v="No"/>
    <m/>
  </r>
  <r>
    <x v="426"/>
    <s v="NEWINGTON"/>
    <s v="No"/>
    <n v="83430.791717760003"/>
    <n v="7.4016808065685861E-4"/>
    <n v="52850.414900000003"/>
    <n v="6.4660643881279468E-4"/>
    <n v="83406.999749759998"/>
    <n v="7.3995700684433648E-4"/>
    <n v="52850.414900000003"/>
    <n v="6.4660643881279468E-4"/>
    <n v="23.791968000000001"/>
    <n v="2.1107381252215455E-7"/>
    <n v="0"/>
    <n v="0"/>
    <m/>
    <n v="4"/>
    <s v="No"/>
    <m/>
  </r>
  <r>
    <x v="427"/>
    <s v="NEWINGTON"/>
    <s v="No"/>
    <n v="67984.732339200011"/>
    <n v="6.031361780636709E-4"/>
    <n v="18676.55"/>
    <n v="2.2850109138517093E-4"/>
    <n v="67984.732339200011"/>
    <n v="6.031361780636709E-4"/>
    <n v="18676.55"/>
    <n v="2.2850109138517093E-4"/>
    <n v="0"/>
    <n v="0"/>
    <n v="0"/>
    <n v="0"/>
    <m/>
    <n v="4"/>
    <s v="No"/>
    <m/>
  </r>
  <r>
    <x v="428"/>
    <s v="NEWINGTON"/>
    <s v="No"/>
    <n v="56666.718339840008"/>
    <n v="5.0272681449088728E-4"/>
    <n v="14589.277"/>
    <n v="1.7849472825658767E-4"/>
    <n v="56666.718339840008"/>
    <n v="5.0272681449088728E-4"/>
    <n v="14589.277"/>
    <n v="1.7849472825658767E-4"/>
    <n v="0"/>
    <n v="0"/>
    <n v="0"/>
    <n v="0"/>
    <m/>
    <n v="3"/>
    <s v="No"/>
    <m/>
  </r>
  <r>
    <x v="366"/>
    <s v="NEWTOWN"/>
    <s v="No"/>
    <n v="355.06762559999999"/>
    <n v="3.150032710139025E-6"/>
    <n v="0"/>
    <n v="0"/>
    <n v="355.06762559999999"/>
    <n v="3.150032710139025E-6"/>
    <n v="0"/>
    <n v="0"/>
    <n v="0"/>
    <n v="0"/>
    <n v="0"/>
    <n v="0"/>
    <m/>
    <n v="3"/>
    <s v="No"/>
    <m/>
  </r>
  <r>
    <x v="368"/>
    <s v="NEWTOWN"/>
    <s v="No"/>
    <n v="1648.5344640000001"/>
    <n v="1.4625206892958437E-5"/>
    <n v="0"/>
    <n v="0"/>
    <n v="1648.5344640000001"/>
    <n v="1.4625206892958437E-5"/>
    <n v="0"/>
    <n v="0"/>
    <n v="0"/>
    <n v="0"/>
    <n v="0"/>
    <n v="0"/>
    <m/>
    <n v="2"/>
    <s v="No"/>
    <m/>
  </r>
  <r>
    <x v="25"/>
    <s v="NEWTOWN"/>
    <s v="No"/>
    <n v="293.72371199999998"/>
    <n v="2.6058114957114649E-6"/>
    <n v="0"/>
    <n v="0"/>
    <n v="293.72371199999998"/>
    <n v="2.6058114957114649E-6"/>
    <n v="0"/>
    <n v="0"/>
    <n v="0"/>
    <n v="0"/>
    <n v="0"/>
    <n v="0"/>
    <m/>
    <n v="1"/>
    <s v="No"/>
    <m/>
  </r>
  <r>
    <x v="71"/>
    <s v="NEWTOWN"/>
    <s v="No"/>
    <n v="816.99071040000001"/>
    <n v="7.2480487549122235E-6"/>
    <n v="0"/>
    <n v="0"/>
    <n v="816.99071040000001"/>
    <n v="7.2480487549122235E-6"/>
    <n v="0"/>
    <n v="0"/>
    <n v="0"/>
    <n v="0"/>
    <n v="0"/>
    <n v="0"/>
    <m/>
    <n v="1"/>
    <s v="No"/>
    <m/>
  </r>
  <r>
    <x v="26"/>
    <s v="NEWTOWN"/>
    <s v="No"/>
    <n v="755.54259840000009"/>
    <n v="6.7029031296269031E-6"/>
    <n v="0"/>
    <n v="0"/>
    <n v="755.54259840000009"/>
    <n v="6.7029031296269031E-6"/>
    <n v="0"/>
    <n v="0"/>
    <n v="0"/>
    <n v="0"/>
    <n v="0"/>
    <n v="0"/>
    <m/>
    <n v="4"/>
    <s v="No"/>
    <m/>
  </r>
  <r>
    <x v="429"/>
    <s v="NEWTOWN"/>
    <s v="No"/>
    <n v="301855.53053664003"/>
    <n v="2.677954075142765E-3"/>
    <n v="142597.049"/>
    <n v="1.7446252827639313E-3"/>
    <n v="176786.60665248003"/>
    <n v="1.5683874099441228E-3"/>
    <n v="93877.471000000005"/>
    <n v="1.1485581962396554E-3"/>
    <n v="125068.92388416"/>
    <n v="1.109566665198642E-3"/>
    <n v="48719.578000000001"/>
    <n v="5.9606708652427585E-4"/>
    <m/>
    <n v="2"/>
    <s v="No"/>
    <m/>
  </r>
  <r>
    <x v="430"/>
    <s v="NEWTOWN"/>
    <s v="No"/>
    <n v="46300.658607359997"/>
    <n v="4.1076284797214699E-4"/>
    <n v="12190.543"/>
    <n v="1.4914705232378869E-4"/>
    <n v="46297.806465599999"/>
    <n v="4.1073754479272373E-4"/>
    <n v="12190.543"/>
    <n v="1.4914705232378869E-4"/>
    <n v="2.8521417599999999"/>
    <n v="2.5303179423276289E-8"/>
    <n v="0"/>
    <n v="0"/>
    <m/>
    <n v="2"/>
    <s v="No"/>
    <m/>
  </r>
  <r>
    <x v="431"/>
    <s v="NEWTOWN"/>
    <s v="No"/>
    <n v="78817.512913920014"/>
    <n v="6.992407246115684E-4"/>
    <n v="22507.883300000001"/>
    <n v="2.7537612132969225E-4"/>
    <n v="78817.512913920014"/>
    <n v="6.992407246115684E-4"/>
    <n v="22507.883300000001"/>
    <n v="2.7537612132969225E-4"/>
    <n v="0"/>
    <n v="0"/>
    <n v="0"/>
    <n v="0"/>
    <m/>
    <n v="1"/>
    <s v="No"/>
    <m/>
  </r>
  <r>
    <x v="29"/>
    <s v="NEWTOWN"/>
    <s v="No"/>
    <n v="125089.12448064002"/>
    <n v="1.109745877650267E-3"/>
    <n v="19995.774300000001"/>
    <n v="2.4464134171683493E-4"/>
    <n v="125089.12448064002"/>
    <n v="1.109745877650267E-3"/>
    <n v="19995.774300000001"/>
    <n v="2.4464134171683493E-4"/>
    <n v="0"/>
    <n v="0"/>
    <n v="0"/>
    <n v="0"/>
    <m/>
    <n v="2"/>
    <s v="No"/>
    <m/>
  </r>
  <r>
    <x v="432"/>
    <s v="NEWTOWN"/>
    <s v="No"/>
    <n v="88437.196612800006"/>
    <n v="7.8458311047808528E-4"/>
    <n v="18717.475399999999"/>
    <n v="2.2900179941558204E-4"/>
    <n v="88437.196612800006"/>
    <n v="7.8458311047808528E-4"/>
    <n v="18717.475399999999"/>
    <n v="2.2900179941558204E-4"/>
    <n v="0"/>
    <n v="0"/>
    <n v="0"/>
    <n v="0"/>
    <m/>
    <n v="2"/>
    <s v="No"/>
    <m/>
  </r>
  <r>
    <x v="433"/>
    <s v="NEWTOWN"/>
    <s v="No"/>
    <n v="84605.596839359991"/>
    <n v="7.5059053061924351E-4"/>
    <n v="9151.4843000000001"/>
    <n v="1.1196522646550125E-4"/>
    <n v="84605.596839359991"/>
    <n v="7.5059053061924351E-4"/>
    <n v="9151.4843000000001"/>
    <n v="1.1196522646550125E-4"/>
    <n v="0"/>
    <n v="0"/>
    <n v="0"/>
    <n v="0"/>
    <m/>
    <n v="2"/>
    <s v="No"/>
    <m/>
  </r>
  <r>
    <x v="209"/>
    <s v="NORFOLK"/>
    <s v="No"/>
    <n v="153.95313599999997"/>
    <n v="1.3658170423422626E-6"/>
    <n v="0"/>
    <n v="0"/>
    <n v="153.95313599999997"/>
    <n v="1.3658170423422626E-6"/>
    <n v="0"/>
    <n v="0"/>
    <n v="0"/>
    <n v="0"/>
    <n v="0"/>
    <n v="0"/>
    <m/>
    <n v="3"/>
    <s v="No"/>
    <m/>
  </r>
  <r>
    <x v="80"/>
    <s v="NORFOLK"/>
    <s v="No"/>
    <n v="54512.674021440005"/>
    <n v="4.8361690535573821E-4"/>
    <n v="13119.833199999999"/>
    <n v="1.6051659460614512E-4"/>
    <n v="40182.115245120003"/>
    <n v="3.5648132428524066E-4"/>
    <n v="13119.833199999999"/>
    <n v="1.6051659460614512E-4"/>
    <n v="14330.55877632"/>
    <n v="1.2713558107049758E-4"/>
    <n v="0"/>
    <n v="0"/>
    <m/>
    <n v="1"/>
    <s v="No"/>
    <m/>
  </r>
  <r>
    <x v="77"/>
    <s v="NORTH CANAAN"/>
    <s v="No"/>
    <n v="81507.38129568001"/>
    <n v="7.2310427278551024E-4"/>
    <n v="21234.362000000001"/>
    <n v="2.5979503130223739E-4"/>
    <n v="49637.050853759996"/>
    <n v="4.4036212414455116E-4"/>
    <n v="18834.362000000001"/>
    <n v="2.3043186629989967E-4"/>
    <n v="31870.330441920007"/>
    <n v="2.8274214864095897E-4"/>
    <n v="2400"/>
    <n v="2.9363165002337707E-5"/>
    <m/>
    <n v="1"/>
    <s v="No"/>
    <m/>
  </r>
  <r>
    <x v="434"/>
    <s v="NORTH STONINGTON"/>
    <s v="No"/>
    <n v="149000.57273376"/>
    <n v="1.3218796761537051E-3"/>
    <n v="51278.805999999997"/>
    <n v="6.2737835070869358E-4"/>
    <n v="113517.05510016001"/>
    <n v="1.0070826257953215E-3"/>
    <n v="51278.805999999997"/>
    <n v="6.2737835070869358E-4"/>
    <n v="35483.5176336"/>
    <n v="3.147970503583836E-4"/>
    <n v="0"/>
    <n v="0"/>
    <m/>
    <n v="3"/>
    <s v="No"/>
    <m/>
  </r>
  <r>
    <x v="435"/>
    <s v="NORTH STONINGTON"/>
    <s v="No"/>
    <n v="176.22264960000001"/>
    <n v="1.5633841851093503E-6"/>
    <n v="0"/>
    <n v="0"/>
    <n v="176.22264960000001"/>
    <n v="1.5633841851093503E-6"/>
    <n v="0"/>
    <n v="0"/>
    <n v="0"/>
    <n v="0"/>
    <n v="0"/>
    <n v="0"/>
    <m/>
    <n v="2"/>
    <s v="No"/>
    <m/>
  </r>
  <r>
    <x v="405"/>
    <s v="NORWALK"/>
    <s v="No"/>
    <n v="1061.2722816"/>
    <n v="9.4152272986159715E-6"/>
    <n v="0"/>
    <n v="0"/>
    <n v="1061.2722816"/>
    <n v="9.4152272986159715E-6"/>
    <n v="0"/>
    <n v="0"/>
    <n v="0"/>
    <n v="0"/>
    <n v="0"/>
    <n v="0"/>
    <m/>
    <n v="3"/>
    <s v="No"/>
    <m/>
  </r>
  <r>
    <x v="406"/>
    <s v="NORWALK"/>
    <s v="No"/>
    <n v="3028.5282326400002"/>
    <n v="2.6868016987678677E-5"/>
    <n v="0"/>
    <n v="0"/>
    <n v="3028.5282326400002"/>
    <n v="2.6868016987678677E-5"/>
    <n v="0"/>
    <n v="0"/>
    <n v="0"/>
    <n v="0"/>
    <n v="0"/>
    <n v="0"/>
    <m/>
    <n v="2"/>
    <s v="No"/>
    <m/>
  </r>
  <r>
    <x v="436"/>
    <s v="NORWALK"/>
    <s v="No"/>
    <n v="83103.254467200008"/>
    <n v="7.3726228756657193E-4"/>
    <n v="25488.235000000001"/>
    <n v="3.1183968746806626E-4"/>
    <n v="83103.254467200008"/>
    <n v="7.3726228756657193E-4"/>
    <n v="25488.235000000001"/>
    <n v="3.1183968746806626E-4"/>
    <n v="0"/>
    <n v="0"/>
    <n v="0"/>
    <n v="0"/>
    <m/>
    <n v="1"/>
    <s v="No"/>
    <m/>
  </r>
  <r>
    <x v="437"/>
    <s v="NORWALK"/>
    <s v="No"/>
    <n v="81284.181955200009"/>
    <n v="7.2112412823641093E-4"/>
    <n v="15735.29"/>
    <n v="1.9251579859568105E-4"/>
    <n v="81284.181955200009"/>
    <n v="7.2112412823641093E-4"/>
    <n v="15735.29"/>
    <n v="1.9251579859568105E-4"/>
    <n v="0"/>
    <n v="0"/>
    <n v="0"/>
    <n v="0"/>
    <m/>
    <n v="3"/>
    <s v="No"/>
    <m/>
  </r>
  <r>
    <x v="438"/>
    <s v="NORWALK"/>
    <s v="No"/>
    <n v="85645.313366399991"/>
    <n v="7.5981452298946807E-4"/>
    <n v="11611.1448"/>
    <n v="1.4205831692851476E-4"/>
    <n v="85645.313366399991"/>
    <n v="7.5981452298946807E-4"/>
    <n v="11611.1448"/>
    <n v="1.4205831692851476E-4"/>
    <n v="0"/>
    <n v="0"/>
    <n v="0"/>
    <n v="0"/>
    <m/>
    <n v="4"/>
    <s v="No"/>
    <m/>
  </r>
  <r>
    <x v="439"/>
    <s v="NORWALK"/>
    <s v="No"/>
    <n v="115974.89911584"/>
    <n v="1.0288877369561274E-3"/>
    <n v="22248.071899999999"/>
    <n v="2.7219741924315539E-4"/>
    <n v="115974.89911584"/>
    <n v="1.0288877369561274E-3"/>
    <n v="22248.071899999999"/>
    <n v="2.7219741924315539E-4"/>
    <n v="0"/>
    <n v="0"/>
    <n v="0"/>
    <n v="0"/>
    <m/>
    <n v="3"/>
    <s v="No"/>
    <m/>
  </r>
  <r>
    <x v="440"/>
    <s v="NORWALK"/>
    <s v="No"/>
    <n v="41161.070211839993"/>
    <n v="3.6516626187060923E-4"/>
    <n v="22228.298200000001"/>
    <n v="2.7195549490323595E-4"/>
    <n v="41161.070211839993"/>
    <n v="3.6516626187060923E-4"/>
    <n v="22228.298200000001"/>
    <n v="2.7195549490323595E-4"/>
    <n v="0"/>
    <n v="0"/>
    <n v="0"/>
    <n v="0"/>
    <m/>
    <n v="1"/>
    <s v="No"/>
    <m/>
  </r>
  <r>
    <x v="441"/>
    <s v="NORWALK"/>
    <s v="No"/>
    <n v="63115.726927679993"/>
    <n v="5.5994010721318341E-4"/>
    <n v="13700.7127"/>
    <n v="1.6762345319155155E-4"/>
    <n v="63115.726927679993"/>
    <n v="5.5994010721318341E-4"/>
    <n v="13700.7127"/>
    <n v="1.6762345319155155E-4"/>
    <n v="0"/>
    <n v="0"/>
    <n v="0"/>
    <n v="0"/>
    <m/>
    <n v="3"/>
    <s v="No"/>
    <m/>
  </r>
  <r>
    <x v="442"/>
    <s v="NORWALK"/>
    <s v="No"/>
    <n v="104499.4986432"/>
    <n v="9.2708209700323831E-4"/>
    <n v="28444.488799999999"/>
    <n v="3.4800842418397784E-4"/>
    <n v="104499.4986432"/>
    <n v="9.2708209700323831E-4"/>
    <n v="28444.488799999999"/>
    <n v="3.4800842418397784E-4"/>
    <n v="0"/>
    <n v="0"/>
    <n v="0"/>
    <n v="0"/>
    <m/>
    <n v="5"/>
    <s v="No"/>
    <m/>
  </r>
  <r>
    <x v="443"/>
    <s v="NORWALK"/>
    <s v="No"/>
    <n v="59452.694694720005"/>
    <n v="5.2744299815510104E-4"/>
    <n v="4285.76"/>
    <n v="5.2434782516841187E-5"/>
    <n v="59452.694694720005"/>
    <n v="5.2744299815510104E-4"/>
    <n v="4285.76"/>
    <n v="5.2434782516841187E-5"/>
    <n v="0"/>
    <n v="0"/>
    <n v="0"/>
    <n v="0"/>
    <m/>
    <n v="3"/>
    <s v="No"/>
    <m/>
  </r>
  <r>
    <x v="444"/>
    <s v="NORWALK"/>
    <s v="No"/>
    <n v="64142.895072960004"/>
    <n v="5.6905277483805419E-4"/>
    <n v="25985.81"/>
    <n v="3.1792734447891552E-4"/>
    <n v="64142.895072960004"/>
    <n v="5.6905277483805419E-4"/>
    <n v="25985.81"/>
    <n v="3.1792734447891552E-4"/>
    <n v="0"/>
    <n v="0"/>
    <n v="0"/>
    <n v="0"/>
    <m/>
    <n v="4"/>
    <s v="No"/>
    <m/>
  </r>
  <r>
    <x v="445"/>
    <s v="NORWALK"/>
    <s v="No"/>
    <n v="65534.864711040005"/>
    <n v="5.8140183055402654E-4"/>
    <n v="6121.5024000000003"/>
    <n v="7.4894452097252611E-5"/>
    <n v="65534.864711040005"/>
    <n v="5.8140183055402654E-4"/>
    <n v="6121.5024000000003"/>
    <n v="7.4894452097252611E-5"/>
    <n v="0"/>
    <n v="0"/>
    <n v="0"/>
    <n v="0"/>
    <m/>
    <n v="5"/>
    <s v="No"/>
    <m/>
  </r>
  <r>
    <x v="446"/>
    <s v="NORWALK"/>
    <s v="No"/>
    <n v="43101.77930496"/>
    <n v="3.8238353735119384E-4"/>
    <n v="5348.7452000000003"/>
    <n v="6.5440036609609086E-5"/>
    <n v="43101.77930496"/>
    <n v="3.8238353735119384E-4"/>
    <n v="5348.7452000000003"/>
    <n v="6.5440036609609086E-5"/>
    <n v="0"/>
    <n v="0"/>
    <n v="0"/>
    <n v="0"/>
    <m/>
    <n v="1"/>
    <s v="No"/>
    <m/>
  </r>
  <r>
    <x v="447"/>
    <s v="NORWALK"/>
    <s v="No"/>
    <n v="52708.824316800004"/>
    <n v="4.6761379731628024E-4"/>
    <n v="17760.28"/>
    <n v="2.172908467198826E-4"/>
    <n v="52708.824316800004"/>
    <n v="4.6761379731628024E-4"/>
    <n v="17760.28"/>
    <n v="2.172908467198826E-4"/>
    <n v="0"/>
    <n v="0"/>
    <n v="0"/>
    <n v="0"/>
    <m/>
    <n v="4"/>
    <s v="No"/>
    <m/>
  </r>
  <r>
    <x v="448"/>
    <s v="NORWALK"/>
    <s v="No"/>
    <n v="48043.2251808"/>
    <n v="4.2622227403684446E-4"/>
    <n v="204.88"/>
    <n v="2.5066355190328954E-6"/>
    <n v="48043.2251808"/>
    <n v="4.2622227403684446E-4"/>
    <n v="204.88"/>
    <n v="2.5066355190328954E-6"/>
    <n v="0"/>
    <n v="0"/>
    <n v="0"/>
    <n v="0"/>
    <m/>
    <n v="4"/>
    <s v="No"/>
    <m/>
  </r>
  <r>
    <x v="449"/>
    <s v="NORWALK"/>
    <s v="No"/>
    <n v="111989.26689984"/>
    <n v="9.9352863647556846E-4"/>
    <n v="20916.12"/>
    <n v="2.559014511536232E-4"/>
    <n v="111989.26689984"/>
    <n v="9.9352863647556846E-4"/>
    <n v="20916.12"/>
    <n v="2.559014511536232E-4"/>
    <n v="0"/>
    <n v="0"/>
    <n v="0"/>
    <n v="0"/>
    <m/>
    <n v="4"/>
    <s v="No"/>
    <m/>
  </r>
  <r>
    <x v="450"/>
    <s v="NORWALK"/>
    <s v="No"/>
    <n v="84960.330451200018"/>
    <n v="7.5373760007902205E-4"/>
    <n v="29575.041700000002"/>
    <n v="3.6184034557838263E-4"/>
    <n v="84960.330451200018"/>
    <n v="7.5373760007902205E-4"/>
    <n v="29575.041700000002"/>
    <n v="3.6184034557838263E-4"/>
    <n v="0"/>
    <n v="0"/>
    <n v="0"/>
    <n v="0"/>
    <m/>
    <n v="5"/>
    <s v="No"/>
    <m/>
  </r>
  <r>
    <x v="451"/>
    <s v="NORWALK"/>
    <s v="No"/>
    <n v="9493.4351807999992"/>
    <n v="8.4222354264405769E-5"/>
    <n v="1151.32"/>
    <n v="1.4085999637704769E-5"/>
    <n v="9493.4351807999992"/>
    <n v="8.4222354264405769E-5"/>
    <n v="1151.32"/>
    <n v="1.4085999637704769E-5"/>
    <n v="0"/>
    <n v="0"/>
    <n v="0"/>
    <n v="0"/>
    <m/>
    <n v="4"/>
    <s v="No"/>
    <m/>
  </r>
  <r>
    <x v="452"/>
    <s v="NORWALK"/>
    <s v="No"/>
    <n v="1613.0028096000001"/>
    <n v="1.4309982790461847E-5"/>
    <n v="0"/>
    <n v="0"/>
    <n v="1613.0028096000001"/>
    <n v="1.4309982790461847E-5"/>
    <n v="0"/>
    <n v="0"/>
    <n v="0"/>
    <n v="0"/>
    <n v="0"/>
    <n v="0"/>
    <m/>
    <n v="4"/>
    <s v="No"/>
    <m/>
  </r>
  <r>
    <x v="453"/>
    <s v="NORWALK"/>
    <s v="No"/>
    <n v="5216.0098175999992"/>
    <n v="4.6274569567083301E-5"/>
    <n v="0"/>
    <n v="0"/>
    <n v="5216.0098175999992"/>
    <n v="4.6274569567083301E-5"/>
    <n v="0"/>
    <n v="0"/>
    <n v="0"/>
    <n v="0"/>
    <n v="0"/>
    <n v="0"/>
    <m/>
    <n v="3"/>
    <s v="No"/>
    <m/>
  </r>
  <r>
    <x v="454"/>
    <s v="NORWALK"/>
    <s v="No"/>
    <n v="12491.628364799999"/>
    <n v="1.1082124957331075E-4"/>
    <n v="297.27"/>
    <n v="3.6369950251020541E-6"/>
    <n v="12491.628364799999"/>
    <n v="1.1082124957331075E-4"/>
    <n v="297.27"/>
    <n v="3.6369950251020541E-6"/>
    <n v="0"/>
    <n v="0"/>
    <n v="0"/>
    <n v="0"/>
    <m/>
    <n v="2"/>
    <s v="No"/>
    <m/>
  </r>
  <r>
    <x v="455"/>
    <s v="NORWALK"/>
    <s v="No"/>
    <n v="22822.7260608"/>
    <n v="2.0247504543557683E-4"/>
    <n v="1502.88"/>
    <n v="1.8387213924463873E-5"/>
    <n v="22822.7260608"/>
    <n v="2.0247504543557683E-4"/>
    <n v="1502.88"/>
    <n v="1.8387213924463873E-5"/>
    <n v="0"/>
    <n v="0"/>
    <n v="0"/>
    <n v="0"/>
    <m/>
    <n v="3"/>
    <s v="No"/>
    <m/>
  </r>
  <r>
    <x v="456"/>
    <s v="NORWALK"/>
    <s v="No"/>
    <n v="641725.94221919996"/>
    <n v="5.6931625504278759E-3"/>
    <n v="1222150.5935999991"/>
    <n v="1.4952587307325727E-2"/>
    <n v="156777.56966879999"/>
    <n v="1.3908744055116126E-3"/>
    <n v="950399.07779999904"/>
    <n v="1.1627802058129568E-2"/>
    <n v="484948.37255039997"/>
    <n v="4.3022881449162626E-3"/>
    <n v="271751.51579999999"/>
    <n v="3.3247852491961592E-3"/>
    <m/>
    <n v="1"/>
    <s v="No"/>
    <m/>
  </r>
  <r>
    <x v="457"/>
    <s v="NORWALK"/>
    <s v="No"/>
    <n v="471.47460479999995"/>
    <n v="4.1827537067346465E-6"/>
    <n v="0"/>
    <n v="0"/>
    <n v="471.47460479999995"/>
    <n v="4.1827537067346465E-6"/>
    <n v="0"/>
    <n v="0"/>
    <n v="0"/>
    <n v="0"/>
    <n v="0"/>
    <n v="0"/>
    <m/>
    <n v="4"/>
    <s v="No"/>
    <m/>
  </r>
  <r>
    <x v="458"/>
    <s v="NORWALK"/>
    <s v="No"/>
    <n v="3578.4509184000003"/>
    <n v="3.1746733951142399E-5"/>
    <n v="0"/>
    <n v="0"/>
    <n v="3578.4509184000003"/>
    <n v="3.1746733951142399E-5"/>
    <n v="0"/>
    <n v="0"/>
    <n v="0"/>
    <n v="0"/>
    <n v="0"/>
    <n v="0"/>
    <m/>
    <n v="4"/>
    <s v="No"/>
    <m/>
  </r>
  <r>
    <x v="459"/>
    <s v="NORWALK"/>
    <s v="No"/>
    <n v="42.460847999999999"/>
    <n v="3.7669742453771378E-7"/>
    <n v="0"/>
    <n v="0"/>
    <n v="42.460847999999999"/>
    <n v="3.7669742453771378E-7"/>
    <n v="0"/>
    <n v="0"/>
    <n v="0"/>
    <n v="0"/>
    <n v="0"/>
    <n v="0"/>
    <m/>
    <n v="3"/>
    <s v="No"/>
    <m/>
  </r>
  <r>
    <x v="308"/>
    <s v="OLD LYME"/>
    <s v="No"/>
    <n v="4295.9437343999998"/>
    <n v="3.8112073049210138E-5"/>
    <n v="4218.2299999999996"/>
    <n v="5.1608576461587901E-5"/>
    <n v="4295.9437343999998"/>
    <n v="3.8112073049210138E-5"/>
    <n v="4218.2299999999996"/>
    <n v="5.1608576461587901E-5"/>
    <n v="0"/>
    <n v="0"/>
    <n v="0"/>
    <n v="0"/>
    <m/>
    <n v="1"/>
    <s v="No"/>
    <m/>
  </r>
  <r>
    <x v="460"/>
    <s v="OLD LYME"/>
    <s v="No"/>
    <n v="111903.93362015999"/>
    <n v="9.9277159020360489E-4"/>
    <n v="24522.071"/>
    <n v="3.0001900707168352E-4"/>
    <n v="111864.65082335999"/>
    <n v="9.924230873102288E-4"/>
    <n v="24522.071"/>
    <n v="3.0001900707168352E-4"/>
    <n v="39.2827968"/>
    <n v="3.4850289337599532E-7"/>
    <n v="0"/>
    <n v="0"/>
    <m/>
    <n v="2"/>
    <s v="No"/>
    <m/>
  </r>
  <r>
    <x v="461"/>
    <s v="OLD LYME"/>
    <s v="No"/>
    <n v="168222.66808896"/>
    <n v="1.4924112165158332E-3"/>
    <n v="132131.85570000001"/>
    <n v="1.6165872837434069E-3"/>
    <n v="118541.5152624"/>
    <n v="1.0516578354757345E-3"/>
    <n v="90947.921300000002"/>
    <n v="1.1127161748964683E-3"/>
    <n v="49681.152826559999"/>
    <n v="4.4075338104009867E-4"/>
    <n v="41183.934399999998"/>
    <n v="5.0387110884693833E-4"/>
    <m/>
    <n v="1"/>
    <s v="No"/>
    <m/>
  </r>
  <r>
    <x v="193"/>
    <s v="OLD SAYBROOK"/>
    <s v="No"/>
    <n v="123009.35741279999"/>
    <n v="1.0912949296594569E-3"/>
    <n v="22006.809000000001"/>
    <n v="2.6924565160080439E-4"/>
    <n v="123009.35741279999"/>
    <n v="1.0912949296594569E-3"/>
    <n v="22006.809000000001"/>
    <n v="2.6924565160080439E-4"/>
    <n v="0"/>
    <n v="0"/>
    <n v="0"/>
    <n v="0"/>
    <m/>
    <n v="2"/>
    <s v="No"/>
    <m/>
  </r>
  <r>
    <x v="462"/>
    <s v="OLD SAYBROOK"/>
    <s v="No"/>
    <n v="309636.59236703999"/>
    <n v="2.7469848667953569E-3"/>
    <n v="207640.47029999999"/>
    <n v="2.5404089127424589E-3"/>
    <n v="157721.84856576001"/>
    <n v="1.3992517094347503E-3"/>
    <n v="155264.5803"/>
    <n v="1.8996081209865052E-3"/>
    <n v="151914.74380128001"/>
    <n v="1.3477331573606066E-3"/>
    <n v="52375.89"/>
    <n v="6.4080079175595395E-4"/>
    <m/>
    <n v="1"/>
    <s v="No"/>
    <m/>
  </r>
  <r>
    <x v="351"/>
    <s v="OXFORD"/>
    <s v="No"/>
    <n v="587.51688960000001"/>
    <n v="5.2122392653281044E-6"/>
    <n v="0"/>
    <n v="0"/>
    <n v="587.51688960000001"/>
    <n v="5.2122392653281044E-6"/>
    <n v="0"/>
    <n v="0"/>
    <n v="0"/>
    <n v="0"/>
    <n v="0"/>
    <n v="0"/>
    <m/>
    <n v="3"/>
    <s v="No"/>
    <m/>
  </r>
  <r>
    <x v="378"/>
    <s v="OXFORD"/>
    <s v="No"/>
    <n v="114.8034816"/>
    <n v="1.0184953406178514E-6"/>
    <n v="0"/>
    <n v="0"/>
    <n v="114.8034816"/>
    <n v="1.0184953406178514E-6"/>
    <n v="0"/>
    <n v="0"/>
    <n v="0"/>
    <n v="0"/>
    <n v="0"/>
    <n v="0"/>
    <m/>
    <n v="4"/>
    <s v="No"/>
    <m/>
  </r>
  <r>
    <x v="463"/>
    <s v="OXFORD"/>
    <s v="No"/>
    <n v="219250.79363231998"/>
    <n v="1.9451144567142115E-3"/>
    <n v="135049.008"/>
    <n v="1.6522776272108438E-3"/>
    <n v="140941.94373216"/>
    <n v="1.2503864080445129E-3"/>
    <n v="109352.74800000001"/>
    <n v="1.3378928262429395E-3"/>
    <n v="78308.849900159985"/>
    <n v="6.9472804866969851E-4"/>
    <n v="25696.26"/>
    <n v="3.1438480096790427E-4"/>
    <m/>
    <n v="1"/>
    <s v="No"/>
    <m/>
  </r>
  <r>
    <x v="379"/>
    <s v="OXFORD"/>
    <s v="No"/>
    <n v="131528.46519360002"/>
    <n v="1.1668734004518105E-3"/>
    <n v="33188.762199999997"/>
    <n v="4.0605295862581188E-4"/>
    <n v="131498.69918400003"/>
    <n v="1.1666093270834435E-3"/>
    <n v="33188.762199999997"/>
    <n v="4.0605295862581188E-4"/>
    <n v="29.7660096"/>
    <n v="2.6407336836713351E-7"/>
    <n v="0"/>
    <n v="0"/>
    <m/>
    <n v="2"/>
    <s v="No"/>
    <m/>
  </r>
  <r>
    <x v="229"/>
    <s v="PLAINFIELD"/>
    <s v="No"/>
    <n v="651.14737919999993"/>
    <n v="5.7767461624676474E-6"/>
    <n v="0"/>
    <n v="0"/>
    <n v="651.14737919999993"/>
    <n v="5.7767461624676474E-6"/>
    <n v="0"/>
    <n v="0"/>
    <n v="0"/>
    <n v="0"/>
    <n v="0"/>
    <n v="0"/>
    <m/>
    <n v="3"/>
    <s v="No"/>
    <m/>
  </r>
  <r>
    <x v="82"/>
    <s v="PLAINFIELD"/>
    <s v="No"/>
    <n v="366.52944960000002"/>
    <n v="3.2517179044927642E-6"/>
    <n v="0"/>
    <n v="0"/>
    <n v="366.52944960000002"/>
    <n v="3.2517179044927642E-6"/>
    <n v="0"/>
    <n v="0"/>
    <n v="0"/>
    <n v="0"/>
    <n v="0"/>
    <n v="0"/>
    <m/>
    <n v="1"/>
    <s v="No"/>
    <m/>
  </r>
  <r>
    <x v="295"/>
    <s v="PLAINFIELD"/>
    <s v="No"/>
    <n v="72711.842685120006"/>
    <n v="6.450734067505225E-4"/>
    <n v="10386.07"/>
    <n v="1.2706995297326231E-4"/>
    <n v="72711.842685120006"/>
    <n v="6.450734067505225E-4"/>
    <n v="10386.07"/>
    <n v="1.2706995297326231E-4"/>
    <n v="0"/>
    <n v="0"/>
    <n v="0"/>
    <n v="0"/>
    <m/>
    <n v="4"/>
    <s v="No"/>
    <m/>
  </r>
  <r>
    <x v="296"/>
    <s v="PLAINFIELD"/>
    <s v="No"/>
    <n v="94817.697647040011"/>
    <n v="8.4118862873948299E-4"/>
    <n v="24022.759900000001"/>
    <n v="2.9391010948135067E-4"/>
    <n v="94817.697647040011"/>
    <n v="8.4118862873948299E-4"/>
    <n v="24022.759900000001"/>
    <n v="2.9391010948135067E-4"/>
    <n v="0"/>
    <n v="0"/>
    <n v="0"/>
    <n v="0"/>
    <m/>
    <n v="3"/>
    <s v="No"/>
    <m/>
  </r>
  <r>
    <x v="464"/>
    <s v="PLAINFIELD"/>
    <s v="No"/>
    <n v="207982.41048864002"/>
    <n v="1.8451454003042117E-3"/>
    <n v="197372.1023"/>
    <n v="2.414779002788824E-3"/>
    <n v="111292.48756800001"/>
    <n v="9.8734705998479205E-4"/>
    <n v="140557.81229999999"/>
    <n v="1.7196759312218799E-3"/>
    <n v="96689.922920640005"/>
    <n v="8.5779834031941967E-4"/>
    <n v="56814.29"/>
    <n v="6.9510307156694375E-4"/>
    <m/>
    <n v="5"/>
    <s v="No"/>
    <m/>
  </r>
  <r>
    <x v="297"/>
    <s v="PLAINFIELD"/>
    <s v="No"/>
    <n v="115.2897408"/>
    <n v="1.0228092579540706E-6"/>
    <n v="0"/>
    <n v="0"/>
    <n v="115.2897408"/>
    <n v="1.0228092579540706E-6"/>
    <n v="0"/>
    <n v="0"/>
    <n v="0"/>
    <n v="0"/>
    <n v="0"/>
    <n v="0"/>
    <m/>
    <e v="#N/A"/>
    <e v="#N/A"/>
    <m/>
  </r>
  <r>
    <x v="56"/>
    <s v="PLAINVILLE"/>
    <s v="No"/>
    <n v="1739.9048831999999"/>
    <n v="1.5435812502897533E-5"/>
    <n v="0"/>
    <n v="0"/>
    <n v="1739.9048831999999"/>
    <n v="1.5435812502897533E-5"/>
    <n v="0"/>
    <n v="0"/>
    <n v="0"/>
    <n v="0"/>
    <n v="0"/>
    <n v="0"/>
    <m/>
    <n v="4"/>
    <s v="No"/>
    <m/>
  </r>
  <r>
    <x v="465"/>
    <s v="PLAINVILLE"/>
    <s v="No"/>
    <n v="59279.313767040003"/>
    <n v="5.2590482470832919E-4"/>
    <n v="16805.87"/>
    <n v="2.0561397242409882E-4"/>
    <n v="59279.313767040003"/>
    <n v="5.2590482470832919E-4"/>
    <n v="16805.87"/>
    <n v="2.0561397242409882E-4"/>
    <n v="0"/>
    <n v="0"/>
    <n v="0"/>
    <n v="0"/>
    <m/>
    <n v="4"/>
    <s v="No"/>
    <m/>
  </r>
  <r>
    <x v="67"/>
    <s v="PLAINVILLE"/>
    <s v="No"/>
    <n v="98484.200844479987"/>
    <n v="8.7371653095036036E-4"/>
    <n v="15583.0162"/>
    <n v="1.9065278163112563E-4"/>
    <n v="98461.290510719991"/>
    <n v="8.7351327868081814E-4"/>
    <n v="15583.0162"/>
    <n v="1.9065278163112563E-4"/>
    <n v="22.91033376"/>
    <n v="2.0325226954231901E-7"/>
    <n v="0"/>
    <n v="0"/>
    <m/>
    <n v="4"/>
    <s v="No"/>
    <m/>
  </r>
  <r>
    <x v="194"/>
    <s v="PLAINVILLE"/>
    <s v="No"/>
    <n v="270313.44936768"/>
    <n v="2.3981240363996205E-3"/>
    <n v="190483.17229999998"/>
    <n v="2.3304953410056761E-3"/>
    <n v="112485.94246655999"/>
    <n v="9.9793496408386853E-4"/>
    <n v="169878.43229999999"/>
    <n v="2.0784035158180644E-3"/>
    <n v="157827.50690112001"/>
    <n v="1.4001890723157522E-3"/>
    <n v="20604.740000000002"/>
    <n v="2.5209182518761162E-4"/>
    <m/>
    <n v="3"/>
    <s v="No"/>
    <m/>
  </r>
  <r>
    <x v="466"/>
    <s v="PLAINVILLE"/>
    <s v="No"/>
    <n v="69727.892843520007"/>
    <n v="6.1860087327025761E-4"/>
    <n v="8228.0300000000007"/>
    <n v="1.0066708438924364E-4"/>
    <n v="69727.892843520007"/>
    <n v="6.1860087327025761E-4"/>
    <n v="8228.0300000000007"/>
    <n v="1.0066708438924364E-4"/>
    <n v="0"/>
    <n v="0"/>
    <n v="0"/>
    <n v="0"/>
    <m/>
    <n v="1"/>
    <s v="No"/>
    <m/>
  </r>
  <r>
    <x v="307"/>
    <s v="PLYMOUTH"/>
    <s v="No"/>
    <n v="116.615376"/>
    <n v="1.0345698183111444E-6"/>
    <n v="0"/>
    <n v="0"/>
    <n v="116.615376"/>
    <n v="1.0345698183111444E-6"/>
    <n v="0"/>
    <n v="0"/>
    <n v="0"/>
    <n v="0"/>
    <n v="0"/>
    <n v="0"/>
    <m/>
    <n v="1"/>
    <s v="No"/>
    <m/>
  </r>
  <r>
    <x v="289"/>
    <s v="PLYMOUTH"/>
    <s v="No"/>
    <n v="69.610320000000002"/>
    <n v="6.1755780914328671E-7"/>
    <n v="0"/>
    <n v="0"/>
    <n v="69.610320000000002"/>
    <n v="6.1755780914328671E-7"/>
    <n v="0"/>
    <n v="0"/>
    <n v="0"/>
    <n v="0"/>
    <n v="0"/>
    <n v="0"/>
    <m/>
    <n v="1"/>
    <s v="No"/>
    <m/>
  </r>
  <r>
    <x v="290"/>
    <s v="PLYMOUTH"/>
    <s v="No"/>
    <n v="75679.634828159993"/>
    <n v="6.7140259492044373E-4"/>
    <n v="12089.58"/>
    <n v="1.4791180514540079E-4"/>
    <n v="75679.634828159993"/>
    <n v="6.7140259492044373E-4"/>
    <n v="12089.58"/>
    <n v="1.4791180514540079E-4"/>
    <n v="0"/>
    <n v="0"/>
    <n v="0"/>
    <n v="0"/>
    <m/>
    <n v="1"/>
    <s v="No"/>
    <m/>
  </r>
  <r>
    <x v="69"/>
    <s v="PLYMOUTH"/>
    <s v="No"/>
    <n v="172710.58232448"/>
    <n v="1.5322263830444556E-3"/>
    <n v="239097.30319999999"/>
    <n v="2.9252723189481531E-3"/>
    <n v="109175.17723776001"/>
    <n v="9.6856304162631489E-4"/>
    <n v="88599.410600000003"/>
    <n v="1.0839829635656952E-3"/>
    <n v="63535.405086719999"/>
    <n v="5.6366334141814088E-4"/>
    <n v="150497.89259999999"/>
    <n v="1.8412893553824577E-3"/>
    <m/>
    <n v="2"/>
    <s v="No"/>
    <m/>
  </r>
  <r>
    <x v="467"/>
    <s v="PLYMOUTH"/>
    <s v="No"/>
    <n v="59404.700332799999"/>
    <n v="5.2701720937840032E-4"/>
    <n v="14947.95"/>
    <n v="1.8288296762362246E-4"/>
    <n v="59404.700332799999"/>
    <n v="5.2701720937840032E-4"/>
    <n v="14947.95"/>
    <n v="1.8288296762362246E-4"/>
    <n v="0"/>
    <n v="0"/>
    <n v="0"/>
    <n v="0"/>
    <m/>
    <n v="3"/>
    <s v="No"/>
    <m/>
  </r>
  <r>
    <x v="468"/>
    <s v="POMFRET"/>
    <s v="No"/>
    <n v="83.202422399999989"/>
    <n v="7.3814206992236669E-7"/>
    <n v="0"/>
    <n v="0"/>
    <n v="83.202422399999989"/>
    <n v="7.3814206992236669E-7"/>
    <n v="0"/>
    <n v="0"/>
    <n v="0"/>
    <n v="0"/>
    <n v="0"/>
    <n v="0"/>
    <m/>
    <n v="1"/>
    <s v="No"/>
    <m/>
  </r>
  <r>
    <x v="4"/>
    <s v="POMFRET"/>
    <s v="No"/>
    <n v="150.11516160000002"/>
    <n v="1.33176790908139E-6"/>
    <n v="0"/>
    <n v="0"/>
    <n v="150.11516160000002"/>
    <n v="1.33176790908139E-6"/>
    <n v="0"/>
    <n v="0"/>
    <n v="0"/>
    <n v="0"/>
    <n v="0"/>
    <n v="0"/>
    <m/>
    <n v="2"/>
    <s v="No"/>
    <m/>
  </r>
  <r>
    <x v="74"/>
    <s v="POMFRET"/>
    <s v="No"/>
    <n v="102560.03529984"/>
    <n v="9.0987587336801993E-4"/>
    <n v="64726.646700000005"/>
    <n v="7.9190800295838226E-4"/>
    <n v="79728.11720352"/>
    <n v="7.0731927948794091E-4"/>
    <n v="49916.504200000003"/>
    <n v="6.1071106215186796E-4"/>
    <n v="22831.918096319998"/>
    <n v="2.0255659388007899E-4"/>
    <n v="14810.1425"/>
    <n v="1.8119694080651427E-4"/>
    <m/>
    <n v="2"/>
    <s v="No"/>
    <m/>
  </r>
  <r>
    <x v="75"/>
    <s v="POMFRET"/>
    <s v="No"/>
    <n v="917.38586880000003"/>
    <n v="8.1387186163651994E-6"/>
    <n v="0"/>
    <n v="0"/>
    <n v="917.38586880000003"/>
    <n v="8.1387186163651994E-6"/>
    <n v="0"/>
    <n v="0"/>
    <n v="0"/>
    <n v="0"/>
    <n v="0"/>
    <n v="0"/>
    <m/>
    <n v="4"/>
    <s v="No"/>
    <m/>
  </r>
  <r>
    <x v="208"/>
    <s v="PORTLAND"/>
    <s v="No"/>
    <n v="192776.68356191998"/>
    <n v="1.7102456410832182E-3"/>
    <n v="93783.939599999998"/>
    <n v="1.1474138721016972E-3"/>
    <n v="125121.51976319999"/>
    <n v="1.1100332769859447E-3"/>
    <n v="80210.659599999999"/>
    <n v="9.8134951365880956E-4"/>
    <n v="67655.163798719994"/>
    <n v="6.0021236409727352E-4"/>
    <n v="13573.28"/>
    <n v="1.6606435844288765E-4"/>
    <m/>
    <n v="1"/>
    <s v="No"/>
    <m/>
  </r>
  <r>
    <x v="469"/>
    <s v="PORTLAND"/>
    <s v="No"/>
    <n v="60508.24069536"/>
    <n v="5.3680742394146715E-4"/>
    <n v="31057.98"/>
    <n v="3.7998357974137684E-4"/>
    <n v="60508.24069536"/>
    <n v="5.3680742394146715E-4"/>
    <n v="31057.98"/>
    <n v="3.7998357974137684E-4"/>
    <n v="0"/>
    <n v="0"/>
    <n v="0"/>
    <n v="0"/>
    <m/>
    <n v="1"/>
    <s v="No"/>
    <m/>
  </r>
  <r>
    <x v="470"/>
    <s v="PRESTON"/>
    <s v="No"/>
    <n v="68.452560000000005"/>
    <n v="6.0728657739038394E-7"/>
    <n v="0"/>
    <n v="0"/>
    <n v="68.452560000000005"/>
    <n v="6.0728657739038394E-7"/>
    <n v="0"/>
    <n v="0"/>
    <n v="0"/>
    <n v="0"/>
    <n v="0"/>
    <n v="0"/>
    <m/>
    <n v="5"/>
    <s v="Yes"/>
    <m/>
  </r>
  <r>
    <x v="471"/>
    <s v="PRESTON"/>
    <s v="No"/>
    <n v="130427.25598079999"/>
    <n v="1.1571038670138778E-3"/>
    <n v="75747.447100000005"/>
    <n v="9.267436615429779E-4"/>
    <n v="106676.39367071999"/>
    <n v="9.463947294394943E-4"/>
    <n v="57765.007100000003"/>
    <n v="7.0673476451604551E-4"/>
    <n v="23750.86231008"/>
    <n v="2.1070913757438361E-4"/>
    <n v="17982.439999999999"/>
    <n v="2.2000889702693233E-4"/>
    <m/>
    <n v="4"/>
    <s v="No"/>
    <m/>
  </r>
  <r>
    <x v="434"/>
    <s v="PRESTON"/>
    <s v="No"/>
    <n v="751.86671039999999"/>
    <n v="6.6702919688114355E-6"/>
    <n v="0"/>
    <n v="0"/>
    <n v="751.86671039999999"/>
    <n v="6.6702919688114355E-6"/>
    <n v="0"/>
    <n v="0"/>
    <n v="0"/>
    <n v="0"/>
    <n v="0"/>
    <n v="0"/>
    <m/>
    <n v="3"/>
    <s v="No"/>
    <m/>
  </r>
  <r>
    <x v="95"/>
    <s v="PROSPECT"/>
    <s v="No"/>
    <n v="166091.78765376"/>
    <n v="1.4735068090499803E-3"/>
    <n v="114759.0438"/>
    <n v="1.4040369744207917E-3"/>
    <n v="122291.37139104001"/>
    <n v="1.0849252150166625E-3"/>
    <n v="100895.8768"/>
    <n v="1.2344259493891404E-3"/>
    <n v="43800.416262719998"/>
    <n v="3.8858159403331791E-4"/>
    <n v="13863.166999999999"/>
    <n v="1.6961102503165124E-4"/>
    <m/>
    <n v="1"/>
    <s v="No"/>
    <m/>
  </r>
  <r>
    <x v="380"/>
    <s v="PROSPECT"/>
    <s v="No"/>
    <n v="69831.277917119995"/>
    <n v="6.1951806858771233E-4"/>
    <n v="19924.240000000002"/>
    <n v="2.4376614444424045E-4"/>
    <n v="69819.393510719994"/>
    <n v="6.1941263439376881E-4"/>
    <n v="19924.240000000002"/>
    <n v="2.4376614444424045E-4"/>
    <n v="11.8844064"/>
    <n v="1.0543419394354825E-7"/>
    <n v="0"/>
    <n v="0"/>
    <m/>
    <n v="2"/>
    <s v="No"/>
    <m/>
  </r>
  <r>
    <x v="472"/>
    <s v="PROSPECT"/>
    <s v="No"/>
    <n v="1536.5559168"/>
    <n v="1.3631773357817667E-5"/>
    <n v="0"/>
    <n v="0"/>
    <n v="1536.5559168"/>
    <n v="1.3631773357817667E-5"/>
    <n v="0"/>
    <n v="0"/>
    <n v="0"/>
    <n v="0"/>
    <n v="0"/>
    <n v="0"/>
    <m/>
    <n v="5"/>
    <s v="No"/>
    <m/>
  </r>
  <r>
    <x v="468"/>
    <s v="PUTNAM"/>
    <s v="No"/>
    <n v="253.86203520000004"/>
    <n v="2.2521729864590189E-6"/>
    <n v="0"/>
    <n v="0"/>
    <n v="253.86203520000004"/>
    <n v="2.2521729864590189E-6"/>
    <n v="0"/>
    <n v="0"/>
    <n v="0"/>
    <n v="0"/>
    <n v="0"/>
    <n v="0"/>
    <m/>
    <n v="1"/>
    <s v="No"/>
    <m/>
  </r>
  <r>
    <x v="74"/>
    <s v="PUTNAM"/>
    <s v="No"/>
    <n v="328.95955872000002"/>
    <n v="2.9184112984951886E-6"/>
    <n v="0"/>
    <n v="0"/>
    <n v="328.95955872000002"/>
    <n v="2.9184112984951886E-6"/>
    <n v="0"/>
    <n v="0"/>
    <n v="0"/>
    <n v="0"/>
    <n v="0"/>
    <n v="0"/>
    <m/>
    <n v="2"/>
    <s v="No"/>
    <m/>
  </r>
  <r>
    <x v="473"/>
    <s v="PUTNAM"/>
    <s v="No"/>
    <n v="224139.23609759999"/>
    <n v="1.9884829661389828E-3"/>
    <n v="277851.3052"/>
    <n v="3.3994140502927052E-3"/>
    <n v="126091.598184"/>
    <n v="1.1186394650374639E-3"/>
    <n v="270102.65519999998"/>
    <n v="3.3046120134196367E-3"/>
    <n v="98047.637913599989"/>
    <n v="8.698435011015187E-4"/>
    <n v="7748.65"/>
    <n v="9.4802036873068351E-5"/>
    <m/>
    <n v="2"/>
    <s v="No"/>
    <m/>
  </r>
  <r>
    <x v="474"/>
    <s v="PUTNAM"/>
    <s v="No"/>
    <n v="45609.665760000004"/>
    <n v="4.0463260709767149E-4"/>
    <n v="4946.6899999999996"/>
    <n v="6.0521031118922454E-5"/>
    <n v="45609.665760000004"/>
    <n v="4.0463260709767149E-4"/>
    <n v="4946.6899999999996"/>
    <n v="6.0521031118922454E-5"/>
    <n v="0"/>
    <n v="0"/>
    <n v="0"/>
    <n v="0"/>
    <m/>
    <n v="3"/>
    <s v="No"/>
    <m/>
  </r>
  <r>
    <x v="292"/>
    <s v="PUTNAM"/>
    <s v="No"/>
    <n v="306.71377919999998"/>
    <n v="2.7210547159790357E-6"/>
    <n v="0"/>
    <n v="0"/>
    <n v="306.71377919999998"/>
    <n v="2.7210547159790357E-6"/>
    <n v="0"/>
    <n v="0"/>
    <n v="0"/>
    <n v="0"/>
    <n v="0"/>
    <n v="0"/>
    <m/>
    <n v="2"/>
    <s v="No"/>
    <m/>
  </r>
  <r>
    <x v="475"/>
    <s v="REDDING"/>
    <s v="No"/>
    <n v="6580.5052319999995"/>
    <n v="5.8379883817943308E-5"/>
    <n v="3388.5"/>
    <n v="4.1457118587675547E-5"/>
    <n v="6580.5052319999995"/>
    <n v="5.8379883817943308E-5"/>
    <n v="3388.5"/>
    <n v="4.1457118587675547E-5"/>
    <n v="0"/>
    <n v="0"/>
    <n v="0"/>
    <n v="0"/>
    <m/>
    <n v="4"/>
    <s v="No"/>
    <m/>
  </r>
  <r>
    <x v="132"/>
    <s v="REDDING"/>
    <s v="No"/>
    <n v="105997.58451071999"/>
    <n v="9.4037257787237037E-4"/>
    <n v="23180.573899999999"/>
    <n v="2.8360625678107616E-4"/>
    <n v="105989.61333311998"/>
    <n v="9.4030186044175164E-4"/>
    <n v="23180.573899999999"/>
    <n v="2.8360625678107616E-4"/>
    <n v="7.9711776000000008"/>
    <n v="7.0717430618736454E-8"/>
    <n v="0"/>
    <n v="0"/>
    <m/>
    <n v="1"/>
    <s v="No"/>
    <m/>
  </r>
  <r>
    <x v="476"/>
    <s v="REDDING"/>
    <s v="No"/>
    <n v="169993.67156351998"/>
    <n v="1.5081229245748453E-3"/>
    <n v="66021.557700000005"/>
    <n v="8.0775078852352489E-4"/>
    <n v="135659.58847776"/>
    <n v="1.2035232455418297E-3"/>
    <n v="62433.157700000003"/>
    <n v="7.6384796298419619E-4"/>
    <n v="34334.083085759994"/>
    <n v="3.0459967903301581E-4"/>
    <n v="3588.4"/>
    <n v="4.3902825539328596E-5"/>
    <m/>
    <n v="2"/>
    <s v="No"/>
    <m/>
  </r>
  <r>
    <x v="133"/>
    <s v="REDDING"/>
    <s v="No"/>
    <n v="324.96586560000003"/>
    <n v="2.8829806845635501E-6"/>
    <n v="0"/>
    <n v="0"/>
    <n v="324.96586560000003"/>
    <n v="2.8829806845635501E-6"/>
    <n v="0"/>
    <n v="0"/>
    <n v="0"/>
    <n v="0"/>
    <n v="0"/>
    <n v="0"/>
    <m/>
    <n v="3"/>
    <s v="No"/>
    <m/>
  </r>
  <r>
    <x v="477"/>
    <s v="RIDGEFIELD"/>
    <s v="No"/>
    <n v="226.29576959999997"/>
    <n v="2.0076149584224004E-6"/>
    <n v="0"/>
    <n v="0"/>
    <n v="226.29576959999997"/>
    <n v="2.0076149584224004E-6"/>
    <n v="0"/>
    <n v="0"/>
    <n v="0"/>
    <n v="0"/>
    <n v="0"/>
    <n v="0"/>
    <m/>
    <n v="3"/>
    <s v="No"/>
    <m/>
  </r>
  <r>
    <x v="28"/>
    <s v="RIDGEFIELD"/>
    <s v="No"/>
    <n v="1074.8122848"/>
    <n v="9.5353493539661704E-6"/>
    <n v="0"/>
    <n v="0"/>
    <n v="1074.8122848"/>
    <n v="9.5353493539661704E-6"/>
    <n v="0"/>
    <n v="0"/>
    <n v="0"/>
    <n v="0"/>
    <n v="0"/>
    <n v="0"/>
    <m/>
    <n v="4"/>
    <s v="No"/>
    <m/>
  </r>
  <r>
    <x v="132"/>
    <s v="RIDGEFIELD"/>
    <s v="No"/>
    <n v="1081.2262751999999"/>
    <n v="9.5922519778772511E-6"/>
    <n v="0"/>
    <n v="0"/>
    <n v="1081.2262751999999"/>
    <n v="9.5922519778772511E-6"/>
    <n v="0"/>
    <n v="0"/>
    <n v="0"/>
    <n v="0"/>
    <n v="0"/>
    <n v="0"/>
    <m/>
    <n v="1"/>
    <s v="No"/>
    <m/>
  </r>
  <r>
    <x v="478"/>
    <s v="RIDGEFIELD"/>
    <s v="No"/>
    <n v="57530.246371200003"/>
    <n v="5.1038772567733913E-4"/>
    <n v="11748.259099999999"/>
    <n v="1.4373586268479811E-4"/>
    <n v="57530.246371200003"/>
    <n v="5.1038772567733913E-4"/>
    <n v="11748.259099999999"/>
    <n v="1.4373586268479811E-4"/>
    <n v="0"/>
    <n v="0"/>
    <n v="0"/>
    <n v="0"/>
    <m/>
    <n v="1"/>
    <s v="No"/>
    <m/>
  </r>
  <r>
    <x v="133"/>
    <s v="RIDGEFIELD"/>
    <s v="No"/>
    <n v="98395.787923199998"/>
    <n v="8.7293216320193415E-4"/>
    <n v="10773.143099999999"/>
    <n v="1.3180565768295663E-4"/>
    <n v="98395.787923199998"/>
    <n v="8.7293216320193415E-4"/>
    <n v="10773.143099999999"/>
    <n v="1.3180565768295663E-4"/>
    <n v="0"/>
    <n v="0"/>
    <n v="0"/>
    <n v="0"/>
    <m/>
    <n v="3"/>
    <s v="No"/>
    <m/>
  </r>
  <r>
    <x v="479"/>
    <s v="RIDGEFIELD"/>
    <s v="No"/>
    <n v="134335.73796479998"/>
    <n v="1.1917785182885027E-3"/>
    <n v="64446.402699999999"/>
    <n v="7.8847931511966758E-4"/>
    <n v="134043.68142719998"/>
    <n v="1.1891874973665153E-3"/>
    <n v="64446.402699999999"/>
    <n v="7.8847931511966758E-4"/>
    <n v="292.05653759999996"/>
    <n v="2.5910209219872845E-6"/>
    <n v="0"/>
    <n v="0"/>
    <m/>
    <n v="2"/>
    <s v="No"/>
    <m/>
  </r>
  <r>
    <x v="480"/>
    <s v="RIDGEFIELD"/>
    <s v="No"/>
    <n v="92011.664257919998"/>
    <n v="8.1629450625638172E-4"/>
    <n v="15050.615299999999"/>
    <n v="1.8413904185025351E-4"/>
    <n v="92011.664257919998"/>
    <n v="8.1629450625638172E-4"/>
    <n v="15050.615299999999"/>
    <n v="1.8413904185025351E-4"/>
    <n v="0"/>
    <n v="0"/>
    <n v="0"/>
    <n v="0"/>
    <m/>
    <n v="1"/>
    <s v="No"/>
    <m/>
  </r>
  <r>
    <x v="481"/>
    <s v="RIDGEFIELD"/>
    <s v="No"/>
    <n v="81971.845084799992"/>
    <n v="7.2722482904836495E-4"/>
    <n v="16745.104599999999"/>
    <n v="2.0487052889633505E-4"/>
    <n v="81970.654328639997"/>
    <n v="7.2721426508650711E-4"/>
    <n v="16745.104599999999"/>
    <n v="2.0487052889633505E-4"/>
    <n v="1.1907561599999998"/>
    <n v="1.0563961857860629E-8"/>
    <n v="0"/>
    <n v="0"/>
    <m/>
    <n v="3"/>
    <s v="No"/>
    <m/>
  </r>
  <r>
    <x v="134"/>
    <s v="RIDGEFIELD"/>
    <s v="No"/>
    <n v="325127.62261727999"/>
    <n v="2.8844157348435224E-3"/>
    <n v="244622.0661"/>
    <n v="2.9928658708779422E-3"/>
    <n v="166942.71057311998"/>
    <n v="1.4810558922007224E-3"/>
    <n v="112930.68610000001"/>
    <n v="1.3816676540756273E-3"/>
    <n v="158184.91204416001"/>
    <n v="1.4033598426428002E-3"/>
    <n v="131691.38"/>
    <n v="1.6111982168023149E-3"/>
    <m/>
    <n v="3"/>
    <s v="No"/>
    <m/>
  </r>
  <r>
    <x v="482"/>
    <s v="ROCKY HILL"/>
    <s v="No"/>
    <n v="76843.239779519994"/>
    <n v="6.8172568098685122E-4"/>
    <n v="22526.2637"/>
    <n v="2.7560099912886263E-4"/>
    <n v="76843.239779519994"/>
    <n v="6.8172568098685122E-4"/>
    <n v="22526.2637"/>
    <n v="2.7560099912886263E-4"/>
    <n v="0"/>
    <n v="0"/>
    <n v="0"/>
    <n v="0"/>
    <m/>
    <n v="4"/>
    <s v="No"/>
    <m/>
  </r>
  <r>
    <x v="19"/>
    <s v="ROCKY HILL"/>
    <s v="No"/>
    <n v="320308.27468992001"/>
    <n v="2.8416602073941494E-3"/>
    <n v="161859.7885"/>
    <n v="1.9802981987370764E-3"/>
    <n v="159160.72948128002"/>
    <n v="1.4120169451901188E-3"/>
    <n v="98905.718500000003"/>
    <n v="1.2100770549959437E-3"/>
    <n v="161147.54520863999"/>
    <n v="1.4296432622040304E-3"/>
    <n v="62954.07"/>
    <n v="7.7022114374113257E-4"/>
    <m/>
    <n v="5"/>
    <s v="No"/>
    <m/>
  </r>
  <r>
    <x v="422"/>
    <s v="ROCKY HILL"/>
    <s v="No"/>
    <n v="64.359878399999999"/>
    <n v="5.7097777314387211E-7"/>
    <n v="0"/>
    <n v="0"/>
    <n v="64.359878399999999"/>
    <n v="5.7097777314387211E-7"/>
    <n v="0"/>
    <n v="0"/>
    <n v="0"/>
    <n v="0"/>
    <n v="0"/>
    <n v="0"/>
    <m/>
    <n v="1"/>
    <s v="No"/>
    <m/>
  </r>
  <r>
    <x v="483"/>
    <s v="ROCKY HILL"/>
    <s v="No"/>
    <n v="97311.370861440024"/>
    <n v="8.6331160370934615E-4"/>
    <n v="24959.3027"/>
    <n v="3.0536838480141375E-4"/>
    <n v="97311.370861440024"/>
    <n v="8.6331160370934615E-4"/>
    <n v="24959.3027"/>
    <n v="3.0536838480141375E-4"/>
    <n v="0"/>
    <n v="0"/>
    <n v="0"/>
    <n v="0"/>
    <m/>
    <n v="4"/>
    <s v="No"/>
    <m/>
  </r>
  <r>
    <x v="52"/>
    <s v="ROXBURY"/>
    <s v="No"/>
    <n v="95294.749181760009"/>
    <n v="8.454208589695713E-4"/>
    <n v="17705.96"/>
    <n v="2.1662626041866304E-4"/>
    <n v="89712.105716160004"/>
    <n v="7.9589364708713744E-4"/>
    <n v="17705.96"/>
    <n v="2.1662626041866304E-4"/>
    <n v="5582.6434656000001"/>
    <n v="4.9527211882433835E-5"/>
    <n v="0"/>
    <n v="0"/>
    <m/>
    <n v="1"/>
    <s v="No"/>
    <m/>
  </r>
  <r>
    <x v="102"/>
    <s v="SALEM"/>
    <s v="No"/>
    <n v="784.89181440000004"/>
    <n v="6.9632788545629911E-6"/>
    <n v="0"/>
    <n v="0"/>
    <n v="784.89181440000004"/>
    <n v="6.9632788545629911E-6"/>
    <n v="0"/>
    <n v="0"/>
    <n v="0"/>
    <n v="0"/>
    <n v="0"/>
    <n v="0"/>
    <m/>
    <n v="1"/>
    <s v="No"/>
    <m/>
  </r>
  <r>
    <x v="106"/>
    <s v="SALEM"/>
    <s v="No"/>
    <n v="113690.19405600001"/>
    <n v="1.008618652554657E-3"/>
    <n v="55249.99"/>
    <n v="6.7596440531146173E-4"/>
    <n v="97402.728545280013"/>
    <n v="8.6412209633573587E-4"/>
    <n v="47537.07"/>
    <n v="5.8159951255736572E-4"/>
    <n v="16287.465510719998"/>
    <n v="1.4449655621892108E-4"/>
    <n v="7712.92"/>
    <n v="9.4364892754096052E-5"/>
    <m/>
    <n v="3"/>
    <s v="No"/>
    <m/>
  </r>
  <r>
    <x v="78"/>
    <s v="SALISBURY"/>
    <s v="No"/>
    <n v="173975.28172128001"/>
    <n v="1.543446342796295E-3"/>
    <n v="274061.99890000001"/>
    <n v="3.3530532060713314E-3"/>
    <n v="133901.08475904001"/>
    <n v="1.1879224308364376E-3"/>
    <n v="71965.126900000003"/>
    <n v="8.8046828982452996E-4"/>
    <n v="40074.196962240007"/>
    <n v="3.555239119598573E-4"/>
    <n v="202096.872"/>
    <n v="2.4725849162468014E-3"/>
    <m/>
    <n v="1"/>
    <s v="No"/>
    <m/>
  </r>
  <r>
    <x v="112"/>
    <s v="SALISBURY"/>
    <s v="No"/>
    <n v="870.51974399999995"/>
    <n v="7.7229391550076886E-6"/>
    <n v="254.5"/>
    <n v="3.1137189554562274E-6"/>
    <n v="870.51974399999995"/>
    <n v="7.7229391550076886E-6"/>
    <n v="254.5"/>
    <n v="3.1137189554562274E-6"/>
    <n v="0"/>
    <n v="0"/>
    <n v="0"/>
    <n v="0"/>
    <m/>
    <n v="1"/>
    <s v="No"/>
    <m/>
  </r>
  <r>
    <x v="81"/>
    <s v="SCOTLAND"/>
    <s v="No"/>
    <n v="33417.828348479998"/>
    <n v="2.9647099541007323E-4"/>
    <n v="14083.63"/>
    <n v="1.7230831313411391E-4"/>
    <n v="30727.571538239998"/>
    <n v="2.7260400123787831E-4"/>
    <n v="14083.63"/>
    <n v="1.7230831313411391E-4"/>
    <n v="2690.25681024"/>
    <n v="2.386699417219489E-5"/>
    <n v="0"/>
    <n v="0"/>
    <m/>
    <n v="2"/>
    <s v="No"/>
    <m/>
  </r>
  <r>
    <x v="484"/>
    <s v="SEYMOUR"/>
    <s v="No"/>
    <n v="167.08792319999998"/>
    <n v="1.4823441665789461E-6"/>
    <n v="0"/>
    <n v="0"/>
    <n v="167.08792319999998"/>
    <n v="1.4823441665789461E-6"/>
    <n v="0"/>
    <n v="0"/>
    <n v="0"/>
    <n v="0"/>
    <n v="0"/>
    <n v="0"/>
    <m/>
    <n v="4"/>
    <s v="Yes"/>
    <m/>
  </r>
  <r>
    <x v="485"/>
    <s v="SEYMOUR"/>
    <s v="No"/>
    <n v="41.106268800000002"/>
    <n v="3.6468008338681744E-7"/>
    <n v="0"/>
    <n v="0"/>
    <n v="41.106268800000002"/>
    <n v="3.6468008338681744E-7"/>
    <n v="0"/>
    <n v="0"/>
    <n v="0"/>
    <n v="0"/>
    <n v="0"/>
    <n v="0"/>
    <m/>
    <n v="5"/>
    <s v="No"/>
    <m/>
  </r>
  <r>
    <x v="486"/>
    <s v="SEYMOUR"/>
    <s v="No"/>
    <n v="876.93952319999994"/>
    <n v="7.7798931350775357E-6"/>
    <n v="0"/>
    <n v="0"/>
    <n v="876.93952319999994"/>
    <n v="7.7798931350775357E-6"/>
    <n v="0"/>
    <n v="0"/>
    <n v="0"/>
    <n v="0"/>
    <n v="0"/>
    <n v="0"/>
    <m/>
    <n v="3"/>
    <s v="No"/>
    <m/>
  </r>
  <r>
    <x v="14"/>
    <s v="SEYMOUR"/>
    <s v="No"/>
    <n v="89614.184112000003"/>
    <n v="7.9502492171232449E-4"/>
    <n v="38284.129999999997"/>
    <n v="4.6839301090039457E-4"/>
    <n v="89614.184112000003"/>
    <n v="7.9502492171232449E-4"/>
    <n v="38284.129999999997"/>
    <n v="4.6839301090039457E-4"/>
    <n v="0"/>
    <n v="0"/>
    <n v="0"/>
    <n v="0"/>
    <m/>
    <n v="2"/>
    <s v="No"/>
    <m/>
  </r>
  <r>
    <x v="487"/>
    <s v="SEYMOUR"/>
    <s v="No"/>
    <n v="53976.907267200004"/>
    <n v="4.7886377474291723E-4"/>
    <n v="13351.72"/>
    <n v="1.6335364892708848E-4"/>
    <n v="53976.907267200004"/>
    <n v="4.7886377474291723E-4"/>
    <n v="13351.72"/>
    <n v="1.6335364892708848E-4"/>
    <n v="0"/>
    <n v="0"/>
    <n v="0"/>
    <n v="0"/>
    <m/>
    <n v="2"/>
    <s v="No"/>
    <m/>
  </r>
  <r>
    <x v="488"/>
    <s v="SEYMOUR"/>
    <s v="No"/>
    <n v="243716.62715712"/>
    <n v="2.1621665626439051E-3"/>
    <n v="300973.51299999998"/>
    <n v="3.6823062181467634E-3"/>
    <n v="167933.75602751999"/>
    <n v="1.4898480922592868E-3"/>
    <n v="113997.1498"/>
    <n v="1.3947154664056703E-3"/>
    <n v="75782.871129600011"/>
    <n v="6.723184703846185E-4"/>
    <n v="186976.36319999999"/>
    <n v="2.2875907517410929E-3"/>
    <m/>
    <n v="3"/>
    <s v="No"/>
    <m/>
  </r>
  <r>
    <x v="112"/>
    <s v="SHARON"/>
    <s v="No"/>
    <n v="113265.31408128"/>
    <n v="1.0048492697054337E-3"/>
    <n v="25351.057799999999"/>
    <n v="3.1016137215216676E-4"/>
    <n v="96003.921755520001"/>
    <n v="8.5171238386064674E-4"/>
    <n v="24987.0278"/>
    <n v="3.0570759175391638E-4"/>
    <n v="17261.392325760004"/>
    <n v="1.5313688584478696E-4"/>
    <n v="364.03"/>
    <n v="4.4537803982504141E-6"/>
    <m/>
    <n v="1"/>
    <s v="No"/>
    <m/>
  </r>
  <r>
    <x v="114"/>
    <s v="SHARON"/>
    <s v="No"/>
    <n v="572.91174720000004"/>
    <n v="5.0826676767652347E-6"/>
    <n v="0"/>
    <n v="0"/>
    <n v="572.91174720000004"/>
    <n v="5.0826676767652347E-6"/>
    <n v="0"/>
    <n v="0"/>
    <n v="0"/>
    <n v="0"/>
    <n v="0"/>
    <n v="0"/>
    <m/>
    <n v="2"/>
    <s v="No"/>
    <m/>
  </r>
  <r>
    <x v="130"/>
    <s v="SHERMAN"/>
    <s v="No"/>
    <n v="419.00492159999999"/>
    <n v="3.7172614836930878E-6"/>
    <n v="0"/>
    <n v="0"/>
    <n v="419.00492159999999"/>
    <n v="3.7172614836930878E-6"/>
    <n v="0"/>
    <n v="0"/>
    <n v="0"/>
    <n v="0"/>
    <n v="0"/>
    <n v="0"/>
    <m/>
    <n v="3"/>
    <s v="No"/>
    <m/>
  </r>
  <r>
    <x v="131"/>
    <s v="SHERMAN"/>
    <s v="No"/>
    <n v="1016.0791200000001"/>
    <n v="9.0142897671414071E-6"/>
    <n v="0"/>
    <n v="0"/>
    <n v="1016.0791200000001"/>
    <n v="9.0142897671414071E-6"/>
    <n v="0"/>
    <n v="0"/>
    <n v="0"/>
    <n v="0"/>
    <n v="0"/>
    <n v="0"/>
    <m/>
    <n v="2"/>
    <s v="No"/>
    <m/>
  </r>
  <r>
    <x v="408"/>
    <s v="SHERMAN"/>
    <s v="No"/>
    <n v="123593.69393568001"/>
    <n v="1.0964789538511599E-3"/>
    <n v="34462.43"/>
    <n v="4.2163584102979709E-4"/>
    <n v="114117.20257248002"/>
    <n v="1.0124069190634579E-3"/>
    <n v="34462.43"/>
    <n v="4.2163584102979709E-4"/>
    <n v="9476.4913632000007"/>
    <n v="8.4072034787702047E-5"/>
    <n v="0"/>
    <n v="0"/>
    <m/>
    <n v="1"/>
    <s v="No"/>
    <m/>
  </r>
  <r>
    <x v="73"/>
    <s v="SHERMAN"/>
    <s v="No"/>
    <n v="1058.5747007999998"/>
    <n v="9.3912953286317047E-6"/>
    <n v="0"/>
    <n v="0"/>
    <n v="1058.5747007999998"/>
    <n v="9.3912953286317047E-6"/>
    <n v="0"/>
    <n v="0"/>
    <n v="0"/>
    <n v="0"/>
    <n v="0"/>
    <n v="0"/>
    <m/>
    <n v="2"/>
    <s v="No"/>
    <m/>
  </r>
  <r>
    <x v="83"/>
    <s v="SIMSBURY"/>
    <s v="No"/>
    <n v="1219.9722336"/>
    <n v="1.0823156391145136E-5"/>
    <n v="0"/>
    <n v="0"/>
    <n v="1219.9722336"/>
    <n v="1.0823156391145136E-5"/>
    <n v="0"/>
    <n v="0"/>
    <n v="0"/>
    <n v="0"/>
    <n v="0"/>
    <n v="0"/>
    <m/>
    <n v="1"/>
    <s v="No"/>
    <m/>
  </r>
  <r>
    <x v="489"/>
    <s v="SIMSBURY"/>
    <s v="No"/>
    <n v="89359.129584000009"/>
    <n v="7.9276216935716005E-4"/>
    <n v="9945.31"/>
    <n v="1.21677407720583E-4"/>
    <n v="89359.129584000009"/>
    <n v="7.9276216935716005E-4"/>
    <n v="9945.31"/>
    <n v="1.21677407720583E-4"/>
    <n v="0"/>
    <n v="0"/>
    <n v="0"/>
    <n v="0"/>
    <m/>
    <n v="1"/>
    <s v="No"/>
    <m/>
  </r>
  <r>
    <x v="85"/>
    <s v="SIMSBURY"/>
    <s v="No"/>
    <n v="260268.55631136001"/>
    <n v="2.3090093455184466E-3"/>
    <n v="314302.68479999999"/>
    <n v="3.8453839976917243E-3"/>
    <n v="115211.62615391999"/>
    <n v="1.0221162528120864E-3"/>
    <n v="225976.02679999999"/>
    <n v="2.7647380672921199E-3"/>
    <n v="145056.93015744002"/>
    <n v="1.2868930927063605E-3"/>
    <n v="88326.657999999996"/>
    <n v="1.0806459303996049E-3"/>
    <m/>
    <n v="2"/>
    <s v="No"/>
    <m/>
  </r>
  <r>
    <x v="490"/>
    <s v="SIMSBURY"/>
    <s v="No"/>
    <n v="49398.020303040008"/>
    <n v="4.3824153077246284E-4"/>
    <n v="14239.196"/>
    <n v="1.7421160902026127E-4"/>
    <n v="49398.020303040008"/>
    <n v="4.3824153077246284E-4"/>
    <n v="14239.196"/>
    <n v="1.7421160902026127E-4"/>
    <n v="0"/>
    <n v="0"/>
    <n v="0"/>
    <n v="0"/>
    <m/>
    <n v="3"/>
    <s v="No"/>
    <m/>
  </r>
  <r>
    <x v="86"/>
    <s v="SIMSBURY"/>
    <s v="No"/>
    <n v="99425.036563200003"/>
    <n v="8.8206328823026495E-4"/>
    <n v="14061.6337"/>
    <n v="1.7203919605647186E-4"/>
    <n v="99425.036563200003"/>
    <n v="8.8206328823026495E-4"/>
    <n v="14061.6337"/>
    <n v="1.7203919605647186E-4"/>
    <n v="0"/>
    <n v="0"/>
    <n v="0"/>
    <n v="0"/>
    <m/>
    <n v="2"/>
    <s v="No"/>
    <m/>
  </r>
  <r>
    <x v="491"/>
    <s v="SIMSBURY"/>
    <s v="No"/>
    <n v="101449.18831391999"/>
    <n v="9.000208370613604E-4"/>
    <n v="41323.4208"/>
    <n v="5.055776764214308E-4"/>
    <n v="101449.18831391999"/>
    <n v="9.000208370613604E-4"/>
    <n v="41323.4208"/>
    <n v="5.055776764214308E-4"/>
    <n v="0"/>
    <n v="0"/>
    <n v="0"/>
    <n v="0"/>
    <m/>
    <n v="2"/>
    <s v="No"/>
    <m/>
  </r>
  <r>
    <x v="492"/>
    <s v="SIMSBURY"/>
    <s v="No"/>
    <n v="58695.277104000008"/>
    <n v="5.2072346076565031E-4"/>
    <n v="6847.7622000000001"/>
    <n v="8.3779988073071277E-5"/>
    <n v="58695.277104000008"/>
    <n v="5.2072346076565031E-4"/>
    <n v="6847.7622000000001"/>
    <n v="8.3779988073071277E-5"/>
    <n v="0"/>
    <n v="0"/>
    <n v="0"/>
    <n v="0"/>
    <m/>
    <n v="3"/>
    <s v="No"/>
    <m/>
  </r>
  <r>
    <x v="178"/>
    <s v="SOMERS"/>
    <s v="No"/>
    <n v="148145.13802368002"/>
    <n v="1.314290566012822E-3"/>
    <n v="83172.125400000004"/>
    <n v="1.0175820173813847E-3"/>
    <n v="114821.10560160001"/>
    <n v="1.0186516944432099E-3"/>
    <n v="69334.025399999999"/>
    <n v="8.4827767837353067E-4"/>
    <n v="33324.032422080003"/>
    <n v="2.9563887156961182E-4"/>
    <n v="13838.1"/>
    <n v="1.6930433900785391E-4"/>
    <m/>
    <n v="3"/>
    <s v="No"/>
    <m/>
  </r>
  <r>
    <x v="179"/>
    <s v="SOMERS"/>
    <s v="No"/>
    <n v="88279.68047040001"/>
    <n v="7.8318568372002357E-4"/>
    <n v="22506.682400000002"/>
    <n v="2.7536142873600417E-4"/>
    <n v="88279.68047040001"/>
    <n v="7.8318568372002357E-4"/>
    <n v="22506.682400000002"/>
    <n v="2.7536142873600417E-4"/>
    <n v="0"/>
    <n v="0"/>
    <n v="0"/>
    <n v="0"/>
    <m/>
    <n v="1"/>
    <s v="No"/>
    <m/>
  </r>
  <r>
    <x v="493"/>
    <s v="SOMERS"/>
    <s v="No"/>
    <n v="1114.67743488"/>
    <n v="9.8890186769138749E-6"/>
    <n v="0"/>
    <n v="0"/>
    <n v="1114.67743488"/>
    <n v="9.8890186769138749E-6"/>
    <n v="0"/>
    <n v="0"/>
    <n v="0"/>
    <n v="0"/>
    <n v="0"/>
    <n v="0"/>
    <m/>
    <n v="4"/>
    <s v="No"/>
    <m/>
  </r>
  <r>
    <x v="173"/>
    <s v="SOUTH WINDSOR"/>
    <s v="No"/>
    <n v="324.70536960000004"/>
    <n v="2.8806696574191472E-6"/>
    <n v="0"/>
    <n v="0"/>
    <n v="324.70536960000004"/>
    <n v="2.8806696574191472E-6"/>
    <n v="0"/>
    <n v="0"/>
    <n v="0"/>
    <n v="0"/>
    <n v="0"/>
    <n v="0"/>
    <m/>
    <n v="3"/>
    <s v="No"/>
    <m/>
  </r>
  <r>
    <x v="174"/>
    <s v="SOUTH WINDSOR"/>
    <s v="No"/>
    <n v="120748.35112128001"/>
    <n v="1.0712360922363526E-3"/>
    <n v="22797.2932"/>
    <n v="2.7891695076594643E-4"/>
    <n v="120748.35112128001"/>
    <n v="1.0712360922363526E-3"/>
    <n v="22797.2932"/>
    <n v="2.7891695076594643E-4"/>
    <n v="0"/>
    <n v="0"/>
    <n v="0"/>
    <n v="0"/>
    <m/>
    <n v="3"/>
    <s v="No"/>
    <m/>
  </r>
  <r>
    <x v="311"/>
    <s v="SOUTH WINDSOR"/>
    <s v="No"/>
    <n v="79853.237484479992"/>
    <n v="7.0842930177470874E-4"/>
    <n v="21358.700199999999"/>
    <n v="2.6131626592002639E-4"/>
    <n v="79853.237484479992"/>
    <n v="7.0842930177470874E-4"/>
    <n v="21358.700199999999"/>
    <n v="2.6131626592002639E-4"/>
    <n v="0"/>
    <n v="0"/>
    <n v="0"/>
    <n v="0"/>
    <m/>
    <n v="4"/>
    <s v="No"/>
    <m/>
  </r>
  <r>
    <x v="494"/>
    <s v="SOUTH WINDSOR"/>
    <s v="No"/>
    <n v="60291.457660800006"/>
    <n v="5.3488420255874247E-4"/>
    <n v="11518.674999999999"/>
    <n v="1.4092698109720926E-4"/>
    <n v="60291.457660800006"/>
    <n v="5.3488420255874247E-4"/>
    <n v="11518.674999999999"/>
    <n v="1.4092698109720926E-4"/>
    <n v="0"/>
    <n v="0"/>
    <n v="0"/>
    <n v="0"/>
    <m/>
    <n v="4"/>
    <s v="No"/>
    <m/>
  </r>
  <r>
    <x v="495"/>
    <s v="SOUTH WINDSOR"/>
    <s v="No"/>
    <n v="30797.602703999997"/>
    <n v="2.7322529263976381E-4"/>
    <n v="14270.43"/>
    <n v="1.7459374614346254E-4"/>
    <n v="30797.602703999997"/>
    <n v="2.7322529263976381E-4"/>
    <n v="14270.43"/>
    <n v="1.7459374614346254E-4"/>
    <n v="0"/>
    <n v="0"/>
    <n v="0"/>
    <n v="0"/>
    <m/>
    <n v="3"/>
    <s v="No"/>
    <m/>
  </r>
  <r>
    <x v="496"/>
    <s v="SOUTH WINDSOR"/>
    <s v="No"/>
    <n v="34129.392854400001"/>
    <n v="3.0278374066595027E-4"/>
    <n v="5484.4790000000003"/>
    <n v="6.7100692428690047E-5"/>
    <n v="34129.392854400001"/>
    <n v="3.0278374066595027E-4"/>
    <n v="5484.4790000000003"/>
    <n v="6.7100692428690047E-5"/>
    <n v="0"/>
    <n v="0"/>
    <n v="0"/>
    <n v="0"/>
    <m/>
    <n v="3"/>
    <s v="No"/>
    <m/>
  </r>
  <r>
    <x v="312"/>
    <s v="SOUTH WINDSOR"/>
    <s v="No"/>
    <n v="353530.29572063999"/>
    <n v="3.1363940704627808E-3"/>
    <n v="314002.65950000001"/>
    <n v="3.8417132925297349E-3"/>
    <n v="141313.93954559998"/>
    <n v="1.2536866215697268E-3"/>
    <n v="233869.0295"/>
    <n v="2.8613062092271188E-3"/>
    <n v="212216.35617504001"/>
    <n v="1.8827074488930538E-3"/>
    <n v="80133.63"/>
    <n v="9.804070833026163E-4"/>
    <m/>
    <n v="5"/>
    <s v="No"/>
    <m/>
  </r>
  <r>
    <x v="165"/>
    <s v="SOUTH WINDSOR"/>
    <s v="No"/>
    <n v="361.9910304"/>
    <n v="3.2114546760213846E-6"/>
    <n v="0"/>
    <n v="0"/>
    <n v="361.9910304"/>
    <n v="3.2114546760213846E-6"/>
    <n v="0"/>
    <n v="0"/>
    <n v="0"/>
    <n v="0"/>
    <n v="0"/>
    <n v="0"/>
    <m/>
    <n v="5"/>
    <s v="No"/>
    <m/>
  </r>
  <r>
    <x v="497"/>
    <s v="SOUTH WINDSOR"/>
    <s v="No"/>
    <n v="170.42227200000002"/>
    <n v="1.5119253140273069E-6"/>
    <n v="0"/>
    <n v="0"/>
    <n v="170.42227200000002"/>
    <n v="1.5119253140273069E-6"/>
    <n v="0"/>
    <n v="0"/>
    <n v="0"/>
    <n v="0"/>
    <n v="0"/>
    <n v="0"/>
    <m/>
    <n v="2"/>
    <s v="No"/>
    <m/>
  </r>
  <r>
    <x v="379"/>
    <s v="SOUTHBURY"/>
    <s v="No"/>
    <n v="418.067136"/>
    <n v="3.7089417859732367E-6"/>
    <n v="3108.15"/>
    <n v="3.802713387583998E-5"/>
    <n v="418.067136"/>
    <n v="3.7089417859732367E-6"/>
    <n v="3108.15"/>
    <n v="3.802713387583998E-5"/>
    <n v="0"/>
    <n v="0"/>
    <n v="0"/>
    <n v="0"/>
    <m/>
    <n v="2"/>
    <s v="No"/>
    <m/>
  </r>
  <r>
    <x v="498"/>
    <s v="SOUTHBURY"/>
    <s v="No"/>
    <n v="50319.654572159998"/>
    <n v="4.4641793967374523E-4"/>
    <n v="14313.4704"/>
    <n v="1.7512033046303196E-4"/>
    <n v="50315.399804159999"/>
    <n v="4.4638019289705333E-4"/>
    <n v="14313.4704"/>
    <n v="1.7512033046303196E-4"/>
    <n v="4.2547680000000003"/>
    <n v="3.7746776691918155E-8"/>
    <n v="0"/>
    <n v="0"/>
    <m/>
    <n v="2"/>
    <s v="No"/>
    <m/>
  </r>
  <r>
    <x v="499"/>
    <s v="SOUTHBURY"/>
    <s v="No"/>
    <n v="93121.412529599998"/>
    <n v="8.2613979516410767E-4"/>
    <n v="28005.930799999998"/>
    <n v="3.4264281963518816E-4"/>
    <n v="93121.412529599998"/>
    <n v="8.2613979516410767E-4"/>
    <n v="28005.930799999998"/>
    <n v="3.4264281963518816E-4"/>
    <n v="0"/>
    <n v="0"/>
    <n v="0"/>
    <n v="0"/>
    <m/>
    <n v="1"/>
    <s v="No"/>
    <m/>
  </r>
  <r>
    <x v="500"/>
    <s v="SOUTHBURY"/>
    <s v="No"/>
    <n v="126459.8903232"/>
    <n v="1.1219068208923005E-3"/>
    <n v="17211.9856"/>
    <n v="2.1058265549610858E-4"/>
    <n v="126415.91280960001"/>
    <n v="1.1215166681541665E-3"/>
    <n v="17211.9856"/>
    <n v="2.1058265549610858E-4"/>
    <n v="43.977513600000002"/>
    <n v="3.9015273813401662E-7"/>
    <n v="0"/>
    <n v="0"/>
    <m/>
    <n v="3"/>
    <s v="No"/>
    <m/>
  </r>
  <r>
    <x v="501"/>
    <s v="SOUTHBURY"/>
    <s v="No"/>
    <n v="139376.27825568002"/>
    <n v="1.2364963851067322E-3"/>
    <n v="20548.512500000001"/>
    <n v="2.5140390128754121E-4"/>
    <n v="139376.27825568002"/>
    <n v="1.2364963851067322E-3"/>
    <n v="20548.512500000001"/>
    <n v="2.5140390128754121E-4"/>
    <n v="0"/>
    <n v="0"/>
    <n v="0"/>
    <n v="0"/>
    <m/>
    <n v="2"/>
    <s v="No"/>
    <m/>
  </r>
  <r>
    <x v="502"/>
    <s v="SOUTHBURY"/>
    <s v="No"/>
    <n v="292580.02630944003"/>
    <n v="2.5956651261873666E-3"/>
    <n v="232556.77870000002"/>
    <n v="2.8452512772417647E-3"/>
    <n v="157866.03368063999"/>
    <n v="1.4005308680947932E-3"/>
    <n v="162406.00870000001"/>
    <n v="1.9869810128454973E-3"/>
    <n v="134713.99262880001"/>
    <n v="1.1951342580925734E-3"/>
    <n v="70150.77"/>
    <n v="8.5827026439626753E-4"/>
    <m/>
    <n v="1"/>
    <s v="No"/>
    <m/>
  </r>
  <r>
    <x v="503"/>
    <s v="SOUTHINGTON"/>
    <s v="No"/>
    <n v="65457.047030400005"/>
    <n v="5.8071145998298684E-4"/>
    <n v="15117.22"/>
    <n v="1.8495392718193316E-4"/>
    <n v="65457.047030400005"/>
    <n v="5.8071145998298684E-4"/>
    <n v="15117.22"/>
    <n v="1.8495392718193316E-4"/>
    <n v="0"/>
    <n v="0"/>
    <n v="0"/>
    <n v="0"/>
    <m/>
    <n v="3"/>
    <s v="No"/>
    <m/>
  </r>
  <r>
    <x v="504"/>
    <s v="SOUTHINGTON"/>
    <s v="No"/>
    <n v="64134.59972256"/>
    <n v="5.6897918146254459E-4"/>
    <n v="15521.53"/>
    <n v="1.8990051936613949E-4"/>
    <n v="64134.59972256"/>
    <n v="5.6897918146254459E-4"/>
    <n v="15521.53"/>
    <n v="1.8990051936613949E-4"/>
    <n v="0"/>
    <n v="0"/>
    <n v="0"/>
    <n v="0"/>
    <m/>
    <n v="2"/>
    <s v="No"/>
    <m/>
  </r>
  <r>
    <x v="505"/>
    <s v="SOUTHINGTON"/>
    <s v="No"/>
    <n v="98483.855832000001"/>
    <n v="8.7371347012329818E-4"/>
    <n v="11144.9805"/>
    <n v="1.3635495890389006E-4"/>
    <n v="98483.855832000001"/>
    <n v="8.7371347012329818E-4"/>
    <n v="11144.9805"/>
    <n v="1.3635495890389006E-4"/>
    <n v="0"/>
    <n v="0"/>
    <n v="0"/>
    <n v="0"/>
    <m/>
    <n v="2"/>
    <s v="No"/>
    <m/>
  </r>
  <r>
    <x v="506"/>
    <s v="SOUTHINGTON"/>
    <s v="No"/>
    <n v="75692.323877759991"/>
    <n v="6.7151516762045552E-4"/>
    <n v="10154.0301"/>
    <n v="1.2423102552708485E-4"/>
    <n v="75692.323877759991"/>
    <n v="6.7151516762045552E-4"/>
    <n v="10154.0301"/>
    <n v="1.2423102552708485E-4"/>
    <n v="0"/>
    <n v="0"/>
    <n v="0"/>
    <n v="0"/>
    <m/>
    <n v="2"/>
    <s v="No"/>
    <m/>
  </r>
  <r>
    <x v="331"/>
    <s v="SOUTHINGTON"/>
    <s v="No"/>
    <n v="75158.816492159996"/>
    <n v="6.6678208131640043E-4"/>
    <n v="47875.1031"/>
    <n v="5.8573522992884559E-4"/>
    <n v="75158.816492159996"/>
    <n v="6.6678208131640043E-4"/>
    <n v="47875.1031"/>
    <n v="5.8573522992884559E-4"/>
    <n v="0"/>
    <n v="0"/>
    <n v="0"/>
    <n v="0"/>
    <m/>
    <n v="1"/>
    <s v="No"/>
    <m/>
  </r>
  <r>
    <x v="507"/>
    <s v="SOUTHINGTON"/>
    <s v="No"/>
    <n v="52046.875036800004"/>
    <n v="4.61741220561558E-4"/>
    <n v="11547.05"/>
    <n v="1.4127413935010149E-4"/>
    <n v="52046.875036800004"/>
    <n v="4.61741220561558E-4"/>
    <n v="11547.05"/>
    <n v="1.4127413935010149E-4"/>
    <n v="0"/>
    <n v="0"/>
    <n v="0"/>
    <n v="0"/>
    <m/>
    <n v="1"/>
    <s v="No"/>
    <m/>
  </r>
  <r>
    <x v="508"/>
    <s v="SOUTHINGTON"/>
    <s v="No"/>
    <n v="88148.191930559988"/>
    <n v="7.8201916452299853E-4"/>
    <n v="81530.634699999995"/>
    <n v="9.9749894976725842E-4"/>
    <n v="88148.191930559988"/>
    <n v="7.8201916452299853E-4"/>
    <n v="81530.634699999995"/>
    <n v="9.9749894976725842E-4"/>
    <n v="0"/>
    <n v="0"/>
    <n v="0"/>
    <n v="0"/>
    <m/>
    <n v="1"/>
    <s v="No"/>
    <m/>
  </r>
  <r>
    <x v="509"/>
    <s v="SOUTHINGTON"/>
    <s v="No"/>
    <n v="449466.82252992003"/>
    <n v="3.9875085505162436E-3"/>
    <n v="751695.51569999999"/>
    <n v="9.1967331079235142E-3"/>
    <n v="135829.38787488002"/>
    <n v="1.205029644933174E-3"/>
    <n v="621202.5257"/>
    <n v="7.600196775832512E-3"/>
    <n v="313637.43465504004"/>
    <n v="2.78247890558307E-3"/>
    <n v="130492.99"/>
    <n v="1.5965363320910018E-3"/>
    <m/>
    <n v="1"/>
    <s v="No"/>
    <m/>
  </r>
  <r>
    <x v="68"/>
    <s v="SOUTHINGTON"/>
    <s v="No"/>
    <n v="116361.36461376"/>
    <n v="1.0323163203357893E-3"/>
    <n v="22448.91"/>
    <n v="2.7465460352192871E-4"/>
    <n v="116361.36461376"/>
    <n v="1.0323163203357893E-3"/>
    <n v="22448.91"/>
    <n v="2.7465460352192871E-4"/>
    <n v="0"/>
    <n v="0"/>
    <n v="0"/>
    <n v="0"/>
    <m/>
    <n v="2"/>
    <s v="No"/>
    <m/>
  </r>
  <r>
    <x v="510"/>
    <s v="SOUTHINGTON"/>
    <s v="No"/>
    <n v="67101.176217600005"/>
    <n v="5.9529758483912554E-4"/>
    <n v="15712.5005"/>
    <n v="1.9223697699200572E-4"/>
    <n v="67101.176217600005"/>
    <n v="5.9529758483912554E-4"/>
    <n v="15712.5005"/>
    <n v="1.9223697699200572E-4"/>
    <n v="0"/>
    <n v="0"/>
    <n v="0"/>
    <n v="0"/>
    <m/>
    <n v="2"/>
    <s v="No"/>
    <m/>
  </r>
  <r>
    <x v="90"/>
    <s v="SOUTHINGTON"/>
    <s v="No"/>
    <n v="670.55143679999992"/>
    <n v="5.9488920066462996E-6"/>
    <n v="2495.44"/>
    <n v="3.0530840197264004E-5"/>
    <n v="670.55143679999992"/>
    <n v="5.9488920066462996E-6"/>
    <n v="2495.44"/>
    <n v="3.0530840197264004E-5"/>
    <n v="0"/>
    <n v="0"/>
    <n v="0"/>
    <n v="0"/>
    <m/>
    <n v="4"/>
    <s v="No"/>
    <m/>
  </r>
  <r>
    <x v="511"/>
    <s v="SPRAGUE"/>
    <s v="No"/>
    <n v="70585.506457920012"/>
    <n v="6.2620931386929988E-4"/>
    <n v="40892.65"/>
    <n v="5.0030734555535209E-4"/>
    <n v="56322.814993920008"/>
    <n v="4.9967582726854153E-4"/>
    <n v="15629.35"/>
    <n v="1.9121965955386951E-4"/>
    <n v="14262.691464"/>
    <n v="1.2653348660075829E-4"/>
    <n v="25263.3"/>
    <n v="3.0908768600148255E-4"/>
    <m/>
    <n v="4"/>
    <s v="No"/>
    <m/>
  </r>
  <r>
    <x v="200"/>
    <s v="SPRAGUE"/>
    <s v="No"/>
    <n v="349.02411840000002"/>
    <n v="3.0964168803888723E-6"/>
    <n v="0"/>
    <n v="0"/>
    <n v="349.02411840000002"/>
    <n v="3.0964168803888723E-6"/>
    <n v="0"/>
    <n v="0"/>
    <n v="0"/>
    <n v="0"/>
    <n v="0"/>
    <n v="0"/>
    <m/>
    <n v="1"/>
    <s v="No"/>
    <m/>
  </r>
  <r>
    <x v="81"/>
    <s v="SPRAGUE"/>
    <s v="No"/>
    <n v="631.76068800000007"/>
    <n v="5.6047543867652896E-6"/>
    <n v="0"/>
    <n v="0"/>
    <n v="631.76068800000007"/>
    <n v="5.6047543867652896E-6"/>
    <n v="0"/>
    <n v="0"/>
    <n v="0"/>
    <n v="0"/>
    <n v="0"/>
    <n v="0"/>
    <m/>
    <n v="2"/>
    <s v="No"/>
    <m/>
  </r>
  <r>
    <x v="177"/>
    <s v="STAFFORD"/>
    <s v="No"/>
    <n v="356.42799360000004"/>
    <n v="3.1621014074486864E-6"/>
    <n v="0"/>
    <n v="0"/>
    <n v="356.42799360000004"/>
    <n v="3.1621014074486864E-6"/>
    <n v="0"/>
    <n v="0"/>
    <n v="0"/>
    <n v="0"/>
    <n v="0"/>
    <n v="0"/>
    <m/>
    <n v="5"/>
    <s v="No"/>
    <m/>
  </r>
  <r>
    <x v="326"/>
    <s v="STAFFORD"/>
    <s v="No"/>
    <n v="363.05616960000003"/>
    <n v="3.2209042092340554E-6"/>
    <n v="0"/>
    <n v="0"/>
    <n v="363.05616960000003"/>
    <n v="3.2209042092340554E-6"/>
    <n v="0"/>
    <n v="0"/>
    <n v="0"/>
    <n v="0"/>
    <n v="0"/>
    <n v="0"/>
    <m/>
    <n v="4"/>
    <s v="No"/>
    <m/>
  </r>
  <r>
    <x v="512"/>
    <s v="STAFFORD"/>
    <s v="No"/>
    <n v="78029.483569920005"/>
    <n v="6.9224961071895504E-4"/>
    <n v="10995.81"/>
    <n v="1.345299097351479E-4"/>
    <n v="78029.483569920005"/>
    <n v="6.9224961071895504E-4"/>
    <n v="10995.81"/>
    <n v="1.345299097351479E-4"/>
    <n v="0"/>
    <n v="0"/>
    <n v="0"/>
    <n v="0"/>
    <m/>
    <n v="2"/>
    <s v="No"/>
    <m/>
  </r>
  <r>
    <x v="513"/>
    <s v="STAFFORD"/>
    <s v="No"/>
    <n v="55163.823716159997"/>
    <n v="4.8939367206066934E-4"/>
    <n v="10087.122799999999"/>
    <n v="1.2341243798968447E-4"/>
    <n v="55163.823716159997"/>
    <n v="4.8939367206066934E-4"/>
    <n v="10087.122799999999"/>
    <n v="1.2341243798968447E-4"/>
    <n v="0"/>
    <n v="0"/>
    <n v="0"/>
    <n v="0"/>
    <m/>
    <n v="4"/>
    <s v="No"/>
    <m/>
  </r>
  <r>
    <x v="493"/>
    <s v="STAFFORD"/>
    <s v="No"/>
    <n v="206471.81676096001"/>
    <n v="1.831743954182837E-3"/>
    <n v="94722.85"/>
    <n v="1.1589011141840352E-3"/>
    <n v="99367.682869440003"/>
    <n v="8.8155446681607375E-4"/>
    <n v="72712.240000000005"/>
    <n v="8.8960895867065833E-4"/>
    <n v="107104.13389152"/>
    <n v="9.501894873667631E-4"/>
    <n v="22010.61"/>
    <n v="2.6929215551337683E-4"/>
    <m/>
    <n v="4"/>
    <s v="No"/>
    <m/>
  </r>
  <r>
    <x v="215"/>
    <s v="STAMFORD"/>
    <s v="No"/>
    <n v="1173.3781824000002"/>
    <n v="1.040979066924956E-5"/>
    <n v="0"/>
    <n v="0"/>
    <n v="1173.3781824000002"/>
    <n v="1.040979066924956E-5"/>
    <n v="0"/>
    <n v="0"/>
    <n v="0"/>
    <n v="0"/>
    <n v="0"/>
    <n v="0"/>
    <m/>
    <n v="4"/>
    <s v="No"/>
    <m/>
  </r>
  <r>
    <x v="398"/>
    <s v="STAMFORD"/>
    <s v="Yes"/>
    <n v="150857.61861599999"/>
    <n v="1.3383547216141295E-3"/>
    <n v="883.96"/>
    <n v="1.0814943056444349E-5"/>
    <n v="150821.6672736"/>
    <n v="1.3380357741901224E-3"/>
    <n v="883.96"/>
    <n v="1.0814943056444349E-5"/>
    <n v="35.951342400000001"/>
    <n v="3.1894742400701725E-7"/>
    <n v="0"/>
    <n v="0"/>
    <m/>
    <n v="4"/>
    <s v="No"/>
    <m/>
  </r>
  <r>
    <x v="227"/>
    <s v="STAMFORD"/>
    <s v="No"/>
    <n v="117205.36007616"/>
    <n v="1.039803945571338E-3"/>
    <n v="29147.88"/>
    <n v="3.5661417079514132E-4"/>
    <n v="117012.98667456"/>
    <n v="1.0380972777032757E-3"/>
    <n v="29147.88"/>
    <n v="3.5661417079514132E-4"/>
    <n v="192.37340159999999"/>
    <n v="1.7066678680623455E-6"/>
    <n v="0"/>
    <n v="0"/>
    <m/>
    <n v="4"/>
    <s v="No"/>
    <m/>
  </r>
  <r>
    <x v="514"/>
    <s v="STAMFORD"/>
    <s v="No"/>
    <n v="1185603.40382112"/>
    <n v="1.0518248451904752E-2"/>
    <n v="1034688.0803"/>
    <n v="1.2659048678250394E-2"/>
    <n v="317290.93215551996"/>
    <n v="2.8148914259120508E-3"/>
    <n v="847186.2023"/>
    <n v="1.0365028435766147E-2"/>
    <n v="868312.47166560008"/>
    <n v="7.7033570259927011E-3"/>
    <n v="187501.878"/>
    <n v="2.2940202424842474E-3"/>
    <m/>
    <n v="3"/>
    <s v="No"/>
    <m/>
  </r>
  <r>
    <x v="515"/>
    <s v="STAMFORD"/>
    <s v="No"/>
    <n v="98807.302137599996"/>
    <n v="8.7658296981618601E-4"/>
    <n v="11006.608099999999"/>
    <n v="1.3466202073181947E-4"/>
    <n v="98807.302137599996"/>
    <n v="8.7658296981618601E-4"/>
    <n v="11006.608099999999"/>
    <n v="1.3466202073181947E-4"/>
    <n v="0"/>
    <n v="0"/>
    <n v="0"/>
    <n v="0"/>
    <m/>
    <n v="4"/>
    <s v="No"/>
    <m/>
  </r>
  <r>
    <x v="516"/>
    <s v="STAMFORD"/>
    <s v="No"/>
    <n v="134841.29239295999"/>
    <n v="1.196263615973116E-3"/>
    <n v="23276.3524"/>
    <n v="2.8477807340573301E-4"/>
    <n v="134841.29239295999"/>
    <n v="1.196263615973116E-3"/>
    <n v="23276.3524"/>
    <n v="2.8477807340573301E-4"/>
    <n v="0"/>
    <n v="0"/>
    <n v="0"/>
    <n v="0"/>
    <m/>
    <n v="3"/>
    <s v="No"/>
    <m/>
  </r>
  <r>
    <x v="517"/>
    <s v="STAMFORD"/>
    <s v="No"/>
    <n v="109788.85834560001"/>
    <n v="9.7400740045802681E-4"/>
    <n v="9380.7999999999993"/>
    <n v="1.1477082427247063E-4"/>
    <n v="109788.85834560001"/>
    <n v="9.7400740045802681E-4"/>
    <n v="9380.7999999999993"/>
    <n v="1.1477082427247063E-4"/>
    <n v="0"/>
    <n v="0"/>
    <n v="0"/>
    <n v="0"/>
    <m/>
    <n v="4"/>
    <s v="No"/>
    <m/>
  </r>
  <r>
    <x v="518"/>
    <s v="STAMFORD"/>
    <s v="No"/>
    <n v="93484.321084800002"/>
    <n v="8.2935938979129321E-4"/>
    <n v="7756.2"/>
    <n v="9.4894408496304874E-5"/>
    <n v="93484.321084800002"/>
    <n v="8.2935938979129321E-4"/>
    <n v="7756.2"/>
    <n v="9.4894408496304874E-5"/>
    <n v="0"/>
    <n v="0"/>
    <n v="0"/>
    <n v="0"/>
    <m/>
    <n v="3"/>
    <s v="No"/>
    <m/>
  </r>
  <r>
    <x v="519"/>
    <s v="STAMFORD"/>
    <s v="No"/>
    <n v="60746.351405759997"/>
    <n v="5.3891985681992784E-4"/>
    <n v="12748.1304"/>
    <n v="1.5596894016938224E-4"/>
    <n v="60746.351405759997"/>
    <n v="5.3891985681992784E-4"/>
    <n v="12748.1304"/>
    <n v="1.5596894016938224E-4"/>
    <n v="0"/>
    <n v="0"/>
    <n v="0"/>
    <n v="0"/>
    <m/>
    <n v="4"/>
    <s v="No"/>
    <m/>
  </r>
  <r>
    <x v="520"/>
    <s v="STAMFORD"/>
    <s v="No"/>
    <n v="109799.58904416001"/>
    <n v="9.7410259936952864E-4"/>
    <n v="8620.5794999999998"/>
    <n v="1.0546979094761245E-4"/>
    <n v="109799.58904416001"/>
    <n v="9.7410259936952864E-4"/>
    <n v="8620.5794999999998"/>
    <n v="1.0546979094761245E-4"/>
    <n v="0"/>
    <n v="0"/>
    <n v="0"/>
    <n v="0"/>
    <m/>
    <n v="4"/>
    <s v="No"/>
    <m/>
  </r>
  <r>
    <x v="521"/>
    <s v="STAMFORD"/>
    <s v="No"/>
    <n v="70717.539144959999"/>
    <n v="6.2738066054524846E-4"/>
    <n v="2774.1374000000001"/>
    <n v="3.3940605923065049E-5"/>
    <n v="70717.539144959999"/>
    <n v="6.2738066054524846E-4"/>
    <n v="2774.1374000000001"/>
    <n v="3.3940605923065049E-5"/>
    <n v="0"/>
    <n v="0"/>
    <n v="0"/>
    <n v="0"/>
    <m/>
    <n v="4"/>
    <s v="No"/>
    <m/>
  </r>
  <r>
    <x v="522"/>
    <s v="STAMFORD"/>
    <s v="No"/>
    <n v="115220.04017471999"/>
    <n v="1.0221908989888505E-3"/>
    <n v="8369.6"/>
    <n v="1.0239914408481903E-4"/>
    <n v="115220.04017471999"/>
    <n v="1.0221908989888505E-3"/>
    <n v="8369.6"/>
    <n v="1.0239914408481903E-4"/>
    <n v="0"/>
    <n v="0"/>
    <n v="0"/>
    <n v="0"/>
    <m/>
    <n v="4"/>
    <s v="No"/>
    <m/>
  </r>
  <r>
    <x v="523"/>
    <s v="STAMFORD"/>
    <s v="No"/>
    <n v="111285.65852063999"/>
    <n v="9.8728647512429731E-4"/>
    <n v="23460"/>
    <n v="2.8702493789785105E-4"/>
    <n v="111285.65852063999"/>
    <n v="9.8728647512429731E-4"/>
    <n v="23460"/>
    <n v="2.8702493789785105E-4"/>
    <n v="0"/>
    <n v="0"/>
    <n v="0"/>
    <n v="0"/>
    <m/>
    <n v="4"/>
    <s v="No"/>
    <m/>
  </r>
  <r>
    <x v="524"/>
    <s v="STAMFORD"/>
    <s v="No"/>
    <n v="74577.157868159993"/>
    <n v="6.6162181448374199E-4"/>
    <n v="8945.08"/>
    <n v="1.0943994166629623E-4"/>
    <n v="74577.157868159993"/>
    <n v="6.6162181448374199E-4"/>
    <n v="8945.08"/>
    <n v="1.0943994166629623E-4"/>
    <n v="0"/>
    <n v="0"/>
    <n v="0"/>
    <n v="0"/>
    <m/>
    <n v="4"/>
    <s v="No"/>
    <m/>
  </r>
  <r>
    <x v="228"/>
    <s v="STAMFORD"/>
    <s v="No"/>
    <n v="89294.912110079997"/>
    <n v="7.9219245494552173E-4"/>
    <n v="4610.05"/>
    <n v="5.6402357841261227E-5"/>
    <n v="89294.912110079997"/>
    <n v="7.9219245494552173E-4"/>
    <n v="4610.05"/>
    <n v="5.6402357841261227E-5"/>
    <n v="0"/>
    <n v="0"/>
    <n v="0"/>
    <n v="0"/>
    <m/>
    <n v="4"/>
    <s v="No"/>
    <m/>
  </r>
  <r>
    <x v="525"/>
    <s v="STAMFORD"/>
    <s v="No"/>
    <n v="65226.474495360002"/>
    <n v="5.7866590309446923E-4"/>
    <n v="403"/>
    <n v="4.9305647899758734E-6"/>
    <n v="65225.455666560003"/>
    <n v="5.7865686441052665E-4"/>
    <n v="403"/>
    <n v="4.9305647899758734E-6"/>
    <n v="1.0188288000000001"/>
    <n v="9.0386839425545507E-9"/>
    <n v="0"/>
    <n v="0"/>
    <m/>
    <n v="5"/>
    <s v="No"/>
    <m/>
  </r>
  <r>
    <x v="526"/>
    <s v="STAMFORD"/>
    <s v="No"/>
    <n v="103228.87383072"/>
    <n v="9.1580956908728778E-4"/>
    <n v="6524.6980000000003"/>
    <n v="7.9827409985176186E-5"/>
    <n v="103216.67104032"/>
    <n v="9.1570131030461219E-4"/>
    <n v="6524.6980000000003"/>
    <n v="7.9827409985176186E-5"/>
    <n v="12.2027904"/>
    <n v="1.0825878267559654E-7"/>
    <n v="0"/>
    <n v="0"/>
    <m/>
    <n v="5"/>
    <s v="No"/>
    <m/>
  </r>
  <r>
    <x v="527"/>
    <s v="STAMFORD"/>
    <s v="No"/>
    <n v="111040.17635231998"/>
    <n v="9.8510864531326566E-4"/>
    <n v="10284.4203"/>
    <n v="1.2582630425928809E-4"/>
    <n v="111040.17635231998"/>
    <n v="9.8510864531326566E-4"/>
    <n v="10284.4203"/>
    <n v="1.2582630425928809E-4"/>
    <n v="0"/>
    <n v="0"/>
    <n v="0"/>
    <n v="0"/>
    <m/>
    <n v="5"/>
    <s v="No"/>
    <m/>
  </r>
  <r>
    <x v="528"/>
    <s v="STAMFORD"/>
    <s v="No"/>
    <n v="63583.488017279997"/>
    <n v="5.6408991594407063E-4"/>
    <n v="9221.6200000000008"/>
    <n v="1.128233123536906E-4"/>
    <n v="63583.488017279997"/>
    <n v="5.6408991594407063E-4"/>
    <n v="9221.6200000000008"/>
    <n v="1.128233123536906E-4"/>
    <n v="0"/>
    <n v="0"/>
    <n v="0"/>
    <n v="0"/>
    <m/>
    <n v="5"/>
    <s v="No"/>
    <m/>
  </r>
  <r>
    <x v="529"/>
    <s v="STAMFORD"/>
    <s v="No"/>
    <n v="76084.431719040003"/>
    <n v="6.7499380784806528E-4"/>
    <n v="9793.5617999999995"/>
    <n v="1.198208212891631E-4"/>
    <n v="76084.431719040003"/>
    <n v="6.7499380784806528E-4"/>
    <n v="9793.5617999999995"/>
    <n v="1.198208212891631E-4"/>
    <n v="0"/>
    <n v="0"/>
    <n v="0"/>
    <n v="0"/>
    <m/>
    <n v="5"/>
    <s v="No"/>
    <m/>
  </r>
  <r>
    <x v="530"/>
    <s v="STAMFORD"/>
    <s v="No"/>
    <n v="117333.27924191998"/>
    <n v="1.0409387985608684E-3"/>
    <n v="10290.35"/>
    <n v="1.2589885207575242E-4"/>
    <n v="117333.27924191998"/>
    <n v="1.0409387985608684E-3"/>
    <n v="10290.35"/>
    <n v="1.2589885207575242E-4"/>
    <n v="0"/>
    <n v="0"/>
    <n v="0"/>
    <n v="0"/>
    <m/>
    <n v="4"/>
    <s v="No"/>
    <m/>
  </r>
  <r>
    <x v="531"/>
    <s v="STAMFORD"/>
    <s v="No"/>
    <n v="37835.245998719998"/>
    <n v="3.3566074150164556E-4"/>
    <n v="6324.97"/>
    <n v="7.738380739368163E-5"/>
    <n v="37835.245998719998"/>
    <n v="3.3566074150164556E-4"/>
    <n v="6324.97"/>
    <n v="7.738380739368163E-5"/>
    <n v="0"/>
    <n v="0"/>
    <n v="0"/>
    <n v="0"/>
    <m/>
    <n v="4"/>
    <s v="No"/>
    <m/>
  </r>
  <r>
    <x v="532"/>
    <s v="STAMFORD"/>
    <s v="No"/>
    <n v="92737.622036159999"/>
    <n v="8.2273494346541093E-4"/>
    <n v="5543.82"/>
    <n v="6.7826708918024921E-5"/>
    <n v="92737.622036159999"/>
    <n v="8.2273494346541093E-4"/>
    <n v="5543.82"/>
    <n v="6.7826708918024921E-5"/>
    <n v="0"/>
    <n v="0"/>
    <n v="0"/>
    <n v="0"/>
    <m/>
    <n v="5"/>
    <s v="No"/>
    <m/>
  </r>
  <r>
    <x v="533"/>
    <s v="STAMFORD"/>
    <s v="No"/>
    <n v="81861.026613120019"/>
    <n v="7.262416872874408E-4"/>
    <n v="0"/>
    <n v="0"/>
    <n v="81861.026613120019"/>
    <n v="7.262416872874408E-4"/>
    <n v="0"/>
    <n v="0"/>
    <n v="0"/>
    <n v="0"/>
    <n v="0"/>
    <n v="0"/>
    <m/>
    <n v="5"/>
    <s v="No"/>
    <m/>
  </r>
  <r>
    <x v="534"/>
    <s v="STAMFORD"/>
    <s v="No"/>
    <n v="88271.146042559994"/>
    <n v="7.8310996933515689E-4"/>
    <n v="49293.5962"/>
    <n v="6.0308999949133617E-4"/>
    <n v="88271.146042559994"/>
    <n v="7.8310996933515689E-4"/>
    <n v="49293.5962"/>
    <n v="6.0308999949133617E-4"/>
    <n v="0"/>
    <n v="0"/>
    <n v="0"/>
    <n v="0"/>
    <m/>
    <n v="5"/>
    <s v="No"/>
    <m/>
  </r>
  <r>
    <x v="535"/>
    <s v="STAMFORD"/>
    <s v="No"/>
    <n v="65418.021835199994"/>
    <n v="5.803652424386758E-4"/>
    <n v="3895.87"/>
    <n v="4.7664614015690583E-5"/>
    <n v="65418.021835199994"/>
    <n v="5.803652424386758E-4"/>
    <n v="3895.87"/>
    <n v="4.7664614015690583E-5"/>
    <n v="0"/>
    <n v="0"/>
    <n v="0"/>
    <n v="0"/>
    <m/>
    <n v="2"/>
    <s v="No"/>
    <m/>
  </r>
  <r>
    <x v="296"/>
    <s v="STERLING"/>
    <s v="No"/>
    <n v="532.01387520000003"/>
    <n v="4.7198364150939399E-6"/>
    <n v="0"/>
    <n v="0"/>
    <n v="532.01387520000003"/>
    <n v="4.7198364150939399E-6"/>
    <n v="0"/>
    <n v="0"/>
    <n v="0"/>
    <n v="0"/>
    <n v="0"/>
    <n v="0"/>
    <m/>
    <n v="3"/>
    <s v="No"/>
    <m/>
  </r>
  <r>
    <x v="297"/>
    <s v="STERLING"/>
    <s v="No"/>
    <n v="85744.234117440006"/>
    <n v="7.6069211243728386E-4"/>
    <n v="33246.379999999997"/>
    <n v="4.0675789236267507E-4"/>
    <n v="74480.158419840009"/>
    <n v="6.6076127014502045E-4"/>
    <n v="33246.379999999997"/>
    <n v="4.0675789236267507E-4"/>
    <n v="11264.075697600001"/>
    <n v="9.9930842292263498E-5"/>
    <n v="0"/>
    <n v="0"/>
    <m/>
    <e v="#N/A"/>
    <e v="#N/A"/>
    <m/>
  </r>
  <r>
    <x v="232"/>
    <s v="STONINGTON"/>
    <s v="No"/>
    <n v="69336.15201215999"/>
    <n v="6.1512548902311346E-4"/>
    <n v="20803.311399999999"/>
    <n v="2.5452127718050539E-4"/>
    <n v="69336.15201215999"/>
    <n v="6.1512548902311346E-4"/>
    <n v="20803.311399999999"/>
    <n v="2.5452127718050539E-4"/>
    <n v="0"/>
    <n v="0"/>
    <n v="0"/>
    <n v="0"/>
    <m/>
    <n v="4"/>
    <s v="No"/>
    <m/>
  </r>
  <r>
    <x v="236"/>
    <s v="STONINGTON"/>
    <s v="No"/>
    <n v="23357.275430400001"/>
    <n v="2.0721737584820964E-4"/>
    <n v="8097.3274000000001"/>
    <n v="9.9067983551729243E-5"/>
    <n v="23357.275430400001"/>
    <n v="2.0721737584820964E-4"/>
    <n v="8097.3274000000001"/>
    <n v="9.9067983551729243E-5"/>
    <n v="0"/>
    <n v="0"/>
    <n v="0"/>
    <n v="0"/>
    <m/>
    <n v="5"/>
    <s v="No"/>
    <m/>
  </r>
  <r>
    <x v="237"/>
    <s v="STONINGTON"/>
    <s v="No"/>
    <n v="2033.2870560000001"/>
    <n v="1.8038593985241895E-5"/>
    <n v="0"/>
    <n v="0"/>
    <n v="2033.2870560000001"/>
    <n v="1.8038593985241895E-5"/>
    <n v="0"/>
    <n v="0"/>
    <n v="0"/>
    <n v="0"/>
    <n v="0"/>
    <n v="0"/>
    <m/>
    <n v="2"/>
    <s v="No"/>
    <m/>
  </r>
  <r>
    <x v="238"/>
    <s v="STONINGTON"/>
    <s v="No"/>
    <n v="88393.719830400005"/>
    <n v="7.8419740004768436E-4"/>
    <n v="26386.0635"/>
    <n v="3.2282430679694184E-4"/>
    <n v="88393.719830400005"/>
    <n v="7.8419740004768436E-4"/>
    <n v="26386.0635"/>
    <n v="3.2282430679694184E-4"/>
    <n v="0"/>
    <n v="0"/>
    <n v="0"/>
    <n v="0"/>
    <m/>
    <n v="2"/>
    <s v="No"/>
    <m/>
  </r>
  <r>
    <x v="536"/>
    <s v="STONINGTON"/>
    <s v="No"/>
    <n v="81245.80684224001"/>
    <n v="7.2078367798872919E-4"/>
    <n v="51276.364600000001"/>
    <n v="6.2734848102909504E-4"/>
    <n v="81245.80684224001"/>
    <n v="7.2078367798872919E-4"/>
    <n v="51276.364600000001"/>
    <n v="6.2734848102909504E-4"/>
    <n v="0"/>
    <n v="0"/>
    <n v="0"/>
    <n v="0"/>
    <m/>
    <n v="1"/>
    <s v="No"/>
    <m/>
  </r>
  <r>
    <x v="537"/>
    <s v="STONINGTON"/>
    <s v="No"/>
    <n v="70169.614752960013"/>
    <n v="6.2251967172779034E-4"/>
    <n v="12001.766100000001"/>
    <n v="1.4683743263073463E-4"/>
    <n v="70168.092877440009"/>
    <n v="6.2250617019365116E-4"/>
    <n v="12001.766100000001"/>
    <n v="1.4683743263073463E-4"/>
    <n v="1.52187552"/>
    <n v="1.3501534139190861E-8"/>
    <n v="0"/>
    <n v="0"/>
    <m/>
    <n v="4"/>
    <s v="No"/>
    <m/>
  </r>
  <r>
    <x v="538"/>
    <s v="STONINGTON"/>
    <s v="No"/>
    <n v="323531.31702239998"/>
    <n v="2.8702538837574012E-3"/>
    <n v="271299.88939999999"/>
    <n v="3.319259757320071E-3"/>
    <n v="112087.26838944"/>
    <n v="9.9439807056537219E-4"/>
    <n v="191467.23939999999"/>
    <n v="2.3425350596017894E-3"/>
    <n v="211444.04863296001"/>
    <n v="1.875855813192029E-3"/>
    <n v="79832.649999999994"/>
    <n v="9.7672469771828137E-4"/>
    <m/>
    <n v="2"/>
    <s v="No"/>
    <m/>
  </r>
  <r>
    <x v="539"/>
    <s v="STONINGTON"/>
    <s v="No"/>
    <n v="81742.746957120005"/>
    <n v="7.2519235257348478E-4"/>
    <n v="22836.517100000001"/>
    <n v="2.7939684153583609E-4"/>
    <n v="81740.860966079999"/>
    <n v="7.2517562073695922E-4"/>
    <n v="22836.517100000001"/>
    <n v="2.7939684153583609E-4"/>
    <n v="1.88599104"/>
    <n v="1.673183652547882E-8"/>
    <n v="0"/>
    <n v="0"/>
    <m/>
    <n v="3"/>
    <s v="No"/>
    <m/>
  </r>
  <r>
    <x v="540"/>
    <s v="STONINGTON"/>
    <s v="No"/>
    <n v="64517.608149120002"/>
    <n v="5.7237709494419237E-4"/>
    <n v="23641.341400000001"/>
    <n v="2.8924358683533229E-4"/>
    <n v="64517.608149120002"/>
    <n v="5.7237709494419237E-4"/>
    <n v="23641.341400000001"/>
    <n v="2.8924358683533229E-4"/>
    <n v="0"/>
    <n v="0"/>
    <n v="0"/>
    <n v="0"/>
    <m/>
    <n v="1"/>
    <s v="No"/>
    <m/>
  </r>
  <r>
    <x v="143"/>
    <s v="SUFFIELD"/>
    <s v="No"/>
    <n v="152.5522464"/>
    <n v="1.3533888519212503E-6"/>
    <n v="0"/>
    <n v="0"/>
    <n v="152.5522464"/>
    <n v="1.3533888519212503E-6"/>
    <n v="0"/>
    <n v="0"/>
    <n v="0"/>
    <n v="0"/>
    <n v="0"/>
    <n v="0"/>
    <m/>
    <n v="3"/>
    <s v="No"/>
    <m/>
  </r>
  <r>
    <x v="144"/>
    <s v="SUFFIELD"/>
    <s v="No"/>
    <n v="94801.637200320009"/>
    <n v="8.4104614621260661E-4"/>
    <n v="24103.85"/>
    <n v="2.9490221864233236E-4"/>
    <n v="94801.637200320009"/>
    <n v="8.4104614621260661E-4"/>
    <n v="24103.85"/>
    <n v="2.9490221864233236E-4"/>
    <n v="0"/>
    <n v="0"/>
    <n v="0"/>
    <n v="0"/>
    <m/>
    <n v="1"/>
    <s v="No"/>
    <m/>
  </r>
  <r>
    <x v="541"/>
    <s v="SUFFIELD"/>
    <s v="No"/>
    <n v="655629.93763775995"/>
    <n v="5.8165138142781811E-3"/>
    <n v="130820.77500000001"/>
    <n v="1.6005466675244565E-3"/>
    <n v="136802.6842896"/>
    <n v="1.2136643818733501E-3"/>
    <n v="120601.675"/>
    <n v="1.4755195344097109E-3"/>
    <n v="518827.25334815995"/>
    <n v="4.6028494324048307E-3"/>
    <n v="10219.1"/>
    <n v="1.2502713311474551E-4"/>
    <m/>
    <n v="4"/>
    <s v="No"/>
    <m/>
  </r>
  <r>
    <x v="145"/>
    <s v="SUFFIELD"/>
    <s v="No"/>
    <n v="64815.635833919994"/>
    <n v="5.7502108974394513E-4"/>
    <n v="12768.789500000001"/>
    <n v="1.5622169707025716E-4"/>
    <n v="64815.635833919994"/>
    <n v="5.7502108974394513E-4"/>
    <n v="12768.789500000001"/>
    <n v="1.5622169707025716E-4"/>
    <n v="0"/>
    <n v="0"/>
    <n v="0"/>
    <n v="0"/>
    <m/>
    <n v="1"/>
    <s v="No"/>
    <m/>
  </r>
  <r>
    <x v="306"/>
    <s v="THOMASTON"/>
    <s v="No"/>
    <n v="2560.0510684800001"/>
    <n v="2.2711855499952295E-5"/>
    <n v="933.36"/>
    <n v="1.1419334869409134E-5"/>
    <n v="2560.0510684800001"/>
    <n v="2.2711855499952295E-5"/>
    <n v="933.36"/>
    <n v="1.1419334869409134E-5"/>
    <n v="0"/>
    <n v="0"/>
    <n v="0"/>
    <n v="0"/>
    <m/>
    <n v="1"/>
    <s v="No"/>
    <m/>
  </r>
  <r>
    <x v="307"/>
    <s v="THOMASTON"/>
    <s v="No"/>
    <n v="172920.63703680001"/>
    <n v="1.5340899131638483E-3"/>
    <n v="101751.56359999999"/>
    <n v="1.2448949796802747E-3"/>
    <n v="106189.790616"/>
    <n v="9.420777615474445E-4"/>
    <n v="90896.353600000002"/>
    <n v="1.1120852620281805E-3"/>
    <n v="66730.846420800008"/>
    <n v="5.9201215161640384E-4"/>
    <n v="10855.21"/>
    <n v="1.3280971765209428E-4"/>
    <m/>
    <n v="1"/>
    <s v="No"/>
    <m/>
  </r>
  <r>
    <x v="289"/>
    <s v="THOMASTON"/>
    <s v="No"/>
    <n v="51583.641946560005"/>
    <n v="4.576315826180564E-4"/>
    <n v="34946.99"/>
    <n v="4.2756426404376907E-4"/>
    <n v="51583.641946560005"/>
    <n v="4.576315826180564E-4"/>
    <n v="34946.99"/>
    <n v="4.2756426404376907E-4"/>
    <n v="0"/>
    <n v="0"/>
    <n v="0"/>
    <n v="0"/>
    <m/>
    <n v="1"/>
    <s v="No"/>
    <m/>
  </r>
  <r>
    <x v="290"/>
    <s v="THOMASTON"/>
    <s v="No"/>
    <n v="125.9121888"/>
    <n v="1.1170478092869546E-6"/>
    <n v="0"/>
    <n v="0"/>
    <n v="125.9121888"/>
    <n v="1.1170478092869546E-6"/>
    <n v="0"/>
    <n v="0"/>
    <n v="0"/>
    <n v="0"/>
    <n v="0"/>
    <n v="0"/>
    <m/>
    <n v="1"/>
    <s v="No"/>
    <m/>
  </r>
  <r>
    <x v="542"/>
    <s v="THOMPSON"/>
    <s v="No"/>
    <n v="131978.84541119999"/>
    <n v="1.1708690123160071E-3"/>
    <n v="55611.319199999998"/>
    <n v="6.8038514236136286E-4"/>
    <n v="114098.2118352"/>
    <n v="1.012238440049015E-3"/>
    <n v="45721.439200000001"/>
    <n v="5.5938590140581308E-4"/>
    <n v="17880.633576"/>
    <n v="1.5863057226699219E-4"/>
    <n v="9889.8799999999992"/>
    <n v="1.2099924095554984E-4"/>
    <m/>
    <n v="2"/>
    <s v="No"/>
    <m/>
  </r>
  <r>
    <x v="543"/>
    <s v="THOMPSON"/>
    <s v="No"/>
    <n v="78065.277456960001"/>
    <n v="6.9256716125544362E-4"/>
    <n v="10634.31"/>
    <n v="1.3010708300667078E-4"/>
    <n v="78065.277456960001"/>
    <n v="6.9256716125544362E-4"/>
    <n v="10634.31"/>
    <n v="1.3010708300667078E-4"/>
    <n v="0"/>
    <n v="0"/>
    <n v="0"/>
    <n v="0"/>
    <m/>
    <n v="2"/>
    <s v="No"/>
    <m/>
  </r>
  <r>
    <x v="468"/>
    <s v="THOMPSON"/>
    <s v="No"/>
    <n v="378.51805440000004"/>
    <n v="3.3580765092940736E-6"/>
    <n v="0"/>
    <n v="0"/>
    <n v="378.51805440000004"/>
    <n v="3.3580765092940736E-6"/>
    <n v="0"/>
    <n v="0"/>
    <n v="0"/>
    <n v="0"/>
    <n v="0"/>
    <n v="0"/>
    <m/>
    <n v="1"/>
    <s v="No"/>
    <m/>
  </r>
  <r>
    <x v="474"/>
    <s v="THOMPSON"/>
    <s v="No"/>
    <n v="114.18408000000001"/>
    <n v="1.0130002316300485E-6"/>
    <n v="0"/>
    <n v="0"/>
    <n v="114.18408000000001"/>
    <n v="1.0130002316300485E-6"/>
    <n v="0"/>
    <n v="0"/>
    <n v="0"/>
    <n v="0"/>
    <n v="0"/>
    <n v="0"/>
    <m/>
    <n v="3"/>
    <s v="No"/>
    <m/>
  </r>
  <r>
    <x v="43"/>
    <s v="TOLLAND"/>
    <s v="No"/>
    <n v="546.76373760000001"/>
    <n v="4.850691907625923E-6"/>
    <n v="0"/>
    <n v="0"/>
    <n v="546.76373760000001"/>
    <n v="4.850691907625923E-6"/>
    <n v="0"/>
    <n v="0"/>
    <n v="0"/>
    <n v="0"/>
    <n v="0"/>
    <n v="0"/>
    <m/>
    <n v="4"/>
    <s v="No"/>
    <m/>
  </r>
  <r>
    <x v="544"/>
    <s v="TOLLAND"/>
    <s v="No"/>
    <n v="211485.03391584003"/>
    <n v="1.8762194199316979E-3"/>
    <n v="124145.8175"/>
    <n v="1.5188808848344184E-3"/>
    <n v="172674.64892736002"/>
    <n v="1.5319075948245411E-3"/>
    <n v="109420.7975"/>
    <n v="1.3387253881999505E-3"/>
    <n v="38810.38498848"/>
    <n v="3.4431182510715673E-4"/>
    <n v="14725.02"/>
    <n v="1.8015549663446783E-4"/>
    <m/>
    <n v="2"/>
    <s v="No"/>
    <m/>
  </r>
  <r>
    <x v="545"/>
    <s v="TOLLAND"/>
    <s v="No"/>
    <n v="102545.04115008"/>
    <n v="9.0974285064558799E-4"/>
    <n v="28463.101999999999"/>
    <n v="3.4823615021015348E-4"/>
    <n v="102538.85292288"/>
    <n v="9.0968795091186884E-4"/>
    <n v="28463.101999999999"/>
    <n v="3.4823615021015348E-4"/>
    <n v="6.1882272"/>
    <n v="5.4899733719265987E-8"/>
    <n v="0"/>
    <n v="0"/>
    <m/>
    <n v="4"/>
    <s v="No"/>
    <m/>
  </r>
  <r>
    <x v="177"/>
    <s v="TOLLAND"/>
    <s v="No"/>
    <n v="145.7156736"/>
    <n v="1.2927372284203588E-6"/>
    <n v="0"/>
    <n v="0"/>
    <n v="145.7156736"/>
    <n v="1.2927372284203588E-6"/>
    <n v="0"/>
    <n v="0"/>
    <n v="0"/>
    <n v="0"/>
    <n v="0"/>
    <n v="0"/>
    <m/>
    <n v="5"/>
    <s v="No"/>
    <m/>
  </r>
  <r>
    <x v="305"/>
    <s v="TORRINGTON"/>
    <s v="No"/>
    <n v="82.918771200000009"/>
    <n v="7.3562561814290564E-7"/>
    <n v="0"/>
    <n v="0"/>
    <n v="82.918771200000009"/>
    <n v="7.3562561814290564E-7"/>
    <n v="0"/>
    <n v="0"/>
    <n v="0"/>
    <n v="0"/>
    <n v="0"/>
    <n v="0"/>
    <m/>
    <n v="2"/>
    <s v="No"/>
    <m/>
  </r>
  <r>
    <x v="409"/>
    <s v="TORRINGTON"/>
    <s v="No"/>
    <n v="575.92192320000004"/>
    <n v="5.1093728793227824E-6"/>
    <n v="0"/>
    <n v="0"/>
    <n v="575.92192320000004"/>
    <n v="5.1093728793227824E-6"/>
    <n v="0"/>
    <n v="0"/>
    <n v="0"/>
    <n v="0"/>
    <n v="0"/>
    <n v="0"/>
    <m/>
    <n v="1"/>
    <s v="No"/>
    <m/>
  </r>
  <r>
    <x v="546"/>
    <s v="TORRINGTON"/>
    <s v="No"/>
    <n v="76307.070124799997"/>
    <n v="6.769689759853802E-4"/>
    <n v="20088.7081"/>
    <n v="2.4577835442670748E-4"/>
    <n v="76307.070124799997"/>
    <n v="6.769689759853802E-4"/>
    <n v="20088.7081"/>
    <n v="2.4577835442670748E-4"/>
    <n v="0"/>
    <n v="0"/>
    <n v="0"/>
    <n v="0"/>
    <m/>
    <n v="3"/>
    <s v="No"/>
    <m/>
  </r>
  <r>
    <x v="547"/>
    <s v="TORRINGTON"/>
    <s v="No"/>
    <n v="34487.976597120003"/>
    <n v="3.0596496710692285E-4"/>
    <n v="23654.6"/>
    <n v="2.8940580119345729E-4"/>
    <n v="34487.976597120003"/>
    <n v="3.0596496710692285E-4"/>
    <n v="23654.6"/>
    <n v="2.8940580119345729E-4"/>
    <n v="0"/>
    <n v="0"/>
    <n v="0"/>
    <n v="0"/>
    <m/>
    <n v="2"/>
    <s v="No"/>
    <m/>
  </r>
  <r>
    <x v="548"/>
    <s v="TORRINGTON"/>
    <s v="No"/>
    <n v="26950.979836799997"/>
    <n v="2.3909943327769651E-4"/>
    <n v="18765.400000000001"/>
    <n v="2.2958814022286167E-4"/>
    <n v="26950.979836799997"/>
    <n v="2.3909943327769651E-4"/>
    <n v="18765.400000000001"/>
    <n v="2.2958814022286167E-4"/>
    <n v="0"/>
    <n v="0"/>
    <n v="0"/>
    <n v="0"/>
    <m/>
    <n v="2"/>
    <s v="Yes"/>
    <m/>
  </r>
  <r>
    <x v="288"/>
    <s v="TORRINGTON"/>
    <s v="No"/>
    <n v="48205.948348799997"/>
    <n v="4.2766589565971494E-4"/>
    <n v="16981.6783"/>
    <n v="2.0776492580813234E-4"/>
    <n v="48205.948348799997"/>
    <n v="4.2766589565971494E-4"/>
    <n v="16981.6783"/>
    <n v="2.0776492580813234E-4"/>
    <n v="0"/>
    <n v="0"/>
    <n v="0"/>
    <n v="0"/>
    <m/>
    <n v="3"/>
    <s v="No"/>
    <m/>
  </r>
  <r>
    <x v="549"/>
    <s v="TORRINGTON"/>
    <s v="No"/>
    <n v="34178.324423040001"/>
    <n v="3.0321784400475497E-4"/>
    <n v="28920.17"/>
    <n v="3.5382821816902369E-4"/>
    <n v="34178.324423040001"/>
    <n v="3.0321784400475497E-4"/>
    <n v="28920.17"/>
    <n v="3.5382821816902369E-4"/>
    <n v="0"/>
    <n v="0"/>
    <n v="0"/>
    <n v="0"/>
    <m/>
    <n v="1"/>
    <s v="No"/>
    <m/>
  </r>
  <r>
    <x v="550"/>
    <s v="TORRINGTON"/>
    <s v="No"/>
    <n v="62090.761420800001"/>
    <n v="5.5084698060672269E-4"/>
    <n v="13849.6288"/>
    <n v="1.694453898648035E-4"/>
    <n v="62090.761420800001"/>
    <n v="5.5084698060672269E-4"/>
    <n v="13849.6288"/>
    <n v="1.694453898648035E-4"/>
    <n v="0"/>
    <n v="0"/>
    <n v="0"/>
    <n v="0"/>
    <m/>
    <n v="3"/>
    <s v="No"/>
    <m/>
  </r>
  <r>
    <x v="551"/>
    <s v="TORRINGTON"/>
    <s v="No"/>
    <n v="72546.218170559994"/>
    <n v="6.4360404542087907E-4"/>
    <n v="39940.89"/>
    <n v="4.8866289308759168E-4"/>
    <n v="72546.218170559994"/>
    <n v="6.4360404542087907E-4"/>
    <n v="39940.89"/>
    <n v="4.8866289308759168E-4"/>
    <n v="0"/>
    <n v="0"/>
    <n v="0"/>
    <n v="0"/>
    <m/>
    <n v="1"/>
    <s v="No"/>
    <m/>
  </r>
  <r>
    <x v="552"/>
    <s v="TORRINGTON"/>
    <s v="No"/>
    <n v="373023.51183936"/>
    <n v="3.3093308970631083E-3"/>
    <n v="358572.60279999999"/>
    <n v="4.3870110422225411E-3"/>
    <n v="144404.28637344"/>
    <n v="1.281103070976852E-3"/>
    <n v="197409.5528"/>
    <n v="2.4152371966267073E-3"/>
    <n v="228619.22546592"/>
    <n v="2.0282278260862563E-3"/>
    <n v="161163.04999999999"/>
    <n v="1.9717738455958338E-3"/>
    <m/>
    <n v="1"/>
    <s v="No"/>
    <m/>
  </r>
  <r>
    <x v="553"/>
    <s v="TORRINGTON"/>
    <s v="No"/>
    <n v="36919.849161600003"/>
    <n v="3.2753966886143191E-4"/>
    <n v="3462.34"/>
    <n v="4.2360525297580805E-5"/>
    <n v="36919.849161600003"/>
    <n v="3.2753966886143191E-4"/>
    <n v="3462.34"/>
    <n v="4.2360525297580805E-5"/>
    <n v="0"/>
    <n v="0"/>
    <n v="0"/>
    <n v="0"/>
    <m/>
    <n v="3"/>
    <s v="No"/>
    <m/>
  </r>
  <r>
    <x v="554"/>
    <s v="TORRINGTON"/>
    <s v="No"/>
    <n v="72946.220777279988"/>
    <n v="6.471527251778118E-4"/>
    <n v="28410.995900000002"/>
    <n v="3.4759865020518338E-4"/>
    <n v="72946.220777279988"/>
    <n v="6.471527251778118E-4"/>
    <n v="28410.995900000002"/>
    <n v="3.4759865020518338E-4"/>
    <n v="0"/>
    <n v="0"/>
    <n v="0"/>
    <n v="0"/>
    <m/>
    <n v="4"/>
    <s v="Yes"/>
    <m/>
  </r>
  <r>
    <x v="555"/>
    <s v="TORRINGTON"/>
    <s v="No"/>
    <n v="41928.608361600003"/>
    <n v="3.7197558523242809E-4"/>
    <n v="3042.1"/>
    <n v="3.7219035105671473E-5"/>
    <n v="41928.608361600003"/>
    <n v="3.7197558523242809E-4"/>
    <n v="3042.1"/>
    <n v="3.7219035105671473E-5"/>
    <n v="0"/>
    <n v="0"/>
    <n v="0"/>
    <n v="0"/>
    <m/>
    <n v="2"/>
    <s v="No"/>
    <m/>
  </r>
  <r>
    <x v="556"/>
    <s v="TORRINGTON"/>
    <s v="No"/>
    <n v="447.89103360000001"/>
    <n v="3.9735287159280155E-6"/>
    <n v="0"/>
    <n v="0"/>
    <n v="447.89103360000001"/>
    <n v="3.9735287159280155E-6"/>
    <n v="0"/>
    <n v="0"/>
    <n v="0"/>
    <n v="0"/>
    <n v="0"/>
    <n v="0"/>
    <m/>
    <n v="3"/>
    <s v="No"/>
    <m/>
  </r>
  <r>
    <x v="199"/>
    <s v="UNION"/>
    <s v="No"/>
    <n v="2415.7854892799996"/>
    <n v="2.1431982989302442E-5"/>
    <n v="0"/>
    <n v="0"/>
    <n v="54.552493439999999"/>
    <n v="4.8397016896503166E-7"/>
    <n v="0"/>
    <n v="0"/>
    <n v="2361.2329958399996"/>
    <n v="2.0948012820337409E-5"/>
    <n v="0"/>
    <n v="0"/>
    <m/>
    <n v="5"/>
    <s v="No"/>
    <m/>
  </r>
  <r>
    <x v="557"/>
    <s v="UNION"/>
    <s v="No"/>
    <n v="7.6933152000000007"/>
    <n v="6.825233499803976E-8"/>
    <n v="0"/>
    <n v="0"/>
    <n v="7.6933152000000007"/>
    <n v="6.825233499803976E-8"/>
    <n v="0"/>
    <n v="0"/>
    <n v="0"/>
    <n v="0"/>
    <n v="0"/>
    <n v="0"/>
    <m/>
    <n v="5"/>
    <s v="No"/>
    <m/>
  </r>
  <r>
    <x v="110"/>
    <s v="UNION"/>
    <s v="No"/>
    <n v="65.558160000000001"/>
    <n v="5.8160849800812663E-7"/>
    <n v="0"/>
    <n v="0"/>
    <n v="65.558160000000001"/>
    <n v="5.8160849800812663E-7"/>
    <n v="0"/>
    <n v="0"/>
    <n v="0"/>
    <n v="0"/>
    <n v="0"/>
    <n v="0"/>
    <m/>
    <n v="1"/>
    <s v="No"/>
    <m/>
  </r>
  <r>
    <x v="512"/>
    <s v="UNION"/>
    <s v="No"/>
    <n v="2220.5066889600002"/>
    <n v="1.9699539465156193E-5"/>
    <n v="0"/>
    <n v="0"/>
    <n v="2220.5066889600002"/>
    <n v="1.9699539465156193E-5"/>
    <n v="0"/>
    <n v="0"/>
    <n v="0"/>
    <n v="0"/>
    <n v="0"/>
    <n v="0"/>
    <m/>
    <n v="2"/>
    <s v="No"/>
    <m/>
  </r>
  <r>
    <x v="513"/>
    <s v="UNION"/>
    <s v="No"/>
    <n v="18433.834459199999"/>
    <n v="1.6353837222316426E-4"/>
    <n v="5573.38"/>
    <n v="6.8188365233637054E-5"/>
    <n v="15848.872447679998"/>
    <n v="1.4060551576520062E-4"/>
    <n v="3865.75"/>
    <n v="4.7296106294911244E-5"/>
    <n v="2584.9620115200005"/>
    <n v="2.2932856457963635E-5"/>
    <n v="1707.63"/>
    <n v="2.0892258938725807E-5"/>
    <m/>
    <n v="4"/>
    <s v="No"/>
    <m/>
  </r>
  <r>
    <x v="493"/>
    <s v="UNION"/>
    <s v="No"/>
    <n v="36.006336000000005"/>
    <n v="3.1943530751528019E-7"/>
    <n v="0"/>
    <n v="0"/>
    <n v="36.006336000000005"/>
    <n v="3.1943530751528019E-7"/>
    <n v="0"/>
    <n v="0"/>
    <n v="0"/>
    <n v="0"/>
    <n v="0"/>
    <n v="0"/>
    <m/>
    <n v="4"/>
    <s v="No"/>
    <m/>
  </r>
  <r>
    <x v="494"/>
    <s v="VERNON"/>
    <s v="No"/>
    <n v="343.50160319999998"/>
    <n v="3.047423104927525E-6"/>
    <n v="628.35299999999995"/>
    <n v="7.6876803411307927E-6"/>
    <n v="343.50160319999998"/>
    <n v="3.047423104927525E-6"/>
    <n v="628.35299999999995"/>
    <n v="7.6876803411307927E-6"/>
    <n v="0"/>
    <n v="0"/>
    <n v="0"/>
    <n v="0"/>
    <m/>
    <n v="4"/>
    <s v="No"/>
    <m/>
  </r>
  <r>
    <x v="313"/>
    <s v="VERNON"/>
    <s v="No"/>
    <n v="411.98310720000001"/>
    <n v="3.6549664631117318E-6"/>
    <n v="0"/>
    <n v="0"/>
    <n v="411.98310720000001"/>
    <n v="3.6549664631117318E-6"/>
    <n v="0"/>
    <n v="0"/>
    <n v="0"/>
    <n v="0"/>
    <n v="0"/>
    <n v="0"/>
    <m/>
    <n v="3"/>
    <s v="No"/>
    <m/>
  </r>
  <r>
    <x v="175"/>
    <s v="VERNON"/>
    <s v="No"/>
    <n v="34070.83161696"/>
    <n v="3.0226420635704078E-4"/>
    <n v="8725.9500000000007"/>
    <n v="1.0675896235506197E-4"/>
    <n v="34070.83161696"/>
    <n v="3.0226420635704078E-4"/>
    <n v="8725.9500000000007"/>
    <n v="1.0675896235506197E-4"/>
    <n v="0"/>
    <n v="0"/>
    <n v="0"/>
    <n v="0"/>
    <m/>
    <n v="5"/>
    <s v="No"/>
    <m/>
  </r>
  <r>
    <x v="558"/>
    <s v="VERNON"/>
    <s v="No"/>
    <n v="78604.228051200014"/>
    <n v="6.9734853775558516E-4"/>
    <n v="29090.1"/>
    <n v="3.5590725259771003E-4"/>
    <n v="78604.228051200014"/>
    <n v="6.9734853775558516E-4"/>
    <n v="29090.1"/>
    <n v="3.5590725259771003E-4"/>
    <n v="0"/>
    <n v="0"/>
    <n v="0"/>
    <n v="0"/>
    <m/>
    <n v="4"/>
    <s v="No"/>
    <m/>
  </r>
  <r>
    <x v="497"/>
    <s v="VERNON"/>
    <s v="No"/>
    <n v="74512.329096959991"/>
    <n v="6.6104667686173819E-4"/>
    <n v="23277.45"/>
    <n v="2.8479150215986079E-4"/>
    <n v="74448.189192959995"/>
    <n v="6.6047765062262741E-4"/>
    <n v="23277.45"/>
    <n v="2.8479150215986079E-4"/>
    <n v="64.139904000000001"/>
    <n v="5.6902623911082057E-7"/>
    <n v="0"/>
    <n v="0"/>
    <m/>
    <n v="2"/>
    <s v="No"/>
    <m/>
  </r>
  <r>
    <x v="557"/>
    <s v="VERNON"/>
    <s v="No"/>
    <n v="311439.87997920002"/>
    <n v="2.7629829881517989E-3"/>
    <n v="217918.8671"/>
    <n v="2.6661615215749176E-3"/>
    <n v="124042.64026751998"/>
    <n v="1.1004618447948305E-3"/>
    <n v="142414.7691"/>
    <n v="1.7423951516054689E-3"/>
    <n v="187397.23971168004"/>
    <n v="1.6625211433569686E-3"/>
    <n v="75504.097999999998"/>
    <n v="9.2376636996944843E-4"/>
    <m/>
    <n v="5"/>
    <s v="No"/>
    <m/>
  </r>
  <r>
    <x v="559"/>
    <s v="VERNON"/>
    <s v="No"/>
    <n v="65216.719788479997"/>
    <n v="5.7857936283133514E-4"/>
    <n v="10887.23"/>
    <n v="1.3320147121183379E-4"/>
    <n v="65216.719788479997"/>
    <n v="5.7857936283133514E-4"/>
    <n v="10887.23"/>
    <n v="1.3320147121183379E-4"/>
    <n v="0"/>
    <n v="0"/>
    <n v="0"/>
    <n v="0"/>
    <m/>
    <n v="5"/>
    <s v="No"/>
    <m/>
  </r>
  <r>
    <x v="325"/>
    <s v="VERNON"/>
    <s v="No"/>
    <n v="59253.694274879992"/>
    <n v="5.2567753775648496E-4"/>
    <n v="19884.302"/>
    <n v="2.4327751690929734E-4"/>
    <n v="59253.694274879992"/>
    <n v="5.2567753775648496E-4"/>
    <n v="19884.302"/>
    <n v="2.4327751690929734E-4"/>
    <n v="0"/>
    <n v="0"/>
    <n v="0"/>
    <n v="0"/>
    <m/>
    <n v="4"/>
    <s v="No"/>
    <m/>
  </r>
  <r>
    <x v="43"/>
    <s v="VERNON"/>
    <s v="No"/>
    <n v="52920.689765759998"/>
    <n v="4.6949339164213439E-4"/>
    <n v="19791.499500000002"/>
    <n v="2.4214211060924343E-4"/>
    <n v="52920.689765759998"/>
    <n v="4.6949339164213439E-4"/>
    <n v="19791.499500000002"/>
    <n v="2.4214211060924343E-4"/>
    <n v="0"/>
    <n v="0"/>
    <n v="0"/>
    <n v="0"/>
    <m/>
    <n v="4"/>
    <s v="No"/>
    <m/>
  </r>
  <r>
    <x v="176"/>
    <s v="VERNON"/>
    <s v="No"/>
    <n v="1230.0100127999999"/>
    <n v="1.0912207970442803E-5"/>
    <n v="164.09"/>
    <n v="2.0075840605139976E-6"/>
    <n v="1230.0100127999999"/>
    <n v="1.0912207970442803E-5"/>
    <n v="164.09"/>
    <n v="2.0075840605139976E-6"/>
    <n v="0"/>
    <n v="0"/>
    <n v="0"/>
    <n v="0"/>
    <m/>
    <n v="4"/>
    <s v="No"/>
    <m/>
  </r>
  <r>
    <x v="435"/>
    <s v="VOLUNTOWN"/>
    <s v="No"/>
    <n v="70807.896524159994"/>
    <n v="6.2818227882740368E-4"/>
    <n v="36101.566500000001"/>
    <n v="4.4169010582598638E-4"/>
    <n v="57747.690486719999"/>
    <n v="5.1231681193339472E-4"/>
    <n v="21450.676500000001"/>
    <n v="2.6244156395052829E-4"/>
    <n v="13060.206037439999"/>
    <n v="1.15865466894009E-4"/>
    <n v="14650.89"/>
    <n v="1.7924854187545809E-4"/>
    <m/>
    <n v="2"/>
    <s v="No"/>
    <m/>
  </r>
  <r>
    <x v="229"/>
    <s v="VOLUNTOWN"/>
    <s v="No"/>
    <n v="95.121561600000007"/>
    <n v="8.4388440081850216E-7"/>
    <n v="0"/>
    <n v="0"/>
    <n v="95.121561600000007"/>
    <n v="8.4388440081850216E-7"/>
    <n v="0"/>
    <n v="0"/>
    <n v="0"/>
    <n v="0"/>
    <n v="0"/>
    <n v="0"/>
    <m/>
    <n v="3"/>
    <s v="No"/>
    <m/>
  </r>
  <r>
    <x v="297"/>
    <s v="VOLUNTOWN"/>
    <s v="No"/>
    <n v="48.087561600000001"/>
    <n v="4.266156108568219E-7"/>
    <n v="0"/>
    <n v="0"/>
    <n v="48.087561600000001"/>
    <n v="4.266156108568219E-7"/>
    <n v="0"/>
    <n v="0"/>
    <n v="0"/>
    <n v="0"/>
    <n v="0"/>
    <n v="0"/>
    <m/>
    <e v="#N/A"/>
    <e v="#N/A"/>
    <m/>
  </r>
  <r>
    <x v="403"/>
    <s v="WARREN"/>
    <s v="No"/>
    <n v="46.987689599999996"/>
    <n v="4.1685794069156411E-7"/>
    <n v="0"/>
    <n v="0"/>
    <n v="46.987689599999996"/>
    <n v="4.1685794069156411E-7"/>
    <n v="0"/>
    <n v="0"/>
    <n v="0"/>
    <n v="0"/>
    <n v="0"/>
    <n v="0"/>
    <m/>
    <n v="2"/>
    <s v="No"/>
    <m/>
  </r>
  <r>
    <x v="199"/>
    <s v="WARREN"/>
    <s v="No"/>
    <n v="3678.0715353599999"/>
    <n v="3.2630532358552678E-5"/>
    <n v="0"/>
    <n v="0"/>
    <n v="24.110352000000002"/>
    <n v="2.1389840125420287E-7"/>
    <n v="0"/>
    <n v="0"/>
    <n v="3653.9611833599997"/>
    <n v="3.2416633957298471E-5"/>
    <n v="0"/>
    <n v="0"/>
    <m/>
    <n v="5"/>
    <s v="No"/>
    <m/>
  </r>
  <r>
    <x v="79"/>
    <s v="WARREN"/>
    <s v="No"/>
    <n v="1081.73337408"/>
    <n v="9.5967507773850237E-6"/>
    <n v="0"/>
    <n v="0"/>
    <n v="1081.73337408"/>
    <n v="9.5967507773850237E-6"/>
    <n v="0"/>
    <n v="0"/>
    <n v="0"/>
    <n v="0"/>
    <n v="0"/>
    <n v="0"/>
    <m/>
    <n v="3"/>
    <s v="No"/>
    <m/>
  </r>
  <r>
    <x v="113"/>
    <s v="WARREN"/>
    <s v="No"/>
    <n v="41666.761255679994"/>
    <n v="3.6965257156056921E-4"/>
    <n v="40234.6829"/>
    <n v="4.9225734700393141E-4"/>
    <n v="41431.092839999998"/>
    <n v="3.6756180584549122E-4"/>
    <n v="39393.502899999999"/>
    <n v="4.8196580236365371E-4"/>
    <n v="235.66841567999998"/>
    <n v="2.0907657150780255E-6"/>
    <n v="841.18"/>
    <n v="1.0291544640277678E-5"/>
    <m/>
    <n v="1"/>
    <s v="No"/>
    <m/>
  </r>
  <r>
    <x v="114"/>
    <s v="WARREN"/>
    <s v="No"/>
    <n v="107.6601024"/>
    <n v="9.551218407024404E-7"/>
    <n v="0"/>
    <n v="0"/>
    <n v="107.6601024"/>
    <n v="9.551218407024404E-7"/>
    <n v="0"/>
    <n v="0"/>
    <n v="0"/>
    <n v="0"/>
    <n v="0"/>
    <n v="0"/>
    <m/>
    <n v="2"/>
    <s v="No"/>
    <m/>
  </r>
  <r>
    <x v="421"/>
    <s v="WARREN"/>
    <s v="No"/>
    <n v="1739.6270208000001"/>
    <n v="1.5433347407276838E-5"/>
    <n v="0"/>
    <n v="0"/>
    <n v="1739.6270208000001"/>
    <n v="1.5433347407276838E-5"/>
    <n v="0"/>
    <n v="0"/>
    <n v="0"/>
    <n v="0"/>
    <n v="0"/>
    <n v="0"/>
    <m/>
    <n v="3"/>
    <s v="No"/>
    <m/>
  </r>
  <r>
    <x v="409"/>
    <s v="WARREN"/>
    <s v="No"/>
    <n v="34.269696000000003"/>
    <n v="3.0402845988592581E-7"/>
    <n v="0"/>
    <n v="0"/>
    <n v="34.269696000000003"/>
    <n v="3.0402845988592581E-7"/>
    <n v="0"/>
    <n v="0"/>
    <n v="0"/>
    <n v="0"/>
    <n v="0"/>
    <n v="0"/>
    <m/>
    <n v="1"/>
    <s v="No"/>
    <m/>
  </r>
  <r>
    <x v="291"/>
    <s v="WASHINGTON"/>
    <s v="No"/>
    <n v="105.3330048"/>
    <n v="9.3447666487910559E-7"/>
    <n v="0"/>
    <n v="0"/>
    <n v="105.3330048"/>
    <n v="9.3447666487910559E-7"/>
    <n v="0"/>
    <n v="0"/>
    <n v="0"/>
    <n v="0"/>
    <n v="0"/>
    <n v="0"/>
    <m/>
    <n v="4"/>
    <s v="No"/>
    <m/>
  </r>
  <r>
    <x v="113"/>
    <s v="WASHINGTON"/>
    <s v="No"/>
    <n v="2562.3306979200006"/>
    <n v="2.2732079555273765E-5"/>
    <n v="1202.22"/>
    <n v="1.4708743428796016E-5"/>
    <n v="2562.3306979200006"/>
    <n v="2.2732079555273765E-5"/>
    <n v="1202.22"/>
    <n v="1.4708743428796016E-5"/>
    <n v="0"/>
    <n v="0"/>
    <n v="0"/>
    <n v="0"/>
    <m/>
    <n v="1"/>
    <s v="No"/>
    <m/>
  </r>
  <r>
    <x v="421"/>
    <s v="WASHINGTON"/>
    <s v="No"/>
    <n v="181406.20740479999"/>
    <n v="1.6093708520503996E-3"/>
    <n v="49884.353299999995"/>
    <n v="6.103177070761706E-4"/>
    <n v="146825.70668064"/>
    <n v="1.3025850440510959E-3"/>
    <n v="46420.828399999999"/>
    <n v="5.6794268493933506E-4"/>
    <n v="34580.500724160003"/>
    <n v="3.0678580799930371E-4"/>
    <n v="3463.5248999999999"/>
    <n v="4.2375022136835496E-5"/>
    <m/>
    <n v="3"/>
    <s v="No"/>
    <m/>
  </r>
  <r>
    <x v="32"/>
    <s v="WASHINGTON"/>
    <s v="No"/>
    <n v="952.21128959999999"/>
    <n v="8.4476772674925177E-6"/>
    <n v="0"/>
    <n v="0"/>
    <n v="952.21128959999999"/>
    <n v="8.4476772674925177E-6"/>
    <n v="0"/>
    <n v="0"/>
    <n v="0"/>
    <n v="0"/>
    <n v="0"/>
    <n v="0"/>
    <m/>
    <n v="1"/>
    <s v="No"/>
    <m/>
  </r>
  <r>
    <x v="375"/>
    <s v="WATERBURY"/>
    <s v="No"/>
    <n v="1723.8467519999999"/>
    <n v="1.5293350518484769E-5"/>
    <n v="22.2"/>
    <n v="2.7160927627162378E-7"/>
    <n v="1723.8467519999999"/>
    <n v="1.5293350518484769E-5"/>
    <n v="22.2"/>
    <n v="2.7160927627162378E-7"/>
    <n v="0"/>
    <n v="0"/>
    <n v="0"/>
    <n v="0"/>
    <m/>
    <n v="2"/>
    <s v="No"/>
    <m/>
  </r>
  <r>
    <x v="95"/>
    <s v="WATERBURY"/>
    <s v="No"/>
    <n v="796.48099200000001"/>
    <n v="7.0660938844095492E-6"/>
    <n v="0"/>
    <n v="0"/>
    <n v="796.48099200000001"/>
    <n v="7.0660938844095492E-6"/>
    <n v="0"/>
    <n v="0"/>
    <n v="0"/>
    <n v="0"/>
    <n v="0"/>
    <n v="0"/>
    <m/>
    <n v="1"/>
    <s v="No"/>
    <m/>
  </r>
  <r>
    <x v="560"/>
    <s v="WATERBURY"/>
    <s v="Yes"/>
    <n v="38315.271240000002"/>
    <n v="3.3991935339049129E-4"/>
    <n v="12377.77"/>
    <n v="1.5143770952957732E-4"/>
    <n v="38315.271240000002"/>
    <n v="3.3991935339049129E-4"/>
    <n v="12377.77"/>
    <n v="1.5143770952957732E-4"/>
    <n v="0"/>
    <n v="0"/>
    <n v="0"/>
    <n v="0"/>
    <m/>
    <n v="5"/>
    <e v="#N/A"/>
    <m/>
  </r>
  <r>
    <x v="561"/>
    <s v="WATERBURY"/>
    <s v="Yes"/>
    <n v="44886.648113279996"/>
    <n v="3.9821825368167879E-4"/>
    <n v="14823.31"/>
    <n v="1.813580405878344E-4"/>
    <n v="44886.648113279996"/>
    <n v="3.9821825368167879E-4"/>
    <n v="14823.31"/>
    <n v="1.813580405878344E-4"/>
    <n v="0"/>
    <n v="0"/>
    <n v="0"/>
    <n v="0"/>
    <m/>
    <n v="4"/>
    <e v="#N/A"/>
    <m/>
  </r>
  <r>
    <x v="562"/>
    <s v="WATERBURY"/>
    <s v="No"/>
    <n v="26865.736862400001"/>
    <n v="2.3834318816180967E-4"/>
    <n v="7264.46"/>
    <n v="8.8878140680367568E-5"/>
    <n v="26865.736862400001"/>
    <n v="2.3834318816180967E-4"/>
    <n v="7264.46"/>
    <n v="8.8878140680367568E-5"/>
    <n v="0"/>
    <n v="0"/>
    <n v="0"/>
    <n v="0"/>
    <m/>
    <n v="5"/>
    <s v="Yes"/>
    <m/>
  </r>
  <r>
    <x v="563"/>
    <s v="WATERBURY"/>
    <s v="No"/>
    <n v="37398.924460800001"/>
    <n v="3.3178985320462433E-4"/>
    <n v="1172.21"/>
    <n v="1.4341581519745952E-5"/>
    <n v="37398.924460800001"/>
    <n v="3.3178985320462433E-4"/>
    <n v="1172.21"/>
    <n v="1.4341581519745952E-5"/>
    <n v="0"/>
    <n v="0"/>
    <n v="0"/>
    <n v="0"/>
    <m/>
    <n v="5"/>
    <s v="Yes"/>
    <m/>
  </r>
  <r>
    <x v="564"/>
    <s v="WATERBURY"/>
    <s v="No"/>
    <n v="30786.989518080001"/>
    <n v="2.7313113625828495E-4"/>
    <n v="5469.22"/>
    <n v="6.6914003872535596E-5"/>
    <n v="30786.702393600001"/>
    <n v="2.7312858899281023E-4"/>
    <n v="5469.22"/>
    <n v="6.6914003872535596E-5"/>
    <n v="0.28712448000000002"/>
    <n v="2.547265474719919E-9"/>
    <n v="0"/>
    <n v="0"/>
    <m/>
    <n v="5"/>
    <s v="Yes"/>
    <m/>
  </r>
  <r>
    <x v="565"/>
    <s v="WATERBURY"/>
    <s v="No"/>
    <n v="75308.789249280017"/>
    <n v="6.6811258586397637E-4"/>
    <n v="26025.75"/>
    <n v="3.184159964831627E-4"/>
    <n v="75305.171249280014"/>
    <n v="6.6808048826474855E-4"/>
    <n v="26025.75"/>
    <n v="3.184159964831627E-4"/>
    <n v="3.6179999999999999"/>
    <n v="3.2097599227821557E-8"/>
    <n v="0"/>
    <n v="0"/>
    <m/>
    <n v="3"/>
    <s v="Yes"/>
    <m/>
  </r>
  <r>
    <x v="566"/>
    <s v="WATERBURY"/>
    <s v="No"/>
    <n v="30064.937443199997"/>
    <n v="2.6672534904957423E-4"/>
    <n v="35858.410000000003"/>
    <n v="4.3871517064644853E-4"/>
    <n v="30064.937443199997"/>
    <n v="2.6672534904957423E-4"/>
    <n v="35858.410000000003"/>
    <n v="4.3871517064644853E-4"/>
    <n v="0"/>
    <n v="0"/>
    <n v="0"/>
    <n v="0"/>
    <m/>
    <n v="3"/>
    <s v="No"/>
    <m/>
  </r>
  <r>
    <x v="567"/>
    <s v="WATERBURY"/>
    <s v="No"/>
    <n v="60298.793807040005"/>
    <n v="5.3494928621874473E-4"/>
    <n v="118554.3701"/>
    <n v="1.4504714712477132E-3"/>
    <n v="60298.793807040005"/>
    <n v="5.3494928621874473E-4"/>
    <n v="118554.3701"/>
    <n v="1.4504714712477132E-3"/>
    <n v="0"/>
    <n v="0"/>
    <n v="0"/>
    <n v="0"/>
    <m/>
    <n v="4"/>
    <s v="No"/>
    <m/>
  </r>
  <r>
    <x v="568"/>
    <s v="WATERBURY"/>
    <s v="No"/>
    <n v="82675.970403840009"/>
    <n v="7.3347157650461388E-4"/>
    <n v="57259.17"/>
    <n v="7.0054602358621048E-4"/>
    <n v="82675.970403840009"/>
    <n v="7.3347157650461388E-4"/>
    <n v="57259.17"/>
    <n v="7.0054602358621048E-4"/>
    <n v="0"/>
    <n v="0"/>
    <n v="0"/>
    <n v="0"/>
    <m/>
    <n v="5"/>
    <s v="Yes"/>
    <m/>
  </r>
  <r>
    <x v="569"/>
    <s v="WATERBURY"/>
    <s v="No"/>
    <n v="54356.397840000005"/>
    <n v="4.8223047908688377E-4"/>
    <n v="7114.2227999999996"/>
    <n v="8.7040040808247061E-5"/>
    <n v="54356.397840000005"/>
    <n v="4.8223047908688377E-4"/>
    <n v="7114.2227999999996"/>
    <n v="8.7040040808247061E-5"/>
    <n v="0"/>
    <n v="0"/>
    <n v="0"/>
    <n v="0"/>
    <m/>
    <n v="5"/>
    <s v="Yes"/>
    <m/>
  </r>
  <r>
    <x v="570"/>
    <s v="WATERBURY"/>
    <s v="No"/>
    <n v="73467.303661440004"/>
    <n v="6.5177558575831083E-4"/>
    <n v="32921.589999999997"/>
    <n v="4.0278419971221286E-4"/>
    <n v="73465.479031680006"/>
    <n v="6.517593982970682E-4"/>
    <n v="32921.589999999997"/>
    <n v="4.0278419971221286E-4"/>
    <n v="1.8246297600000001"/>
    <n v="1.6187461242574969E-8"/>
    <n v="0"/>
    <n v="0"/>
    <m/>
    <n v="5"/>
    <s v="Yes"/>
    <m/>
  </r>
  <r>
    <x v="571"/>
    <s v="WATERBURY"/>
    <s v="No"/>
    <n v="53848.322968320004"/>
    <n v="4.777230209307446E-4"/>
    <n v="3381.01"/>
    <n v="4.1365481043564087E-5"/>
    <n v="53848.322968320004"/>
    <n v="4.777230209307446E-4"/>
    <n v="3381.01"/>
    <n v="4.1365481043564087E-5"/>
    <n v="0"/>
    <n v="0"/>
    <n v="0"/>
    <n v="0"/>
    <m/>
    <n v="5"/>
    <s v="Yes"/>
    <m/>
  </r>
  <r>
    <x v="572"/>
    <s v="WATERBURY"/>
    <s v="No"/>
    <n v="73375.150596480002"/>
    <n v="6.5095803679570676E-4"/>
    <n v="79377.770300000004"/>
    <n v="9.7115940284856731E-4"/>
    <n v="73375.150596480002"/>
    <n v="6.5095803679570676E-4"/>
    <n v="79377.770300000004"/>
    <n v="9.7115940284856731E-4"/>
    <n v="0"/>
    <n v="0"/>
    <n v="0"/>
    <n v="0"/>
    <m/>
    <n v="5"/>
    <s v="No"/>
    <m/>
  </r>
  <r>
    <x v="573"/>
    <s v="WATERBURY"/>
    <s v="No"/>
    <n v="54795.537365759999"/>
    <n v="4.8612636756199156E-4"/>
    <n v="22097.49"/>
    <n v="2.7035510208646147E-4"/>
    <n v="54795.537365759999"/>
    <n v="4.8612636756199156E-4"/>
    <n v="22097.49"/>
    <n v="2.7035510208646147E-4"/>
    <n v="0"/>
    <n v="0"/>
    <n v="0"/>
    <n v="0"/>
    <m/>
    <n v="3"/>
    <s v="Yes"/>
    <m/>
  </r>
  <r>
    <x v="574"/>
    <s v="WATERBURY"/>
    <s v="No"/>
    <n v="928086.51075263997"/>
    <n v="8.2336508764194408E-3"/>
    <n v="1583684.9359000002"/>
    <n v="1.9375834201895131E-2"/>
    <n v="223993.94705856004"/>
    <n v="1.9871940138594638E-3"/>
    <n v="1331999.4979000001"/>
    <n v="1.6296550433278618E-2"/>
    <n v="704092.56369407987"/>
    <n v="6.2464568625599775E-3"/>
    <n v="251685.43799999999"/>
    <n v="3.079283768616515E-3"/>
    <m/>
    <n v="1"/>
    <s v="No"/>
    <m/>
  </r>
  <r>
    <x v="575"/>
    <s v="WATERBURY"/>
    <s v="No"/>
    <n v="40955.166647999999"/>
    <n v="3.6333955925266665E-4"/>
    <n v="9409.7900000000009"/>
    <n v="1.1512550683639473E-4"/>
    <n v="40955.166647999999"/>
    <n v="3.6333955925266665E-4"/>
    <n v="9409.7900000000009"/>
    <n v="1.1512550683639473E-4"/>
    <n v="0"/>
    <n v="0"/>
    <n v="0"/>
    <n v="0"/>
    <m/>
    <n v="3"/>
    <s v="Yes"/>
    <m/>
  </r>
  <r>
    <x v="576"/>
    <s v="WATERBURY"/>
    <s v="No"/>
    <n v="78965.426015999998"/>
    <n v="7.0055295663785564E-4"/>
    <n v="32630.14"/>
    <n v="3.9921841036224154E-4"/>
    <n v="78963.979973759997"/>
    <n v="7.0054012786939632E-4"/>
    <n v="32630.14"/>
    <n v="3.9921841036224154E-4"/>
    <n v="1.4460422400000001"/>
    <n v="1.2828768459375722E-8"/>
    <n v="0"/>
    <n v="0"/>
    <m/>
    <n v="3"/>
    <s v="No"/>
    <m/>
  </r>
  <r>
    <x v="381"/>
    <s v="WATERBURY"/>
    <s v="No"/>
    <n v="46036.982819519995"/>
    <n v="4.0842361088973446E-4"/>
    <n v="33038.6175"/>
    <n v="4.0421599045900922E-4"/>
    <n v="46036.982819519995"/>
    <n v="4.0842361088973446E-4"/>
    <n v="33038.6175"/>
    <n v="4.0421599045900922E-4"/>
    <n v="0"/>
    <n v="0"/>
    <n v="0"/>
    <n v="0"/>
    <m/>
    <n v="4"/>
    <s v="No"/>
    <m/>
  </r>
  <r>
    <x v="577"/>
    <s v="WATERBURY"/>
    <s v="No"/>
    <n v="86934.247574400011"/>
    <n v="7.7124948529997512E-4"/>
    <n v="43374.961799999997"/>
    <n v="5.3067756679312287E-4"/>
    <n v="86934.247574400011"/>
    <n v="7.7124948529997512E-4"/>
    <n v="43374.961799999997"/>
    <n v="5.3067756679312287E-4"/>
    <n v="0"/>
    <n v="0"/>
    <n v="0"/>
    <n v="0"/>
    <m/>
    <n v="4"/>
    <s v="No"/>
    <m/>
  </r>
  <r>
    <x v="578"/>
    <s v="WATERBURY"/>
    <s v="No"/>
    <n v="66312.099100799998"/>
    <n v="5.882971754817757E-4"/>
    <n v="16926.25"/>
    <n v="2.0708677984200774E-4"/>
    <n v="66312.099100799998"/>
    <n v="5.882971754817757E-4"/>
    <n v="16926.25"/>
    <n v="2.0708677984200774E-4"/>
    <n v="0"/>
    <n v="0"/>
    <n v="0"/>
    <n v="0"/>
    <m/>
    <n v="2"/>
    <s v="No"/>
    <m/>
  </r>
  <r>
    <x v="579"/>
    <s v="WATERBURY"/>
    <s v="No"/>
    <n v="30857.74312608"/>
    <n v="2.7375883690878422E-4"/>
    <n v="3404.86"/>
    <n v="4.1657277495774817E-5"/>
    <n v="30857.74312608"/>
    <n v="2.7375883690878422E-4"/>
    <n v="3404.86"/>
    <n v="4.1657277495774817E-5"/>
    <n v="0"/>
    <n v="0"/>
    <n v="0"/>
    <n v="0"/>
    <m/>
    <n v="4"/>
    <s v="Yes"/>
    <m/>
  </r>
  <r>
    <x v="580"/>
    <s v="WATERBURY"/>
    <s v="No"/>
    <n v="41957.293023359998"/>
    <n v="3.7223006527033794E-4"/>
    <n v="70837.55"/>
    <n v="8.666727787547281E-4"/>
    <n v="41957.293023359998"/>
    <n v="3.7223006527033794E-4"/>
    <n v="70837.55"/>
    <n v="8.666727787547281E-4"/>
    <n v="0"/>
    <n v="0"/>
    <n v="0"/>
    <n v="0"/>
    <m/>
    <n v="2"/>
    <s v="Yes"/>
    <m/>
  </r>
  <r>
    <x v="581"/>
    <s v="WATERBURY"/>
    <s v="No"/>
    <n v="67570.252522559997"/>
    <n v="5.9945906168928399E-4"/>
    <n v="18995.95"/>
    <n v="2.3240883926089873E-4"/>
    <n v="67567.224980159997"/>
    <n v="5.9943220241825013E-4"/>
    <n v="18995.95"/>
    <n v="2.3240883926089873E-4"/>
    <n v="3.0275423999999997"/>
    <n v="2.6859271033841077E-8"/>
    <n v="0"/>
    <n v="0"/>
    <m/>
    <n v="4"/>
    <s v="Yes"/>
    <m/>
  </r>
  <r>
    <x v="582"/>
    <s v="WATERBURY"/>
    <s v="No"/>
    <n v="68249.952578880009"/>
    <n v="6.0548911696924176E-4"/>
    <n v="82131.960000000006"/>
    <n v="1.0048559556022501E-3"/>
    <n v="68249.952578880009"/>
    <n v="6.0548911696924176E-4"/>
    <n v="82131.960000000006"/>
    <n v="1.0048559556022501E-3"/>
    <n v="0"/>
    <n v="0"/>
    <n v="0"/>
    <n v="0"/>
    <m/>
    <n v="3"/>
    <s v="No"/>
    <m/>
  </r>
  <r>
    <x v="583"/>
    <s v="WATERBURY"/>
    <s v="No"/>
    <n v="102977.93166624001"/>
    <n v="9.1358330014730961E-4"/>
    <n v="126038.12"/>
    <n v="1.5420325475601832E-3"/>
    <n v="102977.93166624001"/>
    <n v="9.1358330014730961E-4"/>
    <n v="126038.12"/>
    <n v="1.5420325475601832E-3"/>
    <n v="0"/>
    <n v="0"/>
    <n v="0"/>
    <n v="0"/>
    <m/>
    <n v="3"/>
    <s v="Yes"/>
    <m/>
  </r>
  <r>
    <x v="584"/>
    <s v="WATERBURY"/>
    <s v="No"/>
    <n v="41794.131643200002"/>
    <n v="3.7078255598624901E-4"/>
    <n v="5658.59"/>
    <n v="6.923087993774089E-5"/>
    <n v="41794.131643200002"/>
    <n v="3.7078255598624901E-4"/>
    <n v="5658.59"/>
    <n v="6.923087993774089E-5"/>
    <n v="0"/>
    <n v="0"/>
    <n v="0"/>
    <n v="0"/>
    <m/>
    <n v="4"/>
    <s v="Yes"/>
    <m/>
  </r>
  <r>
    <x v="585"/>
    <s v="WATERBURY"/>
    <s v="No"/>
    <n v="111415.61708064002"/>
    <n v="9.8843942088856079E-4"/>
    <n v="168967.71100000001"/>
    <n v="2.0672611575667968E-3"/>
    <n v="111415.61708064002"/>
    <n v="9.8843942088856079E-4"/>
    <n v="168967.71100000001"/>
    <n v="2.0672611575667968E-3"/>
    <n v="0"/>
    <n v="0"/>
    <n v="0"/>
    <n v="0"/>
    <m/>
    <n v="4"/>
    <s v="No"/>
    <m/>
  </r>
  <r>
    <x v="472"/>
    <s v="WATERBURY"/>
    <s v="No"/>
    <n v="97466.550065279996"/>
    <n v="8.6468829798611447E-4"/>
    <n v="57930.291700000002"/>
    <n v="7.0875696409193937E-4"/>
    <n v="97466.550065279996"/>
    <n v="8.6468829798611447E-4"/>
    <n v="57930.291700000002"/>
    <n v="7.0875696409193937E-4"/>
    <n v="0"/>
    <n v="0"/>
    <n v="0"/>
    <n v="0"/>
    <m/>
    <n v="5"/>
    <s v="No"/>
    <m/>
  </r>
  <r>
    <x v="586"/>
    <s v="WATERBURY"/>
    <s v="No"/>
    <n v="944.42535360000011"/>
    <n v="8.3786032339542469E-6"/>
    <n v="0"/>
    <n v="0"/>
    <n v="944.42535360000011"/>
    <n v="8.3786032339542469E-6"/>
    <n v="0"/>
    <n v="0"/>
    <n v="0"/>
    <n v="0"/>
    <n v="0"/>
    <n v="0"/>
    <m/>
    <n v="2"/>
    <s v="No"/>
    <m/>
  </r>
  <r>
    <x v="410"/>
    <s v="WATERFORD"/>
    <s v="No"/>
    <n v="129.32179199999999"/>
    <n v="1.1472965867992536E-6"/>
    <n v="0"/>
    <n v="0"/>
    <n v="129.32179199999999"/>
    <n v="1.1472965867992536E-6"/>
    <n v="0"/>
    <n v="0"/>
    <n v="0"/>
    <n v="0"/>
    <n v="0"/>
    <n v="0"/>
    <m/>
    <n v="5"/>
    <s v="No"/>
    <m/>
  </r>
  <r>
    <x v="587"/>
    <s v="WATERFORD"/>
    <s v="No"/>
    <n v="298229.70639455999"/>
    <n v="2.6457870629307567E-3"/>
    <n v="526570.05579999997"/>
    <n v="6.4424014307273214E-3"/>
    <n v="136900.22556960001"/>
    <n v="1.2145297331485323E-3"/>
    <n v="454674.54180000001"/>
    <n v="5.5627848305148716E-3"/>
    <n v="161329.48082495999"/>
    <n v="1.4312573297822245E-3"/>
    <n v="71895.513999999996"/>
    <n v="8.7961660021245022E-4"/>
    <m/>
    <n v="4"/>
    <s v="No"/>
    <m/>
  </r>
  <r>
    <x v="303"/>
    <s v="WATERFORD"/>
    <s v="No"/>
    <n v="81427.319297280003"/>
    <n v="7.2239399143171753E-4"/>
    <n v="20885.86"/>
    <n v="2.5553123058155209E-4"/>
    <n v="81427.319297280003"/>
    <n v="7.2239399143171753E-4"/>
    <n v="20885.86"/>
    <n v="2.5553123058155209E-4"/>
    <n v="0"/>
    <n v="0"/>
    <n v="0"/>
    <n v="0"/>
    <m/>
    <n v="3"/>
    <s v="No"/>
    <m/>
  </r>
  <r>
    <x v="588"/>
    <s v="WATERFORD"/>
    <s v="No"/>
    <n v="82657.042764479993"/>
    <n v="7.333036572723014E-4"/>
    <n v="39929.422500000001"/>
    <n v="4.8852259221481486E-4"/>
    <n v="82657.042764479993"/>
    <n v="7.333036572723014E-4"/>
    <n v="39929.422500000001"/>
    <n v="4.8852259221481486E-4"/>
    <n v="0"/>
    <n v="0"/>
    <n v="0"/>
    <n v="0"/>
    <m/>
    <n v="1"/>
    <s v="No"/>
    <m/>
  </r>
  <r>
    <x v="371"/>
    <s v="WATERFORD"/>
    <s v="No"/>
    <n v="53180.512528320003"/>
    <n v="4.7179844606527326E-4"/>
    <n v="17703.873200000002"/>
    <n v="2.1660072914669355E-4"/>
    <n v="53180.512528320003"/>
    <n v="4.7179844606527326E-4"/>
    <n v="17703.873200000002"/>
    <n v="2.1660072914669355E-4"/>
    <n v="0"/>
    <n v="0"/>
    <n v="0"/>
    <n v="0"/>
    <m/>
    <n v="2"/>
    <s v="No"/>
    <m/>
  </r>
  <r>
    <x v="589"/>
    <s v="WATERFORD"/>
    <s v="No"/>
    <n v="68545.761995520006"/>
    <n v="6.0811343208895606E-4"/>
    <n v="23494.13"/>
    <n v="2.8744250657348851E-4"/>
    <n v="68545.761995520006"/>
    <n v="6.0811343208895606E-4"/>
    <n v="23494.13"/>
    <n v="2.8744250657348851E-4"/>
    <n v="0"/>
    <n v="0"/>
    <n v="0"/>
    <n v="0"/>
    <m/>
    <n v="4"/>
    <s v="No"/>
    <m/>
  </r>
  <r>
    <x v="372"/>
    <s v="WATERFORD"/>
    <s v="No"/>
    <n v="70.744924800000007"/>
    <n v="6.2762361626113162E-7"/>
    <n v="0"/>
    <n v="0"/>
    <n v="70.744924800000007"/>
    <n v="6.2762361626113162E-7"/>
    <n v="0"/>
    <n v="0"/>
    <n v="0"/>
    <n v="0"/>
    <n v="0"/>
    <n v="0"/>
    <m/>
    <n v="3"/>
    <s v="No"/>
    <m/>
  </r>
  <r>
    <x v="416"/>
    <s v="WATERFORD"/>
    <s v="No"/>
    <n v="26.3506176"/>
    <n v="2.3377323469606996E-7"/>
    <n v="0"/>
    <n v="0"/>
    <n v="26.3506176"/>
    <n v="2.3377323469606996E-7"/>
    <n v="0"/>
    <n v="0"/>
    <n v="0"/>
    <n v="0"/>
    <n v="0"/>
    <n v="0"/>
    <m/>
    <n v="5"/>
    <s v="No"/>
    <m/>
  </r>
  <r>
    <x v="374"/>
    <s v="WATERFORD"/>
    <s v="No"/>
    <n v="48.816950399999996"/>
    <n v="4.3308648686115064E-7"/>
    <n v="0"/>
    <n v="0"/>
    <n v="48.816950399999996"/>
    <n v="4.3308648686115064E-7"/>
    <n v="0"/>
    <n v="0"/>
    <n v="0"/>
    <n v="0"/>
    <n v="0"/>
    <n v="0"/>
    <m/>
    <n v="5"/>
    <s v="No"/>
    <m/>
  </r>
  <r>
    <x v="31"/>
    <s v="WATERTOWN"/>
    <s v="No"/>
    <n v="335.5998912"/>
    <n v="2.9773219482139629E-6"/>
    <n v="0"/>
    <n v="0"/>
    <n v="335.5998912"/>
    <n v="2.9773219482139629E-6"/>
    <n v="0"/>
    <n v="0"/>
    <n v="0"/>
    <n v="0"/>
    <n v="0"/>
    <n v="0"/>
    <m/>
    <n v="2"/>
    <s v="No"/>
    <m/>
  </r>
  <r>
    <x v="590"/>
    <s v="WATERTOWN"/>
    <s v="No"/>
    <n v="105586.70416991999"/>
    <n v="9.3672739475750332E-4"/>
    <n v="30575.06"/>
    <n v="3.7407522155682315E-4"/>
    <n v="105586.70416991999"/>
    <n v="9.3672739475750332E-4"/>
    <n v="30575.06"/>
    <n v="3.7407522155682315E-4"/>
    <n v="0"/>
    <n v="0"/>
    <n v="0"/>
    <n v="0"/>
    <m/>
    <n v="3"/>
    <s v="No"/>
    <m/>
  </r>
  <r>
    <x v="591"/>
    <s v="WATERTOWN"/>
    <s v="No"/>
    <n v="331283.27392415993"/>
    <n v="2.9390264669149567E-3"/>
    <n v="190649.19930000001"/>
    <n v="2.3325266235872779E-3"/>
    <n v="179501.00507423998"/>
    <n v="1.5924685798408287E-3"/>
    <n v="167458.0411"/>
    <n v="2.0487908715781456E-3"/>
    <n v="151782.26884991999"/>
    <n v="1.3465578870741281E-3"/>
    <n v="23191.158200000002"/>
    <n v="2.8373575200913212E-4"/>
    <m/>
    <n v="2"/>
    <s v="No"/>
    <m/>
  </r>
  <r>
    <x v="592"/>
    <s v="WATERTOWN"/>
    <s v="No"/>
    <n v="58545.817234560003"/>
    <n v="5.1939750637374101E-4"/>
    <n v="61008.1924"/>
    <n v="7.4641400830648553E-4"/>
    <n v="58545.817234560003"/>
    <n v="5.1939750637374101E-4"/>
    <n v="61008.1924"/>
    <n v="7.4641400830648553E-4"/>
    <n v="0"/>
    <n v="0"/>
    <n v="0"/>
    <n v="0"/>
    <m/>
    <n v="2"/>
    <s v="No"/>
    <m/>
  </r>
  <r>
    <x v="593"/>
    <s v="WATERTOWN"/>
    <s v="No"/>
    <n v="107974.49965344"/>
    <n v="9.5791106044794763E-4"/>
    <n v="39579.555399999997"/>
    <n v="4.8424208997056926E-4"/>
    <n v="107974.49965344"/>
    <n v="9.5791106044794763E-4"/>
    <n v="39579.555399999997"/>
    <n v="4.8424208997056926E-4"/>
    <n v="0"/>
    <n v="0"/>
    <n v="0"/>
    <n v="0"/>
    <m/>
    <n v="4"/>
    <s v="No"/>
    <m/>
  </r>
  <r>
    <x v="32"/>
    <s v="WATERTOWN"/>
    <s v="No"/>
    <n v="35.062761600000002"/>
    <n v="3.1106425363666427E-7"/>
    <n v="0"/>
    <n v="0"/>
    <n v="35.062761600000002"/>
    <n v="3.1106425363666427E-7"/>
    <n v="0"/>
    <n v="0"/>
    <n v="0"/>
    <n v="0"/>
    <n v="0"/>
    <n v="0"/>
    <m/>
    <n v="1"/>
    <s v="No"/>
    <m/>
  </r>
  <r>
    <x v="578"/>
    <s v="WATERTOWN"/>
    <s v="No"/>
    <n v="96.198278399999992"/>
    <n v="8.5343664634870177E-7"/>
    <n v="0"/>
    <n v="0"/>
    <n v="96.198278399999992"/>
    <n v="8.5343664634870177E-7"/>
    <n v="0"/>
    <n v="0"/>
    <n v="0"/>
    <n v="0"/>
    <n v="0"/>
    <n v="0"/>
    <m/>
    <n v="2"/>
    <s v="No"/>
    <m/>
  </r>
  <r>
    <x v="195"/>
    <s v="WEST HARTFORD"/>
    <s v="No"/>
    <n v="625.74612479999996"/>
    <n v="5.5513953378089582E-6"/>
    <n v="1300.4000000000001"/>
    <n v="1.5909941570433316E-5"/>
    <n v="625.74612479999996"/>
    <n v="5.5513953378089582E-6"/>
    <n v="1300.4000000000001"/>
    <n v="1.5909941570433316E-5"/>
    <n v="0"/>
    <n v="0"/>
    <n v="0"/>
    <n v="0"/>
    <m/>
    <n v="3"/>
    <s v="No"/>
    <m/>
  </r>
  <r>
    <x v="36"/>
    <s v="WEST HARTFORD"/>
    <s v="No"/>
    <n v="1128.0287232000001"/>
    <n v="1.0007466521488352E-5"/>
    <n v="0"/>
    <n v="0"/>
    <n v="1128.0287232000001"/>
    <n v="1.0007466521488352E-5"/>
    <n v="0"/>
    <n v="0"/>
    <n v="0"/>
    <n v="0"/>
    <n v="0"/>
    <n v="0"/>
    <m/>
    <n v="2"/>
    <s v="No"/>
    <m/>
  </r>
  <r>
    <x v="594"/>
    <s v="WEST HARTFORD"/>
    <s v="No"/>
    <n v="28610.9587584"/>
    <n v="2.5382617129653242E-4"/>
    <n v="2101.48"/>
    <n v="2.5710876662130269E-5"/>
    <n v="28610.9587584"/>
    <n v="2.5382617129653242E-4"/>
    <n v="2101.48"/>
    <n v="2.5710876662130269E-5"/>
    <n v="0"/>
    <n v="0"/>
    <n v="0"/>
    <n v="0"/>
    <m/>
    <n v="5"/>
    <s v="No"/>
    <m/>
  </r>
  <r>
    <x v="199"/>
    <s v="WEST HARTFORD"/>
    <s v="No"/>
    <n v="377930.25849023997"/>
    <n v="3.3528617946618927E-3"/>
    <n v="9423.9668000000001"/>
    <n v="1.1529895505206352E-4"/>
    <n v="82021.309801919997"/>
    <n v="7.2766366228939187E-4"/>
    <n v="9423.9668000000001"/>
    <n v="1.1529895505206352E-4"/>
    <n v="295908.94868832"/>
    <n v="2.625198132372501E-3"/>
    <n v="0"/>
    <n v="0"/>
    <m/>
    <n v="5"/>
    <s v="No"/>
    <m/>
  </r>
  <r>
    <x v="595"/>
    <s v="WEST HARTFORD"/>
    <s v="No"/>
    <n v="55727.230832640002"/>
    <n v="4.9439201806035916E-4"/>
    <n v="8621.5300000000007"/>
    <n v="1.054814199844186E-4"/>
    <n v="55727.230832640002"/>
    <n v="4.9439201806035916E-4"/>
    <n v="8621.5300000000007"/>
    <n v="1.054814199844186E-4"/>
    <n v="0"/>
    <n v="0"/>
    <n v="0"/>
    <n v="0"/>
    <m/>
    <n v="3"/>
    <s v="No"/>
    <m/>
  </r>
  <r>
    <x v="596"/>
    <s v="WEST HARTFORD"/>
    <s v="No"/>
    <n v="48185.508096000005"/>
    <n v="4.2748455706311748E-4"/>
    <n v="6747.1818000000003"/>
    <n v="8.2549421872570811E-5"/>
    <n v="48185.508096000005"/>
    <n v="4.2748455706311748E-4"/>
    <n v="6747.1818000000003"/>
    <n v="8.2549421872570811E-5"/>
    <n v="0"/>
    <n v="0"/>
    <n v="0"/>
    <n v="0"/>
    <m/>
    <n v="2"/>
    <s v="No"/>
    <m/>
  </r>
  <r>
    <x v="597"/>
    <s v="WEST HARTFORD"/>
    <s v="No"/>
    <n v="43302.135461760001"/>
    <n v="3.8416102536219243E-4"/>
    <n v="18052.32"/>
    <n v="2.2086385451458376E-4"/>
    <n v="43302.135461760001"/>
    <n v="3.8416102536219243E-4"/>
    <n v="18052.32"/>
    <n v="2.2086385451458376E-4"/>
    <n v="0"/>
    <n v="0"/>
    <n v="0"/>
    <n v="0"/>
    <m/>
    <n v="3"/>
    <s v="No"/>
    <m/>
  </r>
  <r>
    <x v="598"/>
    <s v="WEST HARTFORD"/>
    <s v="No"/>
    <n v="55092.762144000008"/>
    <n v="4.8876323926252388E-4"/>
    <n v="28113.459900000002"/>
    <n v="3.4395840076262692E-4"/>
    <n v="55057.849891200007"/>
    <n v="4.884535102690151E-4"/>
    <n v="28113.459900000002"/>
    <n v="3.4395840076262692E-4"/>
    <n v="34.912252800000005"/>
    <n v="3.0972899350878692E-7"/>
    <n v="0"/>
    <n v="0"/>
    <m/>
    <n v="4"/>
    <s v="No"/>
    <m/>
  </r>
  <r>
    <x v="245"/>
    <s v="WEST HARTFORD"/>
    <s v="No"/>
    <n v="46883.065144320004"/>
    <n v="4.159297500205178E-4"/>
    <n v="6747.4892"/>
    <n v="8.2553182804621518E-5"/>
    <n v="46883.065144320004"/>
    <n v="4.159297500205178E-4"/>
    <n v="6747.4892"/>
    <n v="8.2553182804621518E-5"/>
    <n v="0"/>
    <n v="0"/>
    <n v="0"/>
    <n v="0"/>
    <m/>
    <n v="5"/>
    <s v="No"/>
    <m/>
  </r>
  <r>
    <x v="246"/>
    <s v="WEST HARTFORD"/>
    <s v="No"/>
    <n v="43290.247003199998"/>
    <n v="3.8405555521893773E-4"/>
    <n v="4929.1130000000003"/>
    <n v="6.0305982639236594E-5"/>
    <n v="43290.247003199998"/>
    <n v="3.8405555521893773E-4"/>
    <n v="4929.1130000000003"/>
    <n v="6.0305982639236594E-5"/>
    <n v="0"/>
    <n v="0"/>
    <n v="0"/>
    <n v="0"/>
    <m/>
    <n v="5"/>
    <s v="No"/>
    <m/>
  </r>
  <r>
    <x v="150"/>
    <s v="WEST HARTFORD"/>
    <s v="No"/>
    <n v="76690.901718720008"/>
    <n v="6.8037419231280433E-4"/>
    <n v="8861.1478999999999"/>
    <n v="1.0841306162409094E-4"/>
    <n v="76690.901718720008"/>
    <n v="6.8037419231280433E-4"/>
    <n v="8861.1478999999999"/>
    <n v="1.0841306162409094E-4"/>
    <n v="0"/>
    <n v="0"/>
    <n v="0"/>
    <n v="0"/>
    <m/>
    <n v="3"/>
    <s v="No"/>
    <m/>
  </r>
  <r>
    <x v="599"/>
    <s v="WEST HARTFORD"/>
    <s v="No"/>
    <n v="74511.301584960005"/>
    <n v="6.6103756114355757E-4"/>
    <n v="10418.5515"/>
    <n v="1.2746735282493876E-4"/>
    <n v="74474.39798496"/>
    <n v="6.6071016563143382E-4"/>
    <n v="10418.5515"/>
    <n v="1.2746735282493876E-4"/>
    <n v="36.903599999999997"/>
    <n v="3.2739551212377984E-7"/>
    <n v="0"/>
    <n v="0"/>
    <m/>
    <n v="2"/>
    <s v="No"/>
    <m/>
  </r>
  <r>
    <x v="247"/>
    <s v="WEST HARTFORD"/>
    <s v="No"/>
    <n v="49008.924374399998"/>
    <n v="4.3478961115425826E-4"/>
    <n v="4881.03"/>
    <n v="5.9717703863066834E-5"/>
    <n v="49008.924374399998"/>
    <n v="4.3478961115425826E-4"/>
    <n v="4881.03"/>
    <n v="5.9717703863066834E-5"/>
    <n v="0"/>
    <n v="0"/>
    <n v="0"/>
    <n v="0"/>
    <m/>
    <n v="2"/>
    <s v="No"/>
    <m/>
  </r>
  <r>
    <x v="600"/>
    <s v="WEST HARTFORD"/>
    <s v="No"/>
    <n v="32413.523068800001"/>
    <n v="2.8756115893424297E-4"/>
    <n v="16865.05"/>
    <n v="2.0633801913444812E-4"/>
    <n v="32413.523068800001"/>
    <n v="2.8756115893424297E-4"/>
    <n v="16865.05"/>
    <n v="2.0633801913444812E-4"/>
    <n v="0"/>
    <n v="0"/>
    <n v="0"/>
    <n v="0"/>
    <m/>
    <n v="2"/>
    <s v="No"/>
    <m/>
  </r>
  <r>
    <x v="601"/>
    <s v="WEST HARTFORD"/>
    <s v="No"/>
    <n v="80343.415123200015"/>
    <n v="7.1277798209479595E-4"/>
    <n v="18040.036100000001"/>
    <n v="2.2071356527184535E-4"/>
    <n v="80343.415123200015"/>
    <n v="7.1277798209479595E-4"/>
    <n v="18040.036100000001"/>
    <n v="2.2071356527184535E-4"/>
    <n v="0"/>
    <n v="0"/>
    <n v="0"/>
    <n v="0"/>
    <m/>
    <n v="4"/>
    <s v="No"/>
    <m/>
  </r>
  <r>
    <x v="602"/>
    <s v="WEST HARTFORD"/>
    <s v="No"/>
    <n v="76001.059105919994"/>
    <n v="6.7425415590707523E-4"/>
    <n v="13016.7014"/>
    <n v="1.5925481291431676E-4"/>
    <n v="76001.059105919994"/>
    <n v="6.7425415590707523E-4"/>
    <n v="13016.7014"/>
    <n v="1.5925481291431676E-4"/>
    <n v="0"/>
    <n v="0"/>
    <n v="0"/>
    <n v="0"/>
    <m/>
    <n v="2"/>
    <s v="No"/>
    <m/>
  </r>
  <r>
    <x v="603"/>
    <s v="WEST HARTFORD"/>
    <s v="No"/>
    <n v="74873.673518400014"/>
    <n v="6.6425239505482571E-4"/>
    <n v="52438"/>
    <n v="6.4156068599691021E-4"/>
    <n v="74846.761387200007"/>
    <n v="6.6401364027272945E-4"/>
    <n v="52438"/>
    <n v="6.4156068599691021E-4"/>
    <n v="26.912131200000001"/>
    <n v="2.3875478209622789E-7"/>
    <n v="0"/>
    <n v="0"/>
    <m/>
    <n v="5"/>
    <s v="No"/>
    <m/>
  </r>
  <r>
    <x v="604"/>
    <s v="WEST HARTFORD"/>
    <s v="No"/>
    <n v="35446.190293439999"/>
    <n v="3.1446589557543829E-4"/>
    <n v="2038.99"/>
    <n v="2.4946333253381899E-5"/>
    <n v="35446.190293439999"/>
    <n v="3.1446589557543829E-4"/>
    <n v="2038.99"/>
    <n v="2.4946333253381899E-5"/>
    <n v="0"/>
    <n v="0"/>
    <n v="0"/>
    <n v="0"/>
    <m/>
    <n v="3"/>
    <s v="No"/>
    <m/>
  </r>
  <r>
    <x v="605"/>
    <s v="WEST HARTFORD"/>
    <s v="No"/>
    <n v="253494.14654016"/>
    <n v="2.248909210128448E-3"/>
    <n v="457020.29220000003"/>
    <n v="5.5914842705354966E-3"/>
    <n v="140466.29598143999"/>
    <n v="1.2461666316829249E-3"/>
    <n v="408944.72220000002"/>
    <n v="5.0032963978307319E-3"/>
    <n v="113027.85055872001"/>
    <n v="1.0027425784455229E-3"/>
    <n v="48075.57"/>
    <n v="5.8818787270476522E-4"/>
    <m/>
    <n v="3"/>
    <s v="No"/>
    <m/>
  </r>
  <r>
    <x v="140"/>
    <s v="WESTBROOK"/>
    <s v="No"/>
    <n v="98.137526400000013"/>
    <n v="8.7064095953481428E-7"/>
    <n v="0"/>
    <n v="0"/>
    <n v="98.137526400000013"/>
    <n v="8.7064095953481428E-7"/>
    <n v="0"/>
    <n v="0"/>
    <n v="0"/>
    <n v="0"/>
    <n v="0"/>
    <n v="0"/>
    <m/>
    <n v="1"/>
    <s v="No"/>
    <m/>
  </r>
  <r>
    <x v="606"/>
    <s v="WESTBROOK"/>
    <s v="No"/>
    <n v="254015.70005376"/>
    <n v="2.253536245964654E-3"/>
    <n v="98737.813800000004"/>
    <n v="1.2080227994081237E-3"/>
    <n v="182266.88039999999"/>
    <n v="1.6170064343793487E-3"/>
    <n v="75057.263800000001"/>
    <n v="9.1829950899307872E-4"/>
    <n v="71748.819653760002"/>
    <n v="6.3652981158530541E-4"/>
    <n v="23680.55"/>
    <n v="2.8972329041504507E-4"/>
    <m/>
    <n v="2"/>
    <s v="No"/>
    <m/>
  </r>
  <r>
    <x v="607"/>
    <s v="WESTON"/>
    <s v="No"/>
    <n v="538.72309440000004"/>
    <n v="4.779358203102012E-6"/>
    <n v="0"/>
    <n v="0"/>
    <n v="538.72309440000004"/>
    <n v="4.779358203102012E-6"/>
    <n v="0"/>
    <n v="0"/>
    <n v="0"/>
    <n v="0"/>
    <n v="0"/>
    <n v="0"/>
    <m/>
    <n v="2"/>
    <s v="No"/>
    <m/>
  </r>
  <r>
    <x v="608"/>
    <s v="WESTON"/>
    <s v="No"/>
    <n v="413.52292799999998"/>
    <n v="3.6686272013430926E-6"/>
    <n v="0"/>
    <n v="0"/>
    <n v="413.52292799999998"/>
    <n v="3.6686272013430926E-6"/>
    <n v="0"/>
    <n v="0"/>
    <n v="0"/>
    <n v="0"/>
    <n v="0"/>
    <n v="0"/>
    <m/>
    <n v="3"/>
    <s v="No"/>
    <m/>
  </r>
  <r>
    <x v="475"/>
    <s v="WESTON"/>
    <s v="No"/>
    <n v="208785.52544544"/>
    <n v="1.8522703483465652E-3"/>
    <n v="77275.853000000003"/>
    <n v="9.4544317597308053E-4"/>
    <n v="193190.98392576"/>
    <n v="1.7139211654166834E-3"/>
    <n v="77275.853000000003"/>
    <n v="9.4544317597308053E-4"/>
    <n v="15594.54151968"/>
    <n v="1.383491829298817E-4"/>
    <n v="0"/>
    <n v="0"/>
    <m/>
    <n v="4"/>
    <s v="No"/>
    <m/>
  </r>
  <r>
    <x v="609"/>
    <s v="WESTON"/>
    <s v="No"/>
    <n v="153141.29732160002"/>
    <n v="1.3586147005686512E-3"/>
    <n v="30830.174299999999"/>
    <n v="3.7719645625905473E-4"/>
    <n v="153141.29732160002"/>
    <n v="1.3586147005686512E-3"/>
    <n v="30830.174299999999"/>
    <n v="3.7719645625905473E-4"/>
    <n v="0"/>
    <n v="0"/>
    <n v="0"/>
    <n v="0"/>
    <m/>
    <n v="1"/>
    <s v="No"/>
    <m/>
  </r>
  <r>
    <x v="610"/>
    <s v="WESTON"/>
    <s v="No"/>
    <n v="932.56989120000003"/>
    <n v="8.2734258208045207E-6"/>
    <n v="0"/>
    <n v="0"/>
    <n v="932.56989120000003"/>
    <n v="8.2734258208045207E-6"/>
    <n v="0"/>
    <n v="0"/>
    <n v="0"/>
    <n v="0"/>
    <n v="0"/>
    <n v="0"/>
    <m/>
    <n v="1"/>
    <s v="No"/>
    <m/>
  </r>
  <r>
    <x v="436"/>
    <s v="WESTPORT"/>
    <s v="No"/>
    <n v="74.606054400000005"/>
    <n v="6.6187817415706277E-7"/>
    <n v="0"/>
    <n v="0"/>
    <n v="74.606054400000005"/>
    <n v="6.6187817415706277E-7"/>
    <n v="0"/>
    <n v="0"/>
    <n v="0"/>
    <n v="0"/>
    <n v="0"/>
    <n v="0"/>
    <m/>
    <n v="1"/>
    <s v="No"/>
    <m/>
  </r>
  <r>
    <x v="437"/>
    <s v="WESTPORT"/>
    <s v="No"/>
    <n v="1610.4267936000001"/>
    <n v="1.4287129299811638E-5"/>
    <n v="0"/>
    <n v="0"/>
    <n v="1610.4267936000001"/>
    <n v="1.4287129299811638E-5"/>
    <n v="0"/>
    <n v="0"/>
    <n v="0"/>
    <n v="0"/>
    <n v="0"/>
    <n v="0"/>
    <m/>
    <n v="3"/>
    <s v="No"/>
    <m/>
  </r>
  <r>
    <x v="446"/>
    <s v="WESTPORT"/>
    <s v="No"/>
    <n v="1005.7692671999999"/>
    <n v="8.9228244483818044E-6"/>
    <n v="1424.72"/>
    <n v="1.7430953517554408E-5"/>
    <n v="1005.7692671999999"/>
    <n v="8.9228244483818044E-6"/>
    <n v="1424.72"/>
    <n v="1.7430953517554408E-5"/>
    <n v="0"/>
    <n v="0"/>
    <n v="0"/>
    <n v="0"/>
    <m/>
    <n v="1"/>
    <s v="No"/>
    <m/>
  </r>
  <r>
    <x v="453"/>
    <s v="WESTPORT"/>
    <s v="No"/>
    <n v="2160.7506432"/>
    <n v="1.9169405245077738E-5"/>
    <n v="1007.24"/>
    <n v="1.2323230965397763E-5"/>
    <n v="2160.7506432"/>
    <n v="1.9169405245077738E-5"/>
    <n v="1007.24"/>
    <n v="1.2323230965397763E-5"/>
    <n v="0"/>
    <n v="0"/>
    <n v="0"/>
    <n v="0"/>
    <m/>
    <n v="3"/>
    <s v="No"/>
    <m/>
  </r>
  <r>
    <x v="458"/>
    <s v="WESTPORT"/>
    <s v="No"/>
    <n v="668.84374079999998"/>
    <n v="5.9337419398107683E-6"/>
    <n v="0"/>
    <n v="0"/>
    <n v="668.84374079999998"/>
    <n v="5.9337419398107683E-6"/>
    <n v="0"/>
    <n v="0"/>
    <n v="0"/>
    <n v="0"/>
    <n v="0"/>
    <n v="0"/>
    <m/>
    <n v="4"/>
    <s v="No"/>
    <m/>
  </r>
  <r>
    <x v="607"/>
    <s v="WESTPORT"/>
    <s v="No"/>
    <n v="130976.70803711998"/>
    <n v="1.1619784087216339E-3"/>
    <n v="20756.725299999998"/>
    <n v="2.5395131245504066E-4"/>
    <n v="130976.70803711998"/>
    <n v="1.1619784087216339E-3"/>
    <n v="20756.725299999998"/>
    <n v="2.5395131245504066E-4"/>
    <n v="0"/>
    <n v="0"/>
    <n v="0"/>
    <n v="0"/>
    <m/>
    <n v="2"/>
    <s v="No"/>
    <m/>
  </r>
  <r>
    <x v="611"/>
    <s v="WESTPORT"/>
    <s v="No"/>
    <n v="121173.53558688"/>
    <n v="1.0750081764195267E-3"/>
    <n v="21742.54"/>
    <n v="2.6601241232913653E-4"/>
    <n v="121173.53558688"/>
    <n v="1.0750081764195267E-3"/>
    <n v="21742.54"/>
    <n v="2.6601241232913653E-4"/>
    <n v="0"/>
    <n v="0"/>
    <n v="0"/>
    <n v="0"/>
    <m/>
    <n v="4"/>
    <s v="No"/>
    <m/>
  </r>
  <r>
    <x v="608"/>
    <s v="WESTPORT"/>
    <s v="No"/>
    <n v="563836.21070112009"/>
    <n v="5.0021527698225826E-3"/>
    <n v="203794.64620000002"/>
    <n v="2.4933565929015147E-3"/>
    <n v="279717.85917216004"/>
    <n v="2.4815565894340031E-3"/>
    <n v="126459.8762"/>
    <n v="1.5471925879315829E-3"/>
    <n v="284118.35152896005"/>
    <n v="2.5205961803885799E-3"/>
    <n v="77334.77"/>
    <n v="9.4616400496993168E-4"/>
    <m/>
    <n v="3"/>
    <s v="No"/>
    <m/>
  </r>
  <r>
    <x v="459"/>
    <s v="WESTPORT"/>
    <s v="No"/>
    <n v="74558.667283200004"/>
    <n v="6.6145777264141651E-4"/>
    <n v="7135.08"/>
    <n v="8.7295221393699879E-5"/>
    <n v="74558.667283200004"/>
    <n v="6.6145777264141651E-4"/>
    <n v="7135.08"/>
    <n v="8.7295221393699879E-5"/>
    <n v="0"/>
    <n v="0"/>
    <n v="0"/>
    <n v="0"/>
    <m/>
    <n v="3"/>
    <s v="No"/>
    <m/>
  </r>
  <r>
    <x v="612"/>
    <s v="WESTPORT"/>
    <s v="No"/>
    <n v="146978.52289631998"/>
    <n v="1.3039407747438565E-3"/>
    <n v="32140.67"/>
    <n v="3.932299152065356E-4"/>
    <n v="146823.64934111998"/>
    <n v="1.3025667920722708E-3"/>
    <n v="32140.67"/>
    <n v="3.932299152065356E-4"/>
    <n v="154.8735552"/>
    <n v="1.3739826715858207E-6"/>
    <n v="0"/>
    <n v="0"/>
    <m/>
    <n v="1"/>
    <s v="No"/>
    <m/>
  </r>
  <r>
    <x v="613"/>
    <s v="WESTPORT"/>
    <s v="No"/>
    <n v="125849.61476639999"/>
    <n v="1.1164926748887896E-3"/>
    <n v="10952.81"/>
    <n v="1.3400381969552269E-4"/>
    <n v="125849.61476639999"/>
    <n v="1.1164926748887896E-3"/>
    <n v="10952.81"/>
    <n v="1.3400381969552269E-4"/>
    <n v="0"/>
    <n v="0"/>
    <n v="0"/>
    <n v="0"/>
    <m/>
    <n v="3"/>
    <s v="No"/>
    <m/>
  </r>
  <r>
    <x v="609"/>
    <s v="WESTPORT"/>
    <s v="No"/>
    <n v="5646.9512448000005"/>
    <n v="5.009772745014883E-5"/>
    <n v="0"/>
    <n v="0"/>
    <n v="5646.9512448000005"/>
    <n v="5.009772745014883E-5"/>
    <n v="0"/>
    <n v="0"/>
    <n v="0"/>
    <n v="0"/>
    <n v="0"/>
    <n v="0"/>
    <m/>
    <n v="1"/>
    <s v="No"/>
    <m/>
  </r>
  <r>
    <x v="614"/>
    <s v="WESTPORT"/>
    <s v="No"/>
    <n v="4359.446870400001"/>
    <n v="3.8675450110856876E-5"/>
    <n v="1373.72"/>
    <n v="1.6806986261254731E-5"/>
    <n v="4359.446870400001"/>
    <n v="3.8675450110856876E-5"/>
    <n v="1373.72"/>
    <n v="1.6806986261254731E-5"/>
    <n v="0"/>
    <n v="0"/>
    <n v="0"/>
    <n v="0"/>
    <m/>
    <n v="1"/>
    <s v="No"/>
    <m/>
  </r>
  <r>
    <x v="615"/>
    <s v="WETHERSFIELD"/>
    <s v="No"/>
    <n v="57899.365729919999"/>
    <n v="5.1366242032726314E-4"/>
    <n v="7088.3504999999996"/>
    <n v="8.6723502219126234E-5"/>
    <n v="57897.0131616"/>
    <n v="5.1364154918434124E-4"/>
    <n v="7088.3504999999996"/>
    <n v="8.6723502219126234E-5"/>
    <n v="2.35256832"/>
    <n v="2.087114292189869E-8"/>
    <n v="0"/>
    <n v="0"/>
    <m/>
    <n v="1"/>
    <s v="No"/>
    <m/>
  </r>
  <r>
    <x v="616"/>
    <s v="WETHERSFIELD"/>
    <s v="No"/>
    <n v="60830.6149152"/>
    <n v="5.3966741247375174E-4"/>
    <n v="12981.8608"/>
    <n v="1.5882855029490824E-4"/>
    <n v="60830.6149152"/>
    <n v="5.3966741247375174E-4"/>
    <n v="12981.8608"/>
    <n v="1.5882855029490824E-4"/>
    <n v="0"/>
    <n v="0"/>
    <n v="0"/>
    <n v="0"/>
    <m/>
    <n v="3"/>
    <s v="No"/>
    <m/>
  </r>
  <r>
    <x v="617"/>
    <s v="WETHERSFIELD"/>
    <s v="No"/>
    <n v="86123.850307199988"/>
    <n v="7.6405993120989542E-4"/>
    <n v="9848.5290999999997"/>
    <n v="1.2049332708067686E-4"/>
    <n v="86123.850307199988"/>
    <n v="7.6405993120989542E-4"/>
    <n v="9848.5290999999997"/>
    <n v="1.2049332708067686E-4"/>
    <n v="0"/>
    <n v="0"/>
    <n v="0"/>
    <n v="0"/>
    <m/>
    <n v="5"/>
    <s v="No"/>
    <m/>
  </r>
  <r>
    <x v="618"/>
    <s v="WETHERSFIELD"/>
    <s v="No"/>
    <n v="49411.587513600003"/>
    <n v="4.383618942017592E-4"/>
    <n v="6725.7366000000002"/>
    <n v="8.2287047311692412E-5"/>
    <n v="49411.587513600003"/>
    <n v="4.383618942017592E-4"/>
    <n v="6725.7366000000002"/>
    <n v="8.2287047311692412E-5"/>
    <n v="0"/>
    <n v="0"/>
    <n v="0"/>
    <n v="0"/>
    <m/>
    <n v="4"/>
    <s v="No"/>
    <m/>
  </r>
  <r>
    <x v="619"/>
    <s v="WETHERSFIELD"/>
    <s v="No"/>
    <n v="59729.9845824"/>
    <n v="5.2990301465169584E-4"/>
    <n v="10869.7922"/>
    <n v="1.3298812579571806E-4"/>
    <n v="59729.9845824"/>
    <n v="5.2990301465169584E-4"/>
    <n v="10869.7922"/>
    <n v="1.3298812579571806E-4"/>
    <n v="0"/>
    <n v="0"/>
    <n v="0"/>
    <n v="0"/>
    <m/>
    <n v="2"/>
    <s v="No"/>
    <m/>
  </r>
  <r>
    <x v="422"/>
    <s v="WETHERSFIELD"/>
    <s v="No"/>
    <n v="289574.33547167998"/>
    <n v="2.5689997143816296E-3"/>
    <n v="121493.1286"/>
    <n v="1.4864261590550143E-3"/>
    <n v="142356.53831615997"/>
    <n v="1.2629361841714002E-3"/>
    <n v="85449.179099999994"/>
    <n v="1.0454409771781692E-3"/>
    <n v="147217.79715552001"/>
    <n v="1.3060635302102293E-3"/>
    <n v="36043.949500000002"/>
    <n v="4.4098518187684488E-4"/>
    <m/>
    <n v="1"/>
    <s v="No"/>
    <m/>
  </r>
  <r>
    <x v="423"/>
    <s v="WETHERSFIELD"/>
    <s v="No"/>
    <n v="1420.2241919999999"/>
    <n v="1.2599719991285985E-5"/>
    <n v="0"/>
    <n v="0"/>
    <n v="1420.2241919999999"/>
    <n v="1.2599719991285985E-5"/>
    <n v="0"/>
    <n v="0"/>
    <n v="0"/>
    <n v="0"/>
    <n v="0"/>
    <n v="0"/>
    <m/>
    <n v="4"/>
    <s v="No"/>
    <m/>
  </r>
  <r>
    <x v="326"/>
    <s v="WILLINGTON"/>
    <s v="No"/>
    <n v="138559.72344192001"/>
    <n v="1.2292522034705749E-3"/>
    <n v="60554.824200000003"/>
    <n v="7.4086720611339684E-4"/>
    <n v="112402.66594752"/>
    <n v="9.9719616465511387E-4"/>
    <n v="38610.5"/>
    <n v="4.7238603430115001E-4"/>
    <n v="26157.0574944"/>
    <n v="2.320560388154609E-4"/>
    <n v="21944.324199999999"/>
    <n v="2.6848117181224682E-4"/>
    <m/>
    <n v="4"/>
    <s v="No"/>
    <m/>
  </r>
  <r>
    <x v="513"/>
    <s v="WILLINGTON"/>
    <s v="No"/>
    <n v="219.38394240000002"/>
    <n v="1.9462957048575704E-6"/>
    <n v="0"/>
    <n v="0"/>
    <n v="219.38394240000002"/>
    <n v="1.9462957048575704E-6"/>
    <n v="0"/>
    <n v="0"/>
    <n v="0"/>
    <n v="0"/>
    <n v="0"/>
    <n v="0"/>
    <m/>
    <n v="4"/>
    <s v="No"/>
    <m/>
  </r>
  <r>
    <x v="3"/>
    <s v="WILLINGTON"/>
    <s v="No"/>
    <n v="663.49488960000008"/>
    <n v="5.8862888491123576E-6"/>
    <n v="0"/>
    <n v="0"/>
    <n v="663.49488960000008"/>
    <n v="5.8862888491123576E-6"/>
    <n v="0"/>
    <n v="0"/>
    <n v="0"/>
    <n v="0"/>
    <n v="0"/>
    <n v="0"/>
    <m/>
    <n v="4"/>
    <s v="No"/>
    <m/>
  </r>
  <r>
    <x v="406"/>
    <s v="WILTON"/>
    <s v="No"/>
    <n v="213.86721600000001"/>
    <n v="1.8973532855549879E-6"/>
    <n v="0"/>
    <n v="0"/>
    <n v="213.86721600000001"/>
    <n v="1.8973532855549879E-6"/>
    <n v="0"/>
    <n v="0"/>
    <n v="0"/>
    <n v="0"/>
    <n v="0"/>
    <n v="0"/>
    <m/>
    <n v="2"/>
    <s v="No"/>
    <m/>
  </r>
  <r>
    <x v="440"/>
    <s v="WILTON"/>
    <s v="No"/>
    <n v="355.58282880000002"/>
    <n v="3.1546034082690671E-6"/>
    <n v="0"/>
    <n v="0"/>
    <n v="355.58282880000002"/>
    <n v="3.1546034082690671E-6"/>
    <n v="0"/>
    <n v="0"/>
    <n v="0"/>
    <n v="0"/>
    <n v="0"/>
    <n v="0"/>
    <m/>
    <n v="1"/>
    <s v="No"/>
    <m/>
  </r>
  <r>
    <x v="620"/>
    <s v="WILTON"/>
    <s v="No"/>
    <n v="121792.58059679999"/>
    <n v="1.0805001218679496E-3"/>
    <n v="26942.549299999999"/>
    <n v="3.2963271694979928E-4"/>
    <n v="121792.58059679999"/>
    <n v="1.0805001218679496E-3"/>
    <n v="26942.549299999999"/>
    <n v="3.2963271694979928E-4"/>
    <n v="0"/>
    <n v="0"/>
    <n v="0"/>
    <n v="0"/>
    <m/>
    <n v="3"/>
    <s v="No"/>
    <m/>
  </r>
  <r>
    <x v="477"/>
    <s v="WILTON"/>
    <s v="No"/>
    <n v="280850.70244032005"/>
    <n v="2.4916067688727358E-3"/>
    <n v="98164.801600000108"/>
    <n v="1.2010121945010615E-3"/>
    <n v="164794.82669568001"/>
    <n v="1.4620006362897307E-3"/>
    <n v="80385.501600000105"/>
    <n v="9.8348864469853525E-4"/>
    <n v="116055.87574464001"/>
    <n v="1.0296061325830049E-3"/>
    <n v="17779.3"/>
    <n v="2.1752354980252614E-4"/>
    <m/>
    <n v="3"/>
    <s v="No"/>
    <m/>
  </r>
  <r>
    <x v="621"/>
    <s v="WILTON"/>
    <s v="No"/>
    <n v="79552.867651200009"/>
    <n v="7.0576452827311991E-4"/>
    <n v="17456.605100000001"/>
    <n v="2.135754899716458E-4"/>
    <n v="79552.867651200009"/>
    <n v="7.0576452827311991E-4"/>
    <n v="17456.605100000001"/>
    <n v="2.135754899716458E-4"/>
    <n v="0"/>
    <n v="0"/>
    <n v="0"/>
    <n v="0"/>
    <m/>
    <n v="3"/>
    <s v="No"/>
    <m/>
  </r>
  <r>
    <x v="457"/>
    <s v="WILTON"/>
    <s v="No"/>
    <n v="59936.719996799999"/>
    <n v="5.3173709714965302E-4"/>
    <n v="10246.200000000001"/>
    <n v="1.2535869218623026E-4"/>
    <n v="59936.719996799999"/>
    <n v="5.3173709714965302E-4"/>
    <n v="10246.200000000001"/>
    <n v="1.2535869218623026E-4"/>
    <n v="0"/>
    <n v="0"/>
    <n v="0"/>
    <n v="0"/>
    <m/>
    <n v="4"/>
    <s v="No"/>
    <m/>
  </r>
  <r>
    <x v="458"/>
    <s v="WILTON"/>
    <s v="No"/>
    <n v="84004.02648"/>
    <n v="7.4525361400728293E-4"/>
    <n v="24622.080000000002"/>
    <n v="3.0124258239198301E-4"/>
    <n v="84004.02648"/>
    <n v="7.4525361400728293E-4"/>
    <n v="24622.080000000002"/>
    <n v="3.0124258239198301E-4"/>
    <n v="0"/>
    <n v="0"/>
    <n v="0"/>
    <n v="0"/>
    <m/>
    <n v="4"/>
    <s v="No"/>
    <m/>
  </r>
  <r>
    <x v="475"/>
    <s v="WILTON"/>
    <s v="No"/>
    <n v="581.2128864"/>
    <n v="5.1563124084335481E-6"/>
    <n v="0"/>
    <n v="0"/>
    <n v="581.2128864"/>
    <n v="5.1563124084335481E-6"/>
    <n v="0"/>
    <n v="0"/>
    <n v="0"/>
    <n v="0"/>
    <n v="0"/>
    <n v="0"/>
    <m/>
    <n v="4"/>
    <s v="No"/>
    <m/>
  </r>
  <r>
    <x v="132"/>
    <s v="WILTON"/>
    <s v="No"/>
    <n v="504.25079040000003"/>
    <n v="4.4735322776593284E-6"/>
    <n v="0"/>
    <n v="0"/>
    <n v="504.25079040000003"/>
    <n v="4.4735322776593284E-6"/>
    <n v="0"/>
    <n v="0"/>
    <n v="0"/>
    <n v="0"/>
    <n v="0"/>
    <n v="0"/>
    <m/>
    <n v="1"/>
    <s v="No"/>
    <m/>
  </r>
  <r>
    <x v="480"/>
    <s v="WILTON"/>
    <s v="No"/>
    <n v="431.873424"/>
    <n v="3.8314262246266033E-6"/>
    <n v="0"/>
    <n v="0"/>
    <n v="431.873424"/>
    <n v="3.8314262246266033E-6"/>
    <n v="0"/>
    <n v="0"/>
    <n v="0"/>
    <n v="0"/>
    <n v="0"/>
    <n v="0"/>
    <m/>
    <n v="1"/>
    <s v="No"/>
    <m/>
  </r>
  <r>
    <x v="12"/>
    <s v="WINCHESTER"/>
    <s v="No"/>
    <n v="2422.8848736"/>
    <n v="2.1494966182411246E-5"/>
    <n v="0"/>
    <n v="0"/>
    <n v="2422.8848736"/>
    <n v="2.1494966182411246E-5"/>
    <n v="0"/>
    <n v="0"/>
    <n v="0"/>
    <n v="0"/>
    <n v="0"/>
    <n v="0"/>
    <m/>
    <n v="2"/>
    <s v="No"/>
    <m/>
  </r>
  <r>
    <x v="109"/>
    <s v="WINCHESTER"/>
    <s v="No"/>
    <n v="6067.4323103999996"/>
    <n v="5.3828084754326862E-5"/>
    <n v="1576.65"/>
    <n v="1.9289764208723227E-5"/>
    <n v="6067.4323103999996"/>
    <n v="5.3828084754326862E-5"/>
    <n v="1576.65"/>
    <n v="1.9289764208723227E-5"/>
    <n v="0"/>
    <n v="0"/>
    <n v="0"/>
    <n v="0"/>
    <m/>
    <n v="1"/>
    <s v="No"/>
    <m/>
  </r>
  <r>
    <x v="552"/>
    <s v="WINCHESTER"/>
    <s v="No"/>
    <n v="515.61999360000004"/>
    <n v="4.5743957734728354E-6"/>
    <n v="0"/>
    <n v="0"/>
    <n v="515.61999360000004"/>
    <n v="4.5743957734728354E-6"/>
    <n v="0"/>
    <n v="0"/>
    <n v="0"/>
    <n v="0"/>
    <n v="0"/>
    <n v="0"/>
    <m/>
    <n v="1"/>
    <s v="No"/>
    <m/>
  </r>
  <r>
    <x v="13"/>
    <s v="WINCHESTER"/>
    <s v="No"/>
    <n v="180682.43084640004"/>
    <n v="1.6029497658419933E-3"/>
    <n v="114368.24100000001"/>
    <n v="1.3992556381292186E-3"/>
    <n v="112367.13834528001"/>
    <n v="9.9688097650192848E-4"/>
    <n v="28255.501"/>
    <n v="3.4569622420279917E-4"/>
    <n v="68315.292501120013"/>
    <n v="6.0606878934006453E-4"/>
    <n v="86112.74"/>
    <n v="1.0535594139264193E-3"/>
    <m/>
    <n v="1"/>
    <s v="No"/>
    <m/>
  </r>
  <r>
    <x v="556"/>
    <s v="WINCHESTER"/>
    <s v="No"/>
    <n v="83128.746026879991"/>
    <n v="7.374884395473072E-4"/>
    <n v="13461.21"/>
    <n v="1.6469322098379931E-4"/>
    <n v="83128.746026879991"/>
    <n v="7.374884395473072E-4"/>
    <n v="13461.21"/>
    <n v="1.6469322098379931E-4"/>
    <n v="0"/>
    <n v="0"/>
    <n v="0"/>
    <n v="0"/>
    <m/>
    <n v="3"/>
    <s v="No"/>
    <m/>
  </r>
  <r>
    <x v="329"/>
    <s v="WINDHAM"/>
    <s v="No"/>
    <n v="3206.7462816000002"/>
    <n v="2.8449103640714156E-5"/>
    <n v="0"/>
    <n v="0"/>
    <n v="3206.7462816000002"/>
    <n v="2.8449103640714156E-5"/>
    <n v="0"/>
    <n v="0"/>
    <n v="0"/>
    <n v="0"/>
    <n v="0"/>
    <n v="0"/>
    <m/>
    <n v="4"/>
    <s v="No"/>
    <m/>
  </r>
  <r>
    <x v="622"/>
    <s v="WINDHAM"/>
    <s v="No"/>
    <n v="46300.286966400003"/>
    <n v="4.1075955090675437E-4"/>
    <n v="43359.29"/>
    <n v="5.3048582777258802E-4"/>
    <n v="46300.286966400003"/>
    <n v="4.1075955090675437E-4"/>
    <n v="43359.29"/>
    <n v="5.3048582777258802E-4"/>
    <n v="0"/>
    <n v="0"/>
    <n v="0"/>
    <n v="0"/>
    <m/>
    <n v="5"/>
    <s v="Yes"/>
    <m/>
  </r>
  <r>
    <x v="623"/>
    <s v="WINDHAM"/>
    <s v="No"/>
    <n v="60159.073014720001"/>
    <n v="5.337097334283409E-4"/>
    <n v="17243.333500000001"/>
    <n v="2.1096618614618222E-4"/>
    <n v="60159.073014720001"/>
    <n v="5.337097334283409E-4"/>
    <n v="17243.333500000001"/>
    <n v="2.1096618614618222E-4"/>
    <n v="0"/>
    <n v="0"/>
    <n v="0"/>
    <n v="0"/>
    <m/>
    <n v="5"/>
    <s v="No"/>
    <m/>
  </r>
  <r>
    <x v="624"/>
    <s v="WINDHAM"/>
    <s v="No"/>
    <n v="292503.24829727999"/>
    <n v="2.5949839791824408E-3"/>
    <n v="489387.0355"/>
    <n v="5.9874801139130837E-3"/>
    <n v="129961.80809568001"/>
    <n v="1.1529745802040332E-3"/>
    <n v="408720.65419999999"/>
    <n v="5.0005550038075049E-3"/>
    <n v="162541.44020159999"/>
    <n v="1.4420093989784078E-3"/>
    <n v="80666.381299999994"/>
    <n v="9.8692511010557856E-4"/>
    <m/>
    <n v="5"/>
    <s v="No"/>
    <m/>
  </r>
  <r>
    <x v="625"/>
    <s v="WINDHAM"/>
    <s v="No"/>
    <n v="64791.193204800002"/>
    <n v="5.748042434991779E-4"/>
    <n v="890.52359999999999"/>
    <n v="1.0895246418864909E-5"/>
    <n v="64791.193204800002"/>
    <n v="5.748042434991779E-4"/>
    <n v="890.52359999999999"/>
    <n v="1.0895246418864909E-5"/>
    <n v="0"/>
    <n v="0"/>
    <n v="0"/>
    <n v="0"/>
    <m/>
    <n v="5"/>
    <s v="Yes"/>
    <m/>
  </r>
  <r>
    <x v="626"/>
    <s v="WINDHAM"/>
    <s v="No"/>
    <n v="41272.490139839996"/>
    <n v="3.6615473953642927E-4"/>
    <n v="41619.35"/>
    <n v="5.0919826722501825E-4"/>
    <n v="41272.490139839996"/>
    <n v="3.6615473953642927E-4"/>
    <n v="41619.35"/>
    <n v="5.0919826722501825E-4"/>
    <n v="0"/>
    <n v="0"/>
    <n v="0"/>
    <n v="0"/>
    <m/>
    <n v="5"/>
    <s v="Yes"/>
    <m/>
  </r>
  <r>
    <x v="88"/>
    <s v="WINDHAM"/>
    <s v="No"/>
    <n v="265.50331199999999"/>
    <n v="2.3554502217344571E-6"/>
    <n v="0"/>
    <n v="0"/>
    <n v="265.50331199999999"/>
    <n v="2.3554502217344571E-6"/>
    <n v="0"/>
    <n v="0"/>
    <n v="0"/>
    <n v="0"/>
    <n v="0"/>
    <n v="0"/>
    <m/>
    <n v="5"/>
    <s v="No"/>
    <m/>
  </r>
  <r>
    <x v="81"/>
    <s v="WINDHAM"/>
    <s v="No"/>
    <n v="399.06829440000001"/>
    <n v="3.5403908729081002E-6"/>
    <n v="0"/>
    <n v="0"/>
    <n v="399.06829440000001"/>
    <n v="3.5403908729081002E-6"/>
    <n v="0"/>
    <n v="0"/>
    <n v="0"/>
    <n v="0"/>
    <n v="0"/>
    <n v="0"/>
    <m/>
    <n v="2"/>
    <s v="No"/>
    <m/>
  </r>
  <r>
    <x v="143"/>
    <s v="WINDSOR"/>
    <s v="No"/>
    <n v="284.12588160000001"/>
    <n v="2.5206629844799003E-6"/>
    <n v="0"/>
    <n v="0"/>
    <n v="284.12588160000001"/>
    <n v="2.5206629844799003E-6"/>
    <n v="0"/>
    <n v="0"/>
    <n v="0"/>
    <n v="0"/>
    <n v="0"/>
    <n v="0"/>
    <m/>
    <n v="3"/>
    <s v="No"/>
    <m/>
  </r>
  <r>
    <x v="36"/>
    <s v="WINDSOR"/>
    <s v="No"/>
    <n v="152.0659872"/>
    <n v="1.3490749345850311E-6"/>
    <n v="0"/>
    <n v="0"/>
    <n v="152.0659872"/>
    <n v="1.3490749345850311E-6"/>
    <n v="0"/>
    <n v="0"/>
    <n v="0"/>
    <n v="0"/>
    <n v="0"/>
    <n v="0"/>
    <m/>
    <n v="2"/>
    <s v="No"/>
    <m/>
  </r>
  <r>
    <x v="38"/>
    <s v="WINDSOR"/>
    <s v="No"/>
    <n v="324073.84451615997"/>
    <n v="2.8750669932280431E-3"/>
    <n v="305315.0306"/>
    <n v="3.7354231755006607E-3"/>
    <n v="118829.27187935999"/>
    <n v="1.0542107090429915E-3"/>
    <n v="227525.2506"/>
    <n v="2.7836922814858485E-3"/>
    <n v="205244.5726368"/>
    <n v="1.8208562841850518E-3"/>
    <n v="77789.78"/>
    <n v="9.5173089401481229E-4"/>
    <m/>
    <n v="1"/>
    <s v="No"/>
    <m/>
  </r>
  <r>
    <x v="627"/>
    <s v="WINDSOR"/>
    <s v="No"/>
    <n v="31967.588649600002"/>
    <n v="2.836049885999774E-4"/>
    <n v="52940.47"/>
    <n v="6.4770823162971225E-4"/>
    <n v="31967.588649600002"/>
    <n v="2.836049885999774E-4"/>
    <n v="52940.47"/>
    <n v="6.4770823162971225E-4"/>
    <n v="0"/>
    <n v="0"/>
    <n v="0"/>
    <n v="0"/>
    <m/>
    <n v="2"/>
    <s v="No"/>
    <m/>
  </r>
  <r>
    <x v="39"/>
    <s v="WINDSOR"/>
    <s v="No"/>
    <n v="82433.349060479988"/>
    <n v="7.3131912690724363E-4"/>
    <n v="20406.150000000001"/>
    <n v="2.49662145630189E-4"/>
    <n v="82414.184659199993"/>
    <n v="7.3114910720803786E-4"/>
    <n v="20406.150000000001"/>
    <n v="2.49662145630189E-4"/>
    <n v="19.16440128"/>
    <n v="1.7001969920580167E-7"/>
    <n v="0"/>
    <n v="0"/>
    <m/>
    <n v="3"/>
    <s v="No"/>
    <m/>
  </r>
  <r>
    <x v="628"/>
    <s v="WINDSOR"/>
    <s v="No"/>
    <n v="54612.039352320004"/>
    <n v="4.8449843895654698E-4"/>
    <n v="15242.11"/>
    <n v="1.8648191288074233E-4"/>
    <n v="54612.039352320004"/>
    <n v="4.8449843895654698E-4"/>
    <n v="15242.11"/>
    <n v="1.8648191288074233E-4"/>
    <n v="0"/>
    <n v="0"/>
    <n v="0"/>
    <n v="0"/>
    <m/>
    <n v="2"/>
    <s v="No"/>
    <m/>
  </r>
  <r>
    <x v="629"/>
    <s v="WINDSOR"/>
    <s v="No"/>
    <n v="56273.828431679998"/>
    <n v="4.9924123604622845E-4"/>
    <n v="30001.8174"/>
    <n v="3.6706179778591932E-4"/>
    <n v="56273.828431679998"/>
    <n v="4.9924123604622845E-4"/>
    <n v="30001.8174"/>
    <n v="3.6706179778591932E-4"/>
    <n v="0"/>
    <n v="0"/>
    <n v="0"/>
    <n v="0"/>
    <m/>
    <n v="3"/>
    <s v="No"/>
    <m/>
  </r>
  <r>
    <x v="630"/>
    <s v="WINDSOR"/>
    <s v="No"/>
    <n v="40136.663324160007"/>
    <n v="3.5607809113346933E-4"/>
    <n v="7232.82"/>
    <n v="8.8491036288420081E-5"/>
    <n v="40136.663324160007"/>
    <n v="3.5607809113346933E-4"/>
    <n v="7232.82"/>
    <n v="8.8491036288420081E-5"/>
    <n v="0"/>
    <n v="0"/>
    <n v="0"/>
    <n v="0"/>
    <m/>
    <n v="5"/>
    <s v="No"/>
    <m/>
  </r>
  <r>
    <x v="631"/>
    <s v="WINDSOR"/>
    <s v="No"/>
    <n v="82475.239132800009"/>
    <n v="7.3169076061452732E-4"/>
    <n v="115028.0877"/>
    <n v="1.4073286329326969E-3"/>
    <n v="82475.239132800009"/>
    <n v="7.3169076061452732E-4"/>
    <n v="115028.0877"/>
    <n v="1.4073286329326969E-3"/>
    <n v="0"/>
    <n v="0"/>
    <n v="0"/>
    <n v="0"/>
    <m/>
    <n v="3"/>
    <s v="No"/>
    <m/>
  </r>
  <r>
    <x v="632"/>
    <s v="WINDSOR"/>
    <s v="No"/>
    <n v="25234.275885120005"/>
    <n v="2.2386945112351134E-4"/>
    <n v="23928.34"/>
    <n v="2.9275491485501558E-4"/>
    <n v="25234.275885120005"/>
    <n v="2.2386945112351134E-4"/>
    <n v="23928.34"/>
    <n v="2.9275491485501558E-4"/>
    <n v="0"/>
    <n v="0"/>
    <n v="0"/>
    <n v="0"/>
    <m/>
    <n v="5"/>
    <s v="No"/>
    <m/>
  </r>
  <r>
    <x v="281"/>
    <s v="WINDSOR"/>
    <s v="No"/>
    <n v="500.29877664000003"/>
    <n v="4.4384714280707942E-6"/>
    <n v="0"/>
    <n v="0"/>
    <n v="500.29877664000003"/>
    <n v="4.4384714280707942E-6"/>
    <n v="0"/>
    <n v="0"/>
    <n v="0"/>
    <n v="0"/>
    <n v="0"/>
    <n v="0"/>
    <m/>
    <n v="5"/>
    <s v="Yes"/>
    <m/>
  </r>
  <r>
    <x v="633"/>
    <s v="WINDSOR LOCKS"/>
    <s v="No"/>
    <n v="70373.131015680003"/>
    <n v="6.2432519506585844E-4"/>
    <n v="22750.9817"/>
    <n v="2.7835034567594399E-4"/>
    <n v="70373.131015680003"/>
    <n v="6.2432519506585844E-4"/>
    <n v="22750.9817"/>
    <n v="2.7835034567594399E-4"/>
    <n v="0"/>
    <n v="0"/>
    <n v="0"/>
    <n v="0"/>
    <m/>
    <n v="2"/>
    <s v="No"/>
    <m/>
  </r>
  <r>
    <x v="634"/>
    <s v="WINDSOR LOCKS"/>
    <s v="No"/>
    <n v="41918.246409600004"/>
    <n v="3.7188365770823959E-4"/>
    <n v="14140.3282"/>
    <n v="1.7300199588492039E-4"/>
    <n v="41918.246409600004"/>
    <n v="3.7188365770823959E-4"/>
    <n v="14140.3282"/>
    <n v="1.7300199588492039E-4"/>
    <n v="0"/>
    <n v="0"/>
    <n v="0"/>
    <n v="0"/>
    <m/>
    <n v="2"/>
    <s v="No"/>
    <m/>
  </r>
  <r>
    <x v="635"/>
    <s v="WINDSOR LOCKS"/>
    <s v="No"/>
    <n v="217921.13174303999"/>
    <n v="1.9333181730131013E-3"/>
    <n v="395528.42539999995"/>
    <n v="4.8391526742229242E-3"/>
    <n v="94845.801692159992"/>
    <n v="8.4143795775466865E-4"/>
    <n v="363957.26539999997"/>
    <n v="4.452890515724923E-3"/>
    <n v="123075.33005088002"/>
    <n v="1.0918802152584328E-3"/>
    <n v="31571.16"/>
    <n v="3.8626215849800168E-4"/>
    <m/>
    <n v="4"/>
    <s v="No"/>
    <m/>
  </r>
  <r>
    <x v="583"/>
    <s v="WOLCOTT"/>
    <s v="No"/>
    <n v="260.68703039999997"/>
    <n v="2.3127218976423809E-6"/>
    <n v="0"/>
    <n v="0"/>
    <n v="260.68703039999997"/>
    <n v="2.3127218976423809E-6"/>
    <n v="0"/>
    <n v="0"/>
    <n v="0"/>
    <n v="0"/>
    <n v="0"/>
    <n v="0"/>
    <m/>
    <n v="3"/>
    <s v="Yes"/>
    <m/>
  </r>
  <r>
    <x v="584"/>
    <s v="WOLCOTT"/>
    <s v="No"/>
    <n v="82.195171200000004"/>
    <n v="7.2920609829734132E-7"/>
    <n v="0"/>
    <n v="0"/>
    <n v="82.195171200000004"/>
    <n v="7.2920609829734132E-7"/>
    <n v="0"/>
    <n v="0"/>
    <n v="0"/>
    <n v="0"/>
    <n v="0"/>
    <n v="0"/>
    <m/>
    <n v="4"/>
    <s v="Yes"/>
    <m/>
  </r>
  <r>
    <x v="472"/>
    <s v="WOLCOTT"/>
    <s v="No"/>
    <n v="1097.1107423999999"/>
    <n v="9.7331732775270787E-6"/>
    <n v="213.16"/>
    <n v="2.6079384382909604E-6"/>
    <n v="1097.1107423999999"/>
    <n v="9.7331732775270787E-6"/>
    <n v="213.16"/>
    <n v="2.6079384382909604E-6"/>
    <n v="0"/>
    <n v="0"/>
    <n v="0"/>
    <n v="0"/>
    <m/>
    <n v="5"/>
    <s v="No"/>
    <m/>
  </r>
  <r>
    <x v="586"/>
    <s v="WOLCOTT"/>
    <s v="No"/>
    <n v="219378.10555295998"/>
    <n v="1.9462439224426878E-3"/>
    <n v="257118.53869999998"/>
    <n v="3.1457558654200217E-3"/>
    <n v="148173.57724031998"/>
    <n v="1.3145428685495998E-3"/>
    <n v="252065.73869999999"/>
    <n v="3.0839366153684335E-3"/>
    <n v="71204.528312640003"/>
    <n v="6.3170105389308783E-4"/>
    <n v="5052.8"/>
    <n v="6.1819250051588321E-5"/>
    <m/>
    <n v="2"/>
    <s v="No"/>
    <m/>
  </r>
  <r>
    <x v="636"/>
    <s v="WOLCOTT"/>
    <s v="No"/>
    <n v="114930.85025088002"/>
    <n v="1.0196253096366836E-3"/>
    <n v="58843.71"/>
    <n v="7.1993231919987883E-4"/>
    <n v="114930.85025088002"/>
    <n v="1.0196253096366836E-3"/>
    <n v="58843.71"/>
    <n v="7.1993231919987883E-4"/>
    <n v="0"/>
    <n v="0"/>
    <n v="0"/>
    <n v="0"/>
    <m/>
    <n v="2"/>
    <s v="No"/>
    <m/>
  </r>
  <r>
    <x v="637"/>
    <s v="WOLCOTT"/>
    <s v="No"/>
    <n v="84377.259360000011"/>
    <n v="7.4856480234362509E-4"/>
    <n v="68011.649999999994"/>
    <n v="8.320988754296838E-4"/>
    <n v="84091.987296000007"/>
    <n v="7.4603397083970974E-4"/>
    <n v="68011.649999999994"/>
    <n v="8.320988754296838E-4"/>
    <n v="285.272064"/>
    <n v="2.5308315039152742E-6"/>
    <n v="0"/>
    <n v="0"/>
    <m/>
    <n v="1"/>
    <s v="No"/>
    <m/>
  </r>
  <r>
    <x v="31"/>
    <s v="WOODBURY"/>
    <s v="No"/>
    <n v="65.123999999999995"/>
    <n v="5.7775678610078797E-7"/>
    <n v="0"/>
    <n v="0"/>
    <n v="65.123999999999995"/>
    <n v="5.7775678610078797E-7"/>
    <n v="0"/>
    <n v="0"/>
    <n v="0"/>
    <n v="0"/>
    <n v="0"/>
    <n v="0"/>
    <m/>
    <n v="2"/>
    <s v="No"/>
    <m/>
  </r>
  <r>
    <x v="591"/>
    <s v="WOODBURY"/>
    <s v="No"/>
    <n v="58.432147200000003"/>
    <n v="5.1838906656900934E-7"/>
    <n v="0"/>
    <n v="0"/>
    <n v="58.432147200000003"/>
    <n v="5.1838906656900934E-7"/>
    <n v="0"/>
    <n v="0"/>
    <n v="0"/>
    <n v="0"/>
    <n v="0"/>
    <n v="0"/>
    <m/>
    <n v="2"/>
    <s v="No"/>
    <m/>
  </r>
  <r>
    <x v="638"/>
    <s v="WOODBURY"/>
    <s v="No"/>
    <n v="121304.12917823999"/>
    <n v="1.0761667559544064E-3"/>
    <n v="26145.79"/>
    <n v="3.1988464411936298E-4"/>
    <n v="121303.913256"/>
    <n v="1.0761648403696845E-3"/>
    <n v="26145.79"/>
    <n v="3.1988464411936298E-4"/>
    <n v="0.21592223999999999"/>
    <n v="1.9155847219163902E-9"/>
    <n v="0"/>
    <n v="0"/>
    <m/>
    <n v="2"/>
    <s v="No"/>
    <m/>
  </r>
  <r>
    <x v="32"/>
    <s v="WOODBURY"/>
    <s v="No"/>
    <n v="200979.21518495999"/>
    <n v="1.7830155616719056E-3"/>
    <n v="151431.49799999999"/>
    <n v="1.8527116926354884E-3"/>
    <n v="148869.85294655999"/>
    <n v="1.3207199770545639E-3"/>
    <n v="147193.30799999999"/>
    <n v="1.8008589125182977E-3"/>
    <n v="52109.362238400005"/>
    <n v="4.6229558461734156E-4"/>
    <n v="4238.1899999999996"/>
    <n v="5.1852780117190679E-5"/>
    <m/>
    <n v="1"/>
    <s v="No"/>
    <m/>
  </r>
  <r>
    <x v="543"/>
    <s v="WOODSTOCK"/>
    <s v="No"/>
    <n v="326.09468160000006"/>
    <n v="2.8929951355226307E-6"/>
    <n v="0"/>
    <n v="0"/>
    <n v="326.09468160000006"/>
    <n v="2.8929951355226307E-6"/>
    <n v="0"/>
    <n v="0"/>
    <n v="0"/>
    <n v="0"/>
    <n v="0"/>
    <n v="0"/>
    <m/>
    <n v="2"/>
    <s v="No"/>
    <m/>
  </r>
  <r>
    <x v="468"/>
    <s v="WOODSTOCK"/>
    <s v="No"/>
    <n v="212848.39530432"/>
    <n v="1.8883146735110556E-3"/>
    <n v="106399.69559999999"/>
    <n v="1.3017632575422105E-3"/>
    <n v="184113.15969311999"/>
    <n v="1.6333859625200871E-3"/>
    <n v="95417.545599999998"/>
    <n v="1.1674004731545343E-3"/>
    <n v="28735.235611200002"/>
    <n v="2.5492871099096838E-4"/>
    <n v="10982.15"/>
    <n v="1.3436278438767627E-4"/>
    <m/>
    <n v="1"/>
    <s v="No"/>
    <m/>
  </r>
  <r>
    <x v="4"/>
    <s v="WOODSTOCK"/>
    <s v="No"/>
    <n v="989.16698880000013"/>
    <n v="8.7755349850451793E-6"/>
    <n v="107.52"/>
    <n v="1.3154697921047291E-6"/>
    <n v="989.16698880000013"/>
    <n v="8.7755349850451793E-6"/>
    <n v="107.52"/>
    <n v="1.3154697921047291E-6"/>
    <n v="0"/>
    <n v="0"/>
    <n v="0"/>
    <n v="0"/>
    <m/>
    <n v="2"/>
    <s v="No"/>
    <m/>
  </r>
  <r>
    <x v="74"/>
    <s v="WOODSTOCK"/>
    <s v="No"/>
    <n v="2271.4498656000001"/>
    <n v="2.0151489069131548E-5"/>
    <n v="121.98"/>
    <n v="1.4923828612438139E-6"/>
    <n v="2271.4498656000001"/>
    <n v="2.0151489069131548E-5"/>
    <n v="121.98"/>
    <n v="1.4923828612438139E-6"/>
    <n v="0"/>
    <n v="0"/>
    <n v="0"/>
    <n v="0"/>
    <m/>
    <n v="2"/>
    <s v="No"/>
    <m/>
  </r>
  <r>
    <x v="639"/>
    <m/>
    <s v="Totals"/>
    <n v="70659148.926617205"/>
    <n v="0.62686264345647225"/>
    <n v="44405301.081499971"/>
    <n v="0.54328340943107023"/>
    <n v="52629786.815592907"/>
    <n v="0.4669126049343803"/>
    <n v="36999853.3169"/>
    <n v="0.45268033250267781"/>
    <n v="18029362.111024335"/>
    <n v="0.1599500385220923"/>
    <n v="7405447.7646000003"/>
    <n v="9.0603076928392798E-2"/>
    <m/>
    <e v="#N/A"/>
    <e v="#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6B70B-68A0-49C7-89CA-56836358B616}"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644" firstHeaderRow="0" firstDataRow="1" firstDataCol="1"/>
  <pivotFields count="19">
    <pivotField axis="axisRow" showAll="0">
      <items count="641">
        <item x="302"/>
        <item x="212"/>
        <item x="213"/>
        <item x="214"/>
        <item x="215"/>
        <item x="216"/>
        <item x="217"/>
        <item x="218"/>
        <item x="219"/>
        <item x="220"/>
        <item x="221"/>
        <item x="222"/>
        <item x="223"/>
        <item x="224"/>
        <item x="225"/>
        <item x="226"/>
        <item x="398"/>
        <item x="227"/>
        <item x="514"/>
        <item x="515"/>
        <item x="516"/>
        <item x="517"/>
        <item x="518"/>
        <item x="519"/>
        <item x="520"/>
        <item x="521"/>
        <item x="522"/>
        <item x="523"/>
        <item x="524"/>
        <item x="228"/>
        <item x="525"/>
        <item x="526"/>
        <item x="527"/>
        <item x="528"/>
        <item x="529"/>
        <item x="530"/>
        <item x="531"/>
        <item x="532"/>
        <item x="533"/>
        <item x="534"/>
        <item x="535"/>
        <item x="135"/>
        <item x="136"/>
        <item x="137"/>
        <item x="138"/>
        <item x="139"/>
        <item x="403"/>
        <item x="404"/>
        <item x="405"/>
        <item x="406"/>
        <item x="436"/>
        <item x="437"/>
        <item x="438"/>
        <item x="439"/>
        <item x="440"/>
        <item x="441"/>
        <item x="442"/>
        <item x="443"/>
        <item x="444"/>
        <item x="445"/>
        <item x="446"/>
        <item x="447"/>
        <item x="448"/>
        <item x="449"/>
        <item x="450"/>
        <item x="451"/>
        <item x="452"/>
        <item x="453"/>
        <item x="454"/>
        <item x="455"/>
        <item x="456"/>
        <item x="620"/>
        <item x="477"/>
        <item x="621"/>
        <item x="457"/>
        <item x="458"/>
        <item x="607"/>
        <item x="611"/>
        <item x="608"/>
        <item x="459"/>
        <item x="612"/>
        <item x="613"/>
        <item x="475"/>
        <item x="609"/>
        <item x="614"/>
        <item x="366"/>
        <item x="367"/>
        <item x="368"/>
        <item x="610"/>
        <item x="369"/>
        <item x="370"/>
        <item x="22"/>
        <item x="23"/>
        <item x="24"/>
        <item x="25"/>
        <item x="70"/>
        <item x="71"/>
        <item x="26"/>
        <item x="118"/>
        <item x="119"/>
        <item x="120"/>
        <item x="27"/>
        <item x="28"/>
        <item x="121"/>
        <item x="122"/>
        <item x="123"/>
        <item x="124"/>
        <item x="125"/>
        <item x="126"/>
        <item x="127"/>
        <item x="128"/>
        <item x="129"/>
        <item x="72"/>
        <item x="407"/>
        <item x="130"/>
        <item x="131"/>
        <item x="429"/>
        <item x="430"/>
        <item x="431"/>
        <item x="29"/>
        <item x="432"/>
        <item x="433"/>
        <item x="132"/>
        <item x="476"/>
        <item x="478"/>
        <item x="133"/>
        <item x="479"/>
        <item x="480"/>
        <item x="481"/>
        <item x="134"/>
        <item x="408"/>
        <item x="11"/>
        <item x="16"/>
        <item x="17"/>
        <item x="18"/>
        <item x="53"/>
        <item x="54"/>
        <item x="55"/>
        <item x="56"/>
        <item x="57"/>
        <item x="58"/>
        <item x="59"/>
        <item x="60"/>
        <item x="61"/>
        <item x="62"/>
        <item x="63"/>
        <item x="64"/>
        <item x="65"/>
        <item x="66"/>
        <item x="76"/>
        <item x="382"/>
        <item x="383"/>
        <item x="384"/>
        <item x="385"/>
        <item x="386"/>
        <item x="387"/>
        <item x="389"/>
        <item x="390"/>
        <item x="391"/>
        <item x="392"/>
        <item x="393"/>
        <item x="394"/>
        <item x="395"/>
        <item x="396"/>
        <item x="397"/>
        <item x="388"/>
        <item x="399"/>
        <item x="400"/>
        <item x="401"/>
        <item x="465"/>
        <item x="67"/>
        <item x="194"/>
        <item x="466"/>
        <item x="503"/>
        <item x="504"/>
        <item x="505"/>
        <item x="506"/>
        <item x="331"/>
        <item x="507"/>
        <item x="508"/>
        <item x="509"/>
        <item x="68"/>
        <item x="510"/>
        <item x="195"/>
        <item x="196"/>
        <item x="197"/>
        <item x="198"/>
        <item x="5"/>
        <item x="6"/>
        <item x="7"/>
        <item x="8"/>
        <item x="9"/>
        <item x="10"/>
        <item x="83"/>
        <item x="84"/>
        <item x="489"/>
        <item x="85"/>
        <item x="490"/>
        <item x="86"/>
        <item x="491"/>
        <item x="492"/>
        <item x="210"/>
        <item x="211"/>
        <item x="143"/>
        <item x="33"/>
        <item x="34"/>
        <item x="35"/>
        <item x="36"/>
        <item x="37"/>
        <item x="38"/>
        <item x="627"/>
        <item x="39"/>
        <item x="628"/>
        <item x="629"/>
        <item x="630"/>
        <item x="631"/>
        <item x="632"/>
        <item x="633"/>
        <item x="634"/>
        <item x="635"/>
        <item x="144"/>
        <item x="541"/>
        <item x="145"/>
        <item x="180"/>
        <item x="181"/>
        <item x="182"/>
        <item x="183"/>
        <item x="184"/>
        <item x="185"/>
        <item x="186"/>
        <item x="187"/>
        <item x="188"/>
        <item x="189"/>
        <item x="190"/>
        <item x="172"/>
        <item x="173"/>
        <item x="174"/>
        <item x="311"/>
        <item x="494"/>
        <item x="495"/>
        <item x="496"/>
        <item x="312"/>
        <item x="482"/>
        <item x="19"/>
        <item x="615"/>
        <item x="616"/>
        <item x="617"/>
        <item x="618"/>
        <item x="619"/>
        <item x="422"/>
        <item x="423"/>
        <item x="424"/>
        <item x="425"/>
        <item x="402"/>
        <item x="426"/>
        <item x="427"/>
        <item x="428"/>
        <item x="594"/>
        <item x="199"/>
        <item x="595"/>
        <item x="596"/>
        <item x="597"/>
        <item x="598"/>
        <item x="245"/>
        <item x="246"/>
        <item x="150"/>
        <item x="599"/>
        <item x="247"/>
        <item x="600"/>
        <item x="601"/>
        <item x="602"/>
        <item x="603"/>
        <item x="604"/>
        <item x="605"/>
        <item x="248"/>
        <item x="249"/>
        <item x="250"/>
        <item x="251"/>
        <item x="252"/>
        <item x="253"/>
        <item x="254"/>
        <item x="255"/>
        <item x="256"/>
        <item x="257"/>
        <item x="258"/>
        <item x="259"/>
        <item x="260"/>
        <item x="261"/>
        <item x="262"/>
        <item x="263"/>
        <item x="264"/>
        <item x="265"/>
        <item x="266"/>
        <item x="267"/>
        <item x="268"/>
        <item x="269"/>
        <item x="270"/>
        <item x="271"/>
        <item x="272"/>
        <item x="273"/>
        <item x="40"/>
        <item x="274"/>
        <item x="275"/>
        <item x="276"/>
        <item x="277"/>
        <item x="278"/>
        <item x="279"/>
        <item x="280"/>
        <item x="151"/>
        <item x="152"/>
        <item x="153"/>
        <item x="154"/>
        <item x="155"/>
        <item x="156"/>
        <item x="157"/>
        <item x="158"/>
        <item x="159"/>
        <item x="160"/>
        <item x="161"/>
        <item x="162"/>
        <item x="163"/>
        <item x="164"/>
        <item x="313"/>
        <item x="165"/>
        <item x="314"/>
        <item x="315"/>
        <item x="316"/>
        <item x="317"/>
        <item x="318"/>
        <item x="319"/>
        <item x="320"/>
        <item x="41"/>
        <item x="321"/>
        <item x="322"/>
        <item x="323"/>
        <item x="324"/>
        <item x="201"/>
        <item x="202"/>
        <item x="203"/>
        <item x="204"/>
        <item x="205"/>
        <item x="206"/>
        <item x="207"/>
        <item x="330"/>
        <item x="483"/>
        <item x="191"/>
        <item x="281"/>
        <item x="282"/>
        <item x="283"/>
        <item x="284"/>
        <item x="285"/>
        <item x="51"/>
        <item x="417"/>
        <item x="418"/>
        <item x="419"/>
        <item x="73"/>
        <item x="291"/>
        <item x="420"/>
        <item x="77"/>
        <item x="78"/>
        <item x="112"/>
        <item x="79"/>
        <item x="113"/>
        <item x="114"/>
        <item x="421"/>
        <item x="52"/>
        <item x="12"/>
        <item x="109"/>
        <item x="209"/>
        <item x="286"/>
        <item x="287"/>
        <item x="304"/>
        <item x="305"/>
        <item x="306"/>
        <item x="30"/>
        <item x="409"/>
        <item x="546"/>
        <item x="547"/>
        <item x="548"/>
        <item x="288"/>
        <item x="549"/>
        <item x="550"/>
        <item x="551"/>
        <item x="552"/>
        <item x="553"/>
        <item x="554"/>
        <item x="555"/>
        <item x="13"/>
        <item x="556"/>
        <item x="31"/>
        <item x="307"/>
        <item x="289"/>
        <item x="590"/>
        <item x="591"/>
        <item x="592"/>
        <item x="593"/>
        <item x="638"/>
        <item x="32"/>
        <item x="290"/>
        <item x="69"/>
        <item x="467"/>
        <item x="80"/>
        <item x="354"/>
        <item x="355"/>
        <item x="356"/>
        <item x="357"/>
        <item x="358"/>
        <item x="359"/>
        <item x="360"/>
        <item x="361"/>
        <item x="362"/>
        <item x="363"/>
        <item x="364"/>
        <item x="147"/>
        <item x="101"/>
        <item x="148"/>
        <item x="208"/>
        <item x="469"/>
        <item x="115"/>
        <item x="116"/>
        <item x="117"/>
        <item x="353"/>
        <item x="141"/>
        <item x="149"/>
        <item x="102"/>
        <item x="146"/>
        <item x="96"/>
        <item x="97"/>
        <item x="98"/>
        <item x="99"/>
        <item x="100"/>
        <item x="140"/>
        <item x="192"/>
        <item x="298"/>
        <item x="193"/>
        <item x="462"/>
        <item x="606"/>
        <item x="365"/>
        <item x="484"/>
        <item x="485"/>
        <item x="486"/>
        <item x="14"/>
        <item x="487"/>
        <item x="488"/>
        <item x="21"/>
        <item x="89"/>
        <item x="332"/>
        <item x="333"/>
        <item x="334"/>
        <item x="335"/>
        <item x="336"/>
        <item x="337"/>
        <item x="338"/>
        <item x="339"/>
        <item x="340"/>
        <item x="341"/>
        <item x="342"/>
        <item x="343"/>
        <item x="344"/>
        <item x="345"/>
        <item x="346"/>
        <item x="20"/>
        <item x="347"/>
        <item x="348"/>
        <item x="349"/>
        <item x="44"/>
        <item x="45"/>
        <item x="46"/>
        <item x="47"/>
        <item x="48"/>
        <item x="49"/>
        <item x="50"/>
        <item x="239"/>
        <item x="240"/>
        <item x="241"/>
        <item x="242"/>
        <item x="142"/>
        <item x="309"/>
        <item x="243"/>
        <item x="310"/>
        <item x="15"/>
        <item x="90"/>
        <item x="91"/>
        <item x="92"/>
        <item x="93"/>
        <item x="94"/>
        <item x="350"/>
        <item x="351"/>
        <item x="375"/>
        <item x="376"/>
        <item x="377"/>
        <item x="378"/>
        <item x="352"/>
        <item x="463"/>
        <item x="379"/>
        <item x="95"/>
        <item x="380"/>
        <item x="498"/>
        <item x="499"/>
        <item x="500"/>
        <item x="501"/>
        <item x="502"/>
        <item x="560"/>
        <item x="561"/>
        <item x="562"/>
        <item x="563"/>
        <item x="564"/>
        <item x="565"/>
        <item x="566"/>
        <item x="567"/>
        <item x="568"/>
        <item x="569"/>
        <item x="570"/>
        <item x="571"/>
        <item x="572"/>
        <item x="573"/>
        <item x="574"/>
        <item x="575"/>
        <item x="576"/>
        <item x="381"/>
        <item x="577"/>
        <item x="578"/>
        <item x="579"/>
        <item x="580"/>
        <item x="581"/>
        <item x="582"/>
        <item x="583"/>
        <item x="584"/>
        <item x="585"/>
        <item x="472"/>
        <item x="586"/>
        <item x="636"/>
        <item x="637"/>
        <item x="308"/>
        <item x="460"/>
        <item x="461"/>
        <item x="410"/>
        <item x="411"/>
        <item x="412"/>
        <item x="413"/>
        <item x="414"/>
        <item x="415"/>
        <item x="587"/>
        <item x="303"/>
        <item x="588"/>
        <item x="371"/>
        <item x="589"/>
        <item x="372"/>
        <item x="166"/>
        <item x="470"/>
        <item x="471"/>
        <item x="299"/>
        <item x="300"/>
        <item x="232"/>
        <item x="233"/>
        <item x="234"/>
        <item x="235"/>
        <item x="236"/>
        <item x="237"/>
        <item x="238"/>
        <item x="536"/>
        <item x="537"/>
        <item x="538"/>
        <item x="539"/>
        <item x="540"/>
        <item x="434"/>
        <item x="435"/>
        <item x="229"/>
        <item x="230"/>
        <item x="231"/>
        <item x="511"/>
        <item x="200"/>
        <item x="103"/>
        <item x="104"/>
        <item x="105"/>
        <item x="106"/>
        <item x="167"/>
        <item x="168"/>
        <item x="107"/>
        <item x="416"/>
        <item x="373"/>
        <item x="374"/>
        <item x="169"/>
        <item x="170"/>
        <item x="171"/>
        <item x="301"/>
        <item x="108"/>
        <item x="42"/>
        <item x="0"/>
        <item x="1"/>
        <item x="175"/>
        <item x="558"/>
        <item x="497"/>
        <item x="557"/>
        <item x="559"/>
        <item x="325"/>
        <item x="43"/>
        <item x="544"/>
        <item x="545"/>
        <item x="176"/>
        <item x="177"/>
        <item x="178"/>
        <item x="179"/>
        <item x="326"/>
        <item x="2"/>
        <item x="110"/>
        <item x="111"/>
        <item x="87"/>
        <item x="327"/>
        <item x="328"/>
        <item x="329"/>
        <item x="512"/>
        <item x="513"/>
        <item x="493"/>
        <item x="622"/>
        <item x="623"/>
        <item x="624"/>
        <item x="625"/>
        <item x="626"/>
        <item x="88"/>
        <item x="244"/>
        <item x="81"/>
        <item x="3"/>
        <item x="542"/>
        <item x="543"/>
        <item x="468"/>
        <item x="4"/>
        <item x="74"/>
        <item x="473"/>
        <item x="474"/>
        <item x="292"/>
        <item x="293"/>
        <item x="294"/>
        <item x="75"/>
        <item x="82"/>
        <item x="295"/>
        <item x="296"/>
        <item x="464"/>
        <item x="297"/>
        <item x="639"/>
        <item t="default"/>
      </items>
    </pivotField>
    <pivotField showAll="0"/>
    <pivotField showAll="0"/>
    <pivotField dataField="1" numFmtId="42" showAll="0"/>
    <pivotField numFmtId="166" showAll="0"/>
    <pivotField dataField="1" numFmtId="42" showAll="0"/>
    <pivotField numFmtId="166" showAll="0"/>
    <pivotField numFmtId="42" showAll="0"/>
    <pivotField numFmtId="166" showAll="0"/>
    <pivotField numFmtId="42" showAll="0"/>
    <pivotField numFmtId="166" showAll="0"/>
    <pivotField numFmtId="42" showAll="0"/>
    <pivotField numFmtId="166" showAll="0"/>
    <pivotField numFmtId="42" showAll="0"/>
    <pivotField numFmtId="166" showAll="0"/>
    <pivotField showAll="0"/>
    <pivotField dataField="1" showAll="0"/>
    <pivotField showAll="0"/>
    <pivotField showAll="0"/>
  </pivotFields>
  <rowFields count="1">
    <field x="0"/>
  </rowFields>
  <rowItems count="6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t="grand">
      <x/>
    </i>
  </rowItems>
  <colFields count="1">
    <field x="-2"/>
  </colFields>
  <colItems count="3">
    <i>
      <x/>
    </i>
    <i i="1">
      <x v="1"/>
    </i>
    <i i="2">
      <x v="2"/>
    </i>
  </colItems>
  <dataFields count="3">
    <dataField name="Count of BIPOC Index" fld="16" subtotal="count" baseField="0" baseItem="0"/>
    <dataField name="Sum of CLM $ Collected " fld="3" baseField="0" baseItem="0"/>
    <dataField name="Sum of Incentive Disbursemen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61A2DD-42DD-4F92-9C7B-BF179A2E9561}" name="Table3" displayName="Table3" ref="A5:S937" totalsRowShown="0" headerRowDxfId="116" tableBorderDxfId="115">
  <autoFilter ref="A5:S937" xr:uid="{00000000-0009-0000-0100-000003000000}"/>
  <tableColumns count="19">
    <tableColumn id="1" xr3:uid="{00000000-0010-0000-0000-000001000000}" name="Census Tract" dataDxfId="114"/>
    <tableColumn id="2" xr3:uid="{00000000-0010-0000-0000-000002000000}" name="Town" dataDxfId="113"/>
    <tableColumn id="3" xr3:uid="{00000000-0010-0000-0000-000003000000}" name="Distressed Tract1" dataDxfId="112"/>
    <tableColumn id="4" xr3:uid="{00000000-0010-0000-0000-000004000000}" name="CLM $ Collected " dataDxfId="111" dataCellStyle="Currency">
      <calculatedColumnFormula>[1]!Table3[[#This Row],[Residential CLM $ Collected]]+[1]!Table3[[#This Row],[C&amp;I CLM $ Collected]]</calculatedColumnFormula>
    </tableColumn>
    <tableColumn id="5" xr3:uid="{00000000-0010-0000-0000-000005000000}" name="% of Total CLM $ Collected " dataDxfId="110" dataCellStyle="Percent">
      <calculatedColumnFormula>[1]!Table3[[#This Row],[CLM $ Collected ]]/'[1]1.) CLM Reference'!$B$4</calculatedColumnFormula>
    </tableColumn>
    <tableColumn id="6" xr3:uid="{00000000-0010-0000-0000-000006000000}" name="Incentive Disbursements" dataDxfId="109" dataCellStyle="Currency">
      <calculatedColumnFormula>[1]!Table3[[#This Row],[Residential Incentive Disbursements]]+[1]!Table3[[#This Row],[C&amp;I Incentive Disbursements]]</calculatedColumnFormula>
    </tableColumn>
    <tableColumn id="7" xr3:uid="{00000000-0010-0000-0000-000007000000}" name="% of Total Incentive Disbursements" dataDxfId="108" dataCellStyle="Percent">
      <calculatedColumnFormula>[1]!Table3[[#This Row],[Incentive Disbursements]]/'[1]1.) CLM Reference'!$B$5</calculatedColumnFormula>
    </tableColumn>
    <tableColumn id="9" xr3:uid="{00000000-0010-0000-0000-000009000000}" name="Residential CLM $ Collected" dataDxfId="107" dataCellStyle="Currency"/>
    <tableColumn id="10" xr3:uid="{00000000-0010-0000-0000-00000A000000}" name="% of Total Residential CLM $ Collected" dataDxfId="106" dataCellStyle="Percent">
      <calculatedColumnFormula>[1]!Table3[[#This Row],[Residential CLM $ Collected]]/'[1]1.) CLM Reference'!$B$4</calculatedColumnFormula>
    </tableColumn>
    <tableColumn id="11" xr3:uid="{00000000-0010-0000-0000-00000B000000}" name="Residential Incentive Disbursements" dataDxfId="105" dataCellStyle="Currency"/>
    <tableColumn id="12" xr3:uid="{00000000-0010-0000-0000-00000C000000}" name="% of Total Residential Incentive Disbursements " dataDxfId="104" dataCellStyle="Percent">
      <calculatedColumnFormula>[1]!Table3[[#This Row],[Residential Incentive Disbursements]]/'[1]1.) CLM Reference'!$B$5</calculatedColumnFormula>
    </tableColumn>
    <tableColumn id="14" xr3:uid="{00000000-0010-0000-0000-00000E000000}" name="C&amp;I CLM $ Collected" dataDxfId="103" dataCellStyle="Currency"/>
    <tableColumn id="15" xr3:uid="{00000000-0010-0000-0000-00000F000000}" name="% of Total C&amp;I CLM $ Collected" dataDxfId="102" dataCellStyle="Percent">
      <calculatedColumnFormula>[1]!Table3[[#This Row],[C&amp;I CLM $ Collected]]/'[1]1.) CLM Reference'!$B$4</calculatedColumnFormula>
    </tableColumn>
    <tableColumn id="16" xr3:uid="{00000000-0010-0000-0000-000010000000}" name="C&amp;I Incentive Disbursements" dataDxfId="101" dataCellStyle="Currency"/>
    <tableColumn id="17" xr3:uid="{00000000-0010-0000-0000-000011000000}" name="% of TotalC&amp;I Incentive Disbursements " dataDxfId="100" dataCellStyle="Percent">
      <calculatedColumnFormula>[1]!Table3[[#This Row],[C&amp;I Incentive Disbursements]]/'[1]1.) CLM Reference'!$B$5</calculatedColumnFormula>
    </tableColumn>
    <tableColumn id="8" xr3:uid="{24BD6032-BD7C-40E7-A363-64A2386C9F62}" name="Affluence Rank "/>
    <tableColumn id="13" xr3:uid="{30AEA127-371E-4384-9C35-A5D1BE96EC49}" name="BIPOC Index" dataDxfId="99">
      <calculatedColumnFormula>VLOOKUP(Table3[[#This Row],[Census Tract]],'Population and Diversity Data'!$B$2:$K$823,10,FALSE)</calculatedColumnFormula>
    </tableColumn>
    <tableColumn id="19" xr3:uid="{94F62DCD-6287-44B9-9E7A-5D09622A7040}" name="Energy Burdened?" dataDxfId="98">
      <calculatedColumnFormula>VLOOKUP(Table3[[#This Row],[Census Tract]],'ES Energy Burden'!$B$2:$E$914,4,FALSE)</calculatedColumnFormula>
    </tableColumn>
    <tableColumn id="20" xr3:uid="{4936EC74-80C0-4E8E-805E-F047CCED61D0}" name="Ratio of Billed Collects to Incentiv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EF1F16-4360-4AE6-BB31-014BFBF397DA}" name="Table32" displayName="Table32" ref="A5:Q233" totalsRowShown="0" headerRowDxfId="97" headerRowBorderDxfId="96" tableBorderDxfId="95" totalsRowBorderDxfId="94">
  <autoFilter ref="A5:Q233" xr:uid="{00000000-0009-0000-0100-000001000000}"/>
  <tableColumns count="17">
    <tableColumn id="1" xr3:uid="{00000000-0010-0000-0100-000001000000}" name="Census Tract" dataDxfId="93"/>
    <tableColumn id="2" xr3:uid="{00000000-0010-0000-0100-000002000000}" name="Town" dataDxfId="92"/>
    <tableColumn id="3" xr3:uid="{00000000-0010-0000-0100-000003000000}" name="Distressed Tract1" dataDxfId="91"/>
    <tableColumn id="4" xr3:uid="{00000000-0010-0000-0100-000004000000}" name="CLM $ Collected " dataDxfId="90" dataCellStyle="Currency"/>
    <tableColumn id="5" xr3:uid="{00000000-0010-0000-0100-000005000000}" name="% of Total CLM $ Collected " dataDxfId="89" dataCellStyle="Percent">
      <calculatedColumnFormula>[1]!Table32[[#This Row],[CLM $ Collected ]]/'[1]1.) CLM Reference'!$B$4</calculatedColumnFormula>
    </tableColumn>
    <tableColumn id="6" xr3:uid="{00000000-0010-0000-0100-000006000000}" name="Incentive Disbursements" dataDxfId="88" dataCellStyle="Currency"/>
    <tableColumn id="7" xr3:uid="{00000000-0010-0000-0100-000007000000}" name="% of Total Incentive Disbursements" dataDxfId="87" dataCellStyle="Percent">
      <calculatedColumnFormula>[1]!Table32[[#This Row],[Incentive Disbursements]]/'[1]1.) CLM Reference'!$B$5</calculatedColumnFormula>
    </tableColumn>
    <tableColumn id="9" xr3:uid="{00000000-0010-0000-0100-000009000000}" name="Residential CLM $ Collected" dataDxfId="86" dataCellStyle="Currency"/>
    <tableColumn id="10" xr3:uid="{00000000-0010-0000-0100-00000A000000}" name="% of Total Residential CLM $ Collected" dataDxfId="85" dataCellStyle="Percent">
      <calculatedColumnFormula>[1]!Table32[[#This Row],[Residential CLM $ Collected]]/'[1]1.) CLM Reference'!$B$4</calculatedColumnFormula>
    </tableColumn>
    <tableColumn id="11" xr3:uid="{00000000-0010-0000-0100-00000B000000}" name="Residential Incentive Disbursements" dataDxfId="84" dataCellStyle="Currency"/>
    <tableColumn id="12" xr3:uid="{00000000-0010-0000-0100-00000C000000}" name="% of Total Residential Incentive Disbursements " dataDxfId="83" dataCellStyle="Percent">
      <calculatedColumnFormula>[1]!Table32[[#This Row],[Residential Incentive Disbursements]]/'[1]1.) CLM Reference'!$B$5</calculatedColumnFormula>
    </tableColumn>
    <tableColumn id="14" xr3:uid="{00000000-0010-0000-0100-00000E000000}" name="C&amp;I CLM $ Collected" dataDxfId="82" dataCellStyle="Currency"/>
    <tableColumn id="15" xr3:uid="{00000000-0010-0000-0100-00000F000000}" name="% of Total C&amp;I CLM $ Collected" dataDxfId="81" dataCellStyle="Percent">
      <calculatedColumnFormula>[1]!Table32[[#This Row],[C&amp;I CLM $ Collected]]/'[1]1.) CLM Reference'!$B$4</calculatedColumnFormula>
    </tableColumn>
    <tableColumn id="16" xr3:uid="{00000000-0010-0000-0100-000010000000}" name="C&amp;I Incentive Disbursements" dataDxfId="80" dataCellStyle="Currency"/>
    <tableColumn id="17" xr3:uid="{00000000-0010-0000-0100-000011000000}" name="% of TotalC&amp;I Incentive Disbursements " dataDxfId="79" dataCellStyle="Percent">
      <calculatedColumnFormula>[1]!Table32[[#This Row],[C&amp;I Incentive Disbursements]]/'[1]1.) CLM Reference'!$B$5</calculatedColumnFormula>
    </tableColumn>
    <tableColumn id="8" xr3:uid="{69A92211-0CF9-4226-B5A4-C279A0989A9D}" name="BIPOC Index" dataDxfId="78">
      <calculatedColumnFormula>VLOOKUP(Table32[[#This Row],[Census Tract]],'Population and Diversity Data'!$B$2:$K$823,10,FALSE)</calculatedColumnFormula>
    </tableColumn>
    <tableColumn id="13" xr3:uid="{989F5790-2B25-42DD-88BF-494EBA225849}" name="Energy Burdened?" dataDxfId="77">
      <calculatedColumnFormula>VLOOKUP(Table32[[#This Row],[Census Tract]],'ES Energy Burden'!$B$2:$E$914,4,FALSE)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06BC5-53CB-420B-82D1-E1859570CC98}" name="Table323" displayName="Table323" ref="A5:Q937" totalsRowShown="0" headerRowDxfId="76" dataDxfId="75" tableBorderDxfId="74">
  <autoFilter ref="A5:Q937" xr:uid="{00000000-0009-0000-0100-000002000000}"/>
  <tableColumns count="17">
    <tableColumn id="1" xr3:uid="{00000000-0010-0000-0200-000001000000}" name="Census Tract" dataDxfId="73"/>
    <tableColumn id="2" xr3:uid="{00000000-0010-0000-0200-000002000000}" name="Town" dataDxfId="72"/>
    <tableColumn id="3" xr3:uid="{00000000-0010-0000-0200-000003000000}" name="Distressed Tract1" dataDxfId="71"/>
    <tableColumn id="4" xr3:uid="{00000000-0010-0000-0200-000004000000}" name="CLM $ Collected " dataDxfId="70" dataCellStyle="Currency"/>
    <tableColumn id="6" xr3:uid="{00000000-0010-0000-0200-000006000000}" name="Incentive Disbursements" dataDxfId="69" dataCellStyle="Currency"/>
    <tableColumn id="9" xr3:uid="{00000000-0010-0000-0200-000009000000}" name="Total Units" dataDxfId="68"/>
    <tableColumn id="11" xr3:uid="{00000000-0010-0000-0200-00000B000000}" name="Single Family" dataDxfId="67"/>
    <tableColumn id="10" xr3:uid="{00000000-0010-0000-0200-00000A000000}" name="2-4 Units" dataDxfId="66"/>
    <tableColumn id="8" xr3:uid="{00000000-0010-0000-0200-000008000000}" name="&gt;4 Units" dataDxfId="65"/>
    <tableColumn id="7" xr3:uid="{00000000-0010-0000-0200-000007000000}" name="Incentives" dataDxfId="64" dataCellStyle="Currency"/>
    <tableColumn id="14" xr3:uid="{00000000-0010-0000-0200-00000E000000}" name="Total Units2" dataDxfId="63"/>
    <tableColumn id="15" xr3:uid="{00000000-0010-0000-0200-00000F000000}" name="Single Family " dataDxfId="62"/>
    <tableColumn id="13" xr3:uid="{00000000-0010-0000-0200-00000D000000}" name=" 2-4 Units" dataDxfId="61"/>
    <tableColumn id="12" xr3:uid="{00000000-0010-0000-0200-00000C000000}" name="&gt;4 Units " dataDxfId="60"/>
    <tableColumn id="16" xr3:uid="{00000000-0010-0000-0200-000010000000}" name="Incentives " dataDxfId="59" dataCellStyle="Currency"/>
    <tableColumn id="5" xr3:uid="{88F22D7C-6347-4F90-A656-D560652368D8}" name="BIPOC Index" dataDxfId="58">
      <calculatedColumnFormula>VLOOKUP(Table323[[#This Row],[Census Tract]],'Population and Diversity Data'!$B$2:$K$823,10,FALSE)</calculatedColumnFormula>
    </tableColumn>
    <tableColumn id="17" xr3:uid="{0DB47C55-0C62-46CD-9471-B1E08E6F9EAE}" name="Energy Burdened?" dataDxfId="57">
      <calculatedColumnFormula>VLOOKUP(Table323[[#This Row],[Census Tract]],'ES Energy Burden'!$B$2:$E$914,4,FALSE)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89AA1B8-5B6B-4FC8-AEEF-89810B8A3E3A}" name="Table6" displayName="Table6" ref="G2:H239" totalsRowShown="0">
  <autoFilter ref="G2:H239" xr:uid="{289AA1B8-5B6B-4FC8-AEEF-89810B8A3E3A}"/>
  <sortState xmlns:xlrd2="http://schemas.microsoft.com/office/spreadsheetml/2017/richdata2" ref="G3:H239">
    <sortCondition descending="1" ref="H3:H239"/>
  </sortState>
  <tableColumns count="2">
    <tableColumn id="1" xr3:uid="{F0A40715-484B-4232-8705-D2912E110308}" name="Town"/>
    <tableColumn id="2" xr3:uid="{252E8A47-B249-474A-B176-468839C7FD1F}" name="Sum of # Termina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3D1267-7D36-4E25-8814-591BB8C0BA6A}" name="Table8" displayName="Table8" ref="A5:R423" totalsRowShown="0" headerRowDxfId="56">
  <autoFilter ref="A5:R423" xr:uid="{DB3D1267-7D36-4E25-8814-591BB8C0BA6A}">
    <filterColumn colId="2">
      <filters>
        <filter val="Yes"/>
      </filters>
    </filterColumn>
  </autoFilter>
  <tableColumns count="18">
    <tableColumn id="1" xr3:uid="{16783C68-A2C6-41AC-A1A7-D33A4A4F8614}" name="Census Tract" dataDxfId="55"/>
    <tableColumn id="2" xr3:uid="{6D311D33-E99C-4CC9-B440-2174BA106B94}" name="Town" dataDxfId="54"/>
    <tableColumn id="3" xr3:uid="{538A8AC7-8AF1-4658-BB1B-755E4407DE57}" name="Distressed Tract1" dataDxfId="53"/>
    <tableColumn id="4" xr3:uid="{2E6AEFDD-817D-432E-9376-3B9655676006}" name="CLM $ Collected " dataDxfId="52" dataCellStyle="Currency"/>
    <tableColumn id="5" xr3:uid="{735279B8-9D05-4367-A2EC-30EF1055F137}" name="% of Total CLM $ Collected " dataDxfId="51" dataCellStyle="Percent"/>
    <tableColumn id="6" xr3:uid="{2EBBF949-E256-42CF-8B9E-6E2B222D84FF}" name="Incentive Disbursements" dataDxfId="50" dataCellStyle="Currency"/>
    <tableColumn id="7" xr3:uid="{4E6D7BAE-44ED-403F-8F0C-E4792B8C5812}" name="% of Total Incentive Disbursements" dataDxfId="49" dataCellStyle="Percent"/>
    <tableColumn id="10" xr3:uid="{D5AEAE98-B238-4570-8FE4-49AA7EDA63C4}" name="Residential CLM $ Collected" dataDxfId="48" dataCellStyle="Currency"/>
    <tableColumn id="11" xr3:uid="{EC476A00-77A5-44BC-8FE7-6D04AA44F28C}" name="% of Total Residential CLM $ Collected" dataDxfId="47" dataCellStyle="Percent"/>
    <tableColumn id="12" xr3:uid="{9D49823E-1C9F-4EC8-B010-2FEBC8550869}" name="Residential Incentive Disbursements" dataDxfId="46" dataCellStyle="Currency"/>
    <tableColumn id="13" xr3:uid="{1A5B8F52-8051-4B1A-8F2F-653E22F21D75}" name="% of Total Residential Incentive Disbursements " dataDxfId="45" dataCellStyle="Percent"/>
    <tableColumn id="15" xr3:uid="{E5296E05-A26F-44F3-AFC5-37121C095828}" name="C&amp;I CLM $ Collected" dataDxfId="44" dataCellStyle="Currency"/>
    <tableColumn id="16" xr3:uid="{3FFAEBC8-56B8-4E47-88EB-6C06FC8399A4}" name="% of Total C&amp;I CLM $ Collected" dataDxfId="43" dataCellStyle="Percent"/>
    <tableColumn id="17" xr3:uid="{871D52AA-4DF2-4E90-819D-AFA127F4CEC9}" name="C&amp;I Incentive Disbursements" dataDxfId="42" dataCellStyle="Currency"/>
    <tableColumn id="18" xr3:uid="{34D83DF6-3E9C-4AD7-B033-54C336E45763}" name="% of TotalC&amp;I Incentive Disbursements " dataDxfId="41" dataCellStyle="Percent"/>
    <tableColumn id="19" xr3:uid="{1FD71713-B2CF-465A-BFE3-1353A8AC3ACE}" name="Equitable 3">
      <calculatedColumnFormula>IF(ROUND(M6,5)&lt;0.00001,"N/A",IF(ROUND(M6,5)&lt;=ROUND(O6,5),"YES","NO"))</calculatedColumnFormula>
    </tableColumn>
    <tableColumn id="20" xr3:uid="{DDA5A4C8-593B-4D5F-BDCB-92B5143F9FEB}" name="Energy Burdened?" dataDxfId="40">
      <calculatedColumnFormula>VLOOKUP(Table8[[#This Row],[Census Tract]],'UI EnergyBurden'!$A$2:$B$184,2,FALSE)</calculatedColumnFormula>
    </tableColumn>
    <tableColumn id="21" xr3:uid="{1BCCE729-5223-4F71-AF3B-60F2132629A0}" name="BIPOC Index" dataDxfId="39">
      <calculatedColumnFormula>VLOOKUP(Table8[[#This Row],[Census Tract]],'Population and Diversity Data'!$B$2:$K$823,10,FALSE)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152965-8A05-4523-8BEE-546592905F2D}" name="Table325" displayName="Table325" ref="A5:Q210" totalsRowShown="0" headerRowDxfId="38" tableBorderDxfId="37">
  <autoFilter ref="A5:Q210" xr:uid="{BC152965-8A05-4523-8BEE-546592905F2D}"/>
  <tableColumns count="17">
    <tableColumn id="1" xr3:uid="{75E7DB33-B880-4804-9C4C-3452376F7527}" name="Census Tract" dataDxfId="36"/>
    <tableColumn id="2" xr3:uid="{B9DD0282-C791-4ED9-AF88-070D566FF4F3}" name="Town" dataDxfId="35"/>
    <tableColumn id="3" xr3:uid="{266DDBAA-CD7F-4D5E-B726-DD70563F7642}" name="Distressed Tract1" dataDxfId="34"/>
    <tableColumn id="4" xr3:uid="{5874DF3B-F882-460C-80FB-8B10A077F9C9}" name="CLM $ Collected " dataDxfId="33" dataCellStyle="Currency"/>
    <tableColumn id="5" xr3:uid="{E394A0A5-817F-492B-8A00-DFCB161A15F1}" name="% of Total CLM $ Collected " dataDxfId="32" dataCellStyle="Percent"/>
    <tableColumn id="6" xr3:uid="{F8B3B6C8-553C-4FE9-A806-77C1AE2EF3F2}" name="Incentive Disbursements" dataDxfId="31" dataCellStyle="Currency"/>
    <tableColumn id="7" xr3:uid="{BB286C1F-BD79-4F36-BADB-F839842863B1}" name="% of Total Incentive Disbursements" dataDxfId="30" dataCellStyle="Percent"/>
    <tableColumn id="9" xr3:uid="{08D5FEE0-9E94-41C7-8D3B-7ED1E620C018}" name="Residential CLM $ Collected" dataDxfId="29"/>
    <tableColumn id="10" xr3:uid="{FF64FEBC-85F5-4B2B-AECA-B6A931685DAF}" name="% of Total Residential CLM $ Collected" dataDxfId="28" dataCellStyle="Percent"/>
    <tableColumn id="11" xr3:uid="{87C5D8A7-381E-4785-A427-AE5A311291D1}" name="Residential Incentive Disbursements" dataDxfId="27"/>
    <tableColumn id="12" xr3:uid="{57F0634F-2A8A-44C9-B646-8BC38C544048}" name="% of Total Residential Incentive Disbursements " dataDxfId="26" dataCellStyle="Percent"/>
    <tableColumn id="14" xr3:uid="{F302065B-D069-4A20-8A24-8243597307D2}" name="C&amp;I CLM $ Collected" dataDxfId="25"/>
    <tableColumn id="15" xr3:uid="{CCB275E5-FED9-465E-B502-C92A891B638C}" name="% of Total C&amp;I CLM $ Collected" dataDxfId="24"/>
    <tableColumn id="16" xr3:uid="{CDBCC9B3-716F-40F6-8769-567DF002DC28}" name="C&amp;I Incentive Disbursements" dataDxfId="23"/>
    <tableColumn id="17" xr3:uid="{2E83B318-1F53-4178-87E1-04FC14664A81}" name="% of TotalC&amp;I Incentive Disbursements " dataDxfId="22"/>
    <tableColumn id="13" xr3:uid="{D98F478D-0D8C-4AA1-9F70-801F70263C5D}" name="Energy Burdened?" dataDxfId="21">
      <calculatedColumnFormula>VLOOKUP(Table325[[#This Row],[Census Tract]],'UI EnergyBurden'!$A$2:$B$184,2,FALSE)</calculatedColumnFormula>
    </tableColumn>
    <tableColumn id="18" xr3:uid="{9DF84FC9-C819-4BFA-BA74-043F820CB3B7}" name="BIPOC Index" dataDxfId="20">
      <calculatedColumnFormula>VLOOKUP(Table325[[#This Row],[Census Tract]],'Population and Diversity Data'!B2:K823,10,FALSE)</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5F2D5B-B9AB-4EFD-BC56-49753B842591}" name="Table3236" displayName="Table3236" ref="A5:Q418" totalsRowShown="0" headerRowDxfId="19" dataDxfId="18" tableBorderDxfId="17">
  <autoFilter ref="A5:Q418" xr:uid="{3E5F2D5B-B9AB-4EFD-BC56-49753B842591}"/>
  <tableColumns count="17">
    <tableColumn id="1" xr3:uid="{38C5908B-798C-47B6-9794-C26D59D1B695}" name="Census Tract" dataDxfId="16"/>
    <tableColumn id="2" xr3:uid="{FF126B5A-6FBF-4CEB-B418-FCE6C826AE8A}" name="Town" dataDxfId="15"/>
    <tableColumn id="3" xr3:uid="{BDF2EB0A-4E92-4A2D-97CB-25F115795864}" name="Distressed Tract1" dataDxfId="14"/>
    <tableColumn id="4" xr3:uid="{FF7AF1C5-359F-4165-87C2-192135B55DD4}" name="CLM $ Collected " dataDxfId="13" dataCellStyle="Currency"/>
    <tableColumn id="6" xr3:uid="{6CD8D830-C779-41AD-8841-4B8F813AD3EE}" name="Incentive Disbursements" dataDxfId="12" dataCellStyle="Currency"/>
    <tableColumn id="9" xr3:uid="{5E1BF494-66C3-4570-B7B2-A4B6A62A57C5}" name="Total Units" dataDxfId="11"/>
    <tableColumn id="11" xr3:uid="{B039E268-1A43-41DA-85D0-99A6C9352187}" name="Single Family" dataDxfId="10"/>
    <tableColumn id="10" xr3:uid="{2C73E01B-F2C9-4005-BED0-64D5B19D4C7E}" name="2-4 Units" dataDxfId="9"/>
    <tableColumn id="8" xr3:uid="{984B75B1-2B4A-4797-B7DD-774FFD0644F6}" name="&gt;4 Units" dataDxfId="8"/>
    <tableColumn id="7" xr3:uid="{3EE66E34-C762-4EC0-BBB1-06A468B4FD35}" name="Incentives" dataDxfId="7"/>
    <tableColumn id="14" xr3:uid="{A0A57275-220A-4717-A976-CD3C47FB374C}" name="Total Units2" dataDxfId="6"/>
    <tableColumn id="15" xr3:uid="{5B9877B1-F396-42CA-B015-B621D2961AED}" name="Single Family " dataDxfId="5"/>
    <tableColumn id="13" xr3:uid="{9226CD69-182E-4B96-9D7F-B65360414C74}" name="2-4 Units2" dataDxfId="4"/>
    <tableColumn id="12" xr3:uid="{3A9A6207-C71F-4F10-95BE-928A54D78874}" name="&gt;4 Units " dataDxfId="3"/>
    <tableColumn id="16" xr3:uid="{37EB8EF8-6431-433A-9270-F59782F48F26}" name="Incentives " dataDxfId="2"/>
    <tableColumn id="5" xr3:uid="{0461BC2D-C0BC-43DD-8271-EB0CB70DA7BF}" name="BIPOC Index" dataDxfId="1">
      <calculatedColumnFormula>VLOOKUP(Table3236[[#This Row],[Census Tract]],'Population and Diversity Data'!$B$2:$K$823,10,FALSE)</calculatedColumnFormula>
    </tableColumn>
    <tableColumn id="17" xr3:uid="{250F8E9E-2CB3-4033-AF61-8528E42F2352}" name="Energy Burdened?" dataDxfId="0">
      <calculatedColumnFormula>VLOOKUP(Table3236[[#This Row],[Census Tract]],'UI EnergyBurden'!$A$2:$B$184,2,FALSE)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rs.usda.gov/data-products/rural-urban-commuting-area-codes/"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71"/>
  <sheetViews>
    <sheetView workbookViewId="0">
      <selection activeCell="H8" sqref="H8"/>
    </sheetView>
  </sheetViews>
  <sheetFormatPr baseColWidth="10" defaultColWidth="8.83203125" defaultRowHeight="15" x14ac:dyDescent="0.2"/>
  <cols>
    <col min="1" max="1" width="25" style="1" customWidth="1"/>
    <col min="2" max="2" width="80" style="1" customWidth="1"/>
    <col min="3" max="3" width="20" customWidth="1"/>
  </cols>
  <sheetData>
    <row r="1" spans="1:8" ht="60" customHeight="1" x14ac:dyDescent="0.2">
      <c r="A1" s="254" t="s">
        <v>0</v>
      </c>
      <c r="B1" s="254"/>
      <c r="C1" s="2"/>
    </row>
    <row r="2" spans="1:8" x14ac:dyDescent="0.2">
      <c r="A2" s="255"/>
      <c r="B2" s="255"/>
      <c r="C2" s="255"/>
    </row>
    <row r="3" spans="1:8" x14ac:dyDescent="0.2">
      <c r="A3" s="256" t="s">
        <v>1</v>
      </c>
      <c r="B3" s="256"/>
      <c r="C3" s="256"/>
      <c r="G3" t="s">
        <v>2</v>
      </c>
    </row>
    <row r="4" spans="1:8" x14ac:dyDescent="0.2">
      <c r="A4" s="255"/>
      <c r="B4" s="255"/>
      <c r="C4" s="255"/>
      <c r="G4" s="9" t="s">
        <v>3</v>
      </c>
      <c r="H4" t="s">
        <v>4</v>
      </c>
    </row>
    <row r="5" spans="1:8" ht="16" customHeight="1" x14ac:dyDescent="0.2">
      <c r="A5" s="3" t="s">
        <v>5</v>
      </c>
      <c r="B5" s="255" t="s">
        <v>6</v>
      </c>
      <c r="C5" s="255"/>
      <c r="G5" s="10" t="s">
        <v>7</v>
      </c>
      <c r="H5" t="s">
        <v>8</v>
      </c>
    </row>
    <row r="6" spans="1:8" ht="16" customHeight="1" x14ac:dyDescent="0.2">
      <c r="A6" s="1" t="s">
        <v>9</v>
      </c>
      <c r="B6" s="255" t="s">
        <v>3</v>
      </c>
      <c r="C6" s="255"/>
      <c r="G6" s="6" t="s">
        <v>10</v>
      </c>
      <c r="H6" t="s">
        <v>11</v>
      </c>
    </row>
    <row r="7" spans="1:8" ht="16" customHeight="1" x14ac:dyDescent="0.2">
      <c r="A7" s="1" t="s">
        <v>12</v>
      </c>
      <c r="B7" s="255" t="s">
        <v>13</v>
      </c>
      <c r="C7" s="255"/>
      <c r="H7" t="s">
        <v>14</v>
      </c>
    </row>
    <row r="8" spans="1:8" ht="16" customHeight="1" x14ac:dyDescent="0.2">
      <c r="A8" s="1" t="s">
        <v>15</v>
      </c>
      <c r="B8" s="255" t="s">
        <v>16</v>
      </c>
      <c r="C8" s="255"/>
      <c r="H8" t="s">
        <v>17</v>
      </c>
    </row>
    <row r="9" spans="1:8" ht="16" customHeight="1" x14ac:dyDescent="0.2">
      <c r="A9" s="1" t="s">
        <v>18</v>
      </c>
      <c r="B9" s="255" t="s">
        <v>19</v>
      </c>
      <c r="C9" s="255"/>
    </row>
    <row r="10" spans="1:8" ht="16" customHeight="1" x14ac:dyDescent="0.2">
      <c r="A10" s="1" t="s">
        <v>20</v>
      </c>
      <c r="B10" s="255" t="s">
        <v>21</v>
      </c>
      <c r="C10" s="255"/>
    </row>
    <row r="11" spans="1:8" ht="16" customHeight="1" x14ac:dyDescent="0.2">
      <c r="A11" s="1" t="s">
        <v>22</v>
      </c>
      <c r="B11" s="255" t="s">
        <v>23</v>
      </c>
      <c r="C11" s="255"/>
    </row>
    <row r="12" spans="1:8" ht="16" customHeight="1" x14ac:dyDescent="0.2">
      <c r="A12" s="1" t="s">
        <v>24</v>
      </c>
      <c r="B12" s="255" t="s">
        <v>25</v>
      </c>
      <c r="C12" s="255"/>
    </row>
    <row r="13" spans="1:8" ht="16" customHeight="1" x14ac:dyDescent="0.2">
      <c r="A13" s="1" t="s">
        <v>26</v>
      </c>
      <c r="B13" s="255" t="s">
        <v>27</v>
      </c>
      <c r="C13" s="255"/>
    </row>
    <row r="14" spans="1:8" x14ac:dyDescent="0.2">
      <c r="A14" s="255"/>
      <c r="B14" s="255"/>
      <c r="C14" s="255"/>
    </row>
    <row r="15" spans="1:8" ht="16" customHeight="1" x14ac:dyDescent="0.2">
      <c r="A15" s="3" t="s">
        <v>28</v>
      </c>
      <c r="B15" s="255" t="s">
        <v>6</v>
      </c>
      <c r="C15" s="255"/>
    </row>
    <row r="16" spans="1:8" ht="16" customHeight="1" x14ac:dyDescent="0.2">
      <c r="A16" s="1" t="s">
        <v>29</v>
      </c>
      <c r="B16" s="255" t="s">
        <v>30</v>
      </c>
      <c r="C16" s="255"/>
    </row>
    <row r="17" spans="1:3" ht="32" customHeight="1" x14ac:dyDescent="0.2">
      <c r="A17" s="1" t="s">
        <v>31</v>
      </c>
      <c r="B17" s="255" t="s">
        <v>32</v>
      </c>
      <c r="C17" s="255"/>
    </row>
    <row r="18" spans="1:3" x14ac:dyDescent="0.2">
      <c r="A18" s="255"/>
      <c r="B18" s="255"/>
      <c r="C18" s="255"/>
    </row>
    <row r="19" spans="1:3" ht="32" customHeight="1" x14ac:dyDescent="0.2">
      <c r="A19" s="3" t="s">
        <v>33</v>
      </c>
      <c r="B19" s="255" t="s">
        <v>34</v>
      </c>
      <c r="C19" s="255"/>
    </row>
    <row r="20" spans="1:3" ht="32" customHeight="1" x14ac:dyDescent="0.2">
      <c r="A20" s="1" t="s">
        <v>6</v>
      </c>
      <c r="B20" s="255" t="s">
        <v>35</v>
      </c>
      <c r="C20" s="255"/>
    </row>
    <row r="21" spans="1:3" ht="32" customHeight="1" x14ac:dyDescent="0.2">
      <c r="A21" s="1" t="s">
        <v>6</v>
      </c>
      <c r="B21" s="255" t="s">
        <v>36</v>
      </c>
      <c r="C21" s="255"/>
    </row>
    <row r="22" spans="1:3" ht="32" customHeight="1" x14ac:dyDescent="0.2">
      <c r="A22" s="1" t="s">
        <v>6</v>
      </c>
      <c r="B22" s="255" t="s">
        <v>37</v>
      </c>
      <c r="C22" s="255"/>
    </row>
    <row r="23" spans="1:3" ht="32" customHeight="1" x14ac:dyDescent="0.2">
      <c r="A23" s="1" t="s">
        <v>6</v>
      </c>
      <c r="B23" s="255" t="s">
        <v>38</v>
      </c>
      <c r="C23" s="255"/>
    </row>
    <row r="24" spans="1:3" ht="32" customHeight="1" x14ac:dyDescent="0.2">
      <c r="A24" s="1" t="s">
        <v>6</v>
      </c>
      <c r="B24" s="255" t="s">
        <v>39</v>
      </c>
      <c r="C24" s="255"/>
    </row>
    <row r="25" spans="1:3" ht="32" customHeight="1" x14ac:dyDescent="0.2">
      <c r="A25" s="1" t="s">
        <v>6</v>
      </c>
      <c r="B25" s="255" t="s">
        <v>40</v>
      </c>
      <c r="C25" s="255"/>
    </row>
    <row r="26" spans="1:3" ht="32" customHeight="1" x14ac:dyDescent="0.2">
      <c r="A26" s="1" t="s">
        <v>6</v>
      </c>
      <c r="B26" s="255" t="s">
        <v>41</v>
      </c>
      <c r="C26" s="255"/>
    </row>
    <row r="27" spans="1:3" ht="32" customHeight="1" x14ac:dyDescent="0.2">
      <c r="A27" s="1" t="s">
        <v>6</v>
      </c>
      <c r="B27" s="255" t="s">
        <v>42</v>
      </c>
      <c r="C27" s="255"/>
    </row>
    <row r="28" spans="1:3" ht="32" customHeight="1" x14ac:dyDescent="0.2">
      <c r="A28" s="1" t="s">
        <v>6</v>
      </c>
      <c r="B28" s="255" t="s">
        <v>43</v>
      </c>
      <c r="C28" s="255"/>
    </row>
    <row r="29" spans="1:3" ht="32" customHeight="1" x14ac:dyDescent="0.2">
      <c r="A29" s="1" t="s">
        <v>6</v>
      </c>
      <c r="B29" s="255" t="s">
        <v>44</v>
      </c>
      <c r="C29" s="255"/>
    </row>
    <row r="30" spans="1:3" ht="32" customHeight="1" x14ac:dyDescent="0.2">
      <c r="A30" s="1" t="s">
        <v>6</v>
      </c>
      <c r="B30" s="255" t="s">
        <v>45</v>
      </c>
      <c r="C30" s="255"/>
    </row>
    <row r="31" spans="1:3" ht="32" customHeight="1" x14ac:dyDescent="0.2">
      <c r="A31" s="1" t="s">
        <v>6</v>
      </c>
      <c r="B31" s="255" t="s">
        <v>46</v>
      </c>
      <c r="C31" s="255"/>
    </row>
    <row r="32" spans="1:3" ht="32" customHeight="1" x14ac:dyDescent="0.2">
      <c r="A32" s="1" t="s">
        <v>6</v>
      </c>
      <c r="B32" s="255" t="s">
        <v>47</v>
      </c>
      <c r="C32" s="255"/>
    </row>
    <row r="33" spans="1:3" ht="32" customHeight="1" x14ac:dyDescent="0.2">
      <c r="A33" s="1" t="s">
        <v>6</v>
      </c>
      <c r="B33" s="255" t="s">
        <v>48</v>
      </c>
      <c r="C33" s="255"/>
    </row>
    <row r="34" spans="1:3" ht="32" customHeight="1" x14ac:dyDescent="0.2">
      <c r="A34" s="1" t="s">
        <v>6</v>
      </c>
      <c r="B34" s="255" t="s">
        <v>49</v>
      </c>
      <c r="C34" s="255"/>
    </row>
    <row r="35" spans="1:3" ht="32" customHeight="1" x14ac:dyDescent="0.2">
      <c r="A35" s="1" t="s">
        <v>6</v>
      </c>
      <c r="B35" s="255" t="s">
        <v>50</v>
      </c>
      <c r="C35" s="255"/>
    </row>
    <row r="36" spans="1:3" ht="32" customHeight="1" x14ac:dyDescent="0.2">
      <c r="A36" s="1" t="s">
        <v>6</v>
      </c>
      <c r="B36" s="255" t="s">
        <v>51</v>
      </c>
      <c r="C36" s="255"/>
    </row>
    <row r="37" spans="1:3" ht="32" customHeight="1" x14ac:dyDescent="0.2">
      <c r="A37" s="1" t="s">
        <v>6</v>
      </c>
      <c r="B37" s="255" t="s">
        <v>52</v>
      </c>
      <c r="C37" s="255"/>
    </row>
    <row r="38" spans="1:3" ht="32" customHeight="1" x14ac:dyDescent="0.2">
      <c r="A38" s="1" t="s">
        <v>6</v>
      </c>
      <c r="B38" s="255" t="s">
        <v>53</v>
      </c>
      <c r="C38" s="255"/>
    </row>
    <row r="39" spans="1:3" ht="32" customHeight="1" x14ac:dyDescent="0.2">
      <c r="A39" s="1" t="s">
        <v>6</v>
      </c>
      <c r="B39" s="255" t="s">
        <v>54</v>
      </c>
      <c r="C39" s="255"/>
    </row>
    <row r="40" spans="1:3" ht="32" customHeight="1" x14ac:dyDescent="0.2">
      <c r="A40" s="1" t="s">
        <v>6</v>
      </c>
      <c r="B40" s="255" t="s">
        <v>55</v>
      </c>
      <c r="C40" s="255"/>
    </row>
    <row r="41" spans="1:3" ht="32" customHeight="1" x14ac:dyDescent="0.2">
      <c r="A41" s="1" t="s">
        <v>6</v>
      </c>
      <c r="B41" s="255" t="s">
        <v>56</v>
      </c>
      <c r="C41" s="255"/>
    </row>
    <row r="42" spans="1:3" ht="32" customHeight="1" x14ac:dyDescent="0.2">
      <c r="A42" s="1" t="s">
        <v>6</v>
      </c>
      <c r="B42" s="255" t="s">
        <v>57</v>
      </c>
      <c r="C42" s="255"/>
    </row>
    <row r="43" spans="1:3" ht="32" customHeight="1" x14ac:dyDescent="0.2">
      <c r="A43" s="1" t="s">
        <v>6</v>
      </c>
      <c r="B43" s="255" t="s">
        <v>58</v>
      </c>
      <c r="C43" s="255"/>
    </row>
    <row r="44" spans="1:3" ht="32" customHeight="1" x14ac:dyDescent="0.2">
      <c r="A44" s="1" t="s">
        <v>6</v>
      </c>
      <c r="B44" s="255" t="s">
        <v>59</v>
      </c>
      <c r="C44" s="255"/>
    </row>
    <row r="45" spans="1:3" ht="32" customHeight="1" x14ac:dyDescent="0.2">
      <c r="A45" s="1" t="s">
        <v>6</v>
      </c>
      <c r="B45" s="255" t="s">
        <v>60</v>
      </c>
      <c r="C45" s="255"/>
    </row>
    <row r="46" spans="1:3" ht="32" customHeight="1" x14ac:dyDescent="0.2">
      <c r="A46" s="1" t="s">
        <v>6</v>
      </c>
      <c r="B46" s="255" t="s">
        <v>61</v>
      </c>
      <c r="C46" s="255"/>
    </row>
    <row r="47" spans="1:3" ht="32" customHeight="1" x14ac:dyDescent="0.2">
      <c r="A47" s="1" t="s">
        <v>6</v>
      </c>
      <c r="B47" s="255" t="s">
        <v>62</v>
      </c>
      <c r="C47" s="255"/>
    </row>
    <row r="48" spans="1:3" ht="32" customHeight="1" x14ac:dyDescent="0.2">
      <c r="A48" s="1" t="s">
        <v>6</v>
      </c>
      <c r="B48" s="255" t="s">
        <v>63</v>
      </c>
      <c r="C48" s="255"/>
    </row>
    <row r="49" spans="1:3" ht="32" customHeight="1" x14ac:dyDescent="0.2">
      <c r="A49" s="1" t="s">
        <v>6</v>
      </c>
      <c r="B49" s="255" t="s">
        <v>64</v>
      </c>
      <c r="C49" s="255"/>
    </row>
    <row r="50" spans="1:3" ht="32" customHeight="1" x14ac:dyDescent="0.2">
      <c r="A50" s="1" t="s">
        <v>6</v>
      </c>
      <c r="B50" s="255" t="s">
        <v>65</v>
      </c>
      <c r="C50" s="255"/>
    </row>
    <row r="51" spans="1:3" ht="32" customHeight="1" x14ac:dyDescent="0.2">
      <c r="A51" s="1" t="s">
        <v>6</v>
      </c>
      <c r="B51" s="255" t="s">
        <v>66</v>
      </c>
      <c r="C51" s="255"/>
    </row>
    <row r="52" spans="1:3" ht="32" customHeight="1" x14ac:dyDescent="0.2">
      <c r="A52" s="1" t="s">
        <v>6</v>
      </c>
      <c r="B52" s="255" t="s">
        <v>67</v>
      </c>
      <c r="C52" s="255"/>
    </row>
    <row r="53" spans="1:3" ht="32" customHeight="1" x14ac:dyDescent="0.2">
      <c r="A53" s="1" t="s">
        <v>6</v>
      </c>
      <c r="B53" s="255" t="s">
        <v>68</v>
      </c>
      <c r="C53" s="255"/>
    </row>
    <row r="54" spans="1:3" ht="32" customHeight="1" x14ac:dyDescent="0.2">
      <c r="A54" s="1" t="s">
        <v>6</v>
      </c>
      <c r="B54" s="255" t="s">
        <v>69</v>
      </c>
      <c r="C54" s="255"/>
    </row>
    <row r="55" spans="1:3" ht="32" customHeight="1" x14ac:dyDescent="0.2">
      <c r="A55" s="1" t="s">
        <v>6</v>
      </c>
      <c r="B55" s="255" t="s">
        <v>70</v>
      </c>
      <c r="C55" s="255"/>
    </row>
    <row r="56" spans="1:3" ht="32" customHeight="1" x14ac:dyDescent="0.2">
      <c r="A56" s="1" t="s">
        <v>6</v>
      </c>
      <c r="B56" s="255" t="s">
        <v>71</v>
      </c>
      <c r="C56" s="255"/>
    </row>
    <row r="57" spans="1:3" ht="32" customHeight="1" x14ac:dyDescent="0.2">
      <c r="A57" s="1" t="s">
        <v>6</v>
      </c>
      <c r="B57" s="255" t="s">
        <v>72</v>
      </c>
      <c r="C57" s="255"/>
    </row>
    <row r="58" spans="1:3" ht="32" customHeight="1" x14ac:dyDescent="0.2">
      <c r="A58" s="1" t="s">
        <v>6</v>
      </c>
      <c r="B58" s="255" t="s">
        <v>73</v>
      </c>
      <c r="C58" s="255"/>
    </row>
    <row r="59" spans="1:3" ht="32" customHeight="1" x14ac:dyDescent="0.2">
      <c r="A59" s="1" t="s">
        <v>6</v>
      </c>
      <c r="B59" s="255" t="s">
        <v>74</v>
      </c>
      <c r="C59" s="255"/>
    </row>
    <row r="60" spans="1:3" ht="32" customHeight="1" x14ac:dyDescent="0.2">
      <c r="A60" s="1" t="s">
        <v>6</v>
      </c>
      <c r="B60" s="255" t="s">
        <v>75</v>
      </c>
      <c r="C60" s="255"/>
    </row>
    <row r="61" spans="1:3" ht="32" customHeight="1" x14ac:dyDescent="0.2">
      <c r="A61" s="1" t="s">
        <v>6</v>
      </c>
      <c r="B61" s="255" t="s">
        <v>76</v>
      </c>
      <c r="C61" s="255"/>
    </row>
    <row r="62" spans="1:3" ht="32" customHeight="1" x14ac:dyDescent="0.2">
      <c r="A62" s="1" t="s">
        <v>6</v>
      </c>
      <c r="B62" s="255" t="s">
        <v>77</v>
      </c>
      <c r="C62" s="255"/>
    </row>
    <row r="63" spans="1:3" ht="32" customHeight="1" x14ac:dyDescent="0.2">
      <c r="A63" s="1" t="s">
        <v>6</v>
      </c>
      <c r="B63" s="255" t="s">
        <v>78</v>
      </c>
      <c r="C63" s="255"/>
    </row>
    <row r="64" spans="1:3" ht="32" customHeight="1" x14ac:dyDescent="0.2">
      <c r="A64" s="1" t="s">
        <v>6</v>
      </c>
      <c r="B64" s="255" t="s">
        <v>79</v>
      </c>
      <c r="C64" s="255"/>
    </row>
    <row r="65" spans="1:3" ht="32" customHeight="1" x14ac:dyDescent="0.2">
      <c r="A65" s="1" t="s">
        <v>6</v>
      </c>
      <c r="B65" s="255" t="s">
        <v>80</v>
      </c>
      <c r="C65" s="255"/>
    </row>
    <row r="66" spans="1:3" ht="32" customHeight="1" x14ac:dyDescent="0.2">
      <c r="A66" s="1" t="s">
        <v>6</v>
      </c>
      <c r="B66" s="255" t="s">
        <v>81</v>
      </c>
      <c r="C66" s="255"/>
    </row>
    <row r="67" spans="1:3" ht="32" customHeight="1" x14ac:dyDescent="0.2">
      <c r="A67" s="1" t="s">
        <v>6</v>
      </c>
      <c r="B67" s="255" t="s">
        <v>82</v>
      </c>
      <c r="C67" s="255"/>
    </row>
    <row r="68" spans="1:3" ht="32" customHeight="1" x14ac:dyDescent="0.2">
      <c r="A68" s="1" t="s">
        <v>6</v>
      </c>
      <c r="B68" s="255" t="s">
        <v>83</v>
      </c>
      <c r="C68" s="255"/>
    </row>
    <row r="69" spans="1:3" ht="32" customHeight="1" x14ac:dyDescent="0.2">
      <c r="A69" s="1" t="s">
        <v>6</v>
      </c>
      <c r="B69" s="255" t="s">
        <v>84</v>
      </c>
      <c r="C69" s="255"/>
    </row>
    <row r="70" spans="1:3" ht="32" customHeight="1" x14ac:dyDescent="0.2">
      <c r="A70" s="1" t="s">
        <v>6</v>
      </c>
      <c r="B70" s="255" t="s">
        <v>85</v>
      </c>
      <c r="C70" s="255"/>
    </row>
    <row r="71" spans="1:3" ht="32" customHeight="1" x14ac:dyDescent="0.2">
      <c r="A71" s="1" t="s">
        <v>6</v>
      </c>
      <c r="B71" s="255" t="s">
        <v>86</v>
      </c>
      <c r="C71" s="255"/>
    </row>
    <row r="72" spans="1:3" ht="32" customHeight="1" x14ac:dyDescent="0.2">
      <c r="A72" s="1" t="s">
        <v>6</v>
      </c>
      <c r="B72" s="255" t="s">
        <v>87</v>
      </c>
      <c r="C72" s="255"/>
    </row>
    <row r="73" spans="1:3" ht="32" customHeight="1" x14ac:dyDescent="0.2">
      <c r="A73" s="1" t="s">
        <v>6</v>
      </c>
      <c r="B73" s="255" t="s">
        <v>88</v>
      </c>
      <c r="C73" s="255"/>
    </row>
    <row r="74" spans="1:3" ht="32" customHeight="1" x14ac:dyDescent="0.2">
      <c r="A74" s="1" t="s">
        <v>6</v>
      </c>
      <c r="B74" s="255" t="s">
        <v>89</v>
      </c>
      <c r="C74" s="255"/>
    </row>
    <row r="75" spans="1:3" ht="32" customHeight="1" x14ac:dyDescent="0.2">
      <c r="A75" s="1" t="s">
        <v>6</v>
      </c>
      <c r="B75" s="255" t="s">
        <v>90</v>
      </c>
      <c r="C75" s="255"/>
    </row>
    <row r="76" spans="1:3" ht="32" customHeight="1" x14ac:dyDescent="0.2">
      <c r="A76" s="1" t="s">
        <v>6</v>
      </c>
      <c r="B76" s="255" t="s">
        <v>91</v>
      </c>
      <c r="C76" s="255"/>
    </row>
    <row r="77" spans="1:3" ht="32" customHeight="1" x14ac:dyDescent="0.2">
      <c r="A77" s="1" t="s">
        <v>6</v>
      </c>
      <c r="B77" s="255" t="s">
        <v>92</v>
      </c>
      <c r="C77" s="255"/>
    </row>
    <row r="78" spans="1:3" ht="32" customHeight="1" x14ac:dyDescent="0.2">
      <c r="A78" s="1" t="s">
        <v>6</v>
      </c>
      <c r="B78" s="255" t="s">
        <v>93</v>
      </c>
      <c r="C78" s="255"/>
    </row>
    <row r="79" spans="1:3" ht="32" customHeight="1" x14ac:dyDescent="0.2">
      <c r="A79" s="1" t="s">
        <v>6</v>
      </c>
      <c r="B79" s="255" t="s">
        <v>94</v>
      </c>
      <c r="C79" s="255"/>
    </row>
    <row r="80" spans="1:3" ht="32" customHeight="1" x14ac:dyDescent="0.2">
      <c r="A80" s="1" t="s">
        <v>6</v>
      </c>
      <c r="B80" s="255" t="s">
        <v>95</v>
      </c>
      <c r="C80" s="255"/>
    </row>
    <row r="81" spans="1:3" ht="32" customHeight="1" x14ac:dyDescent="0.2">
      <c r="A81" s="1" t="s">
        <v>6</v>
      </c>
      <c r="B81" s="255" t="s">
        <v>96</v>
      </c>
      <c r="C81" s="255"/>
    </row>
    <row r="82" spans="1:3" ht="32" customHeight="1" x14ac:dyDescent="0.2">
      <c r="A82" s="1" t="s">
        <v>6</v>
      </c>
      <c r="B82" s="255" t="s">
        <v>97</v>
      </c>
      <c r="C82" s="255"/>
    </row>
    <row r="83" spans="1:3" ht="32" customHeight="1" x14ac:dyDescent="0.2">
      <c r="A83" s="1" t="s">
        <v>6</v>
      </c>
      <c r="B83" s="255" t="s">
        <v>98</v>
      </c>
      <c r="C83" s="255"/>
    </row>
    <row r="84" spans="1:3" ht="32" customHeight="1" x14ac:dyDescent="0.2">
      <c r="A84" s="1" t="s">
        <v>6</v>
      </c>
      <c r="B84" s="255" t="s">
        <v>99</v>
      </c>
      <c r="C84" s="255"/>
    </row>
    <row r="85" spans="1:3" ht="32" customHeight="1" x14ac:dyDescent="0.2">
      <c r="A85" s="1" t="s">
        <v>6</v>
      </c>
      <c r="B85" s="255" t="s">
        <v>100</v>
      </c>
      <c r="C85" s="255"/>
    </row>
    <row r="86" spans="1:3" ht="32" customHeight="1" x14ac:dyDescent="0.2">
      <c r="A86" s="1" t="s">
        <v>6</v>
      </c>
      <c r="B86" s="255" t="s">
        <v>101</v>
      </c>
      <c r="C86" s="255"/>
    </row>
    <row r="87" spans="1:3" ht="32" customHeight="1" x14ac:dyDescent="0.2">
      <c r="A87" s="1" t="s">
        <v>6</v>
      </c>
      <c r="B87" s="255" t="s">
        <v>102</v>
      </c>
      <c r="C87" s="255"/>
    </row>
    <row r="88" spans="1:3" ht="32" customHeight="1" x14ac:dyDescent="0.2">
      <c r="A88" s="1" t="s">
        <v>6</v>
      </c>
      <c r="B88" s="255" t="s">
        <v>103</v>
      </c>
      <c r="C88" s="255"/>
    </row>
    <row r="89" spans="1:3" ht="32" customHeight="1" x14ac:dyDescent="0.2">
      <c r="A89" s="1" t="s">
        <v>6</v>
      </c>
      <c r="B89" s="255" t="s">
        <v>104</v>
      </c>
      <c r="C89" s="255"/>
    </row>
    <row r="90" spans="1:3" ht="32" customHeight="1" x14ac:dyDescent="0.2">
      <c r="A90" s="1" t="s">
        <v>6</v>
      </c>
      <c r="B90" s="255" t="s">
        <v>105</v>
      </c>
      <c r="C90" s="255"/>
    </row>
    <row r="91" spans="1:3" ht="32" customHeight="1" x14ac:dyDescent="0.2">
      <c r="A91" s="1" t="s">
        <v>6</v>
      </c>
      <c r="B91" s="255" t="s">
        <v>106</v>
      </c>
      <c r="C91" s="255"/>
    </row>
    <row r="92" spans="1:3" ht="32" customHeight="1" x14ac:dyDescent="0.2">
      <c r="A92" s="1" t="s">
        <v>6</v>
      </c>
      <c r="B92" s="255" t="s">
        <v>107</v>
      </c>
      <c r="C92" s="255"/>
    </row>
    <row r="93" spans="1:3" ht="32" customHeight="1" x14ac:dyDescent="0.2">
      <c r="A93" s="1" t="s">
        <v>6</v>
      </c>
      <c r="B93" s="255" t="s">
        <v>108</v>
      </c>
      <c r="C93" s="255"/>
    </row>
    <row r="94" spans="1:3" ht="32" customHeight="1" x14ac:dyDescent="0.2">
      <c r="A94" s="1" t="s">
        <v>6</v>
      </c>
      <c r="B94" s="255" t="s">
        <v>109</v>
      </c>
      <c r="C94" s="255"/>
    </row>
    <row r="95" spans="1:3" ht="32" customHeight="1" x14ac:dyDescent="0.2">
      <c r="A95" s="1" t="s">
        <v>6</v>
      </c>
      <c r="B95" s="255" t="s">
        <v>110</v>
      </c>
      <c r="C95" s="255"/>
    </row>
    <row r="96" spans="1:3" ht="32" customHeight="1" x14ac:dyDescent="0.2">
      <c r="A96" s="1" t="s">
        <v>6</v>
      </c>
      <c r="B96" s="255" t="s">
        <v>111</v>
      </c>
      <c r="C96" s="255"/>
    </row>
    <row r="97" spans="1:3" ht="32" customHeight="1" x14ac:dyDescent="0.2">
      <c r="A97" s="1" t="s">
        <v>6</v>
      </c>
      <c r="B97" s="255" t="s">
        <v>112</v>
      </c>
      <c r="C97" s="255"/>
    </row>
    <row r="98" spans="1:3" ht="32" customHeight="1" x14ac:dyDescent="0.2">
      <c r="A98" s="1" t="s">
        <v>6</v>
      </c>
      <c r="B98" s="255" t="s">
        <v>113</v>
      </c>
      <c r="C98" s="255"/>
    </row>
    <row r="99" spans="1:3" ht="32" customHeight="1" x14ac:dyDescent="0.2">
      <c r="A99" s="1" t="s">
        <v>6</v>
      </c>
      <c r="B99" s="255" t="s">
        <v>114</v>
      </c>
      <c r="C99" s="255"/>
    </row>
    <row r="100" spans="1:3" ht="32" customHeight="1" x14ac:dyDescent="0.2">
      <c r="A100" s="1" t="s">
        <v>6</v>
      </c>
      <c r="B100" s="255" t="s">
        <v>115</v>
      </c>
      <c r="C100" s="255"/>
    </row>
    <row r="101" spans="1:3" ht="32" customHeight="1" x14ac:dyDescent="0.2">
      <c r="A101" s="1" t="s">
        <v>6</v>
      </c>
      <c r="B101" s="255" t="s">
        <v>116</v>
      </c>
      <c r="C101" s="255"/>
    </row>
    <row r="102" spans="1:3" ht="32" customHeight="1" x14ac:dyDescent="0.2">
      <c r="A102" s="1" t="s">
        <v>6</v>
      </c>
      <c r="B102" s="255" t="s">
        <v>117</v>
      </c>
      <c r="C102" s="255"/>
    </row>
    <row r="103" spans="1:3" ht="32" customHeight="1" x14ac:dyDescent="0.2">
      <c r="A103" s="1" t="s">
        <v>6</v>
      </c>
      <c r="B103" s="255" t="s">
        <v>118</v>
      </c>
      <c r="C103" s="255"/>
    </row>
    <row r="104" spans="1:3" ht="32" customHeight="1" x14ac:dyDescent="0.2">
      <c r="A104" s="1" t="s">
        <v>6</v>
      </c>
      <c r="B104" s="255" t="s">
        <v>119</v>
      </c>
      <c r="C104" s="255"/>
    </row>
    <row r="105" spans="1:3" ht="32" customHeight="1" x14ac:dyDescent="0.2">
      <c r="A105" s="1" t="s">
        <v>6</v>
      </c>
      <c r="B105" s="255" t="s">
        <v>120</v>
      </c>
      <c r="C105" s="255"/>
    </row>
    <row r="106" spans="1:3" ht="32" customHeight="1" x14ac:dyDescent="0.2">
      <c r="A106" s="1" t="s">
        <v>6</v>
      </c>
      <c r="B106" s="255" t="s">
        <v>121</v>
      </c>
      <c r="C106" s="255"/>
    </row>
    <row r="107" spans="1:3" ht="32" customHeight="1" x14ac:dyDescent="0.2">
      <c r="A107" s="1" t="s">
        <v>6</v>
      </c>
      <c r="B107" s="255" t="s">
        <v>122</v>
      </c>
      <c r="C107" s="255"/>
    </row>
    <row r="108" spans="1:3" ht="32" customHeight="1" x14ac:dyDescent="0.2">
      <c r="A108" s="1" t="s">
        <v>6</v>
      </c>
      <c r="B108" s="255" t="s">
        <v>123</v>
      </c>
      <c r="C108" s="255"/>
    </row>
    <row r="109" spans="1:3" ht="32" customHeight="1" x14ac:dyDescent="0.2">
      <c r="A109" s="1" t="s">
        <v>6</v>
      </c>
      <c r="B109" s="255" t="s">
        <v>124</v>
      </c>
      <c r="C109" s="255"/>
    </row>
    <row r="110" spans="1:3" ht="32" customHeight="1" x14ac:dyDescent="0.2">
      <c r="A110" s="1" t="s">
        <v>6</v>
      </c>
      <c r="B110" s="255" t="s">
        <v>125</v>
      </c>
      <c r="C110" s="255"/>
    </row>
    <row r="111" spans="1:3" ht="32" customHeight="1" x14ac:dyDescent="0.2">
      <c r="A111" s="1" t="s">
        <v>6</v>
      </c>
      <c r="B111" s="255" t="s">
        <v>126</v>
      </c>
      <c r="C111" s="255"/>
    </row>
    <row r="112" spans="1:3" ht="32" customHeight="1" x14ac:dyDescent="0.2">
      <c r="A112" s="1" t="s">
        <v>6</v>
      </c>
      <c r="B112" s="255" t="s">
        <v>127</v>
      </c>
      <c r="C112" s="255"/>
    </row>
    <row r="113" spans="1:3" ht="32" customHeight="1" x14ac:dyDescent="0.2">
      <c r="A113" s="1" t="s">
        <v>6</v>
      </c>
      <c r="B113" s="255" t="s">
        <v>128</v>
      </c>
      <c r="C113" s="255"/>
    </row>
    <row r="114" spans="1:3" ht="32" customHeight="1" x14ac:dyDescent="0.2">
      <c r="A114" s="1" t="s">
        <v>6</v>
      </c>
      <c r="B114" s="255" t="s">
        <v>129</v>
      </c>
      <c r="C114" s="255"/>
    </row>
    <row r="115" spans="1:3" ht="32" customHeight="1" x14ac:dyDescent="0.2">
      <c r="A115" s="1" t="s">
        <v>6</v>
      </c>
      <c r="B115" s="255" t="s">
        <v>130</v>
      </c>
      <c r="C115" s="255"/>
    </row>
    <row r="116" spans="1:3" ht="32" customHeight="1" x14ac:dyDescent="0.2">
      <c r="A116" s="1" t="s">
        <v>6</v>
      </c>
      <c r="B116" s="255" t="s">
        <v>131</v>
      </c>
      <c r="C116" s="255"/>
    </row>
    <row r="117" spans="1:3" ht="32" customHeight="1" x14ac:dyDescent="0.2">
      <c r="A117" s="1" t="s">
        <v>6</v>
      </c>
      <c r="B117" s="255" t="s">
        <v>132</v>
      </c>
      <c r="C117" s="255"/>
    </row>
    <row r="118" spans="1:3" ht="32" customHeight="1" x14ac:dyDescent="0.2">
      <c r="A118" s="1" t="s">
        <v>6</v>
      </c>
      <c r="B118" s="255" t="s">
        <v>133</v>
      </c>
      <c r="C118" s="255"/>
    </row>
    <row r="119" spans="1:3" ht="32" customHeight="1" x14ac:dyDescent="0.2">
      <c r="A119" s="1" t="s">
        <v>6</v>
      </c>
      <c r="B119" s="255" t="s">
        <v>134</v>
      </c>
      <c r="C119" s="255"/>
    </row>
    <row r="120" spans="1:3" ht="32" customHeight="1" x14ac:dyDescent="0.2">
      <c r="A120" s="1" t="s">
        <v>6</v>
      </c>
      <c r="B120" s="255" t="s">
        <v>135</v>
      </c>
      <c r="C120" s="255"/>
    </row>
    <row r="121" spans="1:3" ht="32" customHeight="1" x14ac:dyDescent="0.2">
      <c r="A121" s="1" t="s">
        <v>6</v>
      </c>
      <c r="B121" s="255" t="s">
        <v>136</v>
      </c>
      <c r="C121" s="255"/>
    </row>
    <row r="122" spans="1:3" ht="32" customHeight="1" x14ac:dyDescent="0.2">
      <c r="A122" s="1" t="s">
        <v>6</v>
      </c>
      <c r="B122" s="255" t="s">
        <v>137</v>
      </c>
      <c r="C122" s="255"/>
    </row>
    <row r="123" spans="1:3" ht="32" customHeight="1" x14ac:dyDescent="0.2">
      <c r="A123" s="1" t="s">
        <v>6</v>
      </c>
      <c r="B123" s="255" t="s">
        <v>138</v>
      </c>
      <c r="C123" s="255"/>
    </row>
    <row r="124" spans="1:3" ht="32" customHeight="1" x14ac:dyDescent="0.2">
      <c r="A124" s="1" t="s">
        <v>6</v>
      </c>
      <c r="B124" s="255" t="s">
        <v>139</v>
      </c>
      <c r="C124" s="255"/>
    </row>
    <row r="125" spans="1:3" ht="32" customHeight="1" x14ac:dyDescent="0.2">
      <c r="A125" s="1" t="s">
        <v>6</v>
      </c>
      <c r="B125" s="255" t="s">
        <v>140</v>
      </c>
      <c r="C125" s="255"/>
    </row>
    <row r="126" spans="1:3" ht="32" customHeight="1" x14ac:dyDescent="0.2">
      <c r="A126" s="1" t="s">
        <v>6</v>
      </c>
      <c r="B126" s="255" t="s">
        <v>141</v>
      </c>
      <c r="C126" s="255"/>
    </row>
    <row r="127" spans="1:3" ht="32" customHeight="1" x14ac:dyDescent="0.2">
      <c r="A127" s="1" t="s">
        <v>6</v>
      </c>
      <c r="B127" s="255" t="s">
        <v>142</v>
      </c>
      <c r="C127" s="255"/>
    </row>
    <row r="128" spans="1:3" ht="32" customHeight="1" x14ac:dyDescent="0.2">
      <c r="A128" s="1" t="s">
        <v>6</v>
      </c>
      <c r="B128" s="255" t="s">
        <v>143</v>
      </c>
      <c r="C128" s="255"/>
    </row>
    <row r="129" spans="1:3" ht="32" customHeight="1" x14ac:dyDescent="0.2">
      <c r="A129" s="1" t="s">
        <v>6</v>
      </c>
      <c r="B129" s="255" t="s">
        <v>144</v>
      </c>
      <c r="C129" s="255"/>
    </row>
    <row r="130" spans="1:3" ht="32" customHeight="1" x14ac:dyDescent="0.2">
      <c r="A130" s="1" t="s">
        <v>6</v>
      </c>
      <c r="B130" s="255" t="s">
        <v>145</v>
      </c>
      <c r="C130" s="255"/>
    </row>
    <row r="131" spans="1:3" ht="32" customHeight="1" x14ac:dyDescent="0.2">
      <c r="A131" s="1" t="s">
        <v>6</v>
      </c>
      <c r="B131" s="255" t="s">
        <v>146</v>
      </c>
      <c r="C131" s="255"/>
    </row>
    <row r="132" spans="1:3" ht="32" customHeight="1" x14ac:dyDescent="0.2">
      <c r="A132" s="1" t="s">
        <v>6</v>
      </c>
      <c r="B132" s="255" t="s">
        <v>147</v>
      </c>
      <c r="C132" s="255"/>
    </row>
    <row r="133" spans="1:3" ht="32" customHeight="1" x14ac:dyDescent="0.2">
      <c r="A133" s="1" t="s">
        <v>6</v>
      </c>
      <c r="B133" s="255" t="s">
        <v>148</v>
      </c>
      <c r="C133" s="255"/>
    </row>
    <row r="134" spans="1:3" ht="32" customHeight="1" x14ac:dyDescent="0.2">
      <c r="A134" s="1" t="s">
        <v>6</v>
      </c>
      <c r="B134" s="255" t="s">
        <v>149</v>
      </c>
      <c r="C134" s="255"/>
    </row>
    <row r="135" spans="1:3" ht="32" customHeight="1" x14ac:dyDescent="0.2">
      <c r="A135" s="1" t="s">
        <v>6</v>
      </c>
      <c r="B135" s="255" t="s">
        <v>150</v>
      </c>
      <c r="C135" s="255"/>
    </row>
    <row r="136" spans="1:3" ht="32" customHeight="1" x14ac:dyDescent="0.2">
      <c r="A136" s="1" t="s">
        <v>6</v>
      </c>
      <c r="B136" s="255" t="s">
        <v>151</v>
      </c>
      <c r="C136" s="255"/>
    </row>
    <row r="137" spans="1:3" ht="32" customHeight="1" x14ac:dyDescent="0.2">
      <c r="A137" s="1" t="s">
        <v>6</v>
      </c>
      <c r="B137" s="255" t="s">
        <v>152</v>
      </c>
      <c r="C137" s="255"/>
    </row>
    <row r="138" spans="1:3" ht="32" customHeight="1" x14ac:dyDescent="0.2">
      <c r="A138" s="1" t="s">
        <v>6</v>
      </c>
      <c r="B138" s="255" t="s">
        <v>153</v>
      </c>
      <c r="C138" s="255"/>
    </row>
    <row r="139" spans="1:3" ht="32" customHeight="1" x14ac:dyDescent="0.2">
      <c r="A139" s="1" t="s">
        <v>6</v>
      </c>
      <c r="B139" s="255" t="s">
        <v>154</v>
      </c>
      <c r="C139" s="255"/>
    </row>
    <row r="140" spans="1:3" ht="32" customHeight="1" x14ac:dyDescent="0.2">
      <c r="A140" s="1" t="s">
        <v>6</v>
      </c>
      <c r="B140" s="255" t="s">
        <v>155</v>
      </c>
      <c r="C140" s="255"/>
    </row>
    <row r="141" spans="1:3" ht="32" customHeight="1" x14ac:dyDescent="0.2">
      <c r="A141" s="1" t="s">
        <v>6</v>
      </c>
      <c r="B141" s="255" t="s">
        <v>156</v>
      </c>
      <c r="C141" s="255"/>
    </row>
    <row r="142" spans="1:3" ht="32" customHeight="1" x14ac:dyDescent="0.2">
      <c r="A142" s="1" t="s">
        <v>6</v>
      </c>
      <c r="B142" s="255" t="s">
        <v>157</v>
      </c>
      <c r="C142" s="255"/>
    </row>
    <row r="143" spans="1:3" ht="32" customHeight="1" x14ac:dyDescent="0.2">
      <c r="A143" s="1" t="s">
        <v>6</v>
      </c>
      <c r="B143" s="255" t="s">
        <v>158</v>
      </c>
      <c r="C143" s="255"/>
    </row>
    <row r="144" spans="1:3" ht="32" customHeight="1" x14ac:dyDescent="0.2">
      <c r="A144" s="1" t="s">
        <v>6</v>
      </c>
      <c r="B144" s="255" t="s">
        <v>159</v>
      </c>
      <c r="C144" s="255"/>
    </row>
    <row r="145" spans="1:3" ht="32" customHeight="1" x14ac:dyDescent="0.2">
      <c r="A145" s="1" t="s">
        <v>6</v>
      </c>
      <c r="B145" s="255" t="s">
        <v>160</v>
      </c>
      <c r="C145" s="255"/>
    </row>
    <row r="146" spans="1:3" ht="32" customHeight="1" x14ac:dyDescent="0.2">
      <c r="A146" s="1" t="s">
        <v>6</v>
      </c>
      <c r="B146" s="255" t="s">
        <v>161</v>
      </c>
      <c r="C146" s="255"/>
    </row>
    <row r="147" spans="1:3" ht="32" customHeight="1" x14ac:dyDescent="0.2">
      <c r="A147" s="1" t="s">
        <v>6</v>
      </c>
      <c r="B147" s="255" t="s">
        <v>162</v>
      </c>
      <c r="C147" s="255"/>
    </row>
    <row r="148" spans="1:3" ht="32" customHeight="1" x14ac:dyDescent="0.2">
      <c r="A148" s="1" t="s">
        <v>6</v>
      </c>
      <c r="B148" s="255" t="s">
        <v>163</v>
      </c>
      <c r="C148" s="255"/>
    </row>
    <row r="149" spans="1:3" ht="32" customHeight="1" x14ac:dyDescent="0.2">
      <c r="A149" s="1" t="s">
        <v>6</v>
      </c>
      <c r="B149" s="255" t="s">
        <v>164</v>
      </c>
      <c r="C149" s="255"/>
    </row>
    <row r="150" spans="1:3" ht="32" customHeight="1" x14ac:dyDescent="0.2">
      <c r="A150" s="1" t="s">
        <v>6</v>
      </c>
      <c r="B150" s="255" t="s">
        <v>165</v>
      </c>
      <c r="C150" s="255"/>
    </row>
    <row r="151" spans="1:3" ht="32" customHeight="1" x14ac:dyDescent="0.2">
      <c r="A151" s="1" t="s">
        <v>6</v>
      </c>
      <c r="B151" s="255" t="s">
        <v>166</v>
      </c>
      <c r="C151" s="255"/>
    </row>
    <row r="152" spans="1:3" ht="32" customHeight="1" x14ac:dyDescent="0.2">
      <c r="A152" s="1" t="s">
        <v>6</v>
      </c>
      <c r="B152" s="255" t="s">
        <v>167</v>
      </c>
      <c r="C152" s="255"/>
    </row>
    <row r="153" spans="1:3" ht="32" customHeight="1" x14ac:dyDescent="0.2">
      <c r="A153" s="1" t="s">
        <v>6</v>
      </c>
      <c r="B153" s="255" t="s">
        <v>168</v>
      </c>
      <c r="C153" s="255"/>
    </row>
    <row r="154" spans="1:3" ht="32" customHeight="1" x14ac:dyDescent="0.2">
      <c r="A154" s="1" t="s">
        <v>6</v>
      </c>
      <c r="B154" s="255" t="s">
        <v>169</v>
      </c>
      <c r="C154" s="255"/>
    </row>
    <row r="155" spans="1:3" ht="32" customHeight="1" x14ac:dyDescent="0.2">
      <c r="A155" s="1" t="s">
        <v>6</v>
      </c>
      <c r="B155" s="255" t="s">
        <v>170</v>
      </c>
      <c r="C155" s="255"/>
    </row>
    <row r="156" spans="1:3" ht="32" customHeight="1" x14ac:dyDescent="0.2">
      <c r="A156" s="1" t="s">
        <v>6</v>
      </c>
      <c r="B156" s="255" t="s">
        <v>171</v>
      </c>
      <c r="C156" s="255"/>
    </row>
    <row r="157" spans="1:3" ht="32" customHeight="1" x14ac:dyDescent="0.2">
      <c r="A157" s="1" t="s">
        <v>6</v>
      </c>
      <c r="B157" s="255" t="s">
        <v>172</v>
      </c>
      <c r="C157" s="255"/>
    </row>
    <row r="158" spans="1:3" ht="32" customHeight="1" x14ac:dyDescent="0.2">
      <c r="A158" s="1" t="s">
        <v>6</v>
      </c>
      <c r="B158" s="255" t="s">
        <v>173</v>
      </c>
      <c r="C158" s="255"/>
    </row>
    <row r="159" spans="1:3" ht="32" customHeight="1" x14ac:dyDescent="0.2">
      <c r="A159" s="1" t="s">
        <v>6</v>
      </c>
      <c r="B159" s="255" t="s">
        <v>174</v>
      </c>
      <c r="C159" s="255"/>
    </row>
    <row r="160" spans="1:3" ht="32" customHeight="1" x14ac:dyDescent="0.2">
      <c r="A160" s="1" t="s">
        <v>6</v>
      </c>
      <c r="B160" s="255" t="s">
        <v>175</v>
      </c>
      <c r="C160" s="255"/>
    </row>
    <row r="161" spans="1:3" ht="32" customHeight="1" x14ac:dyDescent="0.2">
      <c r="A161" s="1" t="s">
        <v>6</v>
      </c>
      <c r="B161" s="255" t="s">
        <v>176</v>
      </c>
      <c r="C161" s="255"/>
    </row>
    <row r="162" spans="1:3" ht="32" customHeight="1" x14ac:dyDescent="0.2">
      <c r="A162" s="1" t="s">
        <v>6</v>
      </c>
      <c r="B162" s="255" t="s">
        <v>177</v>
      </c>
      <c r="C162" s="255"/>
    </row>
    <row r="163" spans="1:3" ht="32" customHeight="1" x14ac:dyDescent="0.2">
      <c r="A163" s="1" t="s">
        <v>6</v>
      </c>
      <c r="B163" s="255" t="s">
        <v>178</v>
      </c>
      <c r="C163" s="255"/>
    </row>
    <row r="164" spans="1:3" ht="32" customHeight="1" x14ac:dyDescent="0.2">
      <c r="A164" s="1" t="s">
        <v>6</v>
      </c>
      <c r="B164" s="255" t="s">
        <v>179</v>
      </c>
      <c r="C164" s="255"/>
    </row>
    <row r="165" spans="1:3" ht="32" customHeight="1" x14ac:dyDescent="0.2">
      <c r="A165" s="1" t="s">
        <v>6</v>
      </c>
      <c r="B165" s="255" t="s">
        <v>180</v>
      </c>
      <c r="C165" s="255"/>
    </row>
    <row r="166" spans="1:3" ht="32" customHeight="1" x14ac:dyDescent="0.2">
      <c r="A166" s="1" t="s">
        <v>6</v>
      </c>
      <c r="B166" s="255" t="s">
        <v>181</v>
      </c>
      <c r="C166" s="255"/>
    </row>
    <row r="167" spans="1:3" ht="32" customHeight="1" x14ac:dyDescent="0.2">
      <c r="A167" s="1" t="s">
        <v>6</v>
      </c>
      <c r="B167" s="255" t="s">
        <v>182</v>
      </c>
      <c r="C167" s="255"/>
    </row>
    <row r="168" spans="1:3" ht="32" customHeight="1" x14ac:dyDescent="0.2">
      <c r="A168" s="1" t="s">
        <v>6</v>
      </c>
      <c r="B168" s="255" t="s">
        <v>183</v>
      </c>
      <c r="C168" s="255"/>
    </row>
    <row r="169" spans="1:3" ht="32" customHeight="1" x14ac:dyDescent="0.2">
      <c r="A169" s="1" t="s">
        <v>6</v>
      </c>
      <c r="B169" s="255" t="s">
        <v>184</v>
      </c>
      <c r="C169" s="255"/>
    </row>
    <row r="170" spans="1:3" ht="32" customHeight="1" x14ac:dyDescent="0.2">
      <c r="A170" s="1" t="s">
        <v>6</v>
      </c>
      <c r="B170" s="255" t="s">
        <v>185</v>
      </c>
      <c r="C170" s="255"/>
    </row>
    <row r="171" spans="1:3" ht="32" customHeight="1" x14ac:dyDescent="0.2">
      <c r="A171" s="1" t="s">
        <v>6</v>
      </c>
      <c r="B171" s="255" t="s">
        <v>186</v>
      </c>
      <c r="C171" s="255"/>
    </row>
    <row r="172" spans="1:3" ht="32" customHeight="1" x14ac:dyDescent="0.2">
      <c r="A172" s="1" t="s">
        <v>6</v>
      </c>
      <c r="B172" s="255" t="s">
        <v>187</v>
      </c>
      <c r="C172" s="255"/>
    </row>
    <row r="173" spans="1:3" ht="32" customHeight="1" x14ac:dyDescent="0.2">
      <c r="A173" s="1" t="s">
        <v>6</v>
      </c>
      <c r="B173" s="255" t="s">
        <v>188</v>
      </c>
      <c r="C173" s="255"/>
    </row>
    <row r="174" spans="1:3" ht="32" customHeight="1" x14ac:dyDescent="0.2">
      <c r="A174" s="1" t="s">
        <v>6</v>
      </c>
      <c r="B174" s="255" t="s">
        <v>189</v>
      </c>
      <c r="C174" s="255"/>
    </row>
    <row r="175" spans="1:3" ht="32" customHeight="1" x14ac:dyDescent="0.2">
      <c r="A175" s="1" t="s">
        <v>6</v>
      </c>
      <c r="B175" s="255" t="s">
        <v>190</v>
      </c>
      <c r="C175" s="255"/>
    </row>
    <row r="176" spans="1:3" ht="32" customHeight="1" x14ac:dyDescent="0.2">
      <c r="A176" s="1" t="s">
        <v>6</v>
      </c>
      <c r="B176" s="255" t="s">
        <v>191</v>
      </c>
      <c r="C176" s="255"/>
    </row>
    <row r="177" spans="1:3" ht="32" customHeight="1" x14ac:dyDescent="0.2">
      <c r="A177" s="1" t="s">
        <v>6</v>
      </c>
      <c r="B177" s="255" t="s">
        <v>192</v>
      </c>
      <c r="C177" s="255"/>
    </row>
    <row r="178" spans="1:3" ht="32" customHeight="1" x14ac:dyDescent="0.2">
      <c r="A178" s="1" t="s">
        <v>6</v>
      </c>
      <c r="B178" s="255" t="s">
        <v>193</v>
      </c>
      <c r="C178" s="255"/>
    </row>
    <row r="179" spans="1:3" ht="32" customHeight="1" x14ac:dyDescent="0.2">
      <c r="A179" s="1" t="s">
        <v>6</v>
      </c>
      <c r="B179" s="255" t="s">
        <v>194</v>
      </c>
      <c r="C179" s="255"/>
    </row>
    <row r="180" spans="1:3" ht="32" customHeight="1" x14ac:dyDescent="0.2">
      <c r="A180" s="1" t="s">
        <v>6</v>
      </c>
      <c r="B180" s="255" t="s">
        <v>195</v>
      </c>
      <c r="C180" s="255"/>
    </row>
    <row r="181" spans="1:3" ht="32" customHeight="1" x14ac:dyDescent="0.2">
      <c r="A181" s="1" t="s">
        <v>6</v>
      </c>
      <c r="B181" s="255" t="s">
        <v>196</v>
      </c>
      <c r="C181" s="255"/>
    </row>
    <row r="182" spans="1:3" ht="32" customHeight="1" x14ac:dyDescent="0.2">
      <c r="A182" s="1" t="s">
        <v>6</v>
      </c>
      <c r="B182" s="255" t="s">
        <v>197</v>
      </c>
      <c r="C182" s="255"/>
    </row>
    <row r="183" spans="1:3" ht="32" customHeight="1" x14ac:dyDescent="0.2">
      <c r="A183" s="1" t="s">
        <v>6</v>
      </c>
      <c r="B183" s="255" t="s">
        <v>198</v>
      </c>
      <c r="C183" s="255"/>
    </row>
    <row r="184" spans="1:3" ht="32" customHeight="1" x14ac:dyDescent="0.2">
      <c r="A184" s="1" t="s">
        <v>6</v>
      </c>
      <c r="B184" s="255" t="s">
        <v>199</v>
      </c>
      <c r="C184" s="255"/>
    </row>
    <row r="185" spans="1:3" ht="32" customHeight="1" x14ac:dyDescent="0.2">
      <c r="A185" s="1" t="s">
        <v>6</v>
      </c>
      <c r="B185" s="255" t="s">
        <v>200</v>
      </c>
      <c r="C185" s="255"/>
    </row>
    <row r="186" spans="1:3" ht="32" customHeight="1" x14ac:dyDescent="0.2">
      <c r="A186" s="1" t="s">
        <v>6</v>
      </c>
      <c r="B186" s="255" t="s">
        <v>201</v>
      </c>
      <c r="C186" s="255"/>
    </row>
    <row r="187" spans="1:3" ht="32" customHeight="1" x14ac:dyDescent="0.2">
      <c r="A187" s="1" t="s">
        <v>6</v>
      </c>
      <c r="B187" s="255" t="s">
        <v>202</v>
      </c>
      <c r="C187" s="255"/>
    </row>
    <row r="188" spans="1:3" ht="32" customHeight="1" x14ac:dyDescent="0.2">
      <c r="A188" s="1" t="s">
        <v>6</v>
      </c>
      <c r="B188" s="255" t="s">
        <v>203</v>
      </c>
      <c r="C188" s="255"/>
    </row>
    <row r="189" spans="1:3" ht="32" customHeight="1" x14ac:dyDescent="0.2">
      <c r="A189" s="1" t="s">
        <v>6</v>
      </c>
      <c r="B189" s="255" t="s">
        <v>204</v>
      </c>
      <c r="C189" s="255"/>
    </row>
    <row r="190" spans="1:3" ht="32" customHeight="1" x14ac:dyDescent="0.2">
      <c r="A190" s="1" t="s">
        <v>6</v>
      </c>
      <c r="B190" s="255" t="s">
        <v>205</v>
      </c>
      <c r="C190" s="255"/>
    </row>
    <row r="191" spans="1:3" ht="32" customHeight="1" x14ac:dyDescent="0.2">
      <c r="A191" s="1" t="s">
        <v>6</v>
      </c>
      <c r="B191" s="255" t="s">
        <v>206</v>
      </c>
      <c r="C191" s="255"/>
    </row>
    <row r="192" spans="1:3" ht="32" customHeight="1" x14ac:dyDescent="0.2">
      <c r="A192" s="1" t="s">
        <v>6</v>
      </c>
      <c r="B192" s="255" t="s">
        <v>207</v>
      </c>
      <c r="C192" s="255"/>
    </row>
    <row r="193" spans="1:3" ht="32" customHeight="1" x14ac:dyDescent="0.2">
      <c r="A193" s="1" t="s">
        <v>6</v>
      </c>
      <c r="B193" s="255" t="s">
        <v>208</v>
      </c>
      <c r="C193" s="255"/>
    </row>
    <row r="194" spans="1:3" ht="32" customHeight="1" x14ac:dyDescent="0.2">
      <c r="A194" s="1" t="s">
        <v>6</v>
      </c>
      <c r="B194" s="255" t="s">
        <v>209</v>
      </c>
      <c r="C194" s="255"/>
    </row>
    <row r="195" spans="1:3" ht="32" customHeight="1" x14ac:dyDescent="0.2">
      <c r="A195" s="1" t="s">
        <v>6</v>
      </c>
      <c r="B195" s="255" t="s">
        <v>210</v>
      </c>
      <c r="C195" s="255"/>
    </row>
    <row r="196" spans="1:3" ht="32" customHeight="1" x14ac:dyDescent="0.2">
      <c r="A196" s="1" t="s">
        <v>6</v>
      </c>
      <c r="B196" s="255" t="s">
        <v>211</v>
      </c>
      <c r="C196" s="255"/>
    </row>
    <row r="197" spans="1:3" ht="32" customHeight="1" x14ac:dyDescent="0.2">
      <c r="A197" s="1" t="s">
        <v>6</v>
      </c>
      <c r="B197" s="255" t="s">
        <v>212</v>
      </c>
      <c r="C197" s="255"/>
    </row>
    <row r="198" spans="1:3" ht="32" customHeight="1" x14ac:dyDescent="0.2">
      <c r="A198" s="1" t="s">
        <v>6</v>
      </c>
      <c r="B198" s="255" t="s">
        <v>213</v>
      </c>
      <c r="C198" s="255"/>
    </row>
    <row r="199" spans="1:3" ht="32" customHeight="1" x14ac:dyDescent="0.2">
      <c r="A199" s="1" t="s">
        <v>6</v>
      </c>
      <c r="B199" s="255" t="s">
        <v>214</v>
      </c>
      <c r="C199" s="255"/>
    </row>
    <row r="200" spans="1:3" ht="32" customHeight="1" x14ac:dyDescent="0.2">
      <c r="A200" s="1" t="s">
        <v>6</v>
      </c>
      <c r="B200" s="255" t="s">
        <v>215</v>
      </c>
      <c r="C200" s="255"/>
    </row>
    <row r="201" spans="1:3" ht="32" customHeight="1" x14ac:dyDescent="0.2">
      <c r="A201" s="1" t="s">
        <v>6</v>
      </c>
      <c r="B201" s="255" t="s">
        <v>216</v>
      </c>
      <c r="C201" s="255"/>
    </row>
    <row r="202" spans="1:3" ht="32" customHeight="1" x14ac:dyDescent="0.2">
      <c r="A202" s="1" t="s">
        <v>6</v>
      </c>
      <c r="B202" s="255" t="s">
        <v>217</v>
      </c>
      <c r="C202" s="255"/>
    </row>
    <row r="203" spans="1:3" ht="32" customHeight="1" x14ac:dyDescent="0.2">
      <c r="A203" s="1" t="s">
        <v>6</v>
      </c>
      <c r="B203" s="255" t="s">
        <v>218</v>
      </c>
      <c r="C203" s="255"/>
    </row>
    <row r="204" spans="1:3" ht="32" customHeight="1" x14ac:dyDescent="0.2">
      <c r="A204" s="1" t="s">
        <v>6</v>
      </c>
      <c r="B204" s="255" t="s">
        <v>219</v>
      </c>
      <c r="C204" s="255"/>
    </row>
    <row r="205" spans="1:3" ht="32" customHeight="1" x14ac:dyDescent="0.2">
      <c r="A205" s="1" t="s">
        <v>6</v>
      </c>
      <c r="B205" s="255" t="s">
        <v>220</v>
      </c>
      <c r="C205" s="255"/>
    </row>
    <row r="206" spans="1:3" ht="32" customHeight="1" x14ac:dyDescent="0.2">
      <c r="A206" s="1" t="s">
        <v>6</v>
      </c>
      <c r="B206" s="255" t="s">
        <v>221</v>
      </c>
      <c r="C206" s="255"/>
    </row>
    <row r="207" spans="1:3" ht="32" customHeight="1" x14ac:dyDescent="0.2">
      <c r="A207" s="1" t="s">
        <v>6</v>
      </c>
      <c r="B207" s="255" t="s">
        <v>222</v>
      </c>
      <c r="C207" s="255"/>
    </row>
    <row r="208" spans="1:3" ht="32" customHeight="1" x14ac:dyDescent="0.2">
      <c r="A208" s="1" t="s">
        <v>6</v>
      </c>
      <c r="B208" s="255" t="s">
        <v>223</v>
      </c>
      <c r="C208" s="255"/>
    </row>
    <row r="209" spans="1:3" ht="32" customHeight="1" x14ac:dyDescent="0.2">
      <c r="A209" s="1" t="s">
        <v>6</v>
      </c>
      <c r="B209" s="255" t="s">
        <v>224</v>
      </c>
      <c r="C209" s="255"/>
    </row>
    <row r="210" spans="1:3" ht="32" customHeight="1" x14ac:dyDescent="0.2">
      <c r="A210" s="1" t="s">
        <v>6</v>
      </c>
      <c r="B210" s="255" t="s">
        <v>225</v>
      </c>
      <c r="C210" s="255"/>
    </row>
    <row r="211" spans="1:3" ht="32" customHeight="1" x14ac:dyDescent="0.2">
      <c r="A211" s="1" t="s">
        <v>6</v>
      </c>
      <c r="B211" s="255" t="s">
        <v>226</v>
      </c>
      <c r="C211" s="255"/>
    </row>
    <row r="212" spans="1:3" ht="32" customHeight="1" x14ac:dyDescent="0.2">
      <c r="A212" s="1" t="s">
        <v>6</v>
      </c>
      <c r="B212" s="255" t="s">
        <v>227</v>
      </c>
      <c r="C212" s="255"/>
    </row>
    <row r="213" spans="1:3" ht="32" customHeight="1" x14ac:dyDescent="0.2">
      <c r="A213" s="1" t="s">
        <v>6</v>
      </c>
      <c r="B213" s="255" t="s">
        <v>228</v>
      </c>
      <c r="C213" s="255"/>
    </row>
    <row r="214" spans="1:3" ht="32" customHeight="1" x14ac:dyDescent="0.2">
      <c r="A214" s="1" t="s">
        <v>6</v>
      </c>
      <c r="B214" s="255" t="s">
        <v>229</v>
      </c>
      <c r="C214" s="255"/>
    </row>
    <row r="215" spans="1:3" ht="32" customHeight="1" x14ac:dyDescent="0.2">
      <c r="A215" s="1" t="s">
        <v>6</v>
      </c>
      <c r="B215" s="255" t="s">
        <v>230</v>
      </c>
      <c r="C215" s="255"/>
    </row>
    <row r="216" spans="1:3" ht="32" customHeight="1" x14ac:dyDescent="0.2">
      <c r="A216" s="1" t="s">
        <v>6</v>
      </c>
      <c r="B216" s="255" t="s">
        <v>231</v>
      </c>
      <c r="C216" s="255"/>
    </row>
    <row r="217" spans="1:3" ht="32" customHeight="1" x14ac:dyDescent="0.2">
      <c r="A217" s="1" t="s">
        <v>6</v>
      </c>
      <c r="B217" s="255" t="s">
        <v>232</v>
      </c>
      <c r="C217" s="255"/>
    </row>
    <row r="218" spans="1:3" ht="32" customHeight="1" x14ac:dyDescent="0.2">
      <c r="A218" s="1" t="s">
        <v>6</v>
      </c>
      <c r="B218" s="255" t="s">
        <v>233</v>
      </c>
      <c r="C218" s="255"/>
    </row>
    <row r="219" spans="1:3" ht="32" customHeight="1" x14ac:dyDescent="0.2">
      <c r="A219" s="1" t="s">
        <v>6</v>
      </c>
      <c r="B219" s="255" t="s">
        <v>234</v>
      </c>
      <c r="C219" s="255"/>
    </row>
    <row r="220" spans="1:3" ht="32" customHeight="1" x14ac:dyDescent="0.2">
      <c r="A220" s="1" t="s">
        <v>6</v>
      </c>
      <c r="B220" s="255" t="s">
        <v>235</v>
      </c>
      <c r="C220" s="255"/>
    </row>
    <row r="221" spans="1:3" ht="32" customHeight="1" x14ac:dyDescent="0.2">
      <c r="A221" s="1" t="s">
        <v>6</v>
      </c>
      <c r="B221" s="255" t="s">
        <v>236</v>
      </c>
      <c r="C221" s="255"/>
    </row>
    <row r="222" spans="1:3" ht="32" customHeight="1" x14ac:dyDescent="0.2">
      <c r="A222" s="1" t="s">
        <v>6</v>
      </c>
      <c r="B222" s="255" t="s">
        <v>237</v>
      </c>
      <c r="C222" s="255"/>
    </row>
    <row r="223" spans="1:3" ht="32" customHeight="1" x14ac:dyDescent="0.2">
      <c r="A223" s="1" t="s">
        <v>6</v>
      </c>
      <c r="B223" s="255" t="s">
        <v>238</v>
      </c>
      <c r="C223" s="255"/>
    </row>
    <row r="224" spans="1:3" ht="32" customHeight="1" x14ac:dyDescent="0.2">
      <c r="A224" s="1" t="s">
        <v>6</v>
      </c>
      <c r="B224" s="255" t="s">
        <v>239</v>
      </c>
      <c r="C224" s="255"/>
    </row>
    <row r="225" spans="1:3" ht="32" customHeight="1" x14ac:dyDescent="0.2">
      <c r="A225" s="1" t="s">
        <v>6</v>
      </c>
      <c r="B225" s="255" t="s">
        <v>240</v>
      </c>
      <c r="C225" s="255"/>
    </row>
    <row r="226" spans="1:3" ht="32" customHeight="1" x14ac:dyDescent="0.2">
      <c r="A226" s="1" t="s">
        <v>6</v>
      </c>
      <c r="B226" s="255" t="s">
        <v>241</v>
      </c>
      <c r="C226" s="255"/>
    </row>
    <row r="227" spans="1:3" ht="32" customHeight="1" x14ac:dyDescent="0.2">
      <c r="A227" s="1" t="s">
        <v>6</v>
      </c>
      <c r="B227" s="255" t="s">
        <v>242</v>
      </c>
      <c r="C227" s="255"/>
    </row>
    <row r="228" spans="1:3" ht="32" customHeight="1" x14ac:dyDescent="0.2">
      <c r="A228" s="1" t="s">
        <v>6</v>
      </c>
      <c r="B228" s="255" t="s">
        <v>243</v>
      </c>
      <c r="C228" s="255"/>
    </row>
    <row r="229" spans="1:3" ht="32" customHeight="1" x14ac:dyDescent="0.2">
      <c r="A229" s="1" t="s">
        <v>6</v>
      </c>
      <c r="B229" s="255" t="s">
        <v>244</v>
      </c>
      <c r="C229" s="255"/>
    </row>
    <row r="230" spans="1:3" ht="32" customHeight="1" x14ac:dyDescent="0.2">
      <c r="A230" s="1" t="s">
        <v>6</v>
      </c>
      <c r="B230" s="255" t="s">
        <v>245</v>
      </c>
      <c r="C230" s="255"/>
    </row>
    <row r="231" spans="1:3" ht="32" customHeight="1" x14ac:dyDescent="0.2">
      <c r="A231" s="1" t="s">
        <v>6</v>
      </c>
      <c r="B231" s="255" t="s">
        <v>246</v>
      </c>
      <c r="C231" s="255"/>
    </row>
    <row r="232" spans="1:3" ht="32" customHeight="1" x14ac:dyDescent="0.2">
      <c r="A232" s="1" t="s">
        <v>6</v>
      </c>
      <c r="B232" s="255" t="s">
        <v>247</v>
      </c>
      <c r="C232" s="255"/>
    </row>
    <row r="233" spans="1:3" ht="32" customHeight="1" x14ac:dyDescent="0.2">
      <c r="A233" s="1" t="s">
        <v>6</v>
      </c>
      <c r="B233" s="255" t="s">
        <v>248</v>
      </c>
      <c r="C233" s="255"/>
    </row>
    <row r="234" spans="1:3" ht="32" customHeight="1" x14ac:dyDescent="0.2">
      <c r="A234" s="1" t="s">
        <v>6</v>
      </c>
      <c r="B234" s="255" t="s">
        <v>249</v>
      </c>
      <c r="C234" s="255"/>
    </row>
    <row r="235" spans="1:3" ht="32" customHeight="1" x14ac:dyDescent="0.2">
      <c r="A235" s="1" t="s">
        <v>6</v>
      </c>
      <c r="B235" s="255" t="s">
        <v>250</v>
      </c>
      <c r="C235" s="255"/>
    </row>
    <row r="236" spans="1:3" ht="32" customHeight="1" x14ac:dyDescent="0.2">
      <c r="A236" s="1" t="s">
        <v>6</v>
      </c>
      <c r="B236" s="255" t="s">
        <v>251</v>
      </c>
      <c r="C236" s="255"/>
    </row>
    <row r="237" spans="1:3" ht="32" customHeight="1" x14ac:dyDescent="0.2">
      <c r="A237" s="1" t="s">
        <v>6</v>
      </c>
      <c r="B237" s="255" t="s">
        <v>252</v>
      </c>
      <c r="C237" s="255"/>
    </row>
    <row r="238" spans="1:3" ht="32" customHeight="1" x14ac:dyDescent="0.2">
      <c r="A238" s="1" t="s">
        <v>6</v>
      </c>
      <c r="B238" s="255" t="s">
        <v>253</v>
      </c>
      <c r="C238" s="255"/>
    </row>
    <row r="239" spans="1:3" ht="32" customHeight="1" x14ac:dyDescent="0.2">
      <c r="A239" s="1" t="s">
        <v>6</v>
      </c>
      <c r="B239" s="255" t="s">
        <v>254</v>
      </c>
      <c r="C239" s="255"/>
    </row>
    <row r="240" spans="1:3" ht="32" customHeight="1" x14ac:dyDescent="0.2">
      <c r="A240" s="1" t="s">
        <v>6</v>
      </c>
      <c r="B240" s="255" t="s">
        <v>255</v>
      </c>
      <c r="C240" s="255"/>
    </row>
    <row r="241" spans="1:3" ht="32" customHeight="1" x14ac:dyDescent="0.2">
      <c r="A241" s="1" t="s">
        <v>6</v>
      </c>
      <c r="B241" s="255" t="s">
        <v>256</v>
      </c>
      <c r="C241" s="255"/>
    </row>
    <row r="242" spans="1:3" ht="32" customHeight="1" x14ac:dyDescent="0.2">
      <c r="A242" s="1" t="s">
        <v>6</v>
      </c>
      <c r="B242" s="255" t="s">
        <v>257</v>
      </c>
      <c r="C242" s="255"/>
    </row>
    <row r="243" spans="1:3" ht="32" customHeight="1" x14ac:dyDescent="0.2">
      <c r="A243" s="1" t="s">
        <v>6</v>
      </c>
      <c r="B243" s="255" t="s">
        <v>258</v>
      </c>
      <c r="C243" s="255"/>
    </row>
    <row r="244" spans="1:3" ht="32" customHeight="1" x14ac:dyDescent="0.2">
      <c r="A244" s="1" t="s">
        <v>6</v>
      </c>
      <c r="B244" s="255" t="s">
        <v>259</v>
      </c>
      <c r="C244" s="255"/>
    </row>
    <row r="245" spans="1:3" ht="32" customHeight="1" x14ac:dyDescent="0.2">
      <c r="A245" s="1" t="s">
        <v>6</v>
      </c>
      <c r="B245" s="255" t="s">
        <v>260</v>
      </c>
      <c r="C245" s="255"/>
    </row>
    <row r="246" spans="1:3" ht="32" customHeight="1" x14ac:dyDescent="0.2">
      <c r="A246" s="1" t="s">
        <v>6</v>
      </c>
      <c r="B246" s="255" t="s">
        <v>261</v>
      </c>
      <c r="C246" s="255"/>
    </row>
    <row r="247" spans="1:3" ht="32" customHeight="1" x14ac:dyDescent="0.2">
      <c r="A247" s="1" t="s">
        <v>6</v>
      </c>
      <c r="B247" s="255" t="s">
        <v>262</v>
      </c>
      <c r="C247" s="255"/>
    </row>
    <row r="248" spans="1:3" ht="32" customHeight="1" x14ac:dyDescent="0.2">
      <c r="A248" s="1" t="s">
        <v>6</v>
      </c>
      <c r="B248" s="255" t="s">
        <v>263</v>
      </c>
      <c r="C248" s="255"/>
    </row>
    <row r="249" spans="1:3" ht="32" customHeight="1" x14ac:dyDescent="0.2">
      <c r="A249" s="1" t="s">
        <v>6</v>
      </c>
      <c r="B249" s="255" t="s">
        <v>264</v>
      </c>
      <c r="C249" s="255"/>
    </row>
    <row r="250" spans="1:3" ht="32" customHeight="1" x14ac:dyDescent="0.2">
      <c r="A250" s="1" t="s">
        <v>6</v>
      </c>
      <c r="B250" s="255" t="s">
        <v>265</v>
      </c>
      <c r="C250" s="255"/>
    </row>
    <row r="251" spans="1:3" ht="32" customHeight="1" x14ac:dyDescent="0.2">
      <c r="A251" s="1" t="s">
        <v>6</v>
      </c>
      <c r="B251" s="255" t="s">
        <v>266</v>
      </c>
      <c r="C251" s="255"/>
    </row>
    <row r="252" spans="1:3" ht="32" customHeight="1" x14ac:dyDescent="0.2">
      <c r="A252" s="1" t="s">
        <v>6</v>
      </c>
      <c r="B252" s="255" t="s">
        <v>267</v>
      </c>
      <c r="C252" s="255"/>
    </row>
    <row r="253" spans="1:3" ht="32" customHeight="1" x14ac:dyDescent="0.2">
      <c r="A253" s="1" t="s">
        <v>6</v>
      </c>
      <c r="B253" s="255" t="s">
        <v>268</v>
      </c>
      <c r="C253" s="255"/>
    </row>
    <row r="254" spans="1:3" ht="32" customHeight="1" x14ac:dyDescent="0.2">
      <c r="A254" s="1" t="s">
        <v>6</v>
      </c>
      <c r="B254" s="255" t="s">
        <v>269</v>
      </c>
      <c r="C254" s="255"/>
    </row>
    <row r="255" spans="1:3" ht="32" customHeight="1" x14ac:dyDescent="0.2">
      <c r="A255" s="1" t="s">
        <v>6</v>
      </c>
      <c r="B255" s="255" t="s">
        <v>270</v>
      </c>
      <c r="C255" s="255"/>
    </row>
    <row r="256" spans="1:3" ht="32" customHeight="1" x14ac:dyDescent="0.2">
      <c r="A256" s="1" t="s">
        <v>6</v>
      </c>
      <c r="B256" s="255" t="s">
        <v>271</v>
      </c>
      <c r="C256" s="255"/>
    </row>
    <row r="257" spans="1:3" ht="32" customHeight="1" x14ac:dyDescent="0.2">
      <c r="A257" s="1" t="s">
        <v>6</v>
      </c>
      <c r="B257" s="255" t="s">
        <v>272</v>
      </c>
      <c r="C257" s="255"/>
    </row>
    <row r="258" spans="1:3" ht="32" customHeight="1" x14ac:dyDescent="0.2">
      <c r="A258" s="1" t="s">
        <v>6</v>
      </c>
      <c r="B258" s="255" t="s">
        <v>273</v>
      </c>
      <c r="C258" s="255"/>
    </row>
    <row r="259" spans="1:3" ht="32" customHeight="1" x14ac:dyDescent="0.2">
      <c r="A259" s="1" t="s">
        <v>6</v>
      </c>
      <c r="B259" s="255" t="s">
        <v>274</v>
      </c>
      <c r="C259" s="255"/>
    </row>
    <row r="260" spans="1:3" ht="32" customHeight="1" x14ac:dyDescent="0.2">
      <c r="A260" s="1" t="s">
        <v>6</v>
      </c>
      <c r="B260" s="255" t="s">
        <v>275</v>
      </c>
      <c r="C260" s="255"/>
    </row>
    <row r="261" spans="1:3" ht="32" customHeight="1" x14ac:dyDescent="0.2">
      <c r="A261" s="1" t="s">
        <v>6</v>
      </c>
      <c r="B261" s="255" t="s">
        <v>276</v>
      </c>
      <c r="C261" s="255"/>
    </row>
    <row r="262" spans="1:3" ht="32" customHeight="1" x14ac:dyDescent="0.2">
      <c r="A262" s="1" t="s">
        <v>6</v>
      </c>
      <c r="B262" s="255" t="s">
        <v>277</v>
      </c>
      <c r="C262" s="255"/>
    </row>
    <row r="263" spans="1:3" ht="32" customHeight="1" x14ac:dyDescent="0.2">
      <c r="A263" s="1" t="s">
        <v>6</v>
      </c>
      <c r="B263" s="255" t="s">
        <v>278</v>
      </c>
      <c r="C263" s="255"/>
    </row>
    <row r="264" spans="1:3" ht="32" customHeight="1" x14ac:dyDescent="0.2">
      <c r="A264" s="1" t="s">
        <v>6</v>
      </c>
      <c r="B264" s="255" t="s">
        <v>279</v>
      </c>
      <c r="C264" s="255"/>
    </row>
    <row r="265" spans="1:3" ht="32" customHeight="1" x14ac:dyDescent="0.2">
      <c r="A265" s="1" t="s">
        <v>6</v>
      </c>
      <c r="B265" s="255" t="s">
        <v>280</v>
      </c>
      <c r="C265" s="255"/>
    </row>
    <row r="266" spans="1:3" ht="32" customHeight="1" x14ac:dyDescent="0.2">
      <c r="A266" s="1" t="s">
        <v>6</v>
      </c>
      <c r="B266" s="255" t="s">
        <v>281</v>
      </c>
      <c r="C266" s="255"/>
    </row>
    <row r="267" spans="1:3" ht="32" customHeight="1" x14ac:dyDescent="0.2">
      <c r="A267" s="1" t="s">
        <v>6</v>
      </c>
      <c r="B267" s="255" t="s">
        <v>282</v>
      </c>
      <c r="C267" s="255"/>
    </row>
    <row r="268" spans="1:3" ht="32" customHeight="1" x14ac:dyDescent="0.2">
      <c r="A268" s="1" t="s">
        <v>6</v>
      </c>
      <c r="B268" s="255" t="s">
        <v>283</v>
      </c>
      <c r="C268" s="255"/>
    </row>
    <row r="269" spans="1:3" ht="32" customHeight="1" x14ac:dyDescent="0.2">
      <c r="A269" s="1" t="s">
        <v>6</v>
      </c>
      <c r="B269" s="255" t="s">
        <v>284</v>
      </c>
      <c r="C269" s="255"/>
    </row>
    <row r="270" spans="1:3" ht="32" customHeight="1" x14ac:dyDescent="0.2">
      <c r="A270" s="1" t="s">
        <v>6</v>
      </c>
      <c r="B270" s="255" t="s">
        <v>285</v>
      </c>
      <c r="C270" s="255"/>
    </row>
    <row r="271" spans="1:3" ht="32" customHeight="1" x14ac:dyDescent="0.2">
      <c r="A271" s="1" t="s">
        <v>6</v>
      </c>
      <c r="B271" s="255" t="s">
        <v>286</v>
      </c>
      <c r="C271" s="255"/>
    </row>
    <row r="272" spans="1:3" ht="32" customHeight="1" x14ac:dyDescent="0.2">
      <c r="A272" s="1" t="s">
        <v>6</v>
      </c>
      <c r="B272" s="255" t="s">
        <v>287</v>
      </c>
      <c r="C272" s="255"/>
    </row>
    <row r="273" spans="1:3" ht="32" customHeight="1" x14ac:dyDescent="0.2">
      <c r="A273" s="1" t="s">
        <v>6</v>
      </c>
      <c r="B273" s="255" t="s">
        <v>288</v>
      </c>
      <c r="C273" s="255"/>
    </row>
    <row r="274" spans="1:3" ht="32" customHeight="1" x14ac:dyDescent="0.2">
      <c r="A274" s="1" t="s">
        <v>6</v>
      </c>
      <c r="B274" s="255" t="s">
        <v>289</v>
      </c>
      <c r="C274" s="255"/>
    </row>
    <row r="275" spans="1:3" ht="32" customHeight="1" x14ac:dyDescent="0.2">
      <c r="A275" s="1" t="s">
        <v>6</v>
      </c>
      <c r="B275" s="255" t="s">
        <v>290</v>
      </c>
      <c r="C275" s="255"/>
    </row>
    <row r="276" spans="1:3" ht="32" customHeight="1" x14ac:dyDescent="0.2">
      <c r="A276" s="1" t="s">
        <v>6</v>
      </c>
      <c r="B276" s="255" t="s">
        <v>291</v>
      </c>
      <c r="C276" s="255"/>
    </row>
    <row r="277" spans="1:3" ht="32" customHeight="1" x14ac:dyDescent="0.2">
      <c r="A277" s="1" t="s">
        <v>6</v>
      </c>
      <c r="B277" s="255" t="s">
        <v>292</v>
      </c>
      <c r="C277" s="255"/>
    </row>
    <row r="278" spans="1:3" ht="32" customHeight="1" x14ac:dyDescent="0.2">
      <c r="A278" s="1" t="s">
        <v>6</v>
      </c>
      <c r="B278" s="255" t="s">
        <v>293</v>
      </c>
      <c r="C278" s="255"/>
    </row>
    <row r="279" spans="1:3" ht="32" customHeight="1" x14ac:dyDescent="0.2">
      <c r="A279" s="1" t="s">
        <v>6</v>
      </c>
      <c r="B279" s="255" t="s">
        <v>294</v>
      </c>
      <c r="C279" s="255"/>
    </row>
    <row r="280" spans="1:3" ht="32" customHeight="1" x14ac:dyDescent="0.2">
      <c r="A280" s="1" t="s">
        <v>6</v>
      </c>
      <c r="B280" s="255" t="s">
        <v>295</v>
      </c>
      <c r="C280" s="255"/>
    </row>
    <row r="281" spans="1:3" ht="32" customHeight="1" x14ac:dyDescent="0.2">
      <c r="A281" s="1" t="s">
        <v>6</v>
      </c>
      <c r="B281" s="255" t="s">
        <v>296</v>
      </c>
      <c r="C281" s="255"/>
    </row>
    <row r="282" spans="1:3" ht="32" customHeight="1" x14ac:dyDescent="0.2">
      <c r="A282" s="1" t="s">
        <v>6</v>
      </c>
      <c r="B282" s="255" t="s">
        <v>297</v>
      </c>
      <c r="C282" s="255"/>
    </row>
    <row r="283" spans="1:3" ht="32" customHeight="1" x14ac:dyDescent="0.2">
      <c r="A283" s="1" t="s">
        <v>6</v>
      </c>
      <c r="B283" s="255" t="s">
        <v>298</v>
      </c>
      <c r="C283" s="255"/>
    </row>
    <row r="284" spans="1:3" ht="32" customHeight="1" x14ac:dyDescent="0.2">
      <c r="A284" s="1" t="s">
        <v>6</v>
      </c>
      <c r="B284" s="255" t="s">
        <v>299</v>
      </c>
      <c r="C284" s="255"/>
    </row>
    <row r="285" spans="1:3" ht="32" customHeight="1" x14ac:dyDescent="0.2">
      <c r="A285" s="1" t="s">
        <v>6</v>
      </c>
      <c r="B285" s="255" t="s">
        <v>300</v>
      </c>
      <c r="C285" s="255"/>
    </row>
    <row r="286" spans="1:3" ht="32" customHeight="1" x14ac:dyDescent="0.2">
      <c r="A286" s="1" t="s">
        <v>6</v>
      </c>
      <c r="B286" s="255" t="s">
        <v>301</v>
      </c>
      <c r="C286" s="255"/>
    </row>
    <row r="287" spans="1:3" ht="32" customHeight="1" x14ac:dyDescent="0.2">
      <c r="A287" s="1" t="s">
        <v>6</v>
      </c>
      <c r="B287" s="255" t="s">
        <v>302</v>
      </c>
      <c r="C287" s="255"/>
    </row>
    <row r="288" spans="1:3" ht="32" customHeight="1" x14ac:dyDescent="0.2">
      <c r="A288" s="1" t="s">
        <v>6</v>
      </c>
      <c r="B288" s="255" t="s">
        <v>303</v>
      </c>
      <c r="C288" s="255"/>
    </row>
    <row r="289" spans="1:3" ht="32" customHeight="1" x14ac:dyDescent="0.2">
      <c r="A289" s="1" t="s">
        <v>6</v>
      </c>
      <c r="B289" s="255" t="s">
        <v>304</v>
      </c>
      <c r="C289" s="255"/>
    </row>
    <row r="290" spans="1:3" ht="32" customHeight="1" x14ac:dyDescent="0.2">
      <c r="A290" s="1" t="s">
        <v>6</v>
      </c>
      <c r="B290" s="255" t="s">
        <v>305</v>
      </c>
      <c r="C290" s="255"/>
    </row>
    <row r="291" spans="1:3" ht="32" customHeight="1" x14ac:dyDescent="0.2">
      <c r="A291" s="1" t="s">
        <v>6</v>
      </c>
      <c r="B291" s="255" t="s">
        <v>306</v>
      </c>
      <c r="C291" s="255"/>
    </row>
    <row r="292" spans="1:3" ht="32" customHeight="1" x14ac:dyDescent="0.2">
      <c r="A292" s="1" t="s">
        <v>6</v>
      </c>
      <c r="B292" s="255" t="s">
        <v>307</v>
      </c>
      <c r="C292" s="255"/>
    </row>
    <row r="293" spans="1:3" ht="32" customHeight="1" x14ac:dyDescent="0.2">
      <c r="A293" s="1" t="s">
        <v>6</v>
      </c>
      <c r="B293" s="255" t="s">
        <v>308</v>
      </c>
      <c r="C293" s="255"/>
    </row>
    <row r="294" spans="1:3" ht="32" customHeight="1" x14ac:dyDescent="0.2">
      <c r="A294" s="1" t="s">
        <v>6</v>
      </c>
      <c r="B294" s="255" t="s">
        <v>309</v>
      </c>
      <c r="C294" s="255"/>
    </row>
    <row r="295" spans="1:3" ht="32" customHeight="1" x14ac:dyDescent="0.2">
      <c r="A295" s="1" t="s">
        <v>6</v>
      </c>
      <c r="B295" s="255" t="s">
        <v>310</v>
      </c>
      <c r="C295" s="255"/>
    </row>
    <row r="296" spans="1:3" ht="32" customHeight="1" x14ac:dyDescent="0.2">
      <c r="A296" s="1" t="s">
        <v>6</v>
      </c>
      <c r="B296" s="255" t="s">
        <v>311</v>
      </c>
      <c r="C296" s="255"/>
    </row>
    <row r="297" spans="1:3" ht="32" customHeight="1" x14ac:dyDescent="0.2">
      <c r="A297" s="1" t="s">
        <v>6</v>
      </c>
      <c r="B297" s="255" t="s">
        <v>312</v>
      </c>
      <c r="C297" s="255"/>
    </row>
    <row r="298" spans="1:3" ht="32" customHeight="1" x14ac:dyDescent="0.2">
      <c r="A298" s="1" t="s">
        <v>6</v>
      </c>
      <c r="B298" s="255" t="s">
        <v>313</v>
      </c>
      <c r="C298" s="255"/>
    </row>
    <row r="299" spans="1:3" ht="32" customHeight="1" x14ac:dyDescent="0.2">
      <c r="A299" s="1" t="s">
        <v>6</v>
      </c>
      <c r="B299" s="255" t="s">
        <v>314</v>
      </c>
      <c r="C299" s="255"/>
    </row>
    <row r="300" spans="1:3" ht="32" customHeight="1" x14ac:dyDescent="0.2">
      <c r="A300" s="1" t="s">
        <v>6</v>
      </c>
      <c r="B300" s="255" t="s">
        <v>315</v>
      </c>
      <c r="C300" s="255"/>
    </row>
    <row r="301" spans="1:3" ht="32" customHeight="1" x14ac:dyDescent="0.2">
      <c r="A301" s="1" t="s">
        <v>6</v>
      </c>
      <c r="B301" s="255" t="s">
        <v>316</v>
      </c>
      <c r="C301" s="255"/>
    </row>
    <row r="302" spans="1:3" ht="32" customHeight="1" x14ac:dyDescent="0.2">
      <c r="A302" s="1" t="s">
        <v>6</v>
      </c>
      <c r="B302" s="255" t="s">
        <v>317</v>
      </c>
      <c r="C302" s="255"/>
    </row>
    <row r="303" spans="1:3" ht="32" customHeight="1" x14ac:dyDescent="0.2">
      <c r="A303" s="1" t="s">
        <v>6</v>
      </c>
      <c r="B303" s="255" t="s">
        <v>318</v>
      </c>
      <c r="C303" s="255"/>
    </row>
    <row r="304" spans="1:3" ht="32" customHeight="1" x14ac:dyDescent="0.2">
      <c r="A304" s="1" t="s">
        <v>6</v>
      </c>
      <c r="B304" s="255" t="s">
        <v>319</v>
      </c>
      <c r="C304" s="255"/>
    </row>
    <row r="305" spans="1:3" ht="32" customHeight="1" x14ac:dyDescent="0.2">
      <c r="A305" s="1" t="s">
        <v>6</v>
      </c>
      <c r="B305" s="255" t="s">
        <v>320</v>
      </c>
      <c r="C305" s="255"/>
    </row>
    <row r="306" spans="1:3" ht="32" customHeight="1" x14ac:dyDescent="0.2">
      <c r="A306" s="1" t="s">
        <v>6</v>
      </c>
      <c r="B306" s="255" t="s">
        <v>321</v>
      </c>
      <c r="C306" s="255"/>
    </row>
    <row r="307" spans="1:3" ht="32" customHeight="1" x14ac:dyDescent="0.2">
      <c r="A307" s="1" t="s">
        <v>6</v>
      </c>
      <c r="B307" s="255" t="s">
        <v>322</v>
      </c>
      <c r="C307" s="255"/>
    </row>
    <row r="308" spans="1:3" ht="32" customHeight="1" x14ac:dyDescent="0.2">
      <c r="A308" s="1" t="s">
        <v>6</v>
      </c>
      <c r="B308" s="255" t="s">
        <v>323</v>
      </c>
      <c r="C308" s="255"/>
    </row>
    <row r="309" spans="1:3" ht="32" customHeight="1" x14ac:dyDescent="0.2">
      <c r="A309" s="1" t="s">
        <v>6</v>
      </c>
      <c r="B309" s="255" t="s">
        <v>324</v>
      </c>
      <c r="C309" s="255"/>
    </row>
    <row r="310" spans="1:3" ht="32" customHeight="1" x14ac:dyDescent="0.2">
      <c r="A310" s="1" t="s">
        <v>6</v>
      </c>
      <c r="B310" s="255" t="s">
        <v>325</v>
      </c>
      <c r="C310" s="255"/>
    </row>
    <row r="311" spans="1:3" ht="32" customHeight="1" x14ac:dyDescent="0.2">
      <c r="A311" s="1" t="s">
        <v>6</v>
      </c>
      <c r="B311" s="255" t="s">
        <v>326</v>
      </c>
      <c r="C311" s="255"/>
    </row>
    <row r="312" spans="1:3" ht="32" customHeight="1" x14ac:dyDescent="0.2">
      <c r="A312" s="1" t="s">
        <v>6</v>
      </c>
      <c r="B312" s="255" t="s">
        <v>327</v>
      </c>
      <c r="C312" s="255"/>
    </row>
    <row r="313" spans="1:3" ht="32" customHeight="1" x14ac:dyDescent="0.2">
      <c r="A313" s="1" t="s">
        <v>6</v>
      </c>
      <c r="B313" s="255" t="s">
        <v>328</v>
      </c>
      <c r="C313" s="255"/>
    </row>
    <row r="314" spans="1:3" ht="32" customHeight="1" x14ac:dyDescent="0.2">
      <c r="A314" s="1" t="s">
        <v>6</v>
      </c>
      <c r="B314" s="255" t="s">
        <v>329</v>
      </c>
      <c r="C314" s="255"/>
    </row>
    <row r="315" spans="1:3" ht="32" customHeight="1" x14ac:dyDescent="0.2">
      <c r="A315" s="1" t="s">
        <v>6</v>
      </c>
      <c r="B315" s="255" t="s">
        <v>330</v>
      </c>
      <c r="C315" s="255"/>
    </row>
    <row r="316" spans="1:3" ht="32" customHeight="1" x14ac:dyDescent="0.2">
      <c r="A316" s="1" t="s">
        <v>6</v>
      </c>
      <c r="B316" s="255" t="s">
        <v>331</v>
      </c>
      <c r="C316" s="255"/>
    </row>
    <row r="317" spans="1:3" ht="32" customHeight="1" x14ac:dyDescent="0.2">
      <c r="A317" s="1" t="s">
        <v>6</v>
      </c>
      <c r="B317" s="255" t="s">
        <v>332</v>
      </c>
      <c r="C317" s="255"/>
    </row>
    <row r="318" spans="1:3" ht="32" customHeight="1" x14ac:dyDescent="0.2">
      <c r="A318" s="1" t="s">
        <v>6</v>
      </c>
      <c r="B318" s="255" t="s">
        <v>333</v>
      </c>
      <c r="C318" s="255"/>
    </row>
    <row r="319" spans="1:3" ht="32" customHeight="1" x14ac:dyDescent="0.2">
      <c r="A319" s="1" t="s">
        <v>6</v>
      </c>
      <c r="B319" s="255" t="s">
        <v>334</v>
      </c>
      <c r="C319" s="255"/>
    </row>
    <row r="320" spans="1:3" ht="32" customHeight="1" x14ac:dyDescent="0.2">
      <c r="A320" s="1" t="s">
        <v>6</v>
      </c>
      <c r="B320" s="255" t="s">
        <v>335</v>
      </c>
      <c r="C320" s="255"/>
    </row>
    <row r="321" spans="1:3" ht="32" customHeight="1" x14ac:dyDescent="0.2">
      <c r="A321" s="1" t="s">
        <v>6</v>
      </c>
      <c r="B321" s="255" t="s">
        <v>336</v>
      </c>
      <c r="C321" s="255"/>
    </row>
    <row r="322" spans="1:3" ht="32" customHeight="1" x14ac:dyDescent="0.2">
      <c r="A322" s="1" t="s">
        <v>6</v>
      </c>
      <c r="B322" s="255" t="s">
        <v>337</v>
      </c>
      <c r="C322" s="255"/>
    </row>
    <row r="323" spans="1:3" ht="32" customHeight="1" x14ac:dyDescent="0.2">
      <c r="A323" s="1" t="s">
        <v>6</v>
      </c>
      <c r="B323" s="255" t="s">
        <v>338</v>
      </c>
      <c r="C323" s="255"/>
    </row>
    <row r="324" spans="1:3" ht="32" customHeight="1" x14ac:dyDescent="0.2">
      <c r="A324" s="1" t="s">
        <v>6</v>
      </c>
      <c r="B324" s="255" t="s">
        <v>339</v>
      </c>
      <c r="C324" s="255"/>
    </row>
    <row r="325" spans="1:3" ht="32" customHeight="1" x14ac:dyDescent="0.2">
      <c r="A325" s="1" t="s">
        <v>6</v>
      </c>
      <c r="B325" s="255" t="s">
        <v>340</v>
      </c>
      <c r="C325" s="255"/>
    </row>
    <row r="326" spans="1:3" ht="32" customHeight="1" x14ac:dyDescent="0.2">
      <c r="A326" s="1" t="s">
        <v>6</v>
      </c>
      <c r="B326" s="255" t="s">
        <v>341</v>
      </c>
      <c r="C326" s="255"/>
    </row>
    <row r="327" spans="1:3" ht="32" customHeight="1" x14ac:dyDescent="0.2">
      <c r="A327" s="1" t="s">
        <v>6</v>
      </c>
      <c r="B327" s="255" t="s">
        <v>342</v>
      </c>
      <c r="C327" s="255"/>
    </row>
    <row r="328" spans="1:3" ht="32" customHeight="1" x14ac:dyDescent="0.2">
      <c r="A328" s="1" t="s">
        <v>6</v>
      </c>
      <c r="B328" s="255" t="s">
        <v>343</v>
      </c>
      <c r="C328" s="255"/>
    </row>
    <row r="329" spans="1:3" ht="32" customHeight="1" x14ac:dyDescent="0.2">
      <c r="A329" s="1" t="s">
        <v>6</v>
      </c>
      <c r="B329" s="255" t="s">
        <v>344</v>
      </c>
      <c r="C329" s="255"/>
    </row>
    <row r="330" spans="1:3" ht="32" customHeight="1" x14ac:dyDescent="0.2">
      <c r="A330" s="1" t="s">
        <v>6</v>
      </c>
      <c r="B330" s="255" t="s">
        <v>345</v>
      </c>
      <c r="C330" s="255"/>
    </row>
    <row r="331" spans="1:3" ht="32" customHeight="1" x14ac:dyDescent="0.2">
      <c r="A331" s="1" t="s">
        <v>6</v>
      </c>
      <c r="B331" s="255" t="s">
        <v>346</v>
      </c>
      <c r="C331" s="255"/>
    </row>
    <row r="332" spans="1:3" ht="32" customHeight="1" x14ac:dyDescent="0.2">
      <c r="A332" s="1" t="s">
        <v>6</v>
      </c>
      <c r="B332" s="255" t="s">
        <v>347</v>
      </c>
      <c r="C332" s="255"/>
    </row>
    <row r="333" spans="1:3" ht="32" customHeight="1" x14ac:dyDescent="0.2">
      <c r="A333" s="1" t="s">
        <v>6</v>
      </c>
      <c r="B333" s="255" t="s">
        <v>348</v>
      </c>
      <c r="C333" s="255"/>
    </row>
    <row r="334" spans="1:3" ht="32" customHeight="1" x14ac:dyDescent="0.2">
      <c r="A334" s="1" t="s">
        <v>6</v>
      </c>
      <c r="B334" s="255" t="s">
        <v>349</v>
      </c>
      <c r="C334" s="255"/>
    </row>
    <row r="335" spans="1:3" ht="32" customHeight="1" x14ac:dyDescent="0.2">
      <c r="A335" s="1" t="s">
        <v>6</v>
      </c>
      <c r="B335" s="255" t="s">
        <v>350</v>
      </c>
      <c r="C335" s="255"/>
    </row>
    <row r="336" spans="1:3" ht="32" customHeight="1" x14ac:dyDescent="0.2">
      <c r="A336" s="1" t="s">
        <v>6</v>
      </c>
      <c r="B336" s="255" t="s">
        <v>351</v>
      </c>
      <c r="C336" s="255"/>
    </row>
    <row r="337" spans="1:3" ht="32" customHeight="1" x14ac:dyDescent="0.2">
      <c r="A337" s="1" t="s">
        <v>6</v>
      </c>
      <c r="B337" s="255" t="s">
        <v>352</v>
      </c>
      <c r="C337" s="255"/>
    </row>
    <row r="338" spans="1:3" ht="32" customHeight="1" x14ac:dyDescent="0.2">
      <c r="A338" s="1" t="s">
        <v>6</v>
      </c>
      <c r="B338" s="255" t="s">
        <v>353</v>
      </c>
      <c r="C338" s="255"/>
    </row>
    <row r="339" spans="1:3" ht="32" customHeight="1" x14ac:dyDescent="0.2">
      <c r="A339" s="1" t="s">
        <v>6</v>
      </c>
      <c r="B339" s="255" t="s">
        <v>354</v>
      </c>
      <c r="C339" s="255"/>
    </row>
    <row r="340" spans="1:3" ht="32" customHeight="1" x14ac:dyDescent="0.2">
      <c r="A340" s="1" t="s">
        <v>6</v>
      </c>
      <c r="B340" s="255" t="s">
        <v>355</v>
      </c>
      <c r="C340" s="255"/>
    </row>
    <row r="341" spans="1:3" ht="32" customHeight="1" x14ac:dyDescent="0.2">
      <c r="A341" s="1" t="s">
        <v>6</v>
      </c>
      <c r="B341" s="255" t="s">
        <v>356</v>
      </c>
      <c r="C341" s="255"/>
    </row>
    <row r="342" spans="1:3" ht="32" customHeight="1" x14ac:dyDescent="0.2">
      <c r="A342" s="1" t="s">
        <v>6</v>
      </c>
      <c r="B342" s="255" t="s">
        <v>357</v>
      </c>
      <c r="C342" s="255"/>
    </row>
    <row r="343" spans="1:3" ht="32" customHeight="1" x14ac:dyDescent="0.2">
      <c r="A343" s="1" t="s">
        <v>6</v>
      </c>
      <c r="B343" s="255" t="s">
        <v>358</v>
      </c>
      <c r="C343" s="255"/>
    </row>
    <row r="344" spans="1:3" ht="32" customHeight="1" x14ac:dyDescent="0.2">
      <c r="A344" s="1" t="s">
        <v>6</v>
      </c>
      <c r="B344" s="255" t="s">
        <v>359</v>
      </c>
      <c r="C344" s="255"/>
    </row>
    <row r="345" spans="1:3" ht="32" customHeight="1" x14ac:dyDescent="0.2">
      <c r="A345" s="1" t="s">
        <v>6</v>
      </c>
      <c r="B345" s="255" t="s">
        <v>360</v>
      </c>
      <c r="C345" s="255"/>
    </row>
    <row r="346" spans="1:3" ht="32" customHeight="1" x14ac:dyDescent="0.2">
      <c r="A346" s="1" t="s">
        <v>6</v>
      </c>
      <c r="B346" s="255" t="s">
        <v>361</v>
      </c>
      <c r="C346" s="255"/>
    </row>
    <row r="347" spans="1:3" ht="32" customHeight="1" x14ac:dyDescent="0.2">
      <c r="A347" s="1" t="s">
        <v>6</v>
      </c>
      <c r="B347" s="255" t="s">
        <v>362</v>
      </c>
      <c r="C347" s="255"/>
    </row>
    <row r="348" spans="1:3" ht="32" customHeight="1" x14ac:dyDescent="0.2">
      <c r="A348" s="1" t="s">
        <v>6</v>
      </c>
      <c r="B348" s="255" t="s">
        <v>363</v>
      </c>
      <c r="C348" s="255"/>
    </row>
    <row r="349" spans="1:3" ht="32" customHeight="1" x14ac:dyDescent="0.2">
      <c r="A349" s="1" t="s">
        <v>6</v>
      </c>
      <c r="B349" s="255" t="s">
        <v>364</v>
      </c>
      <c r="C349" s="255"/>
    </row>
    <row r="350" spans="1:3" ht="32" customHeight="1" x14ac:dyDescent="0.2">
      <c r="A350" s="1" t="s">
        <v>6</v>
      </c>
      <c r="B350" s="255" t="s">
        <v>365</v>
      </c>
      <c r="C350" s="255"/>
    </row>
    <row r="351" spans="1:3" ht="32" customHeight="1" x14ac:dyDescent="0.2">
      <c r="A351" s="1" t="s">
        <v>6</v>
      </c>
      <c r="B351" s="255" t="s">
        <v>366</v>
      </c>
      <c r="C351" s="255"/>
    </row>
    <row r="352" spans="1:3" ht="32" customHeight="1" x14ac:dyDescent="0.2">
      <c r="A352" s="1" t="s">
        <v>6</v>
      </c>
      <c r="B352" s="255" t="s">
        <v>367</v>
      </c>
      <c r="C352" s="255"/>
    </row>
    <row r="353" spans="1:3" ht="32" customHeight="1" x14ac:dyDescent="0.2">
      <c r="A353" s="1" t="s">
        <v>6</v>
      </c>
      <c r="B353" s="255" t="s">
        <v>368</v>
      </c>
      <c r="C353" s="255"/>
    </row>
    <row r="354" spans="1:3" ht="32" customHeight="1" x14ac:dyDescent="0.2">
      <c r="A354" s="1" t="s">
        <v>6</v>
      </c>
      <c r="B354" s="255" t="s">
        <v>369</v>
      </c>
      <c r="C354" s="255"/>
    </row>
    <row r="355" spans="1:3" ht="32" customHeight="1" x14ac:dyDescent="0.2">
      <c r="A355" s="1" t="s">
        <v>6</v>
      </c>
      <c r="B355" s="255" t="s">
        <v>370</v>
      </c>
      <c r="C355" s="255"/>
    </row>
    <row r="356" spans="1:3" ht="32" customHeight="1" x14ac:dyDescent="0.2">
      <c r="A356" s="1" t="s">
        <v>6</v>
      </c>
      <c r="B356" s="255" t="s">
        <v>371</v>
      </c>
      <c r="C356" s="255"/>
    </row>
    <row r="357" spans="1:3" ht="32" customHeight="1" x14ac:dyDescent="0.2">
      <c r="A357" s="1" t="s">
        <v>6</v>
      </c>
      <c r="B357" s="255" t="s">
        <v>372</v>
      </c>
      <c r="C357" s="255"/>
    </row>
    <row r="358" spans="1:3" ht="32" customHeight="1" x14ac:dyDescent="0.2">
      <c r="A358" s="1" t="s">
        <v>6</v>
      </c>
      <c r="B358" s="255" t="s">
        <v>373</v>
      </c>
      <c r="C358" s="255"/>
    </row>
    <row r="359" spans="1:3" ht="32" customHeight="1" x14ac:dyDescent="0.2">
      <c r="A359" s="1" t="s">
        <v>6</v>
      </c>
      <c r="B359" s="255" t="s">
        <v>374</v>
      </c>
      <c r="C359" s="255"/>
    </row>
    <row r="360" spans="1:3" ht="32" customHeight="1" x14ac:dyDescent="0.2">
      <c r="A360" s="1" t="s">
        <v>6</v>
      </c>
      <c r="B360" s="255" t="s">
        <v>375</v>
      </c>
      <c r="C360" s="255"/>
    </row>
    <row r="361" spans="1:3" ht="32" customHeight="1" x14ac:dyDescent="0.2">
      <c r="A361" s="1" t="s">
        <v>6</v>
      </c>
      <c r="B361" s="255" t="s">
        <v>376</v>
      </c>
      <c r="C361" s="255"/>
    </row>
    <row r="362" spans="1:3" ht="32" customHeight="1" x14ac:dyDescent="0.2">
      <c r="A362" s="1" t="s">
        <v>6</v>
      </c>
      <c r="B362" s="255" t="s">
        <v>377</v>
      </c>
      <c r="C362" s="255"/>
    </row>
    <row r="363" spans="1:3" ht="32" customHeight="1" x14ac:dyDescent="0.2">
      <c r="A363" s="1" t="s">
        <v>6</v>
      </c>
      <c r="B363" s="255" t="s">
        <v>378</v>
      </c>
      <c r="C363" s="255"/>
    </row>
    <row r="364" spans="1:3" ht="32" customHeight="1" x14ac:dyDescent="0.2">
      <c r="A364" s="1" t="s">
        <v>6</v>
      </c>
      <c r="B364" s="255" t="s">
        <v>379</v>
      </c>
      <c r="C364" s="255"/>
    </row>
    <row r="365" spans="1:3" ht="32" customHeight="1" x14ac:dyDescent="0.2">
      <c r="A365" s="1" t="s">
        <v>6</v>
      </c>
      <c r="B365" s="255" t="s">
        <v>380</v>
      </c>
      <c r="C365" s="255"/>
    </row>
    <row r="366" spans="1:3" ht="32" customHeight="1" x14ac:dyDescent="0.2">
      <c r="A366" s="1" t="s">
        <v>6</v>
      </c>
      <c r="B366" s="255" t="s">
        <v>381</v>
      </c>
      <c r="C366" s="255"/>
    </row>
    <row r="367" spans="1:3" ht="32" customHeight="1" x14ac:dyDescent="0.2">
      <c r="A367" s="1" t="s">
        <v>6</v>
      </c>
      <c r="B367" s="255" t="s">
        <v>382</v>
      </c>
      <c r="C367" s="255"/>
    </row>
    <row r="368" spans="1:3" ht="32" customHeight="1" x14ac:dyDescent="0.2">
      <c r="A368" s="1" t="s">
        <v>6</v>
      </c>
      <c r="B368" s="255" t="s">
        <v>383</v>
      </c>
      <c r="C368" s="255"/>
    </row>
    <row r="369" spans="1:3" ht="32" customHeight="1" x14ac:dyDescent="0.2">
      <c r="A369" s="1" t="s">
        <v>6</v>
      </c>
      <c r="B369" s="255" t="s">
        <v>384</v>
      </c>
      <c r="C369" s="255"/>
    </row>
    <row r="370" spans="1:3" ht="32" customHeight="1" x14ac:dyDescent="0.2">
      <c r="A370" s="1" t="s">
        <v>6</v>
      </c>
      <c r="B370" s="255" t="s">
        <v>385</v>
      </c>
      <c r="C370" s="255"/>
    </row>
    <row r="371" spans="1:3" ht="32" customHeight="1" x14ac:dyDescent="0.2">
      <c r="A371" s="1" t="s">
        <v>6</v>
      </c>
      <c r="B371" s="255" t="s">
        <v>386</v>
      </c>
      <c r="C371" s="255"/>
    </row>
    <row r="372" spans="1:3" ht="32" customHeight="1" x14ac:dyDescent="0.2">
      <c r="A372" s="1" t="s">
        <v>6</v>
      </c>
      <c r="B372" s="255" t="s">
        <v>387</v>
      </c>
      <c r="C372" s="255"/>
    </row>
    <row r="373" spans="1:3" ht="32" customHeight="1" x14ac:dyDescent="0.2">
      <c r="A373" s="1" t="s">
        <v>6</v>
      </c>
      <c r="B373" s="255" t="s">
        <v>388</v>
      </c>
      <c r="C373" s="255"/>
    </row>
    <row r="374" spans="1:3" ht="32" customHeight="1" x14ac:dyDescent="0.2">
      <c r="A374" s="1" t="s">
        <v>6</v>
      </c>
      <c r="B374" s="255" t="s">
        <v>389</v>
      </c>
      <c r="C374" s="255"/>
    </row>
    <row r="375" spans="1:3" ht="32" customHeight="1" x14ac:dyDescent="0.2">
      <c r="A375" s="1" t="s">
        <v>6</v>
      </c>
      <c r="B375" s="255" t="s">
        <v>390</v>
      </c>
      <c r="C375" s="255"/>
    </row>
    <row r="376" spans="1:3" ht="32" customHeight="1" x14ac:dyDescent="0.2">
      <c r="A376" s="1" t="s">
        <v>6</v>
      </c>
      <c r="B376" s="255" t="s">
        <v>391</v>
      </c>
      <c r="C376" s="255"/>
    </row>
    <row r="377" spans="1:3" ht="32" customHeight="1" x14ac:dyDescent="0.2">
      <c r="A377" s="1" t="s">
        <v>6</v>
      </c>
      <c r="B377" s="255" t="s">
        <v>392</v>
      </c>
      <c r="C377" s="255"/>
    </row>
    <row r="378" spans="1:3" ht="32" customHeight="1" x14ac:dyDescent="0.2">
      <c r="A378" s="1" t="s">
        <v>6</v>
      </c>
      <c r="B378" s="255" t="s">
        <v>393</v>
      </c>
      <c r="C378" s="255"/>
    </row>
    <row r="379" spans="1:3" ht="32" customHeight="1" x14ac:dyDescent="0.2">
      <c r="A379" s="1" t="s">
        <v>6</v>
      </c>
      <c r="B379" s="255" t="s">
        <v>394</v>
      </c>
      <c r="C379" s="255"/>
    </row>
    <row r="380" spans="1:3" ht="32" customHeight="1" x14ac:dyDescent="0.2">
      <c r="A380" s="1" t="s">
        <v>6</v>
      </c>
      <c r="B380" s="255" t="s">
        <v>395</v>
      </c>
      <c r="C380" s="255"/>
    </row>
    <row r="381" spans="1:3" ht="32" customHeight="1" x14ac:dyDescent="0.2">
      <c r="A381" s="1" t="s">
        <v>6</v>
      </c>
      <c r="B381" s="255" t="s">
        <v>396</v>
      </c>
      <c r="C381" s="255"/>
    </row>
    <row r="382" spans="1:3" ht="32" customHeight="1" x14ac:dyDescent="0.2">
      <c r="A382" s="1" t="s">
        <v>6</v>
      </c>
      <c r="B382" s="255" t="s">
        <v>397</v>
      </c>
      <c r="C382" s="255"/>
    </row>
    <row r="383" spans="1:3" ht="32" customHeight="1" x14ac:dyDescent="0.2">
      <c r="A383" s="1" t="s">
        <v>6</v>
      </c>
      <c r="B383" s="255" t="s">
        <v>398</v>
      </c>
      <c r="C383" s="255"/>
    </row>
    <row r="384" spans="1:3" ht="32" customHeight="1" x14ac:dyDescent="0.2">
      <c r="A384" s="1" t="s">
        <v>6</v>
      </c>
      <c r="B384" s="255" t="s">
        <v>399</v>
      </c>
      <c r="C384" s="255"/>
    </row>
    <row r="385" spans="1:3" ht="32" customHeight="1" x14ac:dyDescent="0.2">
      <c r="A385" s="1" t="s">
        <v>6</v>
      </c>
      <c r="B385" s="255" t="s">
        <v>400</v>
      </c>
      <c r="C385" s="255"/>
    </row>
    <row r="386" spans="1:3" ht="32" customHeight="1" x14ac:dyDescent="0.2">
      <c r="A386" s="1" t="s">
        <v>6</v>
      </c>
      <c r="B386" s="255" t="s">
        <v>401</v>
      </c>
      <c r="C386" s="255"/>
    </row>
    <row r="387" spans="1:3" ht="32" customHeight="1" x14ac:dyDescent="0.2">
      <c r="A387" s="1" t="s">
        <v>6</v>
      </c>
      <c r="B387" s="255" t="s">
        <v>402</v>
      </c>
      <c r="C387" s="255"/>
    </row>
    <row r="388" spans="1:3" ht="32" customHeight="1" x14ac:dyDescent="0.2">
      <c r="A388" s="1" t="s">
        <v>6</v>
      </c>
      <c r="B388" s="255" t="s">
        <v>403</v>
      </c>
      <c r="C388" s="255"/>
    </row>
    <row r="389" spans="1:3" ht="32" customHeight="1" x14ac:dyDescent="0.2">
      <c r="A389" s="1" t="s">
        <v>6</v>
      </c>
      <c r="B389" s="255" t="s">
        <v>404</v>
      </c>
      <c r="C389" s="255"/>
    </row>
    <row r="390" spans="1:3" ht="32" customHeight="1" x14ac:dyDescent="0.2">
      <c r="A390" s="1" t="s">
        <v>6</v>
      </c>
      <c r="B390" s="255" t="s">
        <v>405</v>
      </c>
      <c r="C390" s="255"/>
    </row>
    <row r="391" spans="1:3" ht="32" customHeight="1" x14ac:dyDescent="0.2">
      <c r="A391" s="1" t="s">
        <v>6</v>
      </c>
      <c r="B391" s="255" t="s">
        <v>406</v>
      </c>
      <c r="C391" s="255"/>
    </row>
    <row r="392" spans="1:3" ht="32" customHeight="1" x14ac:dyDescent="0.2">
      <c r="A392" s="1" t="s">
        <v>6</v>
      </c>
      <c r="B392" s="255" t="s">
        <v>407</v>
      </c>
      <c r="C392" s="255"/>
    </row>
    <row r="393" spans="1:3" ht="32" customHeight="1" x14ac:dyDescent="0.2">
      <c r="A393" s="1" t="s">
        <v>6</v>
      </c>
      <c r="B393" s="255" t="s">
        <v>408</v>
      </c>
      <c r="C393" s="255"/>
    </row>
    <row r="394" spans="1:3" ht="32" customHeight="1" x14ac:dyDescent="0.2">
      <c r="A394" s="1" t="s">
        <v>6</v>
      </c>
      <c r="B394" s="255" t="s">
        <v>409</v>
      </c>
      <c r="C394" s="255"/>
    </row>
    <row r="395" spans="1:3" ht="32" customHeight="1" x14ac:dyDescent="0.2">
      <c r="A395" s="1" t="s">
        <v>6</v>
      </c>
      <c r="B395" s="255" t="s">
        <v>410</v>
      </c>
      <c r="C395" s="255"/>
    </row>
    <row r="396" spans="1:3" ht="32" customHeight="1" x14ac:dyDescent="0.2">
      <c r="A396" s="1" t="s">
        <v>6</v>
      </c>
      <c r="B396" s="255" t="s">
        <v>411</v>
      </c>
      <c r="C396" s="255"/>
    </row>
    <row r="397" spans="1:3" ht="32" customHeight="1" x14ac:dyDescent="0.2">
      <c r="A397" s="1" t="s">
        <v>6</v>
      </c>
      <c r="B397" s="255" t="s">
        <v>412</v>
      </c>
      <c r="C397" s="255"/>
    </row>
    <row r="398" spans="1:3" ht="32" customHeight="1" x14ac:dyDescent="0.2">
      <c r="A398" s="1" t="s">
        <v>6</v>
      </c>
      <c r="B398" s="255" t="s">
        <v>413</v>
      </c>
      <c r="C398" s="255"/>
    </row>
    <row r="399" spans="1:3" ht="32" customHeight="1" x14ac:dyDescent="0.2">
      <c r="A399" s="1" t="s">
        <v>6</v>
      </c>
      <c r="B399" s="255" t="s">
        <v>414</v>
      </c>
      <c r="C399" s="255"/>
    </row>
    <row r="400" spans="1:3" ht="32" customHeight="1" x14ac:dyDescent="0.2">
      <c r="A400" s="1" t="s">
        <v>6</v>
      </c>
      <c r="B400" s="255" t="s">
        <v>415</v>
      </c>
      <c r="C400" s="255"/>
    </row>
    <row r="401" spans="1:3" ht="32" customHeight="1" x14ac:dyDescent="0.2">
      <c r="A401" s="1" t="s">
        <v>6</v>
      </c>
      <c r="B401" s="255" t="s">
        <v>416</v>
      </c>
      <c r="C401" s="255"/>
    </row>
    <row r="402" spans="1:3" ht="32" customHeight="1" x14ac:dyDescent="0.2">
      <c r="A402" s="1" t="s">
        <v>6</v>
      </c>
      <c r="B402" s="255" t="s">
        <v>417</v>
      </c>
      <c r="C402" s="255"/>
    </row>
    <row r="403" spans="1:3" ht="32" customHeight="1" x14ac:dyDescent="0.2">
      <c r="A403" s="1" t="s">
        <v>6</v>
      </c>
      <c r="B403" s="255" t="s">
        <v>418</v>
      </c>
      <c r="C403" s="255"/>
    </row>
    <row r="404" spans="1:3" ht="32" customHeight="1" x14ac:dyDescent="0.2">
      <c r="A404" s="1" t="s">
        <v>6</v>
      </c>
      <c r="B404" s="255" t="s">
        <v>419</v>
      </c>
      <c r="C404" s="255"/>
    </row>
    <row r="405" spans="1:3" ht="32" customHeight="1" x14ac:dyDescent="0.2">
      <c r="A405" s="1" t="s">
        <v>6</v>
      </c>
      <c r="B405" s="255" t="s">
        <v>420</v>
      </c>
      <c r="C405" s="255"/>
    </row>
    <row r="406" spans="1:3" ht="32" customHeight="1" x14ac:dyDescent="0.2">
      <c r="A406" s="1" t="s">
        <v>6</v>
      </c>
      <c r="B406" s="255" t="s">
        <v>421</v>
      </c>
      <c r="C406" s="255"/>
    </row>
    <row r="407" spans="1:3" ht="32" customHeight="1" x14ac:dyDescent="0.2">
      <c r="A407" s="1" t="s">
        <v>6</v>
      </c>
      <c r="B407" s="255" t="s">
        <v>422</v>
      </c>
      <c r="C407" s="255"/>
    </row>
    <row r="408" spans="1:3" ht="32" customHeight="1" x14ac:dyDescent="0.2">
      <c r="A408" s="1" t="s">
        <v>6</v>
      </c>
      <c r="B408" s="255" t="s">
        <v>423</v>
      </c>
      <c r="C408" s="255"/>
    </row>
    <row r="409" spans="1:3" ht="32" customHeight="1" x14ac:dyDescent="0.2">
      <c r="A409" s="1" t="s">
        <v>6</v>
      </c>
      <c r="B409" s="255" t="s">
        <v>424</v>
      </c>
      <c r="C409" s="255"/>
    </row>
    <row r="410" spans="1:3" ht="32" customHeight="1" x14ac:dyDescent="0.2">
      <c r="A410" s="1" t="s">
        <v>6</v>
      </c>
      <c r="B410" s="255" t="s">
        <v>425</v>
      </c>
      <c r="C410" s="255"/>
    </row>
    <row r="411" spans="1:3" ht="32" customHeight="1" x14ac:dyDescent="0.2">
      <c r="A411" s="1" t="s">
        <v>6</v>
      </c>
      <c r="B411" s="255" t="s">
        <v>426</v>
      </c>
      <c r="C411" s="255"/>
    </row>
    <row r="412" spans="1:3" ht="32" customHeight="1" x14ac:dyDescent="0.2">
      <c r="A412" s="1" t="s">
        <v>6</v>
      </c>
      <c r="B412" s="255" t="s">
        <v>427</v>
      </c>
      <c r="C412" s="255"/>
    </row>
    <row r="413" spans="1:3" ht="32" customHeight="1" x14ac:dyDescent="0.2">
      <c r="A413" s="1" t="s">
        <v>6</v>
      </c>
      <c r="B413" s="255" t="s">
        <v>428</v>
      </c>
      <c r="C413" s="255"/>
    </row>
    <row r="414" spans="1:3" ht="32" customHeight="1" x14ac:dyDescent="0.2">
      <c r="A414" s="1" t="s">
        <v>6</v>
      </c>
      <c r="B414" s="255" t="s">
        <v>429</v>
      </c>
      <c r="C414" s="255"/>
    </row>
    <row r="415" spans="1:3" ht="32" customHeight="1" x14ac:dyDescent="0.2">
      <c r="A415" s="1" t="s">
        <v>6</v>
      </c>
      <c r="B415" s="255" t="s">
        <v>430</v>
      </c>
      <c r="C415" s="255"/>
    </row>
    <row r="416" spans="1:3" ht="32" customHeight="1" x14ac:dyDescent="0.2">
      <c r="A416" s="1" t="s">
        <v>6</v>
      </c>
      <c r="B416" s="255" t="s">
        <v>431</v>
      </c>
      <c r="C416" s="255"/>
    </row>
    <row r="417" spans="1:3" ht="32" customHeight="1" x14ac:dyDescent="0.2">
      <c r="A417" s="1" t="s">
        <v>6</v>
      </c>
      <c r="B417" s="255" t="s">
        <v>432</v>
      </c>
      <c r="C417" s="255"/>
    </row>
    <row r="418" spans="1:3" ht="32" customHeight="1" x14ac:dyDescent="0.2">
      <c r="A418" s="1" t="s">
        <v>6</v>
      </c>
      <c r="B418" s="255" t="s">
        <v>433</v>
      </c>
      <c r="C418" s="255"/>
    </row>
    <row r="419" spans="1:3" ht="32" customHeight="1" x14ac:dyDescent="0.2">
      <c r="A419" s="1" t="s">
        <v>6</v>
      </c>
      <c r="B419" s="255" t="s">
        <v>434</v>
      </c>
      <c r="C419" s="255"/>
    </row>
    <row r="420" spans="1:3" ht="32" customHeight="1" x14ac:dyDescent="0.2">
      <c r="A420" s="1" t="s">
        <v>6</v>
      </c>
      <c r="B420" s="255" t="s">
        <v>435</v>
      </c>
      <c r="C420" s="255"/>
    </row>
    <row r="421" spans="1:3" ht="32" customHeight="1" x14ac:dyDescent="0.2">
      <c r="A421" s="1" t="s">
        <v>6</v>
      </c>
      <c r="B421" s="255" t="s">
        <v>436</v>
      </c>
      <c r="C421" s="255"/>
    </row>
    <row r="422" spans="1:3" ht="32" customHeight="1" x14ac:dyDescent="0.2">
      <c r="A422" s="1" t="s">
        <v>6</v>
      </c>
      <c r="B422" s="255" t="s">
        <v>437</v>
      </c>
      <c r="C422" s="255"/>
    </row>
    <row r="423" spans="1:3" ht="32" customHeight="1" x14ac:dyDescent="0.2">
      <c r="A423" s="1" t="s">
        <v>6</v>
      </c>
      <c r="B423" s="255" t="s">
        <v>438</v>
      </c>
      <c r="C423" s="255"/>
    </row>
    <row r="424" spans="1:3" ht="32" customHeight="1" x14ac:dyDescent="0.2">
      <c r="A424" s="1" t="s">
        <v>6</v>
      </c>
      <c r="B424" s="255" t="s">
        <v>439</v>
      </c>
      <c r="C424" s="255"/>
    </row>
    <row r="425" spans="1:3" ht="32" customHeight="1" x14ac:dyDescent="0.2">
      <c r="A425" s="1" t="s">
        <v>6</v>
      </c>
      <c r="B425" s="255" t="s">
        <v>440</v>
      </c>
      <c r="C425" s="255"/>
    </row>
    <row r="426" spans="1:3" ht="32" customHeight="1" x14ac:dyDescent="0.2">
      <c r="A426" s="1" t="s">
        <v>6</v>
      </c>
      <c r="B426" s="255" t="s">
        <v>441</v>
      </c>
      <c r="C426" s="255"/>
    </row>
    <row r="427" spans="1:3" ht="32" customHeight="1" x14ac:dyDescent="0.2">
      <c r="A427" s="1" t="s">
        <v>6</v>
      </c>
      <c r="B427" s="255" t="s">
        <v>442</v>
      </c>
      <c r="C427" s="255"/>
    </row>
    <row r="428" spans="1:3" ht="32" customHeight="1" x14ac:dyDescent="0.2">
      <c r="A428" s="1" t="s">
        <v>6</v>
      </c>
      <c r="B428" s="255" t="s">
        <v>443</v>
      </c>
      <c r="C428" s="255"/>
    </row>
    <row r="429" spans="1:3" ht="32" customHeight="1" x14ac:dyDescent="0.2">
      <c r="A429" s="1" t="s">
        <v>6</v>
      </c>
      <c r="B429" s="255" t="s">
        <v>444</v>
      </c>
      <c r="C429" s="255"/>
    </row>
    <row r="430" spans="1:3" ht="32" customHeight="1" x14ac:dyDescent="0.2">
      <c r="A430" s="1" t="s">
        <v>6</v>
      </c>
      <c r="B430" s="255" t="s">
        <v>445</v>
      </c>
      <c r="C430" s="255"/>
    </row>
    <row r="431" spans="1:3" ht="32" customHeight="1" x14ac:dyDescent="0.2">
      <c r="A431" s="1" t="s">
        <v>6</v>
      </c>
      <c r="B431" s="255" t="s">
        <v>446</v>
      </c>
      <c r="C431" s="255"/>
    </row>
    <row r="432" spans="1:3" ht="32" customHeight="1" x14ac:dyDescent="0.2">
      <c r="A432" s="1" t="s">
        <v>6</v>
      </c>
      <c r="B432" s="255" t="s">
        <v>447</v>
      </c>
      <c r="C432" s="255"/>
    </row>
    <row r="433" spans="1:3" ht="32" customHeight="1" x14ac:dyDescent="0.2">
      <c r="A433" s="1" t="s">
        <v>6</v>
      </c>
      <c r="B433" s="255" t="s">
        <v>448</v>
      </c>
      <c r="C433" s="255"/>
    </row>
    <row r="434" spans="1:3" ht="32" customHeight="1" x14ac:dyDescent="0.2">
      <c r="A434" s="1" t="s">
        <v>6</v>
      </c>
      <c r="B434" s="255" t="s">
        <v>449</v>
      </c>
      <c r="C434" s="255"/>
    </row>
    <row r="435" spans="1:3" ht="32" customHeight="1" x14ac:dyDescent="0.2">
      <c r="A435" s="1" t="s">
        <v>6</v>
      </c>
      <c r="B435" s="255" t="s">
        <v>450</v>
      </c>
      <c r="C435" s="255"/>
    </row>
    <row r="436" spans="1:3" ht="32" customHeight="1" x14ac:dyDescent="0.2">
      <c r="A436" s="1" t="s">
        <v>6</v>
      </c>
      <c r="B436" s="255" t="s">
        <v>451</v>
      </c>
      <c r="C436" s="255"/>
    </row>
    <row r="437" spans="1:3" ht="32" customHeight="1" x14ac:dyDescent="0.2">
      <c r="A437" s="1" t="s">
        <v>6</v>
      </c>
      <c r="B437" s="255" t="s">
        <v>452</v>
      </c>
      <c r="C437" s="255"/>
    </row>
    <row r="438" spans="1:3" ht="32" customHeight="1" x14ac:dyDescent="0.2">
      <c r="A438" s="1" t="s">
        <v>6</v>
      </c>
      <c r="B438" s="255" t="s">
        <v>453</v>
      </c>
      <c r="C438" s="255"/>
    </row>
    <row r="439" spans="1:3" ht="32" customHeight="1" x14ac:dyDescent="0.2">
      <c r="A439" s="1" t="s">
        <v>6</v>
      </c>
      <c r="B439" s="255" t="s">
        <v>454</v>
      </c>
      <c r="C439" s="255"/>
    </row>
    <row r="440" spans="1:3" ht="32" customHeight="1" x14ac:dyDescent="0.2">
      <c r="A440" s="1" t="s">
        <v>6</v>
      </c>
      <c r="B440" s="255" t="s">
        <v>455</v>
      </c>
      <c r="C440" s="255"/>
    </row>
    <row r="441" spans="1:3" ht="32" customHeight="1" x14ac:dyDescent="0.2">
      <c r="A441" s="1" t="s">
        <v>6</v>
      </c>
      <c r="B441" s="255" t="s">
        <v>456</v>
      </c>
      <c r="C441" s="255"/>
    </row>
    <row r="442" spans="1:3" ht="32" customHeight="1" x14ac:dyDescent="0.2">
      <c r="A442" s="1" t="s">
        <v>6</v>
      </c>
      <c r="B442" s="255" t="s">
        <v>457</v>
      </c>
      <c r="C442" s="255"/>
    </row>
    <row r="443" spans="1:3" ht="32" customHeight="1" x14ac:dyDescent="0.2">
      <c r="A443" s="1" t="s">
        <v>6</v>
      </c>
      <c r="B443" s="255" t="s">
        <v>458</v>
      </c>
      <c r="C443" s="255"/>
    </row>
    <row r="444" spans="1:3" ht="32" customHeight="1" x14ac:dyDescent="0.2">
      <c r="A444" s="1" t="s">
        <v>6</v>
      </c>
      <c r="B444" s="255" t="s">
        <v>459</v>
      </c>
      <c r="C444" s="255"/>
    </row>
    <row r="445" spans="1:3" ht="32" customHeight="1" x14ac:dyDescent="0.2">
      <c r="A445" s="1" t="s">
        <v>6</v>
      </c>
      <c r="B445" s="255" t="s">
        <v>460</v>
      </c>
      <c r="C445" s="255"/>
    </row>
    <row r="446" spans="1:3" ht="32" customHeight="1" x14ac:dyDescent="0.2">
      <c r="A446" s="1" t="s">
        <v>6</v>
      </c>
      <c r="B446" s="255" t="s">
        <v>461</v>
      </c>
      <c r="C446" s="255"/>
    </row>
    <row r="447" spans="1:3" ht="32" customHeight="1" x14ac:dyDescent="0.2">
      <c r="A447" s="1" t="s">
        <v>6</v>
      </c>
      <c r="B447" s="255" t="s">
        <v>462</v>
      </c>
      <c r="C447" s="255"/>
    </row>
    <row r="448" spans="1:3" ht="32" customHeight="1" x14ac:dyDescent="0.2">
      <c r="A448" s="1" t="s">
        <v>6</v>
      </c>
      <c r="B448" s="255" t="s">
        <v>463</v>
      </c>
      <c r="C448" s="255"/>
    </row>
    <row r="449" spans="1:3" ht="32" customHeight="1" x14ac:dyDescent="0.2">
      <c r="A449" s="1" t="s">
        <v>6</v>
      </c>
      <c r="B449" s="255" t="s">
        <v>464</v>
      </c>
      <c r="C449" s="255"/>
    </row>
    <row r="450" spans="1:3" ht="32" customHeight="1" x14ac:dyDescent="0.2">
      <c r="A450" s="1" t="s">
        <v>6</v>
      </c>
      <c r="B450" s="255" t="s">
        <v>465</v>
      </c>
      <c r="C450" s="255"/>
    </row>
    <row r="451" spans="1:3" ht="32" customHeight="1" x14ac:dyDescent="0.2">
      <c r="A451" s="1" t="s">
        <v>6</v>
      </c>
      <c r="B451" s="255" t="s">
        <v>466</v>
      </c>
      <c r="C451" s="255"/>
    </row>
    <row r="452" spans="1:3" ht="32" customHeight="1" x14ac:dyDescent="0.2">
      <c r="A452" s="1" t="s">
        <v>6</v>
      </c>
      <c r="B452" s="255" t="s">
        <v>467</v>
      </c>
      <c r="C452" s="255"/>
    </row>
    <row r="453" spans="1:3" ht="32" customHeight="1" x14ac:dyDescent="0.2">
      <c r="A453" s="1" t="s">
        <v>6</v>
      </c>
      <c r="B453" s="255" t="s">
        <v>468</v>
      </c>
      <c r="C453" s="255"/>
    </row>
    <row r="454" spans="1:3" ht="32" customHeight="1" x14ac:dyDescent="0.2">
      <c r="A454" s="1" t="s">
        <v>6</v>
      </c>
      <c r="B454" s="255" t="s">
        <v>469</v>
      </c>
      <c r="C454" s="255"/>
    </row>
    <row r="455" spans="1:3" ht="32" customHeight="1" x14ac:dyDescent="0.2">
      <c r="A455" s="1" t="s">
        <v>6</v>
      </c>
      <c r="B455" s="255" t="s">
        <v>470</v>
      </c>
      <c r="C455" s="255"/>
    </row>
    <row r="456" spans="1:3" ht="32" customHeight="1" x14ac:dyDescent="0.2">
      <c r="A456" s="1" t="s">
        <v>6</v>
      </c>
      <c r="B456" s="255" t="s">
        <v>471</v>
      </c>
      <c r="C456" s="255"/>
    </row>
    <row r="457" spans="1:3" ht="32" customHeight="1" x14ac:dyDescent="0.2">
      <c r="A457" s="1" t="s">
        <v>6</v>
      </c>
      <c r="B457" s="255" t="s">
        <v>472</v>
      </c>
      <c r="C457" s="255"/>
    </row>
    <row r="458" spans="1:3" ht="32" customHeight="1" x14ac:dyDescent="0.2">
      <c r="A458" s="1" t="s">
        <v>6</v>
      </c>
      <c r="B458" s="255" t="s">
        <v>473</v>
      </c>
      <c r="C458" s="255"/>
    </row>
    <row r="459" spans="1:3" ht="32" customHeight="1" x14ac:dyDescent="0.2">
      <c r="A459" s="1" t="s">
        <v>6</v>
      </c>
      <c r="B459" s="255" t="s">
        <v>474</v>
      </c>
      <c r="C459" s="255"/>
    </row>
    <row r="460" spans="1:3" ht="32" customHeight="1" x14ac:dyDescent="0.2">
      <c r="A460" s="1" t="s">
        <v>6</v>
      </c>
      <c r="B460" s="255" t="s">
        <v>475</v>
      </c>
      <c r="C460" s="255"/>
    </row>
    <row r="461" spans="1:3" ht="32" customHeight="1" x14ac:dyDescent="0.2">
      <c r="A461" s="1" t="s">
        <v>6</v>
      </c>
      <c r="B461" s="255" t="s">
        <v>476</v>
      </c>
      <c r="C461" s="255"/>
    </row>
    <row r="462" spans="1:3" ht="32" customHeight="1" x14ac:dyDescent="0.2">
      <c r="A462" s="1" t="s">
        <v>6</v>
      </c>
      <c r="B462" s="255" t="s">
        <v>477</v>
      </c>
      <c r="C462" s="255"/>
    </row>
    <row r="463" spans="1:3" ht="32" customHeight="1" x14ac:dyDescent="0.2">
      <c r="A463" s="1" t="s">
        <v>6</v>
      </c>
      <c r="B463" s="255" t="s">
        <v>478</v>
      </c>
      <c r="C463" s="255"/>
    </row>
    <row r="464" spans="1:3" ht="32" customHeight="1" x14ac:dyDescent="0.2">
      <c r="A464" s="1" t="s">
        <v>6</v>
      </c>
      <c r="B464" s="255" t="s">
        <v>479</v>
      </c>
      <c r="C464" s="255"/>
    </row>
    <row r="465" spans="1:3" ht="32" customHeight="1" x14ac:dyDescent="0.2">
      <c r="A465" s="1" t="s">
        <v>6</v>
      </c>
      <c r="B465" s="255" t="s">
        <v>480</v>
      </c>
      <c r="C465" s="255"/>
    </row>
    <row r="466" spans="1:3" ht="32" customHeight="1" x14ac:dyDescent="0.2">
      <c r="A466" s="1" t="s">
        <v>6</v>
      </c>
      <c r="B466" s="255" t="s">
        <v>481</v>
      </c>
      <c r="C466" s="255"/>
    </row>
    <row r="467" spans="1:3" ht="32" customHeight="1" x14ac:dyDescent="0.2">
      <c r="A467" s="1" t="s">
        <v>6</v>
      </c>
      <c r="B467" s="255" t="s">
        <v>482</v>
      </c>
      <c r="C467" s="255"/>
    </row>
    <row r="468" spans="1:3" ht="32" customHeight="1" x14ac:dyDescent="0.2">
      <c r="A468" s="1" t="s">
        <v>6</v>
      </c>
      <c r="B468" s="255" t="s">
        <v>483</v>
      </c>
      <c r="C468" s="255"/>
    </row>
    <row r="469" spans="1:3" ht="32" customHeight="1" x14ac:dyDescent="0.2">
      <c r="A469" s="1" t="s">
        <v>6</v>
      </c>
      <c r="B469" s="255" t="s">
        <v>484</v>
      </c>
      <c r="C469" s="255"/>
    </row>
    <row r="470" spans="1:3" ht="32" customHeight="1" x14ac:dyDescent="0.2">
      <c r="A470" s="1" t="s">
        <v>6</v>
      </c>
      <c r="B470" s="255" t="s">
        <v>485</v>
      </c>
      <c r="C470" s="255"/>
    </row>
    <row r="471" spans="1:3" ht="32" customHeight="1" x14ac:dyDescent="0.2">
      <c r="A471" s="1" t="s">
        <v>6</v>
      </c>
      <c r="B471" s="255" t="s">
        <v>486</v>
      </c>
      <c r="C471" s="255"/>
    </row>
    <row r="472" spans="1:3" ht="32" customHeight="1" x14ac:dyDescent="0.2">
      <c r="A472" s="1" t="s">
        <v>6</v>
      </c>
      <c r="B472" s="255" t="s">
        <v>487</v>
      </c>
      <c r="C472" s="255"/>
    </row>
    <row r="473" spans="1:3" ht="32" customHeight="1" x14ac:dyDescent="0.2">
      <c r="A473" s="1" t="s">
        <v>6</v>
      </c>
      <c r="B473" s="255" t="s">
        <v>488</v>
      </c>
      <c r="C473" s="255"/>
    </row>
    <row r="474" spans="1:3" ht="32" customHeight="1" x14ac:dyDescent="0.2">
      <c r="A474" s="1" t="s">
        <v>6</v>
      </c>
      <c r="B474" s="255" t="s">
        <v>489</v>
      </c>
      <c r="C474" s="255"/>
    </row>
    <row r="475" spans="1:3" ht="32" customHeight="1" x14ac:dyDescent="0.2">
      <c r="A475" s="1" t="s">
        <v>6</v>
      </c>
      <c r="B475" s="255" t="s">
        <v>490</v>
      </c>
      <c r="C475" s="255"/>
    </row>
    <row r="476" spans="1:3" ht="32" customHeight="1" x14ac:dyDescent="0.2">
      <c r="A476" s="1" t="s">
        <v>6</v>
      </c>
      <c r="B476" s="255" t="s">
        <v>491</v>
      </c>
      <c r="C476" s="255"/>
    </row>
    <row r="477" spans="1:3" ht="32" customHeight="1" x14ac:dyDescent="0.2">
      <c r="A477" s="1" t="s">
        <v>6</v>
      </c>
      <c r="B477" s="255" t="s">
        <v>492</v>
      </c>
      <c r="C477" s="255"/>
    </row>
    <row r="478" spans="1:3" ht="32" customHeight="1" x14ac:dyDescent="0.2">
      <c r="A478" s="1" t="s">
        <v>6</v>
      </c>
      <c r="B478" s="255" t="s">
        <v>493</v>
      </c>
      <c r="C478" s="255"/>
    </row>
    <row r="479" spans="1:3" ht="32" customHeight="1" x14ac:dyDescent="0.2">
      <c r="A479" s="1" t="s">
        <v>6</v>
      </c>
      <c r="B479" s="255" t="s">
        <v>494</v>
      </c>
      <c r="C479" s="255"/>
    </row>
    <row r="480" spans="1:3" ht="32" customHeight="1" x14ac:dyDescent="0.2">
      <c r="A480" s="1" t="s">
        <v>6</v>
      </c>
      <c r="B480" s="255" t="s">
        <v>495</v>
      </c>
      <c r="C480" s="255"/>
    </row>
    <row r="481" spans="1:3" ht="32" customHeight="1" x14ac:dyDescent="0.2">
      <c r="A481" s="1" t="s">
        <v>6</v>
      </c>
      <c r="B481" s="255" t="s">
        <v>496</v>
      </c>
      <c r="C481" s="255"/>
    </row>
    <row r="482" spans="1:3" ht="32" customHeight="1" x14ac:dyDescent="0.2">
      <c r="A482" s="1" t="s">
        <v>6</v>
      </c>
      <c r="B482" s="255" t="s">
        <v>497</v>
      </c>
      <c r="C482" s="255"/>
    </row>
    <row r="483" spans="1:3" ht="32" customHeight="1" x14ac:dyDescent="0.2">
      <c r="A483" s="1" t="s">
        <v>6</v>
      </c>
      <c r="B483" s="255" t="s">
        <v>498</v>
      </c>
      <c r="C483" s="255"/>
    </row>
    <row r="484" spans="1:3" ht="32" customHeight="1" x14ac:dyDescent="0.2">
      <c r="A484" s="1" t="s">
        <v>6</v>
      </c>
      <c r="B484" s="255" t="s">
        <v>499</v>
      </c>
      <c r="C484" s="255"/>
    </row>
    <row r="485" spans="1:3" ht="32" customHeight="1" x14ac:dyDescent="0.2">
      <c r="A485" s="1" t="s">
        <v>6</v>
      </c>
      <c r="B485" s="255" t="s">
        <v>500</v>
      </c>
      <c r="C485" s="255"/>
    </row>
    <row r="486" spans="1:3" ht="32" customHeight="1" x14ac:dyDescent="0.2">
      <c r="A486" s="1" t="s">
        <v>6</v>
      </c>
      <c r="B486" s="255" t="s">
        <v>501</v>
      </c>
      <c r="C486" s="255"/>
    </row>
    <row r="487" spans="1:3" ht="32" customHeight="1" x14ac:dyDescent="0.2">
      <c r="A487" s="1" t="s">
        <v>6</v>
      </c>
      <c r="B487" s="255" t="s">
        <v>502</v>
      </c>
      <c r="C487" s="255"/>
    </row>
    <row r="488" spans="1:3" ht="32" customHeight="1" x14ac:dyDescent="0.2">
      <c r="A488" s="1" t="s">
        <v>6</v>
      </c>
      <c r="B488" s="255" t="s">
        <v>503</v>
      </c>
      <c r="C488" s="255"/>
    </row>
    <row r="489" spans="1:3" ht="32" customHeight="1" x14ac:dyDescent="0.2">
      <c r="A489" s="1" t="s">
        <v>6</v>
      </c>
      <c r="B489" s="255" t="s">
        <v>504</v>
      </c>
      <c r="C489" s="255"/>
    </row>
    <row r="490" spans="1:3" ht="32" customHeight="1" x14ac:dyDescent="0.2">
      <c r="A490" s="1" t="s">
        <v>6</v>
      </c>
      <c r="B490" s="255" t="s">
        <v>505</v>
      </c>
      <c r="C490" s="255"/>
    </row>
    <row r="491" spans="1:3" ht="32" customHeight="1" x14ac:dyDescent="0.2">
      <c r="A491" s="1" t="s">
        <v>6</v>
      </c>
      <c r="B491" s="255" t="s">
        <v>506</v>
      </c>
      <c r="C491" s="255"/>
    </row>
    <row r="492" spans="1:3" ht="32" customHeight="1" x14ac:dyDescent="0.2">
      <c r="A492" s="1" t="s">
        <v>6</v>
      </c>
      <c r="B492" s="255" t="s">
        <v>507</v>
      </c>
      <c r="C492" s="255"/>
    </row>
    <row r="493" spans="1:3" ht="32" customHeight="1" x14ac:dyDescent="0.2">
      <c r="A493" s="1" t="s">
        <v>6</v>
      </c>
      <c r="B493" s="255" t="s">
        <v>508</v>
      </c>
      <c r="C493" s="255"/>
    </row>
    <row r="494" spans="1:3" ht="32" customHeight="1" x14ac:dyDescent="0.2">
      <c r="A494" s="1" t="s">
        <v>6</v>
      </c>
      <c r="B494" s="255" t="s">
        <v>509</v>
      </c>
      <c r="C494" s="255"/>
    </row>
    <row r="495" spans="1:3" ht="32" customHeight="1" x14ac:dyDescent="0.2">
      <c r="A495" s="1" t="s">
        <v>6</v>
      </c>
      <c r="B495" s="255" t="s">
        <v>510</v>
      </c>
      <c r="C495" s="255"/>
    </row>
    <row r="496" spans="1:3" ht="32" customHeight="1" x14ac:dyDescent="0.2">
      <c r="A496" s="1" t="s">
        <v>6</v>
      </c>
      <c r="B496" s="255" t="s">
        <v>511</v>
      </c>
      <c r="C496" s="255"/>
    </row>
    <row r="497" spans="1:3" ht="32" customHeight="1" x14ac:dyDescent="0.2">
      <c r="A497" s="1" t="s">
        <v>6</v>
      </c>
      <c r="B497" s="255" t="s">
        <v>512</v>
      </c>
      <c r="C497" s="255"/>
    </row>
    <row r="498" spans="1:3" ht="32" customHeight="1" x14ac:dyDescent="0.2">
      <c r="A498" s="1" t="s">
        <v>6</v>
      </c>
      <c r="B498" s="255" t="s">
        <v>513</v>
      </c>
      <c r="C498" s="255"/>
    </row>
    <row r="499" spans="1:3" ht="32" customHeight="1" x14ac:dyDescent="0.2">
      <c r="A499" s="1" t="s">
        <v>6</v>
      </c>
      <c r="B499" s="255" t="s">
        <v>514</v>
      </c>
      <c r="C499" s="255"/>
    </row>
    <row r="500" spans="1:3" ht="32" customHeight="1" x14ac:dyDescent="0.2">
      <c r="A500" s="1" t="s">
        <v>6</v>
      </c>
      <c r="B500" s="255" t="s">
        <v>515</v>
      </c>
      <c r="C500" s="255"/>
    </row>
    <row r="501" spans="1:3" ht="32" customHeight="1" x14ac:dyDescent="0.2">
      <c r="A501" s="1" t="s">
        <v>6</v>
      </c>
      <c r="B501" s="255" t="s">
        <v>516</v>
      </c>
      <c r="C501" s="255"/>
    </row>
    <row r="502" spans="1:3" ht="32" customHeight="1" x14ac:dyDescent="0.2">
      <c r="A502" s="1" t="s">
        <v>6</v>
      </c>
      <c r="B502" s="255" t="s">
        <v>517</v>
      </c>
      <c r="C502" s="255"/>
    </row>
    <row r="503" spans="1:3" ht="32" customHeight="1" x14ac:dyDescent="0.2">
      <c r="A503" s="1" t="s">
        <v>6</v>
      </c>
      <c r="B503" s="255" t="s">
        <v>518</v>
      </c>
      <c r="C503" s="255"/>
    </row>
    <row r="504" spans="1:3" ht="32" customHeight="1" x14ac:dyDescent="0.2">
      <c r="A504" s="1" t="s">
        <v>6</v>
      </c>
      <c r="B504" s="255" t="s">
        <v>519</v>
      </c>
      <c r="C504" s="255"/>
    </row>
    <row r="505" spans="1:3" ht="32" customHeight="1" x14ac:dyDescent="0.2">
      <c r="A505" s="1" t="s">
        <v>6</v>
      </c>
      <c r="B505" s="255" t="s">
        <v>520</v>
      </c>
      <c r="C505" s="255"/>
    </row>
    <row r="506" spans="1:3" ht="32" customHeight="1" x14ac:dyDescent="0.2">
      <c r="A506" s="1" t="s">
        <v>6</v>
      </c>
      <c r="B506" s="255" t="s">
        <v>521</v>
      </c>
      <c r="C506" s="255"/>
    </row>
    <row r="507" spans="1:3" ht="32" customHeight="1" x14ac:dyDescent="0.2">
      <c r="A507" s="1" t="s">
        <v>6</v>
      </c>
      <c r="B507" s="255" t="s">
        <v>522</v>
      </c>
      <c r="C507" s="255"/>
    </row>
    <row r="508" spans="1:3" ht="32" customHeight="1" x14ac:dyDescent="0.2">
      <c r="A508" s="1" t="s">
        <v>6</v>
      </c>
      <c r="B508" s="255" t="s">
        <v>523</v>
      </c>
      <c r="C508" s="255"/>
    </row>
    <row r="509" spans="1:3" ht="32" customHeight="1" x14ac:dyDescent="0.2">
      <c r="A509" s="1" t="s">
        <v>6</v>
      </c>
      <c r="B509" s="255" t="s">
        <v>524</v>
      </c>
      <c r="C509" s="255"/>
    </row>
    <row r="510" spans="1:3" ht="32" customHeight="1" x14ac:dyDescent="0.2">
      <c r="A510" s="1" t="s">
        <v>6</v>
      </c>
      <c r="B510" s="255" t="s">
        <v>525</v>
      </c>
      <c r="C510" s="255"/>
    </row>
    <row r="511" spans="1:3" ht="32" customHeight="1" x14ac:dyDescent="0.2">
      <c r="A511" s="1" t="s">
        <v>6</v>
      </c>
      <c r="B511" s="255" t="s">
        <v>526</v>
      </c>
      <c r="C511" s="255"/>
    </row>
    <row r="512" spans="1:3" ht="32" customHeight="1" x14ac:dyDescent="0.2">
      <c r="A512" s="1" t="s">
        <v>6</v>
      </c>
      <c r="B512" s="255" t="s">
        <v>527</v>
      </c>
      <c r="C512" s="255"/>
    </row>
    <row r="513" spans="1:3" ht="32" customHeight="1" x14ac:dyDescent="0.2">
      <c r="A513" s="1" t="s">
        <v>6</v>
      </c>
      <c r="B513" s="255" t="s">
        <v>528</v>
      </c>
      <c r="C513" s="255"/>
    </row>
    <row r="514" spans="1:3" ht="32" customHeight="1" x14ac:dyDescent="0.2">
      <c r="A514" s="1" t="s">
        <v>6</v>
      </c>
      <c r="B514" s="255" t="s">
        <v>529</v>
      </c>
      <c r="C514" s="255"/>
    </row>
    <row r="515" spans="1:3" ht="32" customHeight="1" x14ac:dyDescent="0.2">
      <c r="A515" s="1" t="s">
        <v>6</v>
      </c>
      <c r="B515" s="255" t="s">
        <v>530</v>
      </c>
      <c r="C515" s="255"/>
    </row>
    <row r="516" spans="1:3" ht="32" customHeight="1" x14ac:dyDescent="0.2">
      <c r="A516" s="1" t="s">
        <v>6</v>
      </c>
      <c r="B516" s="255" t="s">
        <v>531</v>
      </c>
      <c r="C516" s="255"/>
    </row>
    <row r="517" spans="1:3" ht="32" customHeight="1" x14ac:dyDescent="0.2">
      <c r="A517" s="1" t="s">
        <v>6</v>
      </c>
      <c r="B517" s="255" t="s">
        <v>532</v>
      </c>
      <c r="C517" s="255"/>
    </row>
    <row r="518" spans="1:3" ht="32" customHeight="1" x14ac:dyDescent="0.2">
      <c r="A518" s="1" t="s">
        <v>6</v>
      </c>
      <c r="B518" s="255" t="s">
        <v>533</v>
      </c>
      <c r="C518" s="255"/>
    </row>
    <row r="519" spans="1:3" ht="32" customHeight="1" x14ac:dyDescent="0.2">
      <c r="A519" s="1" t="s">
        <v>6</v>
      </c>
      <c r="B519" s="255" t="s">
        <v>534</v>
      </c>
      <c r="C519" s="255"/>
    </row>
    <row r="520" spans="1:3" ht="32" customHeight="1" x14ac:dyDescent="0.2">
      <c r="A520" s="1" t="s">
        <v>6</v>
      </c>
      <c r="B520" s="255" t="s">
        <v>535</v>
      </c>
      <c r="C520" s="255"/>
    </row>
    <row r="521" spans="1:3" ht="32" customHeight="1" x14ac:dyDescent="0.2">
      <c r="A521" s="1" t="s">
        <v>6</v>
      </c>
      <c r="B521" s="255" t="s">
        <v>536</v>
      </c>
      <c r="C521" s="255"/>
    </row>
    <row r="522" spans="1:3" ht="32" customHeight="1" x14ac:dyDescent="0.2">
      <c r="A522" s="1" t="s">
        <v>6</v>
      </c>
      <c r="B522" s="255" t="s">
        <v>537</v>
      </c>
      <c r="C522" s="255"/>
    </row>
    <row r="523" spans="1:3" ht="32" customHeight="1" x14ac:dyDescent="0.2">
      <c r="A523" s="1" t="s">
        <v>6</v>
      </c>
      <c r="B523" s="255" t="s">
        <v>538</v>
      </c>
      <c r="C523" s="255"/>
    </row>
    <row r="524" spans="1:3" ht="32" customHeight="1" x14ac:dyDescent="0.2">
      <c r="A524" s="1" t="s">
        <v>6</v>
      </c>
      <c r="B524" s="255" t="s">
        <v>539</v>
      </c>
      <c r="C524" s="255"/>
    </row>
    <row r="525" spans="1:3" ht="32" customHeight="1" x14ac:dyDescent="0.2">
      <c r="A525" s="1" t="s">
        <v>6</v>
      </c>
      <c r="B525" s="255" t="s">
        <v>540</v>
      </c>
      <c r="C525" s="255"/>
    </row>
    <row r="526" spans="1:3" ht="32" customHeight="1" x14ac:dyDescent="0.2">
      <c r="A526" s="1" t="s">
        <v>6</v>
      </c>
      <c r="B526" s="255" t="s">
        <v>541</v>
      </c>
      <c r="C526" s="255"/>
    </row>
    <row r="527" spans="1:3" ht="32" customHeight="1" x14ac:dyDescent="0.2">
      <c r="A527" s="1" t="s">
        <v>6</v>
      </c>
      <c r="B527" s="255" t="s">
        <v>542</v>
      </c>
      <c r="C527" s="255"/>
    </row>
    <row r="528" spans="1:3" ht="32" customHeight="1" x14ac:dyDescent="0.2">
      <c r="A528" s="1" t="s">
        <v>6</v>
      </c>
      <c r="B528" s="255" t="s">
        <v>543</v>
      </c>
      <c r="C528" s="255"/>
    </row>
    <row r="529" spans="1:3" ht="32" customHeight="1" x14ac:dyDescent="0.2">
      <c r="A529" s="1" t="s">
        <v>6</v>
      </c>
      <c r="B529" s="255" t="s">
        <v>544</v>
      </c>
      <c r="C529" s="255"/>
    </row>
    <row r="530" spans="1:3" ht="32" customHeight="1" x14ac:dyDescent="0.2">
      <c r="A530" s="1" t="s">
        <v>6</v>
      </c>
      <c r="B530" s="255" t="s">
        <v>545</v>
      </c>
      <c r="C530" s="255"/>
    </row>
    <row r="531" spans="1:3" ht="32" customHeight="1" x14ac:dyDescent="0.2">
      <c r="A531" s="1" t="s">
        <v>6</v>
      </c>
      <c r="B531" s="255" t="s">
        <v>546</v>
      </c>
      <c r="C531" s="255"/>
    </row>
    <row r="532" spans="1:3" ht="32" customHeight="1" x14ac:dyDescent="0.2">
      <c r="A532" s="1" t="s">
        <v>6</v>
      </c>
      <c r="B532" s="255" t="s">
        <v>547</v>
      </c>
      <c r="C532" s="255"/>
    </row>
    <row r="533" spans="1:3" ht="32" customHeight="1" x14ac:dyDescent="0.2">
      <c r="A533" s="1" t="s">
        <v>6</v>
      </c>
      <c r="B533" s="255" t="s">
        <v>548</v>
      </c>
      <c r="C533" s="255"/>
    </row>
    <row r="534" spans="1:3" ht="32" customHeight="1" x14ac:dyDescent="0.2">
      <c r="A534" s="1" t="s">
        <v>6</v>
      </c>
      <c r="B534" s="255" t="s">
        <v>549</v>
      </c>
      <c r="C534" s="255"/>
    </row>
    <row r="535" spans="1:3" ht="32" customHeight="1" x14ac:dyDescent="0.2">
      <c r="A535" s="1" t="s">
        <v>6</v>
      </c>
      <c r="B535" s="255" t="s">
        <v>550</v>
      </c>
      <c r="C535" s="255"/>
    </row>
    <row r="536" spans="1:3" ht="32" customHeight="1" x14ac:dyDescent="0.2">
      <c r="A536" s="1" t="s">
        <v>6</v>
      </c>
      <c r="B536" s="255" t="s">
        <v>551</v>
      </c>
      <c r="C536" s="255"/>
    </row>
    <row r="537" spans="1:3" ht="32" customHeight="1" x14ac:dyDescent="0.2">
      <c r="A537" s="1" t="s">
        <v>6</v>
      </c>
      <c r="B537" s="255" t="s">
        <v>552</v>
      </c>
      <c r="C537" s="255"/>
    </row>
    <row r="538" spans="1:3" ht="32" customHeight="1" x14ac:dyDescent="0.2">
      <c r="A538" s="1" t="s">
        <v>6</v>
      </c>
      <c r="B538" s="255" t="s">
        <v>553</v>
      </c>
      <c r="C538" s="255"/>
    </row>
    <row r="539" spans="1:3" ht="32" customHeight="1" x14ac:dyDescent="0.2">
      <c r="A539" s="1" t="s">
        <v>6</v>
      </c>
      <c r="B539" s="255" t="s">
        <v>554</v>
      </c>
      <c r="C539" s="255"/>
    </row>
    <row r="540" spans="1:3" ht="32" customHeight="1" x14ac:dyDescent="0.2">
      <c r="A540" s="1" t="s">
        <v>6</v>
      </c>
      <c r="B540" s="255" t="s">
        <v>555</v>
      </c>
      <c r="C540" s="255"/>
    </row>
    <row r="541" spans="1:3" ht="32" customHeight="1" x14ac:dyDescent="0.2">
      <c r="A541" s="1" t="s">
        <v>6</v>
      </c>
      <c r="B541" s="255" t="s">
        <v>556</v>
      </c>
      <c r="C541" s="255"/>
    </row>
    <row r="542" spans="1:3" ht="32" customHeight="1" x14ac:dyDescent="0.2">
      <c r="A542" s="1" t="s">
        <v>6</v>
      </c>
      <c r="B542" s="255" t="s">
        <v>557</v>
      </c>
      <c r="C542" s="255"/>
    </row>
    <row r="543" spans="1:3" ht="32" customHeight="1" x14ac:dyDescent="0.2">
      <c r="A543" s="1" t="s">
        <v>6</v>
      </c>
      <c r="B543" s="255" t="s">
        <v>558</v>
      </c>
      <c r="C543" s="255"/>
    </row>
    <row r="544" spans="1:3" ht="32" customHeight="1" x14ac:dyDescent="0.2">
      <c r="A544" s="1" t="s">
        <v>6</v>
      </c>
      <c r="B544" s="255" t="s">
        <v>559</v>
      </c>
      <c r="C544" s="255"/>
    </row>
    <row r="545" spans="1:3" ht="32" customHeight="1" x14ac:dyDescent="0.2">
      <c r="A545" s="1" t="s">
        <v>6</v>
      </c>
      <c r="B545" s="255" t="s">
        <v>560</v>
      </c>
      <c r="C545" s="255"/>
    </row>
    <row r="546" spans="1:3" ht="32" customHeight="1" x14ac:dyDescent="0.2">
      <c r="A546" s="1" t="s">
        <v>6</v>
      </c>
      <c r="B546" s="255" t="s">
        <v>561</v>
      </c>
      <c r="C546" s="255"/>
    </row>
    <row r="547" spans="1:3" ht="32" customHeight="1" x14ac:dyDescent="0.2">
      <c r="A547" s="1" t="s">
        <v>6</v>
      </c>
      <c r="B547" s="255" t="s">
        <v>562</v>
      </c>
      <c r="C547" s="255"/>
    </row>
    <row r="548" spans="1:3" ht="32" customHeight="1" x14ac:dyDescent="0.2">
      <c r="A548" s="1" t="s">
        <v>6</v>
      </c>
      <c r="B548" s="255" t="s">
        <v>563</v>
      </c>
      <c r="C548" s="255"/>
    </row>
    <row r="549" spans="1:3" ht="32" customHeight="1" x14ac:dyDescent="0.2">
      <c r="A549" s="1" t="s">
        <v>6</v>
      </c>
      <c r="B549" s="255" t="s">
        <v>564</v>
      </c>
      <c r="C549" s="255"/>
    </row>
    <row r="550" spans="1:3" ht="32" customHeight="1" x14ac:dyDescent="0.2">
      <c r="A550" s="1" t="s">
        <v>6</v>
      </c>
      <c r="B550" s="255" t="s">
        <v>565</v>
      </c>
      <c r="C550" s="255"/>
    </row>
    <row r="551" spans="1:3" ht="32" customHeight="1" x14ac:dyDescent="0.2">
      <c r="A551" s="1" t="s">
        <v>6</v>
      </c>
      <c r="B551" s="255" t="s">
        <v>566</v>
      </c>
      <c r="C551" s="255"/>
    </row>
    <row r="552" spans="1:3" ht="32" customHeight="1" x14ac:dyDescent="0.2">
      <c r="A552" s="1" t="s">
        <v>6</v>
      </c>
      <c r="B552" s="255" t="s">
        <v>567</v>
      </c>
      <c r="C552" s="255"/>
    </row>
    <row r="553" spans="1:3" ht="32" customHeight="1" x14ac:dyDescent="0.2">
      <c r="A553" s="1" t="s">
        <v>6</v>
      </c>
      <c r="B553" s="255" t="s">
        <v>568</v>
      </c>
      <c r="C553" s="255"/>
    </row>
    <row r="554" spans="1:3" ht="32" customHeight="1" x14ac:dyDescent="0.2">
      <c r="A554" s="1" t="s">
        <v>6</v>
      </c>
      <c r="B554" s="255" t="s">
        <v>569</v>
      </c>
      <c r="C554" s="255"/>
    </row>
    <row r="555" spans="1:3" ht="32" customHeight="1" x14ac:dyDescent="0.2">
      <c r="A555" s="1" t="s">
        <v>6</v>
      </c>
      <c r="B555" s="255" t="s">
        <v>570</v>
      </c>
      <c r="C555" s="255"/>
    </row>
    <row r="556" spans="1:3" ht="32" customHeight="1" x14ac:dyDescent="0.2">
      <c r="A556" s="1" t="s">
        <v>6</v>
      </c>
      <c r="B556" s="255" t="s">
        <v>571</v>
      </c>
      <c r="C556" s="255"/>
    </row>
    <row r="557" spans="1:3" ht="32" customHeight="1" x14ac:dyDescent="0.2">
      <c r="A557" s="1" t="s">
        <v>6</v>
      </c>
      <c r="B557" s="255" t="s">
        <v>572</v>
      </c>
      <c r="C557" s="255"/>
    </row>
    <row r="558" spans="1:3" ht="32" customHeight="1" x14ac:dyDescent="0.2">
      <c r="A558" s="1" t="s">
        <v>6</v>
      </c>
      <c r="B558" s="255" t="s">
        <v>573</v>
      </c>
      <c r="C558" s="255"/>
    </row>
    <row r="559" spans="1:3" ht="32" customHeight="1" x14ac:dyDescent="0.2">
      <c r="A559" s="1" t="s">
        <v>6</v>
      </c>
      <c r="B559" s="255" t="s">
        <v>574</v>
      </c>
      <c r="C559" s="255"/>
    </row>
    <row r="560" spans="1:3" ht="32" customHeight="1" x14ac:dyDescent="0.2">
      <c r="A560" s="1" t="s">
        <v>6</v>
      </c>
      <c r="B560" s="255" t="s">
        <v>575</v>
      </c>
      <c r="C560" s="255"/>
    </row>
    <row r="561" spans="1:3" ht="32" customHeight="1" x14ac:dyDescent="0.2">
      <c r="A561" s="1" t="s">
        <v>6</v>
      </c>
      <c r="B561" s="255" t="s">
        <v>576</v>
      </c>
      <c r="C561" s="255"/>
    </row>
    <row r="562" spans="1:3" ht="32" customHeight="1" x14ac:dyDescent="0.2">
      <c r="A562" s="1" t="s">
        <v>6</v>
      </c>
      <c r="B562" s="255" t="s">
        <v>577</v>
      </c>
      <c r="C562" s="255"/>
    </row>
    <row r="563" spans="1:3" ht="32" customHeight="1" x14ac:dyDescent="0.2">
      <c r="A563" s="1" t="s">
        <v>6</v>
      </c>
      <c r="B563" s="255" t="s">
        <v>578</v>
      </c>
      <c r="C563" s="255"/>
    </row>
    <row r="564" spans="1:3" ht="32" customHeight="1" x14ac:dyDescent="0.2">
      <c r="A564" s="1" t="s">
        <v>6</v>
      </c>
      <c r="B564" s="255" t="s">
        <v>579</v>
      </c>
      <c r="C564" s="255"/>
    </row>
    <row r="565" spans="1:3" ht="32" customHeight="1" x14ac:dyDescent="0.2">
      <c r="A565" s="1" t="s">
        <v>6</v>
      </c>
      <c r="B565" s="255" t="s">
        <v>580</v>
      </c>
      <c r="C565" s="255"/>
    </row>
    <row r="566" spans="1:3" ht="32" customHeight="1" x14ac:dyDescent="0.2">
      <c r="A566" s="1" t="s">
        <v>6</v>
      </c>
      <c r="B566" s="255" t="s">
        <v>581</v>
      </c>
      <c r="C566" s="255"/>
    </row>
    <row r="567" spans="1:3" ht="32" customHeight="1" x14ac:dyDescent="0.2">
      <c r="A567" s="1" t="s">
        <v>6</v>
      </c>
      <c r="B567" s="255" t="s">
        <v>582</v>
      </c>
      <c r="C567" s="255"/>
    </row>
    <row r="568" spans="1:3" ht="32" customHeight="1" x14ac:dyDescent="0.2">
      <c r="A568" s="1" t="s">
        <v>6</v>
      </c>
      <c r="B568" s="255" t="s">
        <v>583</v>
      </c>
      <c r="C568" s="255"/>
    </row>
    <row r="569" spans="1:3" ht="32" customHeight="1" x14ac:dyDescent="0.2">
      <c r="A569" s="1" t="s">
        <v>6</v>
      </c>
      <c r="B569" s="255" t="s">
        <v>584</v>
      </c>
      <c r="C569" s="255"/>
    </row>
    <row r="570" spans="1:3" ht="32" customHeight="1" x14ac:dyDescent="0.2">
      <c r="A570" s="1" t="s">
        <v>6</v>
      </c>
      <c r="B570" s="255" t="s">
        <v>585</v>
      </c>
      <c r="C570" s="255"/>
    </row>
    <row r="571" spans="1:3" ht="32" customHeight="1" x14ac:dyDescent="0.2">
      <c r="A571" s="1" t="s">
        <v>6</v>
      </c>
      <c r="B571" s="255" t="s">
        <v>586</v>
      </c>
      <c r="C571" s="255"/>
    </row>
    <row r="572" spans="1:3" ht="32" customHeight="1" x14ac:dyDescent="0.2">
      <c r="A572" s="1" t="s">
        <v>6</v>
      </c>
      <c r="B572" s="255" t="s">
        <v>587</v>
      </c>
      <c r="C572" s="255"/>
    </row>
    <row r="573" spans="1:3" ht="32" customHeight="1" x14ac:dyDescent="0.2">
      <c r="A573" s="1" t="s">
        <v>6</v>
      </c>
      <c r="B573" s="255" t="s">
        <v>588</v>
      </c>
      <c r="C573" s="255"/>
    </row>
    <row r="574" spans="1:3" ht="32" customHeight="1" x14ac:dyDescent="0.2">
      <c r="A574" s="1" t="s">
        <v>6</v>
      </c>
      <c r="B574" s="255" t="s">
        <v>589</v>
      </c>
      <c r="C574" s="255"/>
    </row>
    <row r="575" spans="1:3" ht="32" customHeight="1" x14ac:dyDescent="0.2">
      <c r="A575" s="1" t="s">
        <v>6</v>
      </c>
      <c r="B575" s="255" t="s">
        <v>590</v>
      </c>
      <c r="C575" s="255"/>
    </row>
    <row r="576" spans="1:3" ht="32" customHeight="1" x14ac:dyDescent="0.2">
      <c r="A576" s="1" t="s">
        <v>6</v>
      </c>
      <c r="B576" s="255" t="s">
        <v>591</v>
      </c>
      <c r="C576" s="255"/>
    </row>
    <row r="577" spans="1:3" ht="32" customHeight="1" x14ac:dyDescent="0.2">
      <c r="A577" s="1" t="s">
        <v>6</v>
      </c>
      <c r="B577" s="255" t="s">
        <v>592</v>
      </c>
      <c r="C577" s="255"/>
    </row>
    <row r="578" spans="1:3" ht="32" customHeight="1" x14ac:dyDescent="0.2">
      <c r="A578" s="1" t="s">
        <v>6</v>
      </c>
      <c r="B578" s="255" t="s">
        <v>593</v>
      </c>
      <c r="C578" s="255"/>
    </row>
    <row r="579" spans="1:3" ht="32" customHeight="1" x14ac:dyDescent="0.2">
      <c r="A579" s="1" t="s">
        <v>6</v>
      </c>
      <c r="B579" s="255" t="s">
        <v>594</v>
      </c>
      <c r="C579" s="255"/>
    </row>
    <row r="580" spans="1:3" ht="32" customHeight="1" x14ac:dyDescent="0.2">
      <c r="A580" s="1" t="s">
        <v>6</v>
      </c>
      <c r="B580" s="255" t="s">
        <v>595</v>
      </c>
      <c r="C580" s="255"/>
    </row>
    <row r="581" spans="1:3" ht="32" customHeight="1" x14ac:dyDescent="0.2">
      <c r="A581" s="1" t="s">
        <v>6</v>
      </c>
      <c r="B581" s="255" t="s">
        <v>596</v>
      </c>
      <c r="C581" s="255"/>
    </row>
    <row r="582" spans="1:3" ht="32" customHeight="1" x14ac:dyDescent="0.2">
      <c r="A582" s="1" t="s">
        <v>6</v>
      </c>
      <c r="B582" s="255" t="s">
        <v>597</v>
      </c>
      <c r="C582" s="255"/>
    </row>
    <row r="583" spans="1:3" ht="32" customHeight="1" x14ac:dyDescent="0.2">
      <c r="A583" s="1" t="s">
        <v>6</v>
      </c>
      <c r="B583" s="255" t="s">
        <v>598</v>
      </c>
      <c r="C583" s="255"/>
    </row>
    <row r="584" spans="1:3" ht="32" customHeight="1" x14ac:dyDescent="0.2">
      <c r="A584" s="1" t="s">
        <v>6</v>
      </c>
      <c r="B584" s="255" t="s">
        <v>599</v>
      </c>
      <c r="C584" s="255"/>
    </row>
    <row r="585" spans="1:3" ht="32" customHeight="1" x14ac:dyDescent="0.2">
      <c r="A585" s="1" t="s">
        <v>6</v>
      </c>
      <c r="B585" s="255" t="s">
        <v>600</v>
      </c>
      <c r="C585" s="255"/>
    </row>
    <row r="586" spans="1:3" ht="32" customHeight="1" x14ac:dyDescent="0.2">
      <c r="A586" s="1" t="s">
        <v>6</v>
      </c>
      <c r="B586" s="255" t="s">
        <v>601</v>
      </c>
      <c r="C586" s="255"/>
    </row>
    <row r="587" spans="1:3" ht="32" customHeight="1" x14ac:dyDescent="0.2">
      <c r="A587" s="1" t="s">
        <v>6</v>
      </c>
      <c r="B587" s="255" t="s">
        <v>602</v>
      </c>
      <c r="C587" s="255"/>
    </row>
    <row r="588" spans="1:3" ht="32" customHeight="1" x14ac:dyDescent="0.2">
      <c r="A588" s="1" t="s">
        <v>6</v>
      </c>
      <c r="B588" s="255" t="s">
        <v>603</v>
      </c>
      <c r="C588" s="255"/>
    </row>
    <row r="589" spans="1:3" ht="32" customHeight="1" x14ac:dyDescent="0.2">
      <c r="A589" s="1" t="s">
        <v>6</v>
      </c>
      <c r="B589" s="255" t="s">
        <v>604</v>
      </c>
      <c r="C589" s="255"/>
    </row>
    <row r="590" spans="1:3" ht="32" customHeight="1" x14ac:dyDescent="0.2">
      <c r="A590" s="1" t="s">
        <v>6</v>
      </c>
      <c r="B590" s="255" t="s">
        <v>605</v>
      </c>
      <c r="C590" s="255"/>
    </row>
    <row r="591" spans="1:3" ht="32" customHeight="1" x14ac:dyDescent="0.2">
      <c r="A591" s="1" t="s">
        <v>6</v>
      </c>
      <c r="B591" s="255" t="s">
        <v>606</v>
      </c>
      <c r="C591" s="255"/>
    </row>
    <row r="592" spans="1:3" ht="32" customHeight="1" x14ac:dyDescent="0.2">
      <c r="A592" s="1" t="s">
        <v>6</v>
      </c>
      <c r="B592" s="255" t="s">
        <v>607</v>
      </c>
      <c r="C592" s="255"/>
    </row>
    <row r="593" spans="1:3" ht="32" customHeight="1" x14ac:dyDescent="0.2">
      <c r="A593" s="1" t="s">
        <v>6</v>
      </c>
      <c r="B593" s="255" t="s">
        <v>608</v>
      </c>
      <c r="C593" s="255"/>
    </row>
    <row r="594" spans="1:3" ht="32" customHeight="1" x14ac:dyDescent="0.2">
      <c r="A594" s="1" t="s">
        <v>6</v>
      </c>
      <c r="B594" s="255" t="s">
        <v>609</v>
      </c>
      <c r="C594" s="255"/>
    </row>
    <row r="595" spans="1:3" ht="32" customHeight="1" x14ac:dyDescent="0.2">
      <c r="A595" s="1" t="s">
        <v>6</v>
      </c>
      <c r="B595" s="255" t="s">
        <v>610</v>
      </c>
      <c r="C595" s="255"/>
    </row>
    <row r="596" spans="1:3" ht="32" customHeight="1" x14ac:dyDescent="0.2">
      <c r="A596" s="1" t="s">
        <v>6</v>
      </c>
      <c r="B596" s="255" t="s">
        <v>611</v>
      </c>
      <c r="C596" s="255"/>
    </row>
    <row r="597" spans="1:3" ht="32" customHeight="1" x14ac:dyDescent="0.2">
      <c r="A597" s="1" t="s">
        <v>6</v>
      </c>
      <c r="B597" s="255" t="s">
        <v>612</v>
      </c>
      <c r="C597" s="255"/>
    </row>
    <row r="598" spans="1:3" ht="32" customHeight="1" x14ac:dyDescent="0.2">
      <c r="A598" s="1" t="s">
        <v>6</v>
      </c>
      <c r="B598" s="255" t="s">
        <v>613</v>
      </c>
      <c r="C598" s="255"/>
    </row>
    <row r="599" spans="1:3" ht="32" customHeight="1" x14ac:dyDescent="0.2">
      <c r="A599" s="1" t="s">
        <v>6</v>
      </c>
      <c r="B599" s="255" t="s">
        <v>614</v>
      </c>
      <c r="C599" s="255"/>
    </row>
    <row r="600" spans="1:3" ht="32" customHeight="1" x14ac:dyDescent="0.2">
      <c r="A600" s="1" t="s">
        <v>6</v>
      </c>
      <c r="B600" s="255" t="s">
        <v>615</v>
      </c>
      <c r="C600" s="255"/>
    </row>
    <row r="601" spans="1:3" ht="32" customHeight="1" x14ac:dyDescent="0.2">
      <c r="A601" s="1" t="s">
        <v>6</v>
      </c>
      <c r="B601" s="255" t="s">
        <v>616</v>
      </c>
      <c r="C601" s="255"/>
    </row>
    <row r="602" spans="1:3" ht="32" customHeight="1" x14ac:dyDescent="0.2">
      <c r="A602" s="1" t="s">
        <v>6</v>
      </c>
      <c r="B602" s="255" t="s">
        <v>617</v>
      </c>
      <c r="C602" s="255"/>
    </row>
    <row r="603" spans="1:3" ht="32" customHeight="1" x14ac:dyDescent="0.2">
      <c r="A603" s="1" t="s">
        <v>6</v>
      </c>
      <c r="B603" s="255" t="s">
        <v>618</v>
      </c>
      <c r="C603" s="255"/>
    </row>
    <row r="604" spans="1:3" ht="32" customHeight="1" x14ac:dyDescent="0.2">
      <c r="A604" s="1" t="s">
        <v>6</v>
      </c>
      <c r="B604" s="255" t="s">
        <v>619</v>
      </c>
      <c r="C604" s="255"/>
    </row>
    <row r="605" spans="1:3" ht="32" customHeight="1" x14ac:dyDescent="0.2">
      <c r="A605" s="1" t="s">
        <v>6</v>
      </c>
      <c r="B605" s="255" t="s">
        <v>620</v>
      </c>
      <c r="C605" s="255"/>
    </row>
    <row r="606" spans="1:3" ht="32" customHeight="1" x14ac:dyDescent="0.2">
      <c r="A606" s="1" t="s">
        <v>6</v>
      </c>
      <c r="B606" s="255" t="s">
        <v>621</v>
      </c>
      <c r="C606" s="255"/>
    </row>
    <row r="607" spans="1:3" ht="32" customHeight="1" x14ac:dyDescent="0.2">
      <c r="A607" s="1" t="s">
        <v>6</v>
      </c>
      <c r="B607" s="255" t="s">
        <v>622</v>
      </c>
      <c r="C607" s="255"/>
    </row>
    <row r="608" spans="1:3" ht="32" customHeight="1" x14ac:dyDescent="0.2">
      <c r="A608" s="1" t="s">
        <v>6</v>
      </c>
      <c r="B608" s="255" t="s">
        <v>623</v>
      </c>
      <c r="C608" s="255"/>
    </row>
    <row r="609" spans="1:3" ht="32" customHeight="1" x14ac:dyDescent="0.2">
      <c r="A609" s="1" t="s">
        <v>6</v>
      </c>
      <c r="B609" s="255" t="s">
        <v>624</v>
      </c>
      <c r="C609" s="255"/>
    </row>
    <row r="610" spans="1:3" ht="32" customHeight="1" x14ac:dyDescent="0.2">
      <c r="A610" s="1" t="s">
        <v>6</v>
      </c>
      <c r="B610" s="255" t="s">
        <v>625</v>
      </c>
      <c r="C610" s="255"/>
    </row>
    <row r="611" spans="1:3" ht="32" customHeight="1" x14ac:dyDescent="0.2">
      <c r="A611" s="1" t="s">
        <v>6</v>
      </c>
      <c r="B611" s="255" t="s">
        <v>626</v>
      </c>
      <c r="C611" s="255"/>
    </row>
    <row r="612" spans="1:3" ht="32" customHeight="1" x14ac:dyDescent="0.2">
      <c r="A612" s="1" t="s">
        <v>6</v>
      </c>
      <c r="B612" s="255" t="s">
        <v>627</v>
      </c>
      <c r="C612" s="255"/>
    </row>
    <row r="613" spans="1:3" ht="32" customHeight="1" x14ac:dyDescent="0.2">
      <c r="A613" s="1" t="s">
        <v>6</v>
      </c>
      <c r="B613" s="255" t="s">
        <v>628</v>
      </c>
      <c r="C613" s="255"/>
    </row>
    <row r="614" spans="1:3" ht="32" customHeight="1" x14ac:dyDescent="0.2">
      <c r="A614" s="1" t="s">
        <v>6</v>
      </c>
      <c r="B614" s="255" t="s">
        <v>629</v>
      </c>
      <c r="C614" s="255"/>
    </row>
    <row r="615" spans="1:3" ht="32" customHeight="1" x14ac:dyDescent="0.2">
      <c r="A615" s="1" t="s">
        <v>6</v>
      </c>
      <c r="B615" s="255" t="s">
        <v>630</v>
      </c>
      <c r="C615" s="255"/>
    </row>
    <row r="616" spans="1:3" ht="32" customHeight="1" x14ac:dyDescent="0.2">
      <c r="A616" s="1" t="s">
        <v>6</v>
      </c>
      <c r="B616" s="255" t="s">
        <v>631</v>
      </c>
      <c r="C616" s="255"/>
    </row>
    <row r="617" spans="1:3" ht="32" customHeight="1" x14ac:dyDescent="0.2">
      <c r="A617" s="1" t="s">
        <v>6</v>
      </c>
      <c r="B617" s="255" t="s">
        <v>632</v>
      </c>
      <c r="C617" s="255"/>
    </row>
    <row r="618" spans="1:3" ht="32" customHeight="1" x14ac:dyDescent="0.2">
      <c r="A618" s="1" t="s">
        <v>6</v>
      </c>
      <c r="B618" s="255" t="s">
        <v>633</v>
      </c>
      <c r="C618" s="255"/>
    </row>
    <row r="619" spans="1:3" ht="32" customHeight="1" x14ac:dyDescent="0.2">
      <c r="A619" s="1" t="s">
        <v>6</v>
      </c>
      <c r="B619" s="255" t="s">
        <v>634</v>
      </c>
      <c r="C619" s="255"/>
    </row>
    <row r="620" spans="1:3" ht="32" customHeight="1" x14ac:dyDescent="0.2">
      <c r="A620" s="1" t="s">
        <v>6</v>
      </c>
      <c r="B620" s="255" t="s">
        <v>635</v>
      </c>
      <c r="C620" s="255"/>
    </row>
    <row r="621" spans="1:3" ht="32" customHeight="1" x14ac:dyDescent="0.2">
      <c r="A621" s="1" t="s">
        <v>6</v>
      </c>
      <c r="B621" s="255" t="s">
        <v>636</v>
      </c>
      <c r="C621" s="255"/>
    </row>
    <row r="622" spans="1:3" ht="32" customHeight="1" x14ac:dyDescent="0.2">
      <c r="A622" s="1" t="s">
        <v>6</v>
      </c>
      <c r="B622" s="255" t="s">
        <v>637</v>
      </c>
      <c r="C622" s="255"/>
    </row>
    <row r="623" spans="1:3" ht="32" customHeight="1" x14ac:dyDescent="0.2">
      <c r="A623" s="1" t="s">
        <v>6</v>
      </c>
      <c r="B623" s="255" t="s">
        <v>638</v>
      </c>
      <c r="C623" s="255"/>
    </row>
    <row r="624" spans="1:3" ht="32" customHeight="1" x14ac:dyDescent="0.2">
      <c r="A624" s="1" t="s">
        <v>6</v>
      </c>
      <c r="B624" s="255" t="s">
        <v>639</v>
      </c>
      <c r="C624" s="255"/>
    </row>
    <row r="625" spans="1:3" ht="32" customHeight="1" x14ac:dyDescent="0.2">
      <c r="A625" s="1" t="s">
        <v>6</v>
      </c>
      <c r="B625" s="255" t="s">
        <v>640</v>
      </c>
      <c r="C625" s="255"/>
    </row>
    <row r="626" spans="1:3" ht="32" customHeight="1" x14ac:dyDescent="0.2">
      <c r="A626" s="1" t="s">
        <v>6</v>
      </c>
      <c r="B626" s="255" t="s">
        <v>641</v>
      </c>
      <c r="C626" s="255"/>
    </row>
    <row r="627" spans="1:3" ht="32" customHeight="1" x14ac:dyDescent="0.2">
      <c r="A627" s="1" t="s">
        <v>6</v>
      </c>
      <c r="B627" s="255" t="s">
        <v>642</v>
      </c>
      <c r="C627" s="255"/>
    </row>
    <row r="628" spans="1:3" ht="32" customHeight="1" x14ac:dyDescent="0.2">
      <c r="A628" s="1" t="s">
        <v>6</v>
      </c>
      <c r="B628" s="255" t="s">
        <v>643</v>
      </c>
      <c r="C628" s="255"/>
    </row>
    <row r="629" spans="1:3" ht="32" customHeight="1" x14ac:dyDescent="0.2">
      <c r="A629" s="1" t="s">
        <v>6</v>
      </c>
      <c r="B629" s="255" t="s">
        <v>644</v>
      </c>
      <c r="C629" s="255"/>
    </row>
    <row r="630" spans="1:3" ht="32" customHeight="1" x14ac:dyDescent="0.2">
      <c r="A630" s="1" t="s">
        <v>6</v>
      </c>
      <c r="B630" s="255" t="s">
        <v>645</v>
      </c>
      <c r="C630" s="255"/>
    </row>
    <row r="631" spans="1:3" ht="32" customHeight="1" x14ac:dyDescent="0.2">
      <c r="A631" s="1" t="s">
        <v>6</v>
      </c>
      <c r="B631" s="255" t="s">
        <v>646</v>
      </c>
      <c r="C631" s="255"/>
    </row>
    <row r="632" spans="1:3" ht="32" customHeight="1" x14ac:dyDescent="0.2">
      <c r="A632" s="1" t="s">
        <v>6</v>
      </c>
      <c r="B632" s="255" t="s">
        <v>647</v>
      </c>
      <c r="C632" s="255"/>
    </row>
    <row r="633" spans="1:3" ht="32" customHeight="1" x14ac:dyDescent="0.2">
      <c r="A633" s="1" t="s">
        <v>6</v>
      </c>
      <c r="B633" s="255" t="s">
        <v>648</v>
      </c>
      <c r="C633" s="255"/>
    </row>
    <row r="634" spans="1:3" ht="32" customHeight="1" x14ac:dyDescent="0.2">
      <c r="A634" s="1" t="s">
        <v>6</v>
      </c>
      <c r="B634" s="255" t="s">
        <v>649</v>
      </c>
      <c r="C634" s="255"/>
    </row>
    <row r="635" spans="1:3" ht="32" customHeight="1" x14ac:dyDescent="0.2">
      <c r="A635" s="1" t="s">
        <v>6</v>
      </c>
      <c r="B635" s="255" t="s">
        <v>650</v>
      </c>
      <c r="C635" s="255"/>
    </row>
    <row r="636" spans="1:3" ht="32" customHeight="1" x14ac:dyDescent="0.2">
      <c r="A636" s="1" t="s">
        <v>6</v>
      </c>
      <c r="B636" s="255" t="s">
        <v>651</v>
      </c>
      <c r="C636" s="255"/>
    </row>
    <row r="637" spans="1:3" ht="32" customHeight="1" x14ac:dyDescent="0.2">
      <c r="A637" s="1" t="s">
        <v>6</v>
      </c>
      <c r="B637" s="255" t="s">
        <v>652</v>
      </c>
      <c r="C637" s="255"/>
    </row>
    <row r="638" spans="1:3" ht="32" customHeight="1" x14ac:dyDescent="0.2">
      <c r="A638" s="1" t="s">
        <v>6</v>
      </c>
      <c r="B638" s="255" t="s">
        <v>653</v>
      </c>
      <c r="C638" s="255"/>
    </row>
    <row r="639" spans="1:3" ht="32" customHeight="1" x14ac:dyDescent="0.2">
      <c r="A639" s="1" t="s">
        <v>6</v>
      </c>
      <c r="B639" s="255" t="s">
        <v>654</v>
      </c>
      <c r="C639" s="255"/>
    </row>
    <row r="640" spans="1:3" ht="32" customHeight="1" x14ac:dyDescent="0.2">
      <c r="A640" s="1" t="s">
        <v>6</v>
      </c>
      <c r="B640" s="255" t="s">
        <v>655</v>
      </c>
      <c r="C640" s="255"/>
    </row>
    <row r="641" spans="1:3" ht="32" customHeight="1" x14ac:dyDescent="0.2">
      <c r="A641" s="1" t="s">
        <v>6</v>
      </c>
      <c r="B641" s="255" t="s">
        <v>656</v>
      </c>
      <c r="C641" s="255"/>
    </row>
    <row r="642" spans="1:3" ht="32" customHeight="1" x14ac:dyDescent="0.2">
      <c r="A642" s="1" t="s">
        <v>6</v>
      </c>
      <c r="B642" s="255" t="s">
        <v>657</v>
      </c>
      <c r="C642" s="255"/>
    </row>
    <row r="643" spans="1:3" ht="32" customHeight="1" x14ac:dyDescent="0.2">
      <c r="A643" s="1" t="s">
        <v>6</v>
      </c>
      <c r="B643" s="255" t="s">
        <v>658</v>
      </c>
      <c r="C643" s="255"/>
    </row>
    <row r="644" spans="1:3" ht="32" customHeight="1" x14ac:dyDescent="0.2">
      <c r="A644" s="1" t="s">
        <v>6</v>
      </c>
      <c r="B644" s="255" t="s">
        <v>659</v>
      </c>
      <c r="C644" s="255"/>
    </row>
    <row r="645" spans="1:3" ht="32" customHeight="1" x14ac:dyDescent="0.2">
      <c r="A645" s="1" t="s">
        <v>6</v>
      </c>
      <c r="B645" s="255" t="s">
        <v>660</v>
      </c>
      <c r="C645" s="255"/>
    </row>
    <row r="646" spans="1:3" ht="32" customHeight="1" x14ac:dyDescent="0.2">
      <c r="A646" s="1" t="s">
        <v>6</v>
      </c>
      <c r="B646" s="255" t="s">
        <v>661</v>
      </c>
      <c r="C646" s="255"/>
    </row>
    <row r="647" spans="1:3" ht="32" customHeight="1" x14ac:dyDescent="0.2">
      <c r="A647" s="1" t="s">
        <v>6</v>
      </c>
      <c r="B647" s="255" t="s">
        <v>662</v>
      </c>
      <c r="C647" s="255"/>
    </row>
    <row r="648" spans="1:3" ht="32" customHeight="1" x14ac:dyDescent="0.2">
      <c r="A648" s="1" t="s">
        <v>6</v>
      </c>
      <c r="B648" s="255" t="s">
        <v>663</v>
      </c>
      <c r="C648" s="255"/>
    </row>
    <row r="649" spans="1:3" ht="32" customHeight="1" x14ac:dyDescent="0.2">
      <c r="A649" s="1" t="s">
        <v>6</v>
      </c>
      <c r="B649" s="255" t="s">
        <v>664</v>
      </c>
      <c r="C649" s="255"/>
    </row>
    <row r="650" spans="1:3" ht="32" customHeight="1" x14ac:dyDescent="0.2">
      <c r="A650" s="1" t="s">
        <v>6</v>
      </c>
      <c r="B650" s="255" t="s">
        <v>665</v>
      </c>
      <c r="C650" s="255"/>
    </row>
    <row r="651" spans="1:3" ht="32" customHeight="1" x14ac:dyDescent="0.2">
      <c r="A651" s="1" t="s">
        <v>6</v>
      </c>
      <c r="B651" s="255" t="s">
        <v>666</v>
      </c>
      <c r="C651" s="255"/>
    </row>
    <row r="652" spans="1:3" ht="32" customHeight="1" x14ac:dyDescent="0.2">
      <c r="A652" s="1" t="s">
        <v>6</v>
      </c>
      <c r="B652" s="255" t="s">
        <v>667</v>
      </c>
      <c r="C652" s="255"/>
    </row>
    <row r="653" spans="1:3" ht="32" customHeight="1" x14ac:dyDescent="0.2">
      <c r="A653" s="1" t="s">
        <v>6</v>
      </c>
      <c r="B653" s="255" t="s">
        <v>668</v>
      </c>
      <c r="C653" s="255"/>
    </row>
    <row r="654" spans="1:3" ht="32" customHeight="1" x14ac:dyDescent="0.2">
      <c r="A654" s="1" t="s">
        <v>6</v>
      </c>
      <c r="B654" s="255" t="s">
        <v>669</v>
      </c>
      <c r="C654" s="255"/>
    </row>
    <row r="655" spans="1:3" ht="32" customHeight="1" x14ac:dyDescent="0.2">
      <c r="A655" s="1" t="s">
        <v>6</v>
      </c>
      <c r="B655" s="255" t="s">
        <v>670</v>
      </c>
      <c r="C655" s="255"/>
    </row>
    <row r="656" spans="1:3" ht="32" customHeight="1" x14ac:dyDescent="0.2">
      <c r="A656" s="1" t="s">
        <v>6</v>
      </c>
      <c r="B656" s="255" t="s">
        <v>671</v>
      </c>
      <c r="C656" s="255"/>
    </row>
    <row r="657" spans="1:3" ht="32" customHeight="1" x14ac:dyDescent="0.2">
      <c r="A657" s="1" t="s">
        <v>6</v>
      </c>
      <c r="B657" s="255" t="s">
        <v>672</v>
      </c>
      <c r="C657" s="255"/>
    </row>
    <row r="658" spans="1:3" ht="32" customHeight="1" x14ac:dyDescent="0.2">
      <c r="A658" s="1" t="s">
        <v>6</v>
      </c>
      <c r="B658" s="255" t="s">
        <v>673</v>
      </c>
      <c r="C658" s="255"/>
    </row>
    <row r="659" spans="1:3" ht="32" customHeight="1" x14ac:dyDescent="0.2">
      <c r="A659" s="1" t="s">
        <v>6</v>
      </c>
      <c r="B659" s="255" t="s">
        <v>674</v>
      </c>
      <c r="C659" s="255"/>
    </row>
    <row r="660" spans="1:3" ht="32" customHeight="1" x14ac:dyDescent="0.2">
      <c r="A660" s="1" t="s">
        <v>6</v>
      </c>
      <c r="B660" s="255" t="s">
        <v>675</v>
      </c>
      <c r="C660" s="255"/>
    </row>
    <row r="661" spans="1:3" ht="32" customHeight="1" x14ac:dyDescent="0.2">
      <c r="A661" s="1" t="s">
        <v>6</v>
      </c>
      <c r="B661" s="255" t="s">
        <v>676</v>
      </c>
      <c r="C661" s="255"/>
    </row>
    <row r="662" spans="1:3" ht="32" customHeight="1" x14ac:dyDescent="0.2">
      <c r="A662" s="1" t="s">
        <v>6</v>
      </c>
      <c r="B662" s="255" t="s">
        <v>677</v>
      </c>
      <c r="C662" s="255"/>
    </row>
    <row r="663" spans="1:3" ht="32" customHeight="1" x14ac:dyDescent="0.2">
      <c r="A663" s="1" t="s">
        <v>6</v>
      </c>
      <c r="B663" s="255" t="s">
        <v>678</v>
      </c>
      <c r="C663" s="255"/>
    </row>
    <row r="664" spans="1:3" ht="32" customHeight="1" x14ac:dyDescent="0.2">
      <c r="A664" s="1" t="s">
        <v>6</v>
      </c>
      <c r="B664" s="255" t="s">
        <v>679</v>
      </c>
      <c r="C664" s="255"/>
    </row>
    <row r="665" spans="1:3" ht="32" customHeight="1" x14ac:dyDescent="0.2">
      <c r="A665" s="1" t="s">
        <v>6</v>
      </c>
      <c r="B665" s="255" t="s">
        <v>680</v>
      </c>
      <c r="C665" s="255"/>
    </row>
    <row r="666" spans="1:3" ht="32" customHeight="1" x14ac:dyDescent="0.2">
      <c r="A666" s="1" t="s">
        <v>6</v>
      </c>
      <c r="B666" s="255" t="s">
        <v>681</v>
      </c>
      <c r="C666" s="255"/>
    </row>
    <row r="667" spans="1:3" ht="32" customHeight="1" x14ac:dyDescent="0.2">
      <c r="A667" s="1" t="s">
        <v>6</v>
      </c>
      <c r="B667" s="255" t="s">
        <v>682</v>
      </c>
      <c r="C667" s="255"/>
    </row>
    <row r="668" spans="1:3" ht="32" customHeight="1" x14ac:dyDescent="0.2">
      <c r="A668" s="1" t="s">
        <v>6</v>
      </c>
      <c r="B668" s="255" t="s">
        <v>683</v>
      </c>
      <c r="C668" s="255"/>
    </row>
    <row r="669" spans="1:3" ht="32" customHeight="1" x14ac:dyDescent="0.2">
      <c r="A669" s="1" t="s">
        <v>6</v>
      </c>
      <c r="B669" s="255" t="s">
        <v>684</v>
      </c>
      <c r="C669" s="255"/>
    </row>
    <row r="670" spans="1:3" ht="32" customHeight="1" x14ac:dyDescent="0.2">
      <c r="A670" s="1" t="s">
        <v>6</v>
      </c>
      <c r="B670" s="255" t="s">
        <v>685</v>
      </c>
      <c r="C670" s="255"/>
    </row>
    <row r="671" spans="1:3" ht="32" customHeight="1" x14ac:dyDescent="0.2">
      <c r="A671" s="1" t="s">
        <v>6</v>
      </c>
      <c r="B671" s="255" t="s">
        <v>686</v>
      </c>
      <c r="C671" s="255"/>
    </row>
    <row r="672" spans="1:3" ht="32" customHeight="1" x14ac:dyDescent="0.2">
      <c r="A672" s="1" t="s">
        <v>6</v>
      </c>
      <c r="B672" s="255" t="s">
        <v>687</v>
      </c>
      <c r="C672" s="255"/>
    </row>
    <row r="673" spans="1:3" ht="32" customHeight="1" x14ac:dyDescent="0.2">
      <c r="A673" s="1" t="s">
        <v>6</v>
      </c>
      <c r="B673" s="255" t="s">
        <v>688</v>
      </c>
      <c r="C673" s="255"/>
    </row>
    <row r="674" spans="1:3" ht="32" customHeight="1" x14ac:dyDescent="0.2">
      <c r="A674" s="1" t="s">
        <v>6</v>
      </c>
      <c r="B674" s="255" t="s">
        <v>689</v>
      </c>
      <c r="C674" s="255"/>
    </row>
    <row r="675" spans="1:3" ht="32" customHeight="1" x14ac:dyDescent="0.2">
      <c r="A675" s="1" t="s">
        <v>6</v>
      </c>
      <c r="B675" s="255" t="s">
        <v>690</v>
      </c>
      <c r="C675" s="255"/>
    </row>
    <row r="676" spans="1:3" ht="32" customHeight="1" x14ac:dyDescent="0.2">
      <c r="A676" s="1" t="s">
        <v>6</v>
      </c>
      <c r="B676" s="255" t="s">
        <v>691</v>
      </c>
      <c r="C676" s="255"/>
    </row>
    <row r="677" spans="1:3" ht="32" customHeight="1" x14ac:dyDescent="0.2">
      <c r="A677" s="1" t="s">
        <v>6</v>
      </c>
      <c r="B677" s="255" t="s">
        <v>692</v>
      </c>
      <c r="C677" s="255"/>
    </row>
    <row r="678" spans="1:3" ht="32" customHeight="1" x14ac:dyDescent="0.2">
      <c r="A678" s="1" t="s">
        <v>6</v>
      </c>
      <c r="B678" s="255" t="s">
        <v>693</v>
      </c>
      <c r="C678" s="255"/>
    </row>
    <row r="679" spans="1:3" ht="32" customHeight="1" x14ac:dyDescent="0.2">
      <c r="A679" s="1" t="s">
        <v>6</v>
      </c>
      <c r="B679" s="255" t="s">
        <v>694</v>
      </c>
      <c r="C679" s="255"/>
    </row>
    <row r="680" spans="1:3" ht="32" customHeight="1" x14ac:dyDescent="0.2">
      <c r="A680" s="1" t="s">
        <v>6</v>
      </c>
      <c r="B680" s="255" t="s">
        <v>695</v>
      </c>
      <c r="C680" s="255"/>
    </row>
    <row r="681" spans="1:3" ht="32" customHeight="1" x14ac:dyDescent="0.2">
      <c r="A681" s="1" t="s">
        <v>6</v>
      </c>
      <c r="B681" s="255" t="s">
        <v>696</v>
      </c>
      <c r="C681" s="255"/>
    </row>
    <row r="682" spans="1:3" ht="32" customHeight="1" x14ac:dyDescent="0.2">
      <c r="A682" s="1" t="s">
        <v>6</v>
      </c>
      <c r="B682" s="255" t="s">
        <v>697</v>
      </c>
      <c r="C682" s="255"/>
    </row>
    <row r="683" spans="1:3" ht="32" customHeight="1" x14ac:dyDescent="0.2">
      <c r="A683" s="1" t="s">
        <v>6</v>
      </c>
      <c r="B683" s="255" t="s">
        <v>698</v>
      </c>
      <c r="C683" s="255"/>
    </row>
    <row r="684" spans="1:3" ht="32" customHeight="1" x14ac:dyDescent="0.2">
      <c r="A684" s="1" t="s">
        <v>6</v>
      </c>
      <c r="B684" s="255" t="s">
        <v>699</v>
      </c>
      <c r="C684" s="255"/>
    </row>
    <row r="685" spans="1:3" ht="32" customHeight="1" x14ac:dyDescent="0.2">
      <c r="A685" s="1" t="s">
        <v>6</v>
      </c>
      <c r="B685" s="255" t="s">
        <v>700</v>
      </c>
      <c r="C685" s="255"/>
    </row>
    <row r="686" spans="1:3" ht="32" customHeight="1" x14ac:dyDescent="0.2">
      <c r="A686" s="1" t="s">
        <v>6</v>
      </c>
      <c r="B686" s="255" t="s">
        <v>701</v>
      </c>
      <c r="C686" s="255"/>
    </row>
    <row r="687" spans="1:3" ht="32" customHeight="1" x14ac:dyDescent="0.2">
      <c r="A687" s="1" t="s">
        <v>6</v>
      </c>
      <c r="B687" s="255" t="s">
        <v>702</v>
      </c>
      <c r="C687" s="255"/>
    </row>
    <row r="688" spans="1:3" ht="32" customHeight="1" x14ac:dyDescent="0.2">
      <c r="A688" s="1" t="s">
        <v>6</v>
      </c>
      <c r="B688" s="255" t="s">
        <v>703</v>
      </c>
      <c r="C688" s="255"/>
    </row>
    <row r="689" spans="1:3" ht="32" customHeight="1" x14ac:dyDescent="0.2">
      <c r="A689" s="1" t="s">
        <v>6</v>
      </c>
      <c r="B689" s="255" t="s">
        <v>704</v>
      </c>
      <c r="C689" s="255"/>
    </row>
    <row r="690" spans="1:3" ht="32" customHeight="1" x14ac:dyDescent="0.2">
      <c r="A690" s="1" t="s">
        <v>6</v>
      </c>
      <c r="B690" s="255" t="s">
        <v>705</v>
      </c>
      <c r="C690" s="255"/>
    </row>
    <row r="691" spans="1:3" ht="32" customHeight="1" x14ac:dyDescent="0.2">
      <c r="A691" s="1" t="s">
        <v>6</v>
      </c>
      <c r="B691" s="255" t="s">
        <v>706</v>
      </c>
      <c r="C691" s="255"/>
    </row>
    <row r="692" spans="1:3" ht="32" customHeight="1" x14ac:dyDescent="0.2">
      <c r="A692" s="1" t="s">
        <v>6</v>
      </c>
      <c r="B692" s="255" t="s">
        <v>707</v>
      </c>
      <c r="C692" s="255"/>
    </row>
    <row r="693" spans="1:3" ht="32" customHeight="1" x14ac:dyDescent="0.2">
      <c r="A693" s="1" t="s">
        <v>6</v>
      </c>
      <c r="B693" s="255" t="s">
        <v>708</v>
      </c>
      <c r="C693" s="255"/>
    </row>
    <row r="694" spans="1:3" ht="32" customHeight="1" x14ac:dyDescent="0.2">
      <c r="A694" s="1" t="s">
        <v>6</v>
      </c>
      <c r="B694" s="255" t="s">
        <v>709</v>
      </c>
      <c r="C694" s="255"/>
    </row>
    <row r="695" spans="1:3" ht="32" customHeight="1" x14ac:dyDescent="0.2">
      <c r="A695" s="1" t="s">
        <v>6</v>
      </c>
      <c r="B695" s="255" t="s">
        <v>710</v>
      </c>
      <c r="C695" s="255"/>
    </row>
    <row r="696" spans="1:3" ht="32" customHeight="1" x14ac:dyDescent="0.2">
      <c r="A696" s="1" t="s">
        <v>6</v>
      </c>
      <c r="B696" s="255" t="s">
        <v>711</v>
      </c>
      <c r="C696" s="255"/>
    </row>
    <row r="697" spans="1:3" ht="32" customHeight="1" x14ac:dyDescent="0.2">
      <c r="A697" s="1" t="s">
        <v>6</v>
      </c>
      <c r="B697" s="255" t="s">
        <v>712</v>
      </c>
      <c r="C697" s="255"/>
    </row>
    <row r="698" spans="1:3" ht="32" customHeight="1" x14ac:dyDescent="0.2">
      <c r="A698" s="1" t="s">
        <v>6</v>
      </c>
      <c r="B698" s="255" t="s">
        <v>713</v>
      </c>
      <c r="C698" s="255"/>
    </row>
    <row r="699" spans="1:3" ht="32" customHeight="1" x14ac:dyDescent="0.2">
      <c r="A699" s="1" t="s">
        <v>6</v>
      </c>
      <c r="B699" s="255" t="s">
        <v>714</v>
      </c>
      <c r="C699" s="255"/>
    </row>
    <row r="700" spans="1:3" ht="32" customHeight="1" x14ac:dyDescent="0.2">
      <c r="A700" s="1" t="s">
        <v>6</v>
      </c>
      <c r="B700" s="255" t="s">
        <v>715</v>
      </c>
      <c r="C700" s="255"/>
    </row>
    <row r="701" spans="1:3" ht="32" customHeight="1" x14ac:dyDescent="0.2">
      <c r="A701" s="1" t="s">
        <v>6</v>
      </c>
      <c r="B701" s="255" t="s">
        <v>716</v>
      </c>
      <c r="C701" s="255"/>
    </row>
    <row r="702" spans="1:3" ht="32" customHeight="1" x14ac:dyDescent="0.2">
      <c r="A702" s="1" t="s">
        <v>6</v>
      </c>
      <c r="B702" s="255" t="s">
        <v>717</v>
      </c>
      <c r="C702" s="255"/>
    </row>
    <row r="703" spans="1:3" ht="32" customHeight="1" x14ac:dyDescent="0.2">
      <c r="A703" s="1" t="s">
        <v>6</v>
      </c>
      <c r="B703" s="255" t="s">
        <v>718</v>
      </c>
      <c r="C703" s="255"/>
    </row>
    <row r="704" spans="1:3" ht="32" customHeight="1" x14ac:dyDescent="0.2">
      <c r="A704" s="1" t="s">
        <v>6</v>
      </c>
      <c r="B704" s="255" t="s">
        <v>719</v>
      </c>
      <c r="C704" s="255"/>
    </row>
    <row r="705" spans="1:3" ht="32" customHeight="1" x14ac:dyDescent="0.2">
      <c r="A705" s="1" t="s">
        <v>6</v>
      </c>
      <c r="B705" s="255" t="s">
        <v>720</v>
      </c>
      <c r="C705" s="255"/>
    </row>
    <row r="706" spans="1:3" ht="32" customHeight="1" x14ac:dyDescent="0.2">
      <c r="A706" s="1" t="s">
        <v>6</v>
      </c>
      <c r="B706" s="255" t="s">
        <v>721</v>
      </c>
      <c r="C706" s="255"/>
    </row>
    <row r="707" spans="1:3" ht="32" customHeight="1" x14ac:dyDescent="0.2">
      <c r="A707" s="1" t="s">
        <v>6</v>
      </c>
      <c r="B707" s="255" t="s">
        <v>722</v>
      </c>
      <c r="C707" s="255"/>
    </row>
    <row r="708" spans="1:3" ht="32" customHeight="1" x14ac:dyDescent="0.2">
      <c r="A708" s="1" t="s">
        <v>6</v>
      </c>
      <c r="B708" s="255" t="s">
        <v>723</v>
      </c>
      <c r="C708" s="255"/>
    </row>
    <row r="709" spans="1:3" ht="32" customHeight="1" x14ac:dyDescent="0.2">
      <c r="A709" s="1" t="s">
        <v>6</v>
      </c>
      <c r="B709" s="255" t="s">
        <v>724</v>
      </c>
      <c r="C709" s="255"/>
    </row>
    <row r="710" spans="1:3" ht="32" customHeight="1" x14ac:dyDescent="0.2">
      <c r="A710" s="1" t="s">
        <v>6</v>
      </c>
      <c r="B710" s="255" t="s">
        <v>725</v>
      </c>
      <c r="C710" s="255"/>
    </row>
    <row r="711" spans="1:3" ht="32" customHeight="1" x14ac:dyDescent="0.2">
      <c r="A711" s="1" t="s">
        <v>6</v>
      </c>
      <c r="B711" s="255" t="s">
        <v>726</v>
      </c>
      <c r="C711" s="255"/>
    </row>
    <row r="712" spans="1:3" ht="32" customHeight="1" x14ac:dyDescent="0.2">
      <c r="A712" s="1" t="s">
        <v>6</v>
      </c>
      <c r="B712" s="255" t="s">
        <v>727</v>
      </c>
      <c r="C712" s="255"/>
    </row>
    <row r="713" spans="1:3" ht="32" customHeight="1" x14ac:dyDescent="0.2">
      <c r="A713" s="1" t="s">
        <v>6</v>
      </c>
      <c r="B713" s="255" t="s">
        <v>728</v>
      </c>
      <c r="C713" s="255"/>
    </row>
    <row r="714" spans="1:3" ht="32" customHeight="1" x14ac:dyDescent="0.2">
      <c r="A714" s="1" t="s">
        <v>6</v>
      </c>
      <c r="B714" s="255" t="s">
        <v>729</v>
      </c>
      <c r="C714" s="255"/>
    </row>
    <row r="715" spans="1:3" ht="32" customHeight="1" x14ac:dyDescent="0.2">
      <c r="A715" s="1" t="s">
        <v>6</v>
      </c>
      <c r="B715" s="255" t="s">
        <v>730</v>
      </c>
      <c r="C715" s="255"/>
    </row>
    <row r="716" spans="1:3" ht="32" customHeight="1" x14ac:dyDescent="0.2">
      <c r="A716" s="1" t="s">
        <v>6</v>
      </c>
      <c r="B716" s="255" t="s">
        <v>731</v>
      </c>
      <c r="C716" s="255"/>
    </row>
    <row r="717" spans="1:3" ht="32" customHeight="1" x14ac:dyDescent="0.2">
      <c r="A717" s="1" t="s">
        <v>6</v>
      </c>
      <c r="B717" s="255" t="s">
        <v>732</v>
      </c>
      <c r="C717" s="255"/>
    </row>
    <row r="718" spans="1:3" ht="32" customHeight="1" x14ac:dyDescent="0.2">
      <c r="A718" s="1" t="s">
        <v>6</v>
      </c>
      <c r="B718" s="255" t="s">
        <v>733</v>
      </c>
      <c r="C718" s="255"/>
    </row>
    <row r="719" spans="1:3" ht="32" customHeight="1" x14ac:dyDescent="0.2">
      <c r="A719" s="1" t="s">
        <v>6</v>
      </c>
      <c r="B719" s="255" t="s">
        <v>734</v>
      </c>
      <c r="C719" s="255"/>
    </row>
    <row r="720" spans="1:3" ht="32" customHeight="1" x14ac:dyDescent="0.2">
      <c r="A720" s="1" t="s">
        <v>6</v>
      </c>
      <c r="B720" s="255" t="s">
        <v>735</v>
      </c>
      <c r="C720" s="255"/>
    </row>
    <row r="721" spans="1:3" ht="32" customHeight="1" x14ac:dyDescent="0.2">
      <c r="A721" s="1" t="s">
        <v>6</v>
      </c>
      <c r="B721" s="255" t="s">
        <v>736</v>
      </c>
      <c r="C721" s="255"/>
    </row>
    <row r="722" spans="1:3" ht="32" customHeight="1" x14ac:dyDescent="0.2">
      <c r="A722" s="1" t="s">
        <v>6</v>
      </c>
      <c r="B722" s="255" t="s">
        <v>737</v>
      </c>
      <c r="C722" s="255"/>
    </row>
    <row r="723" spans="1:3" ht="32" customHeight="1" x14ac:dyDescent="0.2">
      <c r="A723" s="1" t="s">
        <v>6</v>
      </c>
      <c r="B723" s="255" t="s">
        <v>738</v>
      </c>
      <c r="C723" s="255"/>
    </row>
    <row r="724" spans="1:3" ht="32" customHeight="1" x14ac:dyDescent="0.2">
      <c r="A724" s="1" t="s">
        <v>6</v>
      </c>
      <c r="B724" s="255" t="s">
        <v>739</v>
      </c>
      <c r="C724" s="255"/>
    </row>
    <row r="725" spans="1:3" ht="32" customHeight="1" x14ac:dyDescent="0.2">
      <c r="A725" s="1" t="s">
        <v>6</v>
      </c>
      <c r="B725" s="255" t="s">
        <v>740</v>
      </c>
      <c r="C725" s="255"/>
    </row>
    <row r="726" spans="1:3" ht="32" customHeight="1" x14ac:dyDescent="0.2">
      <c r="A726" s="1" t="s">
        <v>6</v>
      </c>
      <c r="B726" s="255" t="s">
        <v>741</v>
      </c>
      <c r="C726" s="255"/>
    </row>
    <row r="727" spans="1:3" ht="32" customHeight="1" x14ac:dyDescent="0.2">
      <c r="A727" s="1" t="s">
        <v>6</v>
      </c>
      <c r="B727" s="255" t="s">
        <v>742</v>
      </c>
      <c r="C727" s="255"/>
    </row>
    <row r="728" spans="1:3" ht="32" customHeight="1" x14ac:dyDescent="0.2">
      <c r="A728" s="1" t="s">
        <v>6</v>
      </c>
      <c r="B728" s="255" t="s">
        <v>743</v>
      </c>
      <c r="C728" s="255"/>
    </row>
    <row r="729" spans="1:3" ht="32" customHeight="1" x14ac:dyDescent="0.2">
      <c r="A729" s="1" t="s">
        <v>6</v>
      </c>
      <c r="B729" s="255" t="s">
        <v>744</v>
      </c>
      <c r="C729" s="255"/>
    </row>
    <row r="730" spans="1:3" ht="32" customHeight="1" x14ac:dyDescent="0.2">
      <c r="A730" s="1" t="s">
        <v>6</v>
      </c>
      <c r="B730" s="255" t="s">
        <v>745</v>
      </c>
      <c r="C730" s="255"/>
    </row>
    <row r="731" spans="1:3" ht="32" customHeight="1" x14ac:dyDescent="0.2">
      <c r="A731" s="1" t="s">
        <v>6</v>
      </c>
      <c r="B731" s="255" t="s">
        <v>746</v>
      </c>
      <c r="C731" s="255"/>
    </row>
    <row r="732" spans="1:3" ht="32" customHeight="1" x14ac:dyDescent="0.2">
      <c r="A732" s="1" t="s">
        <v>6</v>
      </c>
      <c r="B732" s="255" t="s">
        <v>747</v>
      </c>
      <c r="C732" s="255"/>
    </row>
    <row r="733" spans="1:3" ht="32" customHeight="1" x14ac:dyDescent="0.2">
      <c r="A733" s="1" t="s">
        <v>6</v>
      </c>
      <c r="B733" s="255" t="s">
        <v>748</v>
      </c>
      <c r="C733" s="255"/>
    </row>
    <row r="734" spans="1:3" ht="32" customHeight="1" x14ac:dyDescent="0.2">
      <c r="A734" s="1" t="s">
        <v>6</v>
      </c>
      <c r="B734" s="255" t="s">
        <v>749</v>
      </c>
      <c r="C734" s="255"/>
    </row>
    <row r="735" spans="1:3" ht="32" customHeight="1" x14ac:dyDescent="0.2">
      <c r="A735" s="1" t="s">
        <v>6</v>
      </c>
      <c r="B735" s="255" t="s">
        <v>750</v>
      </c>
      <c r="C735" s="255"/>
    </row>
    <row r="736" spans="1:3" ht="32" customHeight="1" x14ac:dyDescent="0.2">
      <c r="A736" s="1" t="s">
        <v>6</v>
      </c>
      <c r="B736" s="255" t="s">
        <v>751</v>
      </c>
      <c r="C736" s="255"/>
    </row>
    <row r="737" spans="1:3" ht="32" customHeight="1" x14ac:dyDescent="0.2">
      <c r="A737" s="1" t="s">
        <v>6</v>
      </c>
      <c r="B737" s="255" t="s">
        <v>752</v>
      </c>
      <c r="C737" s="255"/>
    </row>
    <row r="738" spans="1:3" ht="32" customHeight="1" x14ac:dyDescent="0.2">
      <c r="A738" s="1" t="s">
        <v>6</v>
      </c>
      <c r="B738" s="255" t="s">
        <v>753</v>
      </c>
      <c r="C738" s="255"/>
    </row>
    <row r="739" spans="1:3" ht="32" customHeight="1" x14ac:dyDescent="0.2">
      <c r="A739" s="1" t="s">
        <v>6</v>
      </c>
      <c r="B739" s="255" t="s">
        <v>754</v>
      </c>
      <c r="C739" s="255"/>
    </row>
    <row r="740" spans="1:3" ht="32" customHeight="1" x14ac:dyDescent="0.2">
      <c r="A740" s="1" t="s">
        <v>6</v>
      </c>
      <c r="B740" s="255" t="s">
        <v>755</v>
      </c>
      <c r="C740" s="255"/>
    </row>
    <row r="741" spans="1:3" ht="32" customHeight="1" x14ac:dyDescent="0.2">
      <c r="A741" s="1" t="s">
        <v>6</v>
      </c>
      <c r="B741" s="255" t="s">
        <v>756</v>
      </c>
      <c r="C741" s="255"/>
    </row>
    <row r="742" spans="1:3" ht="32" customHeight="1" x14ac:dyDescent="0.2">
      <c r="A742" s="1" t="s">
        <v>6</v>
      </c>
      <c r="B742" s="255" t="s">
        <v>757</v>
      </c>
      <c r="C742" s="255"/>
    </row>
    <row r="743" spans="1:3" ht="32" customHeight="1" x14ac:dyDescent="0.2">
      <c r="A743" s="1" t="s">
        <v>6</v>
      </c>
      <c r="B743" s="255" t="s">
        <v>758</v>
      </c>
      <c r="C743" s="255"/>
    </row>
    <row r="744" spans="1:3" ht="32" customHeight="1" x14ac:dyDescent="0.2">
      <c r="A744" s="1" t="s">
        <v>6</v>
      </c>
      <c r="B744" s="255" t="s">
        <v>759</v>
      </c>
      <c r="C744" s="255"/>
    </row>
    <row r="745" spans="1:3" ht="32" customHeight="1" x14ac:dyDescent="0.2">
      <c r="A745" s="1" t="s">
        <v>6</v>
      </c>
      <c r="B745" s="255" t="s">
        <v>760</v>
      </c>
      <c r="C745" s="255"/>
    </row>
    <row r="746" spans="1:3" ht="32" customHeight="1" x14ac:dyDescent="0.2">
      <c r="A746" s="1" t="s">
        <v>6</v>
      </c>
      <c r="B746" s="255" t="s">
        <v>761</v>
      </c>
      <c r="C746" s="255"/>
    </row>
    <row r="747" spans="1:3" ht="32" customHeight="1" x14ac:dyDescent="0.2">
      <c r="A747" s="1" t="s">
        <v>6</v>
      </c>
      <c r="B747" s="255" t="s">
        <v>762</v>
      </c>
      <c r="C747" s="255"/>
    </row>
    <row r="748" spans="1:3" ht="32" customHeight="1" x14ac:dyDescent="0.2">
      <c r="A748" s="1" t="s">
        <v>6</v>
      </c>
      <c r="B748" s="255" t="s">
        <v>763</v>
      </c>
      <c r="C748" s="255"/>
    </row>
    <row r="749" spans="1:3" ht="32" customHeight="1" x14ac:dyDescent="0.2">
      <c r="A749" s="1" t="s">
        <v>6</v>
      </c>
      <c r="B749" s="255" t="s">
        <v>764</v>
      </c>
      <c r="C749" s="255"/>
    </row>
    <row r="750" spans="1:3" ht="32" customHeight="1" x14ac:dyDescent="0.2">
      <c r="A750" s="1" t="s">
        <v>6</v>
      </c>
      <c r="B750" s="255" t="s">
        <v>765</v>
      </c>
      <c r="C750" s="255"/>
    </row>
    <row r="751" spans="1:3" ht="32" customHeight="1" x14ac:dyDescent="0.2">
      <c r="A751" s="1" t="s">
        <v>6</v>
      </c>
      <c r="B751" s="255" t="s">
        <v>766</v>
      </c>
      <c r="C751" s="255"/>
    </row>
    <row r="752" spans="1:3" ht="32" customHeight="1" x14ac:dyDescent="0.2">
      <c r="A752" s="1" t="s">
        <v>6</v>
      </c>
      <c r="B752" s="255" t="s">
        <v>767</v>
      </c>
      <c r="C752" s="255"/>
    </row>
    <row r="753" spans="1:3" ht="32" customHeight="1" x14ac:dyDescent="0.2">
      <c r="A753" s="1" t="s">
        <v>6</v>
      </c>
      <c r="B753" s="255" t="s">
        <v>768</v>
      </c>
      <c r="C753" s="255"/>
    </row>
    <row r="754" spans="1:3" ht="32" customHeight="1" x14ac:dyDescent="0.2">
      <c r="A754" s="1" t="s">
        <v>6</v>
      </c>
      <c r="B754" s="255" t="s">
        <v>769</v>
      </c>
      <c r="C754" s="255"/>
    </row>
    <row r="755" spans="1:3" ht="32" customHeight="1" x14ac:dyDescent="0.2">
      <c r="A755" s="1" t="s">
        <v>6</v>
      </c>
      <c r="B755" s="255" t="s">
        <v>770</v>
      </c>
      <c r="C755" s="255"/>
    </row>
    <row r="756" spans="1:3" ht="32" customHeight="1" x14ac:dyDescent="0.2">
      <c r="A756" s="1" t="s">
        <v>6</v>
      </c>
      <c r="B756" s="255" t="s">
        <v>771</v>
      </c>
      <c r="C756" s="255"/>
    </row>
    <row r="757" spans="1:3" ht="32" customHeight="1" x14ac:dyDescent="0.2">
      <c r="A757" s="1" t="s">
        <v>6</v>
      </c>
      <c r="B757" s="255" t="s">
        <v>772</v>
      </c>
      <c r="C757" s="255"/>
    </row>
    <row r="758" spans="1:3" ht="32" customHeight="1" x14ac:dyDescent="0.2">
      <c r="A758" s="1" t="s">
        <v>6</v>
      </c>
      <c r="B758" s="255" t="s">
        <v>773</v>
      </c>
      <c r="C758" s="255"/>
    </row>
    <row r="759" spans="1:3" ht="32" customHeight="1" x14ac:dyDescent="0.2">
      <c r="A759" s="1" t="s">
        <v>6</v>
      </c>
      <c r="B759" s="255" t="s">
        <v>774</v>
      </c>
      <c r="C759" s="255"/>
    </row>
    <row r="760" spans="1:3" ht="32" customHeight="1" x14ac:dyDescent="0.2">
      <c r="A760" s="1" t="s">
        <v>6</v>
      </c>
      <c r="B760" s="255" t="s">
        <v>775</v>
      </c>
      <c r="C760" s="255"/>
    </row>
    <row r="761" spans="1:3" ht="32" customHeight="1" x14ac:dyDescent="0.2">
      <c r="A761" s="1" t="s">
        <v>6</v>
      </c>
      <c r="B761" s="255" t="s">
        <v>776</v>
      </c>
      <c r="C761" s="255"/>
    </row>
    <row r="762" spans="1:3" ht="32" customHeight="1" x14ac:dyDescent="0.2">
      <c r="A762" s="1" t="s">
        <v>6</v>
      </c>
      <c r="B762" s="255" t="s">
        <v>777</v>
      </c>
      <c r="C762" s="255"/>
    </row>
    <row r="763" spans="1:3" ht="32" customHeight="1" x14ac:dyDescent="0.2">
      <c r="A763" s="1" t="s">
        <v>6</v>
      </c>
      <c r="B763" s="255" t="s">
        <v>778</v>
      </c>
      <c r="C763" s="255"/>
    </row>
    <row r="764" spans="1:3" ht="32" customHeight="1" x14ac:dyDescent="0.2">
      <c r="A764" s="1" t="s">
        <v>6</v>
      </c>
      <c r="B764" s="255" t="s">
        <v>779</v>
      </c>
      <c r="C764" s="255"/>
    </row>
    <row r="765" spans="1:3" ht="32" customHeight="1" x14ac:dyDescent="0.2">
      <c r="A765" s="1" t="s">
        <v>6</v>
      </c>
      <c r="B765" s="255" t="s">
        <v>780</v>
      </c>
      <c r="C765" s="255"/>
    </row>
    <row r="766" spans="1:3" ht="32" customHeight="1" x14ac:dyDescent="0.2">
      <c r="A766" s="1" t="s">
        <v>6</v>
      </c>
      <c r="B766" s="255" t="s">
        <v>781</v>
      </c>
      <c r="C766" s="255"/>
    </row>
    <row r="767" spans="1:3" ht="32" customHeight="1" x14ac:dyDescent="0.2">
      <c r="A767" s="1" t="s">
        <v>6</v>
      </c>
      <c r="B767" s="255" t="s">
        <v>782</v>
      </c>
      <c r="C767" s="255"/>
    </row>
    <row r="768" spans="1:3" ht="32" customHeight="1" x14ac:dyDescent="0.2">
      <c r="A768" s="1" t="s">
        <v>6</v>
      </c>
      <c r="B768" s="255" t="s">
        <v>783</v>
      </c>
      <c r="C768" s="255"/>
    </row>
    <row r="769" spans="1:3" ht="32" customHeight="1" x14ac:dyDescent="0.2">
      <c r="A769" s="1" t="s">
        <v>6</v>
      </c>
      <c r="B769" s="255" t="s">
        <v>784</v>
      </c>
      <c r="C769" s="255"/>
    </row>
    <row r="770" spans="1:3" ht="32" customHeight="1" x14ac:dyDescent="0.2">
      <c r="A770" s="1" t="s">
        <v>6</v>
      </c>
      <c r="B770" s="255" t="s">
        <v>785</v>
      </c>
      <c r="C770" s="255"/>
    </row>
    <row r="771" spans="1:3" ht="32" customHeight="1" x14ac:dyDescent="0.2">
      <c r="A771" s="1" t="s">
        <v>6</v>
      </c>
      <c r="B771" s="255" t="s">
        <v>786</v>
      </c>
      <c r="C771" s="255"/>
    </row>
    <row r="772" spans="1:3" ht="32" customHeight="1" x14ac:dyDescent="0.2">
      <c r="A772" s="1" t="s">
        <v>6</v>
      </c>
      <c r="B772" s="255" t="s">
        <v>787</v>
      </c>
      <c r="C772" s="255"/>
    </row>
    <row r="773" spans="1:3" ht="32" customHeight="1" x14ac:dyDescent="0.2">
      <c r="A773" s="1" t="s">
        <v>6</v>
      </c>
      <c r="B773" s="255" t="s">
        <v>788</v>
      </c>
      <c r="C773" s="255"/>
    </row>
    <row r="774" spans="1:3" ht="32" customHeight="1" x14ac:dyDescent="0.2">
      <c r="A774" s="1" t="s">
        <v>6</v>
      </c>
      <c r="B774" s="255" t="s">
        <v>789</v>
      </c>
      <c r="C774" s="255"/>
    </row>
    <row r="775" spans="1:3" ht="32" customHeight="1" x14ac:dyDescent="0.2">
      <c r="A775" s="1" t="s">
        <v>6</v>
      </c>
      <c r="B775" s="255" t="s">
        <v>790</v>
      </c>
      <c r="C775" s="255"/>
    </row>
    <row r="776" spans="1:3" ht="32" customHeight="1" x14ac:dyDescent="0.2">
      <c r="A776" s="1" t="s">
        <v>6</v>
      </c>
      <c r="B776" s="255" t="s">
        <v>791</v>
      </c>
      <c r="C776" s="255"/>
    </row>
    <row r="777" spans="1:3" ht="32" customHeight="1" x14ac:dyDescent="0.2">
      <c r="A777" s="1" t="s">
        <v>6</v>
      </c>
      <c r="B777" s="255" t="s">
        <v>792</v>
      </c>
      <c r="C777" s="255"/>
    </row>
    <row r="778" spans="1:3" ht="32" customHeight="1" x14ac:dyDescent="0.2">
      <c r="A778" s="1" t="s">
        <v>6</v>
      </c>
      <c r="B778" s="255" t="s">
        <v>793</v>
      </c>
      <c r="C778" s="255"/>
    </row>
    <row r="779" spans="1:3" ht="32" customHeight="1" x14ac:dyDescent="0.2">
      <c r="A779" s="1" t="s">
        <v>6</v>
      </c>
      <c r="B779" s="255" t="s">
        <v>794</v>
      </c>
      <c r="C779" s="255"/>
    </row>
    <row r="780" spans="1:3" ht="32" customHeight="1" x14ac:dyDescent="0.2">
      <c r="A780" s="1" t="s">
        <v>6</v>
      </c>
      <c r="B780" s="255" t="s">
        <v>795</v>
      </c>
      <c r="C780" s="255"/>
    </row>
    <row r="781" spans="1:3" ht="32" customHeight="1" x14ac:dyDescent="0.2">
      <c r="A781" s="1" t="s">
        <v>6</v>
      </c>
      <c r="B781" s="255" t="s">
        <v>796</v>
      </c>
      <c r="C781" s="255"/>
    </row>
    <row r="782" spans="1:3" ht="32" customHeight="1" x14ac:dyDescent="0.2">
      <c r="A782" s="1" t="s">
        <v>6</v>
      </c>
      <c r="B782" s="255" t="s">
        <v>797</v>
      </c>
      <c r="C782" s="255"/>
    </row>
    <row r="783" spans="1:3" ht="32" customHeight="1" x14ac:dyDescent="0.2">
      <c r="A783" s="1" t="s">
        <v>6</v>
      </c>
      <c r="B783" s="255" t="s">
        <v>798</v>
      </c>
      <c r="C783" s="255"/>
    </row>
    <row r="784" spans="1:3" ht="32" customHeight="1" x14ac:dyDescent="0.2">
      <c r="A784" s="1" t="s">
        <v>6</v>
      </c>
      <c r="B784" s="255" t="s">
        <v>799</v>
      </c>
      <c r="C784" s="255"/>
    </row>
    <row r="785" spans="1:3" ht="32" customHeight="1" x14ac:dyDescent="0.2">
      <c r="A785" s="1" t="s">
        <v>6</v>
      </c>
      <c r="B785" s="255" t="s">
        <v>800</v>
      </c>
      <c r="C785" s="255"/>
    </row>
    <row r="786" spans="1:3" ht="32" customHeight="1" x14ac:dyDescent="0.2">
      <c r="A786" s="1" t="s">
        <v>6</v>
      </c>
      <c r="B786" s="255" t="s">
        <v>801</v>
      </c>
      <c r="C786" s="255"/>
    </row>
    <row r="787" spans="1:3" ht="32" customHeight="1" x14ac:dyDescent="0.2">
      <c r="A787" s="1" t="s">
        <v>6</v>
      </c>
      <c r="B787" s="255" t="s">
        <v>802</v>
      </c>
      <c r="C787" s="255"/>
    </row>
    <row r="788" spans="1:3" ht="32" customHeight="1" x14ac:dyDescent="0.2">
      <c r="A788" s="1" t="s">
        <v>6</v>
      </c>
      <c r="B788" s="255" t="s">
        <v>803</v>
      </c>
      <c r="C788" s="255"/>
    </row>
    <row r="789" spans="1:3" ht="32" customHeight="1" x14ac:dyDescent="0.2">
      <c r="A789" s="1" t="s">
        <v>6</v>
      </c>
      <c r="B789" s="255" t="s">
        <v>804</v>
      </c>
      <c r="C789" s="255"/>
    </row>
    <row r="790" spans="1:3" ht="32" customHeight="1" x14ac:dyDescent="0.2">
      <c r="A790" s="1" t="s">
        <v>6</v>
      </c>
      <c r="B790" s="255" t="s">
        <v>805</v>
      </c>
      <c r="C790" s="255"/>
    </row>
    <row r="791" spans="1:3" ht="32" customHeight="1" x14ac:dyDescent="0.2">
      <c r="A791" s="1" t="s">
        <v>6</v>
      </c>
      <c r="B791" s="255" t="s">
        <v>806</v>
      </c>
      <c r="C791" s="255"/>
    </row>
    <row r="792" spans="1:3" ht="32" customHeight="1" x14ac:dyDescent="0.2">
      <c r="A792" s="1" t="s">
        <v>6</v>
      </c>
      <c r="B792" s="255" t="s">
        <v>807</v>
      </c>
      <c r="C792" s="255"/>
    </row>
    <row r="793" spans="1:3" ht="32" customHeight="1" x14ac:dyDescent="0.2">
      <c r="A793" s="1" t="s">
        <v>6</v>
      </c>
      <c r="B793" s="255" t="s">
        <v>808</v>
      </c>
      <c r="C793" s="255"/>
    </row>
    <row r="794" spans="1:3" ht="32" customHeight="1" x14ac:dyDescent="0.2">
      <c r="A794" s="1" t="s">
        <v>6</v>
      </c>
      <c r="B794" s="255" t="s">
        <v>809</v>
      </c>
      <c r="C794" s="255"/>
    </row>
    <row r="795" spans="1:3" ht="32" customHeight="1" x14ac:dyDescent="0.2">
      <c r="A795" s="1" t="s">
        <v>6</v>
      </c>
      <c r="B795" s="255" t="s">
        <v>810</v>
      </c>
      <c r="C795" s="255"/>
    </row>
    <row r="796" spans="1:3" ht="32" customHeight="1" x14ac:dyDescent="0.2">
      <c r="A796" s="1" t="s">
        <v>6</v>
      </c>
      <c r="B796" s="255" t="s">
        <v>811</v>
      </c>
      <c r="C796" s="255"/>
    </row>
    <row r="797" spans="1:3" ht="32" customHeight="1" x14ac:dyDescent="0.2">
      <c r="A797" s="1" t="s">
        <v>6</v>
      </c>
      <c r="B797" s="255" t="s">
        <v>812</v>
      </c>
      <c r="C797" s="255"/>
    </row>
    <row r="798" spans="1:3" ht="32" customHeight="1" x14ac:dyDescent="0.2">
      <c r="A798" s="1" t="s">
        <v>6</v>
      </c>
      <c r="B798" s="255" t="s">
        <v>813</v>
      </c>
      <c r="C798" s="255"/>
    </row>
    <row r="799" spans="1:3" ht="32" customHeight="1" x14ac:dyDescent="0.2">
      <c r="A799" s="1" t="s">
        <v>6</v>
      </c>
      <c r="B799" s="255" t="s">
        <v>814</v>
      </c>
      <c r="C799" s="255"/>
    </row>
    <row r="800" spans="1:3" ht="32" customHeight="1" x14ac:dyDescent="0.2">
      <c r="A800" s="1" t="s">
        <v>6</v>
      </c>
      <c r="B800" s="255" t="s">
        <v>815</v>
      </c>
      <c r="C800" s="255"/>
    </row>
    <row r="801" spans="1:3" ht="32" customHeight="1" x14ac:dyDescent="0.2">
      <c r="A801" s="1" t="s">
        <v>6</v>
      </c>
      <c r="B801" s="255" t="s">
        <v>816</v>
      </c>
      <c r="C801" s="255"/>
    </row>
    <row r="802" spans="1:3" ht="32" customHeight="1" x14ac:dyDescent="0.2">
      <c r="A802" s="1" t="s">
        <v>6</v>
      </c>
      <c r="B802" s="255" t="s">
        <v>817</v>
      </c>
      <c r="C802" s="255"/>
    </row>
    <row r="803" spans="1:3" ht="32" customHeight="1" x14ac:dyDescent="0.2">
      <c r="A803" s="1" t="s">
        <v>6</v>
      </c>
      <c r="B803" s="255" t="s">
        <v>818</v>
      </c>
      <c r="C803" s="255"/>
    </row>
    <row r="804" spans="1:3" ht="32" customHeight="1" x14ac:dyDescent="0.2">
      <c r="A804" s="1" t="s">
        <v>6</v>
      </c>
      <c r="B804" s="255" t="s">
        <v>819</v>
      </c>
      <c r="C804" s="255"/>
    </row>
    <row r="805" spans="1:3" ht="32" customHeight="1" x14ac:dyDescent="0.2">
      <c r="A805" s="1" t="s">
        <v>6</v>
      </c>
      <c r="B805" s="255" t="s">
        <v>820</v>
      </c>
      <c r="C805" s="255"/>
    </row>
    <row r="806" spans="1:3" ht="32" customHeight="1" x14ac:dyDescent="0.2">
      <c r="A806" s="1" t="s">
        <v>6</v>
      </c>
      <c r="B806" s="255" t="s">
        <v>821</v>
      </c>
      <c r="C806" s="255"/>
    </row>
    <row r="807" spans="1:3" ht="32" customHeight="1" x14ac:dyDescent="0.2">
      <c r="A807" s="1" t="s">
        <v>6</v>
      </c>
      <c r="B807" s="255" t="s">
        <v>822</v>
      </c>
      <c r="C807" s="255"/>
    </row>
    <row r="808" spans="1:3" ht="32" customHeight="1" x14ac:dyDescent="0.2">
      <c r="A808" s="1" t="s">
        <v>6</v>
      </c>
      <c r="B808" s="255" t="s">
        <v>823</v>
      </c>
      <c r="C808" s="255"/>
    </row>
    <row r="809" spans="1:3" ht="32" customHeight="1" x14ac:dyDescent="0.2">
      <c r="A809" s="1" t="s">
        <v>6</v>
      </c>
      <c r="B809" s="255" t="s">
        <v>824</v>
      </c>
      <c r="C809" s="255"/>
    </row>
    <row r="810" spans="1:3" ht="32" customHeight="1" x14ac:dyDescent="0.2">
      <c r="A810" s="1" t="s">
        <v>6</v>
      </c>
      <c r="B810" s="255" t="s">
        <v>825</v>
      </c>
      <c r="C810" s="255"/>
    </row>
    <row r="811" spans="1:3" ht="32" customHeight="1" x14ac:dyDescent="0.2">
      <c r="A811" s="1" t="s">
        <v>6</v>
      </c>
      <c r="B811" s="255" t="s">
        <v>826</v>
      </c>
      <c r="C811" s="255"/>
    </row>
    <row r="812" spans="1:3" ht="32" customHeight="1" x14ac:dyDescent="0.2">
      <c r="A812" s="1" t="s">
        <v>6</v>
      </c>
      <c r="B812" s="255" t="s">
        <v>827</v>
      </c>
      <c r="C812" s="255"/>
    </row>
    <row r="813" spans="1:3" ht="32" customHeight="1" x14ac:dyDescent="0.2">
      <c r="A813" s="1" t="s">
        <v>6</v>
      </c>
      <c r="B813" s="255" t="s">
        <v>828</v>
      </c>
      <c r="C813" s="255"/>
    </row>
    <row r="814" spans="1:3" ht="32" customHeight="1" x14ac:dyDescent="0.2">
      <c r="A814" s="1" t="s">
        <v>6</v>
      </c>
      <c r="B814" s="255" t="s">
        <v>829</v>
      </c>
      <c r="C814" s="255"/>
    </row>
    <row r="815" spans="1:3" ht="32" customHeight="1" x14ac:dyDescent="0.2">
      <c r="A815" s="1" t="s">
        <v>6</v>
      </c>
      <c r="B815" s="255" t="s">
        <v>830</v>
      </c>
      <c r="C815" s="255"/>
    </row>
    <row r="816" spans="1:3" ht="32" customHeight="1" x14ac:dyDescent="0.2">
      <c r="A816" s="1" t="s">
        <v>6</v>
      </c>
      <c r="B816" s="255" t="s">
        <v>831</v>
      </c>
      <c r="C816" s="255"/>
    </row>
    <row r="817" spans="1:3" ht="32" customHeight="1" x14ac:dyDescent="0.2">
      <c r="A817" s="1" t="s">
        <v>6</v>
      </c>
      <c r="B817" s="255" t="s">
        <v>832</v>
      </c>
      <c r="C817" s="255"/>
    </row>
    <row r="818" spans="1:3" ht="32" customHeight="1" x14ac:dyDescent="0.2">
      <c r="A818" s="1" t="s">
        <v>6</v>
      </c>
      <c r="B818" s="255" t="s">
        <v>833</v>
      </c>
      <c r="C818" s="255"/>
    </row>
    <row r="819" spans="1:3" ht="32" customHeight="1" x14ac:dyDescent="0.2">
      <c r="A819" s="1" t="s">
        <v>6</v>
      </c>
      <c r="B819" s="255" t="s">
        <v>834</v>
      </c>
      <c r="C819" s="255"/>
    </row>
    <row r="820" spans="1:3" ht="32" customHeight="1" x14ac:dyDescent="0.2">
      <c r="A820" s="1" t="s">
        <v>6</v>
      </c>
      <c r="B820" s="255" t="s">
        <v>835</v>
      </c>
      <c r="C820" s="255"/>
    </row>
    <row r="821" spans="1:3" ht="32" customHeight="1" x14ac:dyDescent="0.2">
      <c r="A821" s="1" t="s">
        <v>6</v>
      </c>
      <c r="B821" s="255" t="s">
        <v>836</v>
      </c>
      <c r="C821" s="255"/>
    </row>
    <row r="822" spans="1:3" ht="32" customHeight="1" x14ac:dyDescent="0.2">
      <c r="A822" s="1" t="s">
        <v>6</v>
      </c>
      <c r="B822" s="255" t="s">
        <v>837</v>
      </c>
      <c r="C822" s="255"/>
    </row>
    <row r="823" spans="1:3" ht="32" customHeight="1" x14ac:dyDescent="0.2">
      <c r="A823" s="1" t="s">
        <v>6</v>
      </c>
      <c r="B823" s="255" t="s">
        <v>838</v>
      </c>
      <c r="C823" s="255"/>
    </row>
    <row r="824" spans="1:3" ht="32" customHeight="1" x14ac:dyDescent="0.2">
      <c r="A824" s="1" t="s">
        <v>6</v>
      </c>
      <c r="B824" s="255" t="s">
        <v>839</v>
      </c>
      <c r="C824" s="255"/>
    </row>
    <row r="825" spans="1:3" ht="32" customHeight="1" x14ac:dyDescent="0.2">
      <c r="A825" s="1" t="s">
        <v>6</v>
      </c>
      <c r="B825" s="255" t="s">
        <v>840</v>
      </c>
      <c r="C825" s="255"/>
    </row>
    <row r="826" spans="1:3" ht="32" customHeight="1" x14ac:dyDescent="0.2">
      <c r="A826" s="1" t="s">
        <v>6</v>
      </c>
      <c r="B826" s="255" t="s">
        <v>841</v>
      </c>
      <c r="C826" s="255"/>
    </row>
    <row r="827" spans="1:3" ht="32" customHeight="1" x14ac:dyDescent="0.2">
      <c r="A827" s="1" t="s">
        <v>6</v>
      </c>
      <c r="B827" s="255" t="s">
        <v>842</v>
      </c>
      <c r="C827" s="255"/>
    </row>
    <row r="828" spans="1:3" ht="32" customHeight="1" x14ac:dyDescent="0.2">
      <c r="A828" s="1" t="s">
        <v>6</v>
      </c>
      <c r="B828" s="255" t="s">
        <v>843</v>
      </c>
      <c r="C828" s="255"/>
    </row>
    <row r="829" spans="1:3" ht="32" customHeight="1" x14ac:dyDescent="0.2">
      <c r="A829" s="1" t="s">
        <v>6</v>
      </c>
      <c r="B829" s="255" t="s">
        <v>844</v>
      </c>
      <c r="C829" s="255"/>
    </row>
    <row r="830" spans="1:3" ht="32" customHeight="1" x14ac:dyDescent="0.2">
      <c r="A830" s="1" t="s">
        <v>6</v>
      </c>
      <c r="B830" s="255" t="s">
        <v>845</v>
      </c>
      <c r="C830" s="255"/>
    </row>
    <row r="831" spans="1:3" ht="32" customHeight="1" x14ac:dyDescent="0.2">
      <c r="A831" s="1" t="s">
        <v>6</v>
      </c>
      <c r="B831" s="255" t="s">
        <v>846</v>
      </c>
      <c r="C831" s="255"/>
    </row>
    <row r="832" spans="1:3" ht="32" customHeight="1" x14ac:dyDescent="0.2">
      <c r="A832" s="1" t="s">
        <v>6</v>
      </c>
      <c r="B832" s="255" t="s">
        <v>847</v>
      </c>
      <c r="C832" s="255"/>
    </row>
    <row r="833" spans="1:3" ht="32" customHeight="1" x14ac:dyDescent="0.2">
      <c r="A833" s="1" t="s">
        <v>6</v>
      </c>
      <c r="B833" s="255" t="s">
        <v>848</v>
      </c>
      <c r="C833" s="255"/>
    </row>
    <row r="834" spans="1:3" ht="32" customHeight="1" x14ac:dyDescent="0.2">
      <c r="A834" s="1" t="s">
        <v>6</v>
      </c>
      <c r="B834" s="255" t="s">
        <v>849</v>
      </c>
      <c r="C834" s="255"/>
    </row>
    <row r="835" spans="1:3" ht="32" customHeight="1" x14ac:dyDescent="0.2">
      <c r="A835" s="1" t="s">
        <v>6</v>
      </c>
      <c r="B835" s="255" t="s">
        <v>850</v>
      </c>
      <c r="C835" s="255"/>
    </row>
    <row r="836" spans="1:3" ht="32" customHeight="1" x14ac:dyDescent="0.2">
      <c r="A836" s="1" t="s">
        <v>6</v>
      </c>
      <c r="B836" s="255" t="s">
        <v>851</v>
      </c>
      <c r="C836" s="255"/>
    </row>
    <row r="837" spans="1:3" ht="32" customHeight="1" x14ac:dyDescent="0.2">
      <c r="A837" s="1" t="s">
        <v>6</v>
      </c>
      <c r="B837" s="255" t="s">
        <v>852</v>
      </c>
      <c r="C837" s="255"/>
    </row>
    <row r="838" spans="1:3" ht="32" customHeight="1" x14ac:dyDescent="0.2">
      <c r="A838" s="1" t="s">
        <v>6</v>
      </c>
      <c r="B838" s="255" t="s">
        <v>853</v>
      </c>
      <c r="C838" s="255"/>
    </row>
    <row r="839" spans="1:3" ht="32" customHeight="1" x14ac:dyDescent="0.2">
      <c r="A839" s="1" t="s">
        <v>6</v>
      </c>
      <c r="B839" s="255" t="s">
        <v>854</v>
      </c>
      <c r="C839" s="255"/>
    </row>
    <row r="840" spans="1:3" ht="32" customHeight="1" x14ac:dyDescent="0.2">
      <c r="A840" s="1" t="s">
        <v>6</v>
      </c>
      <c r="B840" s="255" t="s">
        <v>855</v>
      </c>
      <c r="C840" s="255"/>
    </row>
    <row r="841" spans="1:3" ht="32" customHeight="1" x14ac:dyDescent="0.2">
      <c r="A841" s="1" t="s">
        <v>6</v>
      </c>
      <c r="B841" s="255" t="s">
        <v>856</v>
      </c>
      <c r="C841" s="255"/>
    </row>
    <row r="842" spans="1:3" ht="32" customHeight="1" x14ac:dyDescent="0.2">
      <c r="A842" s="1" t="s">
        <v>6</v>
      </c>
      <c r="B842" s="255" t="s">
        <v>857</v>
      </c>
      <c r="C842" s="255"/>
    </row>
    <row r="843" spans="1:3" ht="32" customHeight="1" x14ac:dyDescent="0.2">
      <c r="A843" s="1" t="s">
        <v>6</v>
      </c>
      <c r="B843" s="255" t="s">
        <v>858</v>
      </c>
      <c r="C843" s="255"/>
    </row>
    <row r="844" spans="1:3" ht="32" customHeight="1" x14ac:dyDescent="0.2">
      <c r="A844" s="1" t="s">
        <v>6</v>
      </c>
      <c r="B844" s="255" t="s">
        <v>859</v>
      </c>
      <c r="C844" s="255"/>
    </row>
    <row r="845" spans="1:3" ht="32" customHeight="1" x14ac:dyDescent="0.2">
      <c r="A845" s="1" t="s">
        <v>6</v>
      </c>
      <c r="B845" s="255" t="s">
        <v>860</v>
      </c>
      <c r="C845" s="255"/>
    </row>
    <row r="846" spans="1:3" ht="32" customHeight="1" x14ac:dyDescent="0.2">
      <c r="A846" s="1" t="s">
        <v>6</v>
      </c>
      <c r="B846" s="255" t="s">
        <v>861</v>
      </c>
      <c r="C846" s="255"/>
    </row>
    <row r="847" spans="1:3" ht="32" customHeight="1" x14ac:dyDescent="0.2">
      <c r="A847" s="1" t="s">
        <v>6</v>
      </c>
      <c r="B847" s="255" t="s">
        <v>862</v>
      </c>
      <c r="C847" s="255"/>
    </row>
    <row r="848" spans="1:3" ht="32" customHeight="1" x14ac:dyDescent="0.2">
      <c r="A848" s="1" t="s">
        <v>6</v>
      </c>
      <c r="B848" s="255" t="s">
        <v>863</v>
      </c>
      <c r="C848" s="255"/>
    </row>
    <row r="849" spans="1:3" ht="32" customHeight="1" x14ac:dyDescent="0.2">
      <c r="A849" s="1" t="s">
        <v>6</v>
      </c>
      <c r="B849" s="255" t="s">
        <v>864</v>
      </c>
      <c r="C849" s="255"/>
    </row>
    <row r="850" spans="1:3" ht="32" customHeight="1" x14ac:dyDescent="0.2">
      <c r="A850" s="1" t="s">
        <v>6</v>
      </c>
      <c r="B850" s="255" t="s">
        <v>865</v>
      </c>
      <c r="C850" s="255"/>
    </row>
    <row r="851" spans="1:3" ht="32" customHeight="1" x14ac:dyDescent="0.2">
      <c r="A851" s="1" t="s">
        <v>6</v>
      </c>
      <c r="B851" s="255" t="s">
        <v>866</v>
      </c>
      <c r="C851" s="255"/>
    </row>
    <row r="852" spans="1:3" x14ac:dyDescent="0.2">
      <c r="A852" s="255"/>
      <c r="B852" s="255"/>
      <c r="C852" s="255"/>
    </row>
    <row r="853" spans="1:3" ht="16" customHeight="1" x14ac:dyDescent="0.2">
      <c r="A853" s="3" t="s">
        <v>867</v>
      </c>
      <c r="B853" s="255" t="s">
        <v>25</v>
      </c>
      <c r="C853" s="255"/>
    </row>
    <row r="854" spans="1:3" x14ac:dyDescent="0.2">
      <c r="A854" s="255"/>
      <c r="B854" s="255"/>
      <c r="C854" s="255"/>
    </row>
    <row r="855" spans="1:3" ht="16" customHeight="1" x14ac:dyDescent="0.2">
      <c r="A855" s="3" t="s">
        <v>868</v>
      </c>
      <c r="B855" s="255" t="s">
        <v>25</v>
      </c>
      <c r="C855" s="255"/>
    </row>
    <row r="856" spans="1:3" x14ac:dyDescent="0.2">
      <c r="A856" s="255"/>
      <c r="B856" s="255"/>
      <c r="C856" s="255"/>
    </row>
    <row r="857" spans="1:3" ht="16" customHeight="1" x14ac:dyDescent="0.2">
      <c r="A857" s="3" t="s">
        <v>869</v>
      </c>
      <c r="B857" s="255" t="s">
        <v>25</v>
      </c>
      <c r="C857" s="255"/>
    </row>
    <row r="858" spans="1:3" x14ac:dyDescent="0.2">
      <c r="A858" s="255"/>
      <c r="B858" s="255"/>
      <c r="C858" s="255"/>
    </row>
    <row r="859" spans="1:3" ht="32" customHeight="1" x14ac:dyDescent="0.2">
      <c r="A859" s="3" t="s">
        <v>870</v>
      </c>
      <c r="B859" s="255" t="s">
        <v>871</v>
      </c>
      <c r="C859" s="255"/>
    </row>
    <row r="860" spans="1:3" x14ac:dyDescent="0.2">
      <c r="A860" s="255"/>
      <c r="B860" s="255"/>
      <c r="C860" s="255"/>
    </row>
    <row r="861" spans="1:3" ht="64" customHeight="1" x14ac:dyDescent="0.2">
      <c r="A861" s="3" t="s">
        <v>872</v>
      </c>
      <c r="B861" s="255" t="s">
        <v>873</v>
      </c>
      <c r="C861" s="255"/>
    </row>
    <row r="862" spans="1:3" ht="112" customHeight="1" x14ac:dyDescent="0.2">
      <c r="A862" s="1" t="s">
        <v>6</v>
      </c>
      <c r="B862" s="255" t="s">
        <v>874</v>
      </c>
      <c r="C862" s="255"/>
    </row>
    <row r="863" spans="1:3" ht="32" customHeight="1" x14ac:dyDescent="0.2">
      <c r="A863" s="1" t="s">
        <v>6</v>
      </c>
      <c r="B863" s="255" t="s">
        <v>875</v>
      </c>
      <c r="C863" s="255"/>
    </row>
    <row r="864" spans="1:3" ht="112" customHeight="1" x14ac:dyDescent="0.2">
      <c r="A864" s="1" t="s">
        <v>6</v>
      </c>
      <c r="B864" s="255" t="s">
        <v>876</v>
      </c>
      <c r="C864" s="255"/>
    </row>
    <row r="865" spans="1:3" ht="64" customHeight="1" x14ac:dyDescent="0.2">
      <c r="A865" s="1" t="s">
        <v>6</v>
      </c>
      <c r="B865" s="255" t="s">
        <v>877</v>
      </c>
      <c r="C865" s="255"/>
    </row>
    <row r="866" spans="1:3" ht="64" customHeight="1" x14ac:dyDescent="0.2">
      <c r="A866" s="1" t="s">
        <v>6</v>
      </c>
      <c r="B866" s="255" t="s">
        <v>878</v>
      </c>
      <c r="C866" s="255"/>
    </row>
    <row r="867" spans="1:3" ht="48" customHeight="1" x14ac:dyDescent="0.2">
      <c r="A867" s="1" t="s">
        <v>6</v>
      </c>
      <c r="B867" s="255" t="s">
        <v>879</v>
      </c>
      <c r="C867" s="255"/>
    </row>
    <row r="868" spans="1:3" ht="320" customHeight="1" x14ac:dyDescent="0.2">
      <c r="A868" s="1" t="s">
        <v>6</v>
      </c>
      <c r="B868" s="255" t="s">
        <v>880</v>
      </c>
      <c r="C868" s="255"/>
    </row>
    <row r="869" spans="1:3" x14ac:dyDescent="0.2">
      <c r="A869" s="255"/>
      <c r="B869" s="255"/>
      <c r="C869" s="255"/>
    </row>
    <row r="870" spans="1:3" ht="16" customHeight="1" x14ac:dyDescent="0.2">
      <c r="A870" s="3" t="s">
        <v>881</v>
      </c>
      <c r="B870" s="255" t="s">
        <v>25</v>
      </c>
      <c r="C870" s="255"/>
    </row>
    <row r="871" spans="1:3" x14ac:dyDescent="0.2">
      <c r="A871" s="255"/>
      <c r="B871" s="255"/>
      <c r="C871" s="255"/>
    </row>
  </sheetData>
  <mergeCells count="871">
    <mergeCell ref="B865:C865"/>
    <mergeCell ref="B866:C866"/>
    <mergeCell ref="B867:C867"/>
    <mergeCell ref="B868:C868"/>
    <mergeCell ref="A869:C869"/>
    <mergeCell ref="B870:C870"/>
    <mergeCell ref="A871:C871"/>
    <mergeCell ref="A856:C856"/>
    <mergeCell ref="B857:C857"/>
    <mergeCell ref="A858:C858"/>
    <mergeCell ref="B859:C859"/>
    <mergeCell ref="A860:C860"/>
    <mergeCell ref="B861:C861"/>
    <mergeCell ref="B862:C862"/>
    <mergeCell ref="B863:C863"/>
    <mergeCell ref="B864:C864"/>
    <mergeCell ref="B847:C847"/>
    <mergeCell ref="B848:C848"/>
    <mergeCell ref="B849:C849"/>
    <mergeCell ref="B850:C850"/>
    <mergeCell ref="B851:C851"/>
    <mergeCell ref="A852:C852"/>
    <mergeCell ref="B853:C853"/>
    <mergeCell ref="A854:C854"/>
    <mergeCell ref="B855:C855"/>
    <mergeCell ref="B838:C838"/>
    <mergeCell ref="B839:C839"/>
    <mergeCell ref="B840:C840"/>
    <mergeCell ref="B841:C841"/>
    <mergeCell ref="B842:C842"/>
    <mergeCell ref="B843:C843"/>
    <mergeCell ref="B844:C844"/>
    <mergeCell ref="B845:C845"/>
    <mergeCell ref="B846:C846"/>
    <mergeCell ref="B829:C829"/>
    <mergeCell ref="B830:C830"/>
    <mergeCell ref="B831:C831"/>
    <mergeCell ref="B832:C832"/>
    <mergeCell ref="B833:C833"/>
    <mergeCell ref="B834:C834"/>
    <mergeCell ref="B835:C835"/>
    <mergeCell ref="B836:C836"/>
    <mergeCell ref="B837:C837"/>
    <mergeCell ref="B820:C820"/>
    <mergeCell ref="B821:C821"/>
    <mergeCell ref="B822:C822"/>
    <mergeCell ref="B823:C823"/>
    <mergeCell ref="B824:C824"/>
    <mergeCell ref="B825:C825"/>
    <mergeCell ref="B826:C826"/>
    <mergeCell ref="B827:C827"/>
    <mergeCell ref="B828:C828"/>
    <mergeCell ref="B811:C811"/>
    <mergeCell ref="B812:C812"/>
    <mergeCell ref="B813:C813"/>
    <mergeCell ref="B814:C814"/>
    <mergeCell ref="B815:C815"/>
    <mergeCell ref="B816:C816"/>
    <mergeCell ref="B817:C817"/>
    <mergeCell ref="B818:C818"/>
    <mergeCell ref="B819:C819"/>
    <mergeCell ref="B802:C802"/>
    <mergeCell ref="B803:C803"/>
    <mergeCell ref="B804:C804"/>
    <mergeCell ref="B805:C805"/>
    <mergeCell ref="B806:C806"/>
    <mergeCell ref="B807:C807"/>
    <mergeCell ref="B808:C808"/>
    <mergeCell ref="B809:C809"/>
    <mergeCell ref="B810:C810"/>
    <mergeCell ref="B793:C793"/>
    <mergeCell ref="B794:C794"/>
    <mergeCell ref="B795:C795"/>
    <mergeCell ref="B796:C796"/>
    <mergeCell ref="B797:C797"/>
    <mergeCell ref="B798:C798"/>
    <mergeCell ref="B799:C799"/>
    <mergeCell ref="B800:C800"/>
    <mergeCell ref="B801:C801"/>
    <mergeCell ref="B784:C784"/>
    <mergeCell ref="B785:C785"/>
    <mergeCell ref="B786:C786"/>
    <mergeCell ref="B787:C787"/>
    <mergeCell ref="B788:C788"/>
    <mergeCell ref="B789:C789"/>
    <mergeCell ref="B790:C790"/>
    <mergeCell ref="B791:C791"/>
    <mergeCell ref="B792:C792"/>
    <mergeCell ref="B775:C775"/>
    <mergeCell ref="B776:C776"/>
    <mergeCell ref="B777:C777"/>
    <mergeCell ref="B778:C778"/>
    <mergeCell ref="B779:C779"/>
    <mergeCell ref="B780:C780"/>
    <mergeCell ref="B781:C781"/>
    <mergeCell ref="B782:C782"/>
    <mergeCell ref="B783:C783"/>
    <mergeCell ref="B766:C766"/>
    <mergeCell ref="B767:C767"/>
    <mergeCell ref="B768:C768"/>
    <mergeCell ref="B769:C769"/>
    <mergeCell ref="B770:C770"/>
    <mergeCell ref="B771:C771"/>
    <mergeCell ref="B772:C772"/>
    <mergeCell ref="B773:C773"/>
    <mergeCell ref="B774:C774"/>
    <mergeCell ref="B757:C757"/>
    <mergeCell ref="B758:C758"/>
    <mergeCell ref="B759:C759"/>
    <mergeCell ref="B760:C760"/>
    <mergeCell ref="B761:C761"/>
    <mergeCell ref="B762:C762"/>
    <mergeCell ref="B763:C763"/>
    <mergeCell ref="B764:C764"/>
    <mergeCell ref="B765:C765"/>
    <mergeCell ref="B748:C748"/>
    <mergeCell ref="B749:C749"/>
    <mergeCell ref="B750:C750"/>
    <mergeCell ref="B751:C751"/>
    <mergeCell ref="B752:C752"/>
    <mergeCell ref="B753:C753"/>
    <mergeCell ref="B754:C754"/>
    <mergeCell ref="B755:C755"/>
    <mergeCell ref="B756:C756"/>
    <mergeCell ref="B739:C739"/>
    <mergeCell ref="B740:C740"/>
    <mergeCell ref="B741:C741"/>
    <mergeCell ref="B742:C742"/>
    <mergeCell ref="B743:C743"/>
    <mergeCell ref="B744:C744"/>
    <mergeCell ref="B745:C745"/>
    <mergeCell ref="B746:C746"/>
    <mergeCell ref="B747:C747"/>
    <mergeCell ref="B730:C730"/>
    <mergeCell ref="B731:C731"/>
    <mergeCell ref="B732:C732"/>
    <mergeCell ref="B733:C733"/>
    <mergeCell ref="B734:C734"/>
    <mergeCell ref="B735:C735"/>
    <mergeCell ref="B736:C736"/>
    <mergeCell ref="B737:C737"/>
    <mergeCell ref="B738:C738"/>
    <mergeCell ref="B721:C721"/>
    <mergeCell ref="B722:C722"/>
    <mergeCell ref="B723:C723"/>
    <mergeCell ref="B724:C724"/>
    <mergeCell ref="B725:C725"/>
    <mergeCell ref="B726:C726"/>
    <mergeCell ref="B727:C727"/>
    <mergeCell ref="B728:C728"/>
    <mergeCell ref="B729:C729"/>
    <mergeCell ref="B712:C712"/>
    <mergeCell ref="B713:C713"/>
    <mergeCell ref="B714:C714"/>
    <mergeCell ref="B715:C715"/>
    <mergeCell ref="B716:C716"/>
    <mergeCell ref="B717:C717"/>
    <mergeCell ref="B718:C718"/>
    <mergeCell ref="B719:C719"/>
    <mergeCell ref="B720:C720"/>
    <mergeCell ref="B703:C703"/>
    <mergeCell ref="B704:C704"/>
    <mergeCell ref="B705:C705"/>
    <mergeCell ref="B706:C706"/>
    <mergeCell ref="B707:C707"/>
    <mergeCell ref="B708:C708"/>
    <mergeCell ref="B709:C709"/>
    <mergeCell ref="B710:C710"/>
    <mergeCell ref="B711:C711"/>
    <mergeCell ref="B694:C694"/>
    <mergeCell ref="B695:C695"/>
    <mergeCell ref="B696:C696"/>
    <mergeCell ref="B697:C697"/>
    <mergeCell ref="B698:C698"/>
    <mergeCell ref="B699:C699"/>
    <mergeCell ref="B700:C700"/>
    <mergeCell ref="B701:C701"/>
    <mergeCell ref="B702:C702"/>
    <mergeCell ref="B685:C685"/>
    <mergeCell ref="B686:C686"/>
    <mergeCell ref="B687:C687"/>
    <mergeCell ref="B688:C688"/>
    <mergeCell ref="B689:C689"/>
    <mergeCell ref="B690:C690"/>
    <mergeCell ref="B691:C691"/>
    <mergeCell ref="B692:C692"/>
    <mergeCell ref="B693:C693"/>
    <mergeCell ref="B676:C676"/>
    <mergeCell ref="B677:C677"/>
    <mergeCell ref="B678:C678"/>
    <mergeCell ref="B679:C679"/>
    <mergeCell ref="B680:C680"/>
    <mergeCell ref="B681:C681"/>
    <mergeCell ref="B682:C682"/>
    <mergeCell ref="B683:C683"/>
    <mergeCell ref="B684:C684"/>
    <mergeCell ref="B667:C667"/>
    <mergeCell ref="B668:C668"/>
    <mergeCell ref="B669:C669"/>
    <mergeCell ref="B670:C670"/>
    <mergeCell ref="B671:C671"/>
    <mergeCell ref="B672:C672"/>
    <mergeCell ref="B673:C673"/>
    <mergeCell ref="B674:C674"/>
    <mergeCell ref="B675:C675"/>
    <mergeCell ref="B658:C658"/>
    <mergeCell ref="B659:C659"/>
    <mergeCell ref="B660:C660"/>
    <mergeCell ref="B661:C661"/>
    <mergeCell ref="B662:C662"/>
    <mergeCell ref="B663:C663"/>
    <mergeCell ref="B664:C664"/>
    <mergeCell ref="B665:C665"/>
    <mergeCell ref="B666:C666"/>
    <mergeCell ref="B649:C649"/>
    <mergeCell ref="B650:C650"/>
    <mergeCell ref="B651:C651"/>
    <mergeCell ref="B652:C652"/>
    <mergeCell ref="B653:C653"/>
    <mergeCell ref="B654:C654"/>
    <mergeCell ref="B655:C655"/>
    <mergeCell ref="B656:C656"/>
    <mergeCell ref="B657:C657"/>
    <mergeCell ref="B640:C640"/>
    <mergeCell ref="B641:C641"/>
    <mergeCell ref="B642:C642"/>
    <mergeCell ref="B643:C643"/>
    <mergeCell ref="B644:C644"/>
    <mergeCell ref="B645:C645"/>
    <mergeCell ref="B646:C646"/>
    <mergeCell ref="B647:C647"/>
    <mergeCell ref="B648:C648"/>
    <mergeCell ref="B631:C631"/>
    <mergeCell ref="B632:C632"/>
    <mergeCell ref="B633:C633"/>
    <mergeCell ref="B634:C634"/>
    <mergeCell ref="B635:C635"/>
    <mergeCell ref="B636:C636"/>
    <mergeCell ref="B637:C637"/>
    <mergeCell ref="B638:C638"/>
    <mergeCell ref="B639:C639"/>
    <mergeCell ref="B622:C622"/>
    <mergeCell ref="B623:C623"/>
    <mergeCell ref="B624:C624"/>
    <mergeCell ref="B625:C625"/>
    <mergeCell ref="B626:C626"/>
    <mergeCell ref="B627:C627"/>
    <mergeCell ref="B628:C628"/>
    <mergeCell ref="B629:C629"/>
    <mergeCell ref="B630:C630"/>
    <mergeCell ref="B613:C613"/>
    <mergeCell ref="B614:C614"/>
    <mergeCell ref="B615:C615"/>
    <mergeCell ref="B616:C616"/>
    <mergeCell ref="B617:C617"/>
    <mergeCell ref="B618:C618"/>
    <mergeCell ref="B619:C619"/>
    <mergeCell ref="B620:C620"/>
    <mergeCell ref="B621:C621"/>
    <mergeCell ref="B604:C604"/>
    <mergeCell ref="B605:C605"/>
    <mergeCell ref="B606:C606"/>
    <mergeCell ref="B607:C607"/>
    <mergeCell ref="B608:C608"/>
    <mergeCell ref="B609:C609"/>
    <mergeCell ref="B610:C610"/>
    <mergeCell ref="B611:C611"/>
    <mergeCell ref="B612:C612"/>
    <mergeCell ref="B595:C595"/>
    <mergeCell ref="B596:C596"/>
    <mergeCell ref="B597:C597"/>
    <mergeCell ref="B598:C598"/>
    <mergeCell ref="B599:C599"/>
    <mergeCell ref="B600:C600"/>
    <mergeCell ref="B601:C601"/>
    <mergeCell ref="B602:C602"/>
    <mergeCell ref="B603:C603"/>
    <mergeCell ref="B586:C586"/>
    <mergeCell ref="B587:C587"/>
    <mergeCell ref="B588:C588"/>
    <mergeCell ref="B589:C589"/>
    <mergeCell ref="B590:C590"/>
    <mergeCell ref="B591:C591"/>
    <mergeCell ref="B592:C592"/>
    <mergeCell ref="B593:C593"/>
    <mergeCell ref="B594:C594"/>
    <mergeCell ref="B577:C577"/>
    <mergeCell ref="B578:C578"/>
    <mergeCell ref="B579:C579"/>
    <mergeCell ref="B580:C580"/>
    <mergeCell ref="B581:C581"/>
    <mergeCell ref="B582:C582"/>
    <mergeCell ref="B583:C583"/>
    <mergeCell ref="B584:C584"/>
    <mergeCell ref="B585:C585"/>
    <mergeCell ref="B568:C568"/>
    <mergeCell ref="B569:C569"/>
    <mergeCell ref="B570:C570"/>
    <mergeCell ref="B571:C571"/>
    <mergeCell ref="B572:C572"/>
    <mergeCell ref="B573:C573"/>
    <mergeCell ref="B574:C574"/>
    <mergeCell ref="B575:C575"/>
    <mergeCell ref="B576:C576"/>
    <mergeCell ref="B559:C559"/>
    <mergeCell ref="B560:C560"/>
    <mergeCell ref="B561:C561"/>
    <mergeCell ref="B562:C562"/>
    <mergeCell ref="B563:C563"/>
    <mergeCell ref="B564:C564"/>
    <mergeCell ref="B565:C565"/>
    <mergeCell ref="B566:C566"/>
    <mergeCell ref="B567:C567"/>
    <mergeCell ref="B550:C550"/>
    <mergeCell ref="B551:C551"/>
    <mergeCell ref="B552:C552"/>
    <mergeCell ref="B553:C553"/>
    <mergeCell ref="B554:C554"/>
    <mergeCell ref="B555:C555"/>
    <mergeCell ref="B556:C556"/>
    <mergeCell ref="B557:C557"/>
    <mergeCell ref="B558:C558"/>
    <mergeCell ref="B541:C541"/>
    <mergeCell ref="B542:C542"/>
    <mergeCell ref="B543:C543"/>
    <mergeCell ref="B544:C544"/>
    <mergeCell ref="B545:C545"/>
    <mergeCell ref="B546:C546"/>
    <mergeCell ref="B547:C547"/>
    <mergeCell ref="B548:C548"/>
    <mergeCell ref="B549:C549"/>
    <mergeCell ref="B532:C532"/>
    <mergeCell ref="B533:C533"/>
    <mergeCell ref="B534:C534"/>
    <mergeCell ref="B535:C535"/>
    <mergeCell ref="B536:C536"/>
    <mergeCell ref="B537:C537"/>
    <mergeCell ref="B538:C538"/>
    <mergeCell ref="B539:C539"/>
    <mergeCell ref="B540:C540"/>
    <mergeCell ref="B523:C523"/>
    <mergeCell ref="B524:C524"/>
    <mergeCell ref="B525:C525"/>
    <mergeCell ref="B526:C526"/>
    <mergeCell ref="B527:C527"/>
    <mergeCell ref="B528:C528"/>
    <mergeCell ref="B529:C529"/>
    <mergeCell ref="B530:C530"/>
    <mergeCell ref="B531:C531"/>
    <mergeCell ref="B514:C514"/>
    <mergeCell ref="B515:C515"/>
    <mergeCell ref="B516:C516"/>
    <mergeCell ref="B517:C517"/>
    <mergeCell ref="B518:C518"/>
    <mergeCell ref="B519:C519"/>
    <mergeCell ref="B520:C520"/>
    <mergeCell ref="B521:C521"/>
    <mergeCell ref="B522:C522"/>
    <mergeCell ref="B505:C505"/>
    <mergeCell ref="B506:C506"/>
    <mergeCell ref="B507:C507"/>
    <mergeCell ref="B508:C508"/>
    <mergeCell ref="B509:C509"/>
    <mergeCell ref="B510:C510"/>
    <mergeCell ref="B511:C511"/>
    <mergeCell ref="B512:C512"/>
    <mergeCell ref="B513:C513"/>
    <mergeCell ref="B496:C496"/>
    <mergeCell ref="B497:C497"/>
    <mergeCell ref="B498:C498"/>
    <mergeCell ref="B499:C499"/>
    <mergeCell ref="B500:C500"/>
    <mergeCell ref="B501:C501"/>
    <mergeCell ref="B502:C502"/>
    <mergeCell ref="B503:C503"/>
    <mergeCell ref="B504:C504"/>
    <mergeCell ref="B487:C487"/>
    <mergeCell ref="B488:C488"/>
    <mergeCell ref="B489:C489"/>
    <mergeCell ref="B490:C490"/>
    <mergeCell ref="B491:C491"/>
    <mergeCell ref="B492:C492"/>
    <mergeCell ref="B493:C493"/>
    <mergeCell ref="B494:C494"/>
    <mergeCell ref="B495:C495"/>
    <mergeCell ref="B478:C478"/>
    <mergeCell ref="B479:C479"/>
    <mergeCell ref="B480:C480"/>
    <mergeCell ref="B481:C481"/>
    <mergeCell ref="B482:C482"/>
    <mergeCell ref="B483:C483"/>
    <mergeCell ref="B484:C484"/>
    <mergeCell ref="B485:C485"/>
    <mergeCell ref="B486:C486"/>
    <mergeCell ref="B469:C469"/>
    <mergeCell ref="B470:C470"/>
    <mergeCell ref="B471:C471"/>
    <mergeCell ref="B472:C472"/>
    <mergeCell ref="B473:C473"/>
    <mergeCell ref="B474:C474"/>
    <mergeCell ref="B475:C475"/>
    <mergeCell ref="B476:C476"/>
    <mergeCell ref="B477:C477"/>
    <mergeCell ref="B460:C460"/>
    <mergeCell ref="B461:C461"/>
    <mergeCell ref="B462:C462"/>
    <mergeCell ref="B463:C463"/>
    <mergeCell ref="B464:C464"/>
    <mergeCell ref="B465:C465"/>
    <mergeCell ref="B466:C466"/>
    <mergeCell ref="B467:C467"/>
    <mergeCell ref="B468:C468"/>
    <mergeCell ref="B451:C451"/>
    <mergeCell ref="B452:C452"/>
    <mergeCell ref="B453:C453"/>
    <mergeCell ref="B454:C454"/>
    <mergeCell ref="B455:C455"/>
    <mergeCell ref="B456:C456"/>
    <mergeCell ref="B457:C457"/>
    <mergeCell ref="B458:C458"/>
    <mergeCell ref="B459:C459"/>
    <mergeCell ref="B442:C442"/>
    <mergeCell ref="B443:C443"/>
    <mergeCell ref="B444:C444"/>
    <mergeCell ref="B445:C445"/>
    <mergeCell ref="B446:C446"/>
    <mergeCell ref="B447:C447"/>
    <mergeCell ref="B448:C448"/>
    <mergeCell ref="B449:C449"/>
    <mergeCell ref="B450:C450"/>
    <mergeCell ref="B433:C433"/>
    <mergeCell ref="B434:C434"/>
    <mergeCell ref="B435:C435"/>
    <mergeCell ref="B436:C436"/>
    <mergeCell ref="B437:C437"/>
    <mergeCell ref="B438:C438"/>
    <mergeCell ref="B439:C439"/>
    <mergeCell ref="B440:C440"/>
    <mergeCell ref="B441:C441"/>
    <mergeCell ref="B424:C424"/>
    <mergeCell ref="B425:C425"/>
    <mergeCell ref="B426:C426"/>
    <mergeCell ref="B427:C427"/>
    <mergeCell ref="B428:C428"/>
    <mergeCell ref="B429:C429"/>
    <mergeCell ref="B430:C430"/>
    <mergeCell ref="B431:C431"/>
    <mergeCell ref="B432:C432"/>
    <mergeCell ref="B415:C415"/>
    <mergeCell ref="B416:C416"/>
    <mergeCell ref="B417:C417"/>
    <mergeCell ref="B418:C418"/>
    <mergeCell ref="B419:C419"/>
    <mergeCell ref="B420:C420"/>
    <mergeCell ref="B421:C421"/>
    <mergeCell ref="B422:C422"/>
    <mergeCell ref="B423:C423"/>
    <mergeCell ref="B406:C406"/>
    <mergeCell ref="B407:C407"/>
    <mergeCell ref="B408:C408"/>
    <mergeCell ref="B409:C409"/>
    <mergeCell ref="B410:C410"/>
    <mergeCell ref="B411:C411"/>
    <mergeCell ref="B412:C412"/>
    <mergeCell ref="B413:C413"/>
    <mergeCell ref="B414:C414"/>
    <mergeCell ref="B397:C397"/>
    <mergeCell ref="B398:C398"/>
    <mergeCell ref="B399:C399"/>
    <mergeCell ref="B400:C400"/>
    <mergeCell ref="B401:C401"/>
    <mergeCell ref="B402:C402"/>
    <mergeCell ref="B403:C403"/>
    <mergeCell ref="B404:C404"/>
    <mergeCell ref="B405:C405"/>
    <mergeCell ref="B388:C388"/>
    <mergeCell ref="B389:C389"/>
    <mergeCell ref="B390:C390"/>
    <mergeCell ref="B391:C391"/>
    <mergeCell ref="B392:C392"/>
    <mergeCell ref="B393:C393"/>
    <mergeCell ref="B394:C394"/>
    <mergeCell ref="B395:C395"/>
    <mergeCell ref="B396:C396"/>
    <mergeCell ref="B379:C379"/>
    <mergeCell ref="B380:C380"/>
    <mergeCell ref="B381:C381"/>
    <mergeCell ref="B382:C382"/>
    <mergeCell ref="B383:C383"/>
    <mergeCell ref="B384:C384"/>
    <mergeCell ref="B385:C385"/>
    <mergeCell ref="B386:C386"/>
    <mergeCell ref="B387:C387"/>
    <mergeCell ref="B370:C370"/>
    <mergeCell ref="B371:C371"/>
    <mergeCell ref="B372:C372"/>
    <mergeCell ref="B373:C373"/>
    <mergeCell ref="B374:C374"/>
    <mergeCell ref="B375:C375"/>
    <mergeCell ref="B376:C376"/>
    <mergeCell ref="B377:C377"/>
    <mergeCell ref="B378:C378"/>
    <mergeCell ref="B361:C361"/>
    <mergeCell ref="B362:C362"/>
    <mergeCell ref="B363:C363"/>
    <mergeCell ref="B364:C364"/>
    <mergeCell ref="B365:C365"/>
    <mergeCell ref="B366:C366"/>
    <mergeCell ref="B367:C367"/>
    <mergeCell ref="B368:C368"/>
    <mergeCell ref="B369:C369"/>
    <mergeCell ref="B352:C352"/>
    <mergeCell ref="B353:C353"/>
    <mergeCell ref="B354:C354"/>
    <mergeCell ref="B355:C355"/>
    <mergeCell ref="B356:C356"/>
    <mergeCell ref="B357:C357"/>
    <mergeCell ref="B358:C358"/>
    <mergeCell ref="B359:C359"/>
    <mergeCell ref="B360:C360"/>
    <mergeCell ref="B343:C343"/>
    <mergeCell ref="B344:C344"/>
    <mergeCell ref="B345:C345"/>
    <mergeCell ref="B346:C346"/>
    <mergeCell ref="B347:C347"/>
    <mergeCell ref="B348:C348"/>
    <mergeCell ref="B349:C349"/>
    <mergeCell ref="B350:C350"/>
    <mergeCell ref="B351:C351"/>
    <mergeCell ref="B334:C334"/>
    <mergeCell ref="B335:C335"/>
    <mergeCell ref="B336:C336"/>
    <mergeCell ref="B337:C337"/>
    <mergeCell ref="B338:C338"/>
    <mergeCell ref="B339:C339"/>
    <mergeCell ref="B340:C340"/>
    <mergeCell ref="B341:C341"/>
    <mergeCell ref="B342:C342"/>
    <mergeCell ref="B325:C325"/>
    <mergeCell ref="B326:C326"/>
    <mergeCell ref="B327:C327"/>
    <mergeCell ref="B328:C328"/>
    <mergeCell ref="B329:C329"/>
    <mergeCell ref="B330:C330"/>
    <mergeCell ref="B331:C331"/>
    <mergeCell ref="B332:C332"/>
    <mergeCell ref="B333:C333"/>
    <mergeCell ref="B316:C316"/>
    <mergeCell ref="B317:C317"/>
    <mergeCell ref="B318:C318"/>
    <mergeCell ref="B319:C319"/>
    <mergeCell ref="B320:C320"/>
    <mergeCell ref="B321:C321"/>
    <mergeCell ref="B322:C322"/>
    <mergeCell ref="B323:C323"/>
    <mergeCell ref="B324:C324"/>
    <mergeCell ref="B307:C307"/>
    <mergeCell ref="B308:C308"/>
    <mergeCell ref="B309:C309"/>
    <mergeCell ref="B310:C310"/>
    <mergeCell ref="B311:C311"/>
    <mergeCell ref="B312:C312"/>
    <mergeCell ref="B313:C313"/>
    <mergeCell ref="B314:C314"/>
    <mergeCell ref="B315:C315"/>
    <mergeCell ref="B298:C298"/>
    <mergeCell ref="B299:C299"/>
    <mergeCell ref="B300:C300"/>
    <mergeCell ref="B301:C301"/>
    <mergeCell ref="B302:C302"/>
    <mergeCell ref="B303:C303"/>
    <mergeCell ref="B304:C304"/>
    <mergeCell ref="B305:C305"/>
    <mergeCell ref="B306:C306"/>
    <mergeCell ref="B289:C289"/>
    <mergeCell ref="B290:C290"/>
    <mergeCell ref="B291:C291"/>
    <mergeCell ref="B292:C292"/>
    <mergeCell ref="B293:C293"/>
    <mergeCell ref="B294:C294"/>
    <mergeCell ref="B295:C295"/>
    <mergeCell ref="B296:C296"/>
    <mergeCell ref="B297:C297"/>
    <mergeCell ref="B280:C280"/>
    <mergeCell ref="B281:C281"/>
    <mergeCell ref="B282:C282"/>
    <mergeCell ref="B283:C283"/>
    <mergeCell ref="B284:C284"/>
    <mergeCell ref="B285:C285"/>
    <mergeCell ref="B286:C286"/>
    <mergeCell ref="B287:C287"/>
    <mergeCell ref="B288:C288"/>
    <mergeCell ref="B271:C271"/>
    <mergeCell ref="B272:C272"/>
    <mergeCell ref="B273:C273"/>
    <mergeCell ref="B274:C274"/>
    <mergeCell ref="B275:C275"/>
    <mergeCell ref="B276:C276"/>
    <mergeCell ref="B277:C277"/>
    <mergeCell ref="B278:C278"/>
    <mergeCell ref="B279:C279"/>
    <mergeCell ref="B262:C262"/>
    <mergeCell ref="B263:C263"/>
    <mergeCell ref="B264:C264"/>
    <mergeCell ref="B265:C265"/>
    <mergeCell ref="B266:C266"/>
    <mergeCell ref="B267:C267"/>
    <mergeCell ref="B268:C268"/>
    <mergeCell ref="B269:C269"/>
    <mergeCell ref="B270:C270"/>
    <mergeCell ref="B253:C253"/>
    <mergeCell ref="B254:C254"/>
    <mergeCell ref="B255:C255"/>
    <mergeCell ref="B256:C256"/>
    <mergeCell ref="B257:C257"/>
    <mergeCell ref="B258:C258"/>
    <mergeCell ref="B259:C259"/>
    <mergeCell ref="B260:C260"/>
    <mergeCell ref="B261:C261"/>
    <mergeCell ref="B244:C244"/>
    <mergeCell ref="B245:C245"/>
    <mergeCell ref="B246:C246"/>
    <mergeCell ref="B247:C247"/>
    <mergeCell ref="B248:C248"/>
    <mergeCell ref="B249:C249"/>
    <mergeCell ref="B250:C250"/>
    <mergeCell ref="B251:C251"/>
    <mergeCell ref="B252:C252"/>
    <mergeCell ref="B235:C235"/>
    <mergeCell ref="B236:C236"/>
    <mergeCell ref="B237:C237"/>
    <mergeCell ref="B238:C238"/>
    <mergeCell ref="B239:C239"/>
    <mergeCell ref="B240:C240"/>
    <mergeCell ref="B241:C241"/>
    <mergeCell ref="B242:C242"/>
    <mergeCell ref="B243:C243"/>
    <mergeCell ref="B226:C226"/>
    <mergeCell ref="B227:C227"/>
    <mergeCell ref="B228:C228"/>
    <mergeCell ref="B229:C229"/>
    <mergeCell ref="B230:C230"/>
    <mergeCell ref="B231:C231"/>
    <mergeCell ref="B232:C232"/>
    <mergeCell ref="B233:C233"/>
    <mergeCell ref="B234:C234"/>
    <mergeCell ref="B217:C217"/>
    <mergeCell ref="B218:C218"/>
    <mergeCell ref="B219:C219"/>
    <mergeCell ref="B220:C220"/>
    <mergeCell ref="B221:C221"/>
    <mergeCell ref="B222:C222"/>
    <mergeCell ref="B223:C223"/>
    <mergeCell ref="B224:C224"/>
    <mergeCell ref="B225:C225"/>
    <mergeCell ref="B208:C208"/>
    <mergeCell ref="B209:C209"/>
    <mergeCell ref="B210:C210"/>
    <mergeCell ref="B211:C211"/>
    <mergeCell ref="B212:C212"/>
    <mergeCell ref="B213:C213"/>
    <mergeCell ref="B214:C214"/>
    <mergeCell ref="B215:C215"/>
    <mergeCell ref="B216:C216"/>
    <mergeCell ref="B199:C199"/>
    <mergeCell ref="B200:C200"/>
    <mergeCell ref="B201:C201"/>
    <mergeCell ref="B202:C202"/>
    <mergeCell ref="B203:C203"/>
    <mergeCell ref="B204:C204"/>
    <mergeCell ref="B205:C205"/>
    <mergeCell ref="B206:C206"/>
    <mergeCell ref="B207:C207"/>
    <mergeCell ref="B190:C190"/>
    <mergeCell ref="B191:C191"/>
    <mergeCell ref="B192:C192"/>
    <mergeCell ref="B193:C193"/>
    <mergeCell ref="B194:C194"/>
    <mergeCell ref="B195:C195"/>
    <mergeCell ref="B196:C196"/>
    <mergeCell ref="B197:C197"/>
    <mergeCell ref="B198:C198"/>
    <mergeCell ref="B181:C181"/>
    <mergeCell ref="B182:C182"/>
    <mergeCell ref="B183:C183"/>
    <mergeCell ref="B184:C184"/>
    <mergeCell ref="B185:C185"/>
    <mergeCell ref="B186:C186"/>
    <mergeCell ref="B187:C187"/>
    <mergeCell ref="B188:C188"/>
    <mergeCell ref="B189:C189"/>
    <mergeCell ref="B172:C172"/>
    <mergeCell ref="B173:C173"/>
    <mergeCell ref="B174:C174"/>
    <mergeCell ref="B175:C175"/>
    <mergeCell ref="B176:C176"/>
    <mergeCell ref="B177:C177"/>
    <mergeCell ref="B178:C178"/>
    <mergeCell ref="B179:C179"/>
    <mergeCell ref="B180:C180"/>
    <mergeCell ref="B163:C163"/>
    <mergeCell ref="B164:C164"/>
    <mergeCell ref="B165:C165"/>
    <mergeCell ref="B166:C166"/>
    <mergeCell ref="B167:C167"/>
    <mergeCell ref="B168:C168"/>
    <mergeCell ref="B169:C169"/>
    <mergeCell ref="B170:C170"/>
    <mergeCell ref="B171:C171"/>
    <mergeCell ref="B154:C154"/>
    <mergeCell ref="B155:C155"/>
    <mergeCell ref="B156:C156"/>
    <mergeCell ref="B157:C157"/>
    <mergeCell ref="B158:C158"/>
    <mergeCell ref="B159:C159"/>
    <mergeCell ref="B160:C160"/>
    <mergeCell ref="B161:C161"/>
    <mergeCell ref="B162:C162"/>
    <mergeCell ref="B145:C145"/>
    <mergeCell ref="B146:C146"/>
    <mergeCell ref="B147:C147"/>
    <mergeCell ref="B148:C148"/>
    <mergeCell ref="B149:C149"/>
    <mergeCell ref="B150:C150"/>
    <mergeCell ref="B151:C151"/>
    <mergeCell ref="B152:C152"/>
    <mergeCell ref="B153:C153"/>
    <mergeCell ref="B136:C136"/>
    <mergeCell ref="B137:C137"/>
    <mergeCell ref="B138:C138"/>
    <mergeCell ref="B139:C139"/>
    <mergeCell ref="B140:C140"/>
    <mergeCell ref="B141:C141"/>
    <mergeCell ref="B142:C142"/>
    <mergeCell ref="B143:C143"/>
    <mergeCell ref="B144:C144"/>
    <mergeCell ref="B127:C127"/>
    <mergeCell ref="B128:C128"/>
    <mergeCell ref="B129:C129"/>
    <mergeCell ref="B130:C130"/>
    <mergeCell ref="B131:C131"/>
    <mergeCell ref="B132:C132"/>
    <mergeCell ref="B133:C133"/>
    <mergeCell ref="B134:C134"/>
    <mergeCell ref="B135:C135"/>
    <mergeCell ref="B118:C118"/>
    <mergeCell ref="B119:C119"/>
    <mergeCell ref="B120:C120"/>
    <mergeCell ref="B121:C121"/>
    <mergeCell ref="B122:C122"/>
    <mergeCell ref="B123:C123"/>
    <mergeCell ref="B124:C124"/>
    <mergeCell ref="B125:C125"/>
    <mergeCell ref="B126:C126"/>
    <mergeCell ref="B109:C109"/>
    <mergeCell ref="B110:C110"/>
    <mergeCell ref="B111:C111"/>
    <mergeCell ref="B112:C112"/>
    <mergeCell ref="B113:C113"/>
    <mergeCell ref="B114:C114"/>
    <mergeCell ref="B115:C115"/>
    <mergeCell ref="B116:C116"/>
    <mergeCell ref="B117:C117"/>
    <mergeCell ref="B100:C100"/>
    <mergeCell ref="B101:C101"/>
    <mergeCell ref="B102:C102"/>
    <mergeCell ref="B103:C103"/>
    <mergeCell ref="B104:C104"/>
    <mergeCell ref="B105:C105"/>
    <mergeCell ref="B106:C106"/>
    <mergeCell ref="B107:C107"/>
    <mergeCell ref="B108:C108"/>
    <mergeCell ref="B91:C91"/>
    <mergeCell ref="B92:C92"/>
    <mergeCell ref="B93:C93"/>
    <mergeCell ref="B94:C94"/>
    <mergeCell ref="B95:C95"/>
    <mergeCell ref="B96:C96"/>
    <mergeCell ref="B97:C97"/>
    <mergeCell ref="B98:C98"/>
    <mergeCell ref="B99:C99"/>
    <mergeCell ref="B82:C82"/>
    <mergeCell ref="B83:C83"/>
    <mergeCell ref="B84:C84"/>
    <mergeCell ref="B85:C85"/>
    <mergeCell ref="B86:C86"/>
    <mergeCell ref="B87:C87"/>
    <mergeCell ref="B88:C88"/>
    <mergeCell ref="B89:C89"/>
    <mergeCell ref="B90:C90"/>
    <mergeCell ref="B73:C73"/>
    <mergeCell ref="B74:C74"/>
    <mergeCell ref="B75:C75"/>
    <mergeCell ref="B76:C76"/>
    <mergeCell ref="B77:C77"/>
    <mergeCell ref="B78:C78"/>
    <mergeCell ref="B79:C79"/>
    <mergeCell ref="B80:C80"/>
    <mergeCell ref="B81:C81"/>
    <mergeCell ref="B64:C64"/>
    <mergeCell ref="B65:C65"/>
    <mergeCell ref="B66:C66"/>
    <mergeCell ref="B67:C67"/>
    <mergeCell ref="B68:C68"/>
    <mergeCell ref="B69:C69"/>
    <mergeCell ref="B70:C70"/>
    <mergeCell ref="B71:C71"/>
    <mergeCell ref="B72:C72"/>
    <mergeCell ref="B55:C55"/>
    <mergeCell ref="B56:C56"/>
    <mergeCell ref="B57:C57"/>
    <mergeCell ref="B58:C58"/>
    <mergeCell ref="B59:C59"/>
    <mergeCell ref="B60:C60"/>
    <mergeCell ref="B61:C61"/>
    <mergeCell ref="B62:C62"/>
    <mergeCell ref="B63:C63"/>
    <mergeCell ref="B46:C46"/>
    <mergeCell ref="B47:C47"/>
    <mergeCell ref="B48:C48"/>
    <mergeCell ref="B49:C49"/>
    <mergeCell ref="B50:C50"/>
    <mergeCell ref="B51:C51"/>
    <mergeCell ref="B52:C52"/>
    <mergeCell ref="B53:C53"/>
    <mergeCell ref="B54:C54"/>
    <mergeCell ref="B37:C37"/>
    <mergeCell ref="B38:C38"/>
    <mergeCell ref="B39:C39"/>
    <mergeCell ref="B40:C40"/>
    <mergeCell ref="B41:C41"/>
    <mergeCell ref="B42:C42"/>
    <mergeCell ref="B43:C43"/>
    <mergeCell ref="B44:C44"/>
    <mergeCell ref="B45:C45"/>
    <mergeCell ref="B28:C28"/>
    <mergeCell ref="B29:C29"/>
    <mergeCell ref="B30:C30"/>
    <mergeCell ref="B31:C31"/>
    <mergeCell ref="B32:C32"/>
    <mergeCell ref="B33:C33"/>
    <mergeCell ref="B34:C34"/>
    <mergeCell ref="B35:C35"/>
    <mergeCell ref="B36:C36"/>
    <mergeCell ref="B19:C19"/>
    <mergeCell ref="B20:C20"/>
    <mergeCell ref="B21:C21"/>
    <mergeCell ref="B22:C22"/>
    <mergeCell ref="B23:C23"/>
    <mergeCell ref="B24:C24"/>
    <mergeCell ref="B25:C25"/>
    <mergeCell ref="B26:C26"/>
    <mergeCell ref="B27:C27"/>
    <mergeCell ref="B10:C10"/>
    <mergeCell ref="B11:C11"/>
    <mergeCell ref="B12:C12"/>
    <mergeCell ref="B13:C13"/>
    <mergeCell ref="A14:C14"/>
    <mergeCell ref="B15:C15"/>
    <mergeCell ref="B16:C16"/>
    <mergeCell ref="B17:C17"/>
    <mergeCell ref="A18:C18"/>
    <mergeCell ref="A1:B1"/>
    <mergeCell ref="A2:C2"/>
    <mergeCell ref="A3:C3"/>
    <mergeCell ref="A4:C4"/>
    <mergeCell ref="B5:C5"/>
    <mergeCell ref="B6:C6"/>
    <mergeCell ref="B7:C7"/>
    <mergeCell ref="B8:C8"/>
    <mergeCell ref="B9:C9"/>
  </mergeCells>
  <printOptions gridLines="1"/>
  <pageMargins left="0.7" right="0.7" top="0.75" bottom="0.75" header="0.3" footer="0.3"/>
  <pageSetup fitToHeight="0" orientation="landscape" r:id="rId1"/>
  <headerFooter>
    <oddHeader>&amp;LTable: ACSDT5Y2019.B19013</oddHeader>
    <oddFooter>&amp;L&amp;Bdata.census.gov&amp;B | Measuring America's People, Places, and Economy &amp;R&amp;P</oddFooter>
    <evenHeader>&amp;LTable: ACSDT5Y2019.B19013</evenHeader>
    <evenFooter>&amp;L&amp;Bdata.census.gov&amp;B | Measuring America's People, Places, and Economy &amp;R&amp;P</even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AB5E-18FC-4419-AA06-7DFEE85EA076}">
  <sheetPr>
    <tabColor theme="6" tint="0.59999389629810485"/>
    <pageSetUpPr fitToPage="1"/>
  </sheetPr>
  <dimension ref="A1:Q237"/>
  <sheetViews>
    <sheetView zoomScale="80" zoomScaleNormal="80" workbookViewId="0">
      <pane ySplit="5" topLeftCell="A6" activePane="bottomLeft" state="frozen"/>
      <selection pane="bottomLeft" activeCell="I19" sqref="I19"/>
    </sheetView>
  </sheetViews>
  <sheetFormatPr baseColWidth="10" defaultColWidth="8.6640625" defaultRowHeight="15" x14ac:dyDescent="0.2"/>
  <cols>
    <col min="1" max="1" width="15.6640625" customWidth="1"/>
    <col min="2" max="2" width="21.1640625" customWidth="1"/>
    <col min="3" max="3" width="20" customWidth="1"/>
    <col min="4" max="4" width="20.6640625" style="51" customWidth="1"/>
    <col min="5" max="5" width="20.6640625" style="50" customWidth="1"/>
    <col min="6" max="6" width="20.6640625" style="51" customWidth="1"/>
    <col min="7" max="7" width="20.6640625" style="50" customWidth="1"/>
    <col min="8" max="8" width="20.6640625" style="35" customWidth="1"/>
    <col min="9" max="9" width="20.6640625" style="50" customWidth="1"/>
    <col min="10" max="10" width="20.6640625" style="35" customWidth="1"/>
    <col min="11" max="11" width="20.6640625" style="50" customWidth="1"/>
    <col min="12" max="12" width="20.6640625" style="35" customWidth="1"/>
    <col min="13" max="13" width="20.6640625" style="50" customWidth="1"/>
    <col min="14" max="14" width="20.6640625" style="35" customWidth="1"/>
    <col min="15" max="15" width="20.6640625" style="50" customWidth="1"/>
    <col min="16" max="16" width="20.5" customWidth="1"/>
    <col min="17" max="17" width="14.1640625" customWidth="1"/>
    <col min="18" max="18" width="20.5" customWidth="1"/>
    <col min="19" max="19" width="14.1640625" customWidth="1"/>
  </cols>
  <sheetData>
    <row r="1" spans="1:17" ht="18.75" customHeight="1" x14ac:dyDescent="0.2">
      <c r="A1" s="284" t="s">
        <v>2711</v>
      </c>
      <c r="B1" s="285"/>
      <c r="C1" s="285"/>
      <c r="D1" s="285"/>
      <c r="E1" s="285"/>
      <c r="F1" s="285"/>
      <c r="G1" s="285"/>
      <c r="H1" s="285"/>
      <c r="I1" s="285"/>
      <c r="J1" s="285"/>
      <c r="K1" s="285"/>
      <c r="L1" s="285"/>
      <c r="M1" s="285"/>
      <c r="N1" s="285"/>
      <c r="O1" s="286"/>
    </row>
    <row r="2" spans="1:17" ht="15.75" customHeight="1" thickBot="1" x14ac:dyDescent="0.25">
      <c r="A2" s="287"/>
      <c r="B2" s="288"/>
      <c r="C2" s="288"/>
      <c r="D2" s="288"/>
      <c r="E2" s="288"/>
      <c r="F2" s="288"/>
      <c r="G2" s="288"/>
      <c r="H2" s="288"/>
      <c r="I2" s="288"/>
      <c r="J2" s="288"/>
      <c r="K2" s="288"/>
      <c r="L2" s="288"/>
      <c r="M2" s="288"/>
      <c r="N2" s="288"/>
      <c r="O2" s="289"/>
    </row>
    <row r="3" spans="1:17" ht="17" thickBot="1" x14ac:dyDescent="0.25">
      <c r="A3" s="299" t="s">
        <v>2695</v>
      </c>
      <c r="B3" s="300"/>
      <c r="C3" s="300"/>
      <c r="D3" s="281" t="s">
        <v>2875</v>
      </c>
      <c r="E3" s="282"/>
      <c r="F3" s="282"/>
      <c r="G3" s="282"/>
      <c r="H3" s="305"/>
      <c r="I3" s="305"/>
      <c r="J3" s="305"/>
      <c r="K3" s="305"/>
      <c r="L3" s="282"/>
      <c r="M3" s="282"/>
      <c r="N3" s="282"/>
      <c r="O3" s="283"/>
    </row>
    <row r="4" spans="1:17" x14ac:dyDescent="0.2">
      <c r="A4" s="306"/>
      <c r="B4" s="307"/>
      <c r="C4" s="307"/>
      <c r="D4" s="308" t="s">
        <v>2700</v>
      </c>
      <c r="E4" s="309"/>
      <c r="F4" s="309"/>
      <c r="G4" s="309"/>
      <c r="H4" s="310" t="s">
        <v>2701</v>
      </c>
      <c r="I4" s="311"/>
      <c r="J4" s="311"/>
      <c r="K4" s="312"/>
      <c r="L4" s="313" t="s">
        <v>2702</v>
      </c>
      <c r="M4" s="313"/>
      <c r="N4" s="313"/>
      <c r="O4" s="314"/>
    </row>
    <row r="5" spans="1:17" ht="74.25" customHeight="1" x14ac:dyDescent="0.2">
      <c r="A5" s="66" t="s">
        <v>2712</v>
      </c>
      <c r="B5" s="65" t="s">
        <v>2713</v>
      </c>
      <c r="C5" s="64" t="s">
        <v>2714</v>
      </c>
      <c r="D5" s="63" t="s">
        <v>2715</v>
      </c>
      <c r="E5" s="62" t="s">
        <v>2716</v>
      </c>
      <c r="F5" s="63" t="s">
        <v>2717</v>
      </c>
      <c r="G5" s="62" t="s">
        <v>2718</v>
      </c>
      <c r="H5" s="60" t="s">
        <v>2719</v>
      </c>
      <c r="I5" s="61" t="s">
        <v>2720</v>
      </c>
      <c r="J5" s="60" t="s">
        <v>2721</v>
      </c>
      <c r="K5" s="61" t="s">
        <v>2722</v>
      </c>
      <c r="L5" s="60" t="s">
        <v>2723</v>
      </c>
      <c r="M5" s="61" t="s">
        <v>2724</v>
      </c>
      <c r="N5" s="60" t="s">
        <v>2725</v>
      </c>
      <c r="O5" s="59" t="s">
        <v>2726</v>
      </c>
      <c r="P5" s="122" t="s">
        <v>2728</v>
      </c>
      <c r="Q5" s="122" t="s">
        <v>2729</v>
      </c>
    </row>
    <row r="6" spans="1:17" x14ac:dyDescent="0.2">
      <c r="A6" s="100">
        <v>9013528100</v>
      </c>
      <c r="B6" s="38" t="s">
        <v>2731</v>
      </c>
      <c r="C6" s="38" t="s">
        <v>944</v>
      </c>
      <c r="D6" s="40">
        <f>[1]!Table32[[#This Row],[Residential CLM $ Collected]]+[1]!Table32[[#This Row],[C&amp;I CLM $ Collected]]</f>
        <v>1108.9806767999999</v>
      </c>
      <c r="E6" s="36">
        <f>[1]!Table32[[#This Row],[CLM $ Collected ]]/'[1]1.) CLM Reference'!$B$4</f>
        <v>9.8384790810737162E-6</v>
      </c>
      <c r="F6" s="37">
        <f>[1]!Table32[[#This Row],[Residential Incentive Disbursements]]+[1]!Table32[[#This Row],[C&amp;I Incentive Disbursements]]</f>
        <v>1290</v>
      </c>
      <c r="G6" s="36">
        <f>[1]!Table32[[#This Row],[Incentive Disbursements]]/'[1]1.) CLM Reference'!$B$5</f>
        <v>1.5782701188756518E-5</v>
      </c>
      <c r="H6" s="37">
        <v>0</v>
      </c>
      <c r="I6" s="36">
        <f>[1]!Table32[[#This Row],[Residential CLM $ Collected]]/'[1]1.) CLM Reference'!$B$4</f>
        <v>0</v>
      </c>
      <c r="J6" s="41">
        <v>0</v>
      </c>
      <c r="K6" s="36">
        <f>[1]!Table32[[#This Row],[Residential Incentive Disbursements]]/'[1]1.) CLM Reference'!$B$5</f>
        <v>0</v>
      </c>
      <c r="L6" s="37">
        <v>1108.9806767999999</v>
      </c>
      <c r="M6" s="36">
        <f>[1]!Table32[[#This Row],[C&amp;I CLM $ Collected]]/'[1]1.) CLM Reference'!$B$4</f>
        <v>9.8384790810737162E-6</v>
      </c>
      <c r="N6" s="41">
        <v>1290</v>
      </c>
      <c r="O6" s="39">
        <f>[1]!Table32[[#This Row],[C&amp;I Incentive Disbursements]]/'[1]1.) CLM Reference'!$B$5</f>
        <v>1.5782701188756518E-5</v>
      </c>
      <c r="P6">
        <f>VLOOKUP(Table32[[#This Row],[Census Tract]],'Population and Diversity Data'!$B$2:$K$823,10,FALSE)</f>
        <v>1</v>
      </c>
      <c r="Q6" t="str">
        <f>VLOOKUP(Table32[[#This Row],[Census Tract]],'ES Energy Burden'!$B$2:$E$914,4,FALSE)</f>
        <v>No</v>
      </c>
    </row>
    <row r="7" spans="1:17" x14ac:dyDescent="0.2">
      <c r="A7" s="100">
        <v>9015830100</v>
      </c>
      <c r="B7" s="38" t="s">
        <v>2732</v>
      </c>
      <c r="C7" s="38" t="s">
        <v>944</v>
      </c>
      <c r="D7" s="40">
        <f>[1]!Table32[[#This Row],[Residential CLM $ Collected]]+[1]!Table32[[#This Row],[C&amp;I CLM $ Collected]]</f>
        <v>8610.1401340800003</v>
      </c>
      <c r="E7" s="36">
        <f>[1]!Table32[[#This Row],[CLM $ Collected ]]/'[1]1.) CLM Reference'!$B$4</f>
        <v>7.6386077202620677E-5</v>
      </c>
      <c r="F7" s="37">
        <f>[1]!Table32[[#This Row],[Residential Incentive Disbursements]]+[1]!Table32[[#This Row],[C&amp;I Incentive Disbursements]]</f>
        <v>680</v>
      </c>
      <c r="G7" s="36">
        <f>[1]!Table32[[#This Row],[Incentive Disbursements]]/'[1]1.) CLM Reference'!$B$5</f>
        <v>8.3195634173290161E-6</v>
      </c>
      <c r="H7" s="37">
        <v>0</v>
      </c>
      <c r="I7" s="36">
        <f>[1]!Table32[[#This Row],[Residential CLM $ Collected]]/'[1]1.) CLM Reference'!$B$4</f>
        <v>0</v>
      </c>
      <c r="J7" s="41">
        <v>0</v>
      </c>
      <c r="K7" s="36">
        <f>[1]!Table32[[#This Row],[Residential Incentive Disbursements]]/'[1]1.) CLM Reference'!$B$5</f>
        <v>0</v>
      </c>
      <c r="L7" s="37">
        <v>8610.1401340800003</v>
      </c>
      <c r="M7" s="36">
        <f>[1]!Table32[[#This Row],[C&amp;I CLM $ Collected]]/'[1]1.) CLM Reference'!$B$4</f>
        <v>7.6386077202620677E-5</v>
      </c>
      <c r="N7" s="41">
        <v>680</v>
      </c>
      <c r="O7" s="39">
        <f>[1]!Table32[[#This Row],[C&amp;I Incentive Disbursements]]/'[1]1.) CLM Reference'!$B$5</f>
        <v>8.3195634173290161E-6</v>
      </c>
      <c r="P7">
        <f>VLOOKUP(Table32[[#This Row],[Census Tract]],'Population and Diversity Data'!$B$2:$K$823,10,FALSE)</f>
        <v>4</v>
      </c>
      <c r="Q7" t="str">
        <f>VLOOKUP(Table32[[#This Row],[Census Tract]],'ES Energy Burden'!$B$2:$E$914,4,FALSE)</f>
        <v>No</v>
      </c>
    </row>
    <row r="8" spans="1:17" x14ac:dyDescent="0.2">
      <c r="A8" s="100">
        <v>9003462101</v>
      </c>
      <c r="B8" s="38" t="s">
        <v>2733</v>
      </c>
      <c r="C8" s="38" t="s">
        <v>944</v>
      </c>
      <c r="D8" s="40">
        <f>[1]!Table32[[#This Row],[Residential CLM $ Collected]]+[1]!Table32[[#This Row],[C&amp;I CLM $ Collected]]</f>
        <v>260717.89338720002</v>
      </c>
      <c r="E8" s="36">
        <f>[1]!Table32[[#This Row],[CLM $ Collected ]]/'[1]1.) CLM Reference'!$B$4</f>
        <v>2.3129957030028343E-3</v>
      </c>
      <c r="F8" s="37">
        <f>[1]!Table32[[#This Row],[Residential Incentive Disbursements]]+[1]!Table32[[#This Row],[C&amp;I Incentive Disbursements]]</f>
        <v>315628.03419999999</v>
      </c>
      <c r="G8" s="36">
        <f>[1]!Table32[[#This Row],[Incentive Disbursements]]/'[1]1.) CLM Reference'!$B$5</f>
        <v>3.8615991864908703E-3</v>
      </c>
      <c r="H8" s="37">
        <v>0</v>
      </c>
      <c r="I8" s="36">
        <f>[1]!Table32[[#This Row],[Residential CLM $ Collected]]/'[1]1.) CLM Reference'!$B$4</f>
        <v>0</v>
      </c>
      <c r="J8" s="41">
        <v>0</v>
      </c>
      <c r="K8" s="36">
        <f>[1]!Table32[[#This Row],[Residential Incentive Disbursements]]/'[1]1.) CLM Reference'!$B$5</f>
        <v>0</v>
      </c>
      <c r="L8" s="37">
        <v>260717.89338720002</v>
      </c>
      <c r="M8" s="36">
        <f>[1]!Table32[[#This Row],[C&amp;I CLM $ Collected]]/'[1]1.) CLM Reference'!$B$4</f>
        <v>2.3129957030028343E-3</v>
      </c>
      <c r="N8" s="41">
        <v>315628.03419999999</v>
      </c>
      <c r="O8" s="39">
        <f>[1]!Table32[[#This Row],[C&amp;I Incentive Disbursements]]/'[1]1.) CLM Reference'!$B$5</f>
        <v>3.8615991864908703E-3</v>
      </c>
      <c r="P8">
        <f>VLOOKUP(Table32[[#This Row],[Census Tract]],'Population and Diversity Data'!$B$2:$K$823,10,FALSE)</f>
        <v>4</v>
      </c>
      <c r="Q8" t="str">
        <f>VLOOKUP(Table32[[#This Row],[Census Tract]],'ES Energy Burden'!$B$2:$E$914,4,FALSE)</f>
        <v>No</v>
      </c>
    </row>
    <row r="9" spans="1:17" x14ac:dyDescent="0.2">
      <c r="A9" s="100">
        <v>9003462201</v>
      </c>
      <c r="B9" s="38" t="s">
        <v>2733</v>
      </c>
      <c r="C9" s="38" t="s">
        <v>944</v>
      </c>
      <c r="D9" s="40">
        <f>[1]!Table32[[#This Row],[Residential CLM $ Collected]]+[1]!Table32[[#This Row],[C&amp;I CLM $ Collected]]</f>
        <v>1401.1182576000001</v>
      </c>
      <c r="E9" s="36">
        <f>[1]!Table32[[#This Row],[CLM $ Collected ]]/'[1]1.) CLM Reference'!$B$4</f>
        <v>1.2430218989283705E-5</v>
      </c>
      <c r="F9" s="37">
        <f>[1]!Table32[[#This Row],[Residential Incentive Disbursements]]+[1]!Table32[[#This Row],[C&amp;I Incentive Disbursements]]</f>
        <v>0</v>
      </c>
      <c r="G9" s="36">
        <f>[1]!Table32[[#This Row],[Incentive Disbursements]]/'[1]1.) CLM Reference'!$B$5</f>
        <v>0</v>
      </c>
      <c r="H9" s="37">
        <v>0</v>
      </c>
      <c r="I9" s="36">
        <f>[1]!Table32[[#This Row],[Residential CLM $ Collected]]/'[1]1.) CLM Reference'!$B$4</f>
        <v>0</v>
      </c>
      <c r="J9" s="41">
        <v>0</v>
      </c>
      <c r="K9" s="36">
        <f>[1]!Table32[[#This Row],[Residential Incentive Disbursements]]/'[1]1.) CLM Reference'!$B$5</f>
        <v>0</v>
      </c>
      <c r="L9" s="37">
        <v>1401.1182576000001</v>
      </c>
      <c r="M9" s="36">
        <f>[1]!Table32[[#This Row],[C&amp;I CLM $ Collected]]/'[1]1.) CLM Reference'!$B$4</f>
        <v>1.2430218989283705E-5</v>
      </c>
      <c r="N9" s="41">
        <v>0</v>
      </c>
      <c r="O9" s="39">
        <f>[1]!Table32[[#This Row],[C&amp;I Incentive Disbursements]]/'[1]1.) CLM Reference'!$B$5</f>
        <v>0</v>
      </c>
      <c r="P9">
        <f>VLOOKUP(Table32[[#This Row],[Census Tract]],'Population and Diversity Data'!$B$2:$K$823,10,FALSE)</f>
        <v>4</v>
      </c>
      <c r="Q9" t="str">
        <f>VLOOKUP(Table32[[#This Row],[Census Tract]],'ES Energy Burden'!$B$2:$E$914,4,FALSE)</f>
        <v>No</v>
      </c>
    </row>
    <row r="10" spans="1:17" x14ac:dyDescent="0.2">
      <c r="A10" s="100">
        <v>9005290100</v>
      </c>
      <c r="B10" s="38" t="s">
        <v>2734</v>
      </c>
      <c r="C10" s="38" t="s">
        <v>944</v>
      </c>
      <c r="D10" s="40">
        <f>[1]!Table32[[#This Row],[Residential CLM $ Collected]]+[1]!Table32[[#This Row],[C&amp;I CLM $ Collected]]</f>
        <v>9463.3490505599984</v>
      </c>
      <c r="E10" s="36">
        <f>[1]!Table32[[#This Row],[CLM $ Collected ]]/'[1]1.) CLM Reference'!$B$4</f>
        <v>8.3955440900458943E-5</v>
      </c>
      <c r="F10" s="37">
        <f>[1]!Table32[[#This Row],[Residential Incentive Disbursements]]+[1]!Table32[[#This Row],[C&amp;I Incentive Disbursements]]</f>
        <v>400</v>
      </c>
      <c r="G10" s="36">
        <f>[1]!Table32[[#This Row],[Incentive Disbursements]]/'[1]1.) CLM Reference'!$B$5</f>
        <v>4.8938608337229506E-6</v>
      </c>
      <c r="H10" s="37">
        <v>0</v>
      </c>
      <c r="I10" s="36">
        <f>[1]!Table32[[#This Row],[Residential CLM $ Collected]]/'[1]1.) CLM Reference'!$B$4</f>
        <v>0</v>
      </c>
      <c r="J10" s="41">
        <v>0</v>
      </c>
      <c r="K10" s="36">
        <f>[1]!Table32[[#This Row],[Residential Incentive Disbursements]]/'[1]1.) CLM Reference'!$B$5</f>
        <v>0</v>
      </c>
      <c r="L10" s="37">
        <v>9463.3490505599984</v>
      </c>
      <c r="M10" s="36">
        <f>[1]!Table32[[#This Row],[C&amp;I CLM $ Collected]]/'[1]1.) CLM Reference'!$B$4</f>
        <v>8.3955440900458943E-5</v>
      </c>
      <c r="N10" s="41">
        <v>400</v>
      </c>
      <c r="O10" s="39">
        <f>[1]!Table32[[#This Row],[C&amp;I Incentive Disbursements]]/'[1]1.) CLM Reference'!$B$5</f>
        <v>4.8938608337229506E-6</v>
      </c>
      <c r="P10">
        <f>VLOOKUP(Table32[[#This Row],[Census Tract]],'Population and Diversity Data'!$B$2:$K$823,10,FALSE)</f>
        <v>2</v>
      </c>
      <c r="Q10" t="str">
        <f>VLOOKUP(Table32[[#This Row],[Census Tract]],'ES Energy Burden'!$B$2:$E$914,4,FALSE)</f>
        <v>No</v>
      </c>
    </row>
    <row r="11" spans="1:17" x14ac:dyDescent="0.2">
      <c r="A11" s="100">
        <v>9009341100</v>
      </c>
      <c r="B11" s="38" t="s">
        <v>2735</v>
      </c>
      <c r="C11" s="38" t="s">
        <v>944</v>
      </c>
      <c r="D11" s="40">
        <f>[1]!Table32[[#This Row],[Residential CLM $ Collected]]+[1]!Table32[[#This Row],[C&amp;I CLM $ Collected]]</f>
        <v>30078.827089920003</v>
      </c>
      <c r="E11" s="36">
        <f>[1]!Table32[[#This Row],[CLM $ Collected ]]/'[1]1.) CLM Reference'!$B$4</f>
        <v>2.668485730169139E-4</v>
      </c>
      <c r="F11" s="37">
        <f>[1]!Table32[[#This Row],[Residential Incentive Disbursements]]+[1]!Table32[[#This Row],[C&amp;I Incentive Disbursements]]</f>
        <v>4464.3900000000003</v>
      </c>
      <c r="G11" s="36">
        <f>[1]!Table32[[#This Row],[Incentive Disbursements]]/'[1]1.) CLM Reference'!$B$5</f>
        <v>5.4620258418661018E-5</v>
      </c>
      <c r="H11" s="37">
        <v>0</v>
      </c>
      <c r="I11" s="36">
        <f>[1]!Table32[[#This Row],[Residential CLM $ Collected]]/'[1]1.) CLM Reference'!$B$4</f>
        <v>0</v>
      </c>
      <c r="J11" s="41">
        <v>0</v>
      </c>
      <c r="K11" s="36">
        <f>[1]!Table32[[#This Row],[Residential Incentive Disbursements]]/'[1]1.) CLM Reference'!$B$5</f>
        <v>0</v>
      </c>
      <c r="L11" s="37">
        <v>30078.827089920003</v>
      </c>
      <c r="M11" s="36">
        <f>[1]!Table32[[#This Row],[C&amp;I CLM $ Collected]]/'[1]1.) CLM Reference'!$B$4</f>
        <v>2.668485730169139E-4</v>
      </c>
      <c r="N11" s="41">
        <v>4464.3900000000003</v>
      </c>
      <c r="O11" s="39">
        <f>[1]!Table32[[#This Row],[C&amp;I Incentive Disbursements]]/'[1]1.) CLM Reference'!$B$5</f>
        <v>5.4620258418661018E-5</v>
      </c>
      <c r="P11">
        <f>VLOOKUP(Table32[[#This Row],[Census Tract]],'Population and Diversity Data'!$B$2:$K$823,10,FALSE)</f>
        <v>1</v>
      </c>
      <c r="Q11" t="str">
        <f>VLOOKUP(Table32[[#This Row],[Census Tract]],'ES Energy Burden'!$B$2:$E$914,4,FALSE)</f>
        <v>No</v>
      </c>
    </row>
    <row r="12" spans="1:17" x14ac:dyDescent="0.2">
      <c r="A12" s="100">
        <v>9003400100</v>
      </c>
      <c r="B12" s="38" t="s">
        <v>2736</v>
      </c>
      <c r="C12" s="38" t="s">
        <v>944</v>
      </c>
      <c r="D12" s="40">
        <f>[1]!Table32[[#This Row],[Residential CLM $ Collected]]+[1]!Table32[[#This Row],[C&amp;I CLM $ Collected]]</f>
        <v>393727.33680767997</v>
      </c>
      <c r="E12" s="36">
        <f>[1]!Table32[[#This Row],[CLM $ Collected ]]/'[1]1.) CLM Reference'!$B$4</f>
        <v>3.4930078114677795E-3</v>
      </c>
      <c r="F12" s="37">
        <f>[1]!Table32[[#This Row],[Residential Incentive Disbursements]]+[1]!Table32[[#This Row],[C&amp;I Incentive Disbursements]]</f>
        <v>5336484.5404000003</v>
      </c>
      <c r="G12" s="36">
        <f>[1]!Table32[[#This Row],[Incentive Disbursements]]/'[1]1.) CLM Reference'!$B$5</f>
        <v>6.5290031705078966E-2</v>
      </c>
      <c r="H12" s="37">
        <v>0</v>
      </c>
      <c r="I12" s="36">
        <f>[1]!Table32[[#This Row],[Residential CLM $ Collected]]/'[1]1.) CLM Reference'!$B$4</f>
        <v>0</v>
      </c>
      <c r="J12" s="41">
        <v>0</v>
      </c>
      <c r="K12" s="36">
        <f>[1]!Table32[[#This Row],[Residential Incentive Disbursements]]/'[1]1.) CLM Reference'!$B$5</f>
        <v>0</v>
      </c>
      <c r="L12" s="37">
        <v>393727.33680767997</v>
      </c>
      <c r="M12" s="36">
        <f>[1]!Table32[[#This Row],[C&amp;I CLM $ Collected]]/'[1]1.) CLM Reference'!$B$4</f>
        <v>3.4930078114677795E-3</v>
      </c>
      <c r="N12" s="41">
        <v>5336484.5404000003</v>
      </c>
      <c r="O12" s="39">
        <f>[1]!Table32[[#This Row],[C&amp;I Incentive Disbursements]]/'[1]1.) CLM Reference'!$B$5</f>
        <v>6.5290031705078966E-2</v>
      </c>
      <c r="P12">
        <f>VLOOKUP(Table32[[#This Row],[Census Tract]],'Population and Diversity Data'!$B$2:$K$823,10,FALSE)</f>
        <v>2</v>
      </c>
      <c r="Q12" t="str">
        <f>VLOOKUP(Table32[[#This Row],[Census Tract]],'ES Energy Burden'!$B$2:$E$914,4,FALSE)</f>
        <v>No</v>
      </c>
    </row>
    <row r="13" spans="1:17" x14ac:dyDescent="0.2">
      <c r="A13" s="100">
        <v>9003400300</v>
      </c>
      <c r="B13" s="38" t="s">
        <v>2736</v>
      </c>
      <c r="C13" s="38" t="s">
        <v>944</v>
      </c>
      <c r="D13" s="40">
        <f>[1]!Table32[[#This Row],[Residential CLM $ Collected]]+[1]!Table32[[#This Row],[C&amp;I CLM $ Collected]]</f>
        <v>16.029766079999998</v>
      </c>
      <c r="E13" s="36">
        <f>[1]!Table32[[#This Row],[CLM $ Collected ]]/'[1]1.) CLM Reference'!$B$4</f>
        <v>1.4221033923481705E-7</v>
      </c>
      <c r="F13" s="37">
        <f>[1]!Table32[[#This Row],[Residential Incentive Disbursements]]+[1]!Table32[[#This Row],[C&amp;I Incentive Disbursements]]</f>
        <v>0</v>
      </c>
      <c r="G13" s="36">
        <f>[1]!Table32[[#This Row],[Incentive Disbursements]]/'[1]1.) CLM Reference'!$B$5</f>
        <v>0</v>
      </c>
      <c r="H13" s="37">
        <v>0</v>
      </c>
      <c r="I13" s="36">
        <f>[1]!Table32[[#This Row],[Residential CLM $ Collected]]/'[1]1.) CLM Reference'!$B$4</f>
        <v>0</v>
      </c>
      <c r="J13" s="41">
        <v>0</v>
      </c>
      <c r="K13" s="36">
        <f>[1]!Table32[[#This Row],[Residential Incentive Disbursements]]/'[1]1.) CLM Reference'!$B$5</f>
        <v>0</v>
      </c>
      <c r="L13" s="37">
        <v>16.029766079999998</v>
      </c>
      <c r="M13" s="36">
        <f>[1]!Table32[[#This Row],[C&amp;I CLM $ Collected]]/'[1]1.) CLM Reference'!$B$4</f>
        <v>1.4221033923481705E-7</v>
      </c>
      <c r="N13" s="41">
        <v>0</v>
      </c>
      <c r="O13" s="39">
        <f>[1]!Table32[[#This Row],[C&amp;I Incentive Disbursements]]/'[1]1.) CLM Reference'!$B$5</f>
        <v>0</v>
      </c>
      <c r="P13">
        <f>VLOOKUP(Table32[[#This Row],[Census Tract]],'Population and Diversity Data'!$B$2:$K$823,10,FALSE)</f>
        <v>2</v>
      </c>
      <c r="Q13" t="str">
        <f>VLOOKUP(Table32[[#This Row],[Census Tract]],'ES Energy Burden'!$B$2:$E$914,4,FALSE)</f>
        <v>No</v>
      </c>
    </row>
    <row r="14" spans="1:17" x14ac:dyDescent="0.2">
      <c r="A14" s="100">
        <v>9009161100</v>
      </c>
      <c r="B14" s="38" t="s">
        <v>2737</v>
      </c>
      <c r="C14" s="38" t="s">
        <v>944</v>
      </c>
      <c r="D14" s="40">
        <f>[1]!Table32[[#This Row],[Residential CLM $ Collected]]+[1]!Table32[[#This Row],[C&amp;I CLM $ Collected]]</f>
        <v>25574.598858239999</v>
      </c>
      <c r="E14" s="36">
        <f>[1]!Table32[[#This Row],[CLM $ Collected ]]/'[1]1.) CLM Reference'!$B$4</f>
        <v>2.2688867456166121E-4</v>
      </c>
      <c r="F14" s="37">
        <f>[1]!Table32[[#This Row],[Residential Incentive Disbursements]]+[1]!Table32[[#This Row],[C&amp;I Incentive Disbursements]]</f>
        <v>100</v>
      </c>
      <c r="G14" s="36">
        <f>[1]!Table32[[#This Row],[Incentive Disbursements]]/'[1]1.) CLM Reference'!$B$5</f>
        <v>1.2234652084307377E-6</v>
      </c>
      <c r="H14" s="37">
        <v>0</v>
      </c>
      <c r="I14" s="36">
        <f>[1]!Table32[[#This Row],[Residential CLM $ Collected]]/'[1]1.) CLM Reference'!$B$4</f>
        <v>0</v>
      </c>
      <c r="J14" s="41">
        <v>0</v>
      </c>
      <c r="K14" s="36">
        <f>[1]!Table32[[#This Row],[Residential Incentive Disbursements]]/'[1]1.) CLM Reference'!$B$5</f>
        <v>0</v>
      </c>
      <c r="L14" s="37">
        <v>25574.598858239999</v>
      </c>
      <c r="M14" s="36">
        <f>[1]!Table32[[#This Row],[C&amp;I CLM $ Collected]]/'[1]1.) CLM Reference'!$B$4</f>
        <v>2.2688867456166121E-4</v>
      </c>
      <c r="N14" s="41">
        <v>100</v>
      </c>
      <c r="O14" s="39">
        <f>[1]!Table32[[#This Row],[C&amp;I Incentive Disbursements]]/'[1]1.) CLM Reference'!$B$5</f>
        <v>1.2234652084307377E-6</v>
      </c>
      <c r="P14">
        <f>VLOOKUP(Table32[[#This Row],[Census Tract]],'Population and Diversity Data'!$B$2:$K$823,10,FALSE)</f>
        <v>4</v>
      </c>
      <c r="Q14" t="str">
        <f>VLOOKUP(Table32[[#This Row],[Census Tract]],'ES Energy Burden'!$B$2:$E$914,4,FALSE)</f>
        <v>No</v>
      </c>
    </row>
    <row r="15" spans="1:17" x14ac:dyDescent="0.2">
      <c r="A15" s="100">
        <v>9001200200</v>
      </c>
      <c r="B15" s="38" t="s">
        <v>2738</v>
      </c>
      <c r="C15" s="38" t="s">
        <v>944</v>
      </c>
      <c r="D15" s="40">
        <f>[1]!Table32[[#This Row],[Residential CLM $ Collected]]+[1]!Table32[[#This Row],[C&amp;I CLM $ Collected]]</f>
        <v>232602.22088352</v>
      </c>
      <c r="E15" s="36">
        <f>[1]!Table32[[#This Row],[CLM $ Collected ]]/'[1]1.) CLM Reference'!$B$4</f>
        <v>2.063563533836498E-3</v>
      </c>
      <c r="F15" s="37">
        <f>[1]!Table32[[#This Row],[Residential Incentive Disbursements]]+[1]!Table32[[#This Row],[C&amp;I Incentive Disbursements]]</f>
        <v>17057.148000000001</v>
      </c>
      <c r="G15" s="36">
        <f>[1]!Table32[[#This Row],[Incentive Disbursements]]/'[1]1.) CLM Reference'!$B$5</f>
        <v>2.0868827133053942E-4</v>
      </c>
      <c r="H15" s="37">
        <v>0</v>
      </c>
      <c r="I15" s="36">
        <f>[1]!Table32[[#This Row],[Residential CLM $ Collected]]/'[1]1.) CLM Reference'!$B$4</f>
        <v>0</v>
      </c>
      <c r="J15" s="41">
        <v>0</v>
      </c>
      <c r="K15" s="36">
        <f>[1]!Table32[[#This Row],[Residential Incentive Disbursements]]/'[1]1.) CLM Reference'!$B$5</f>
        <v>0</v>
      </c>
      <c r="L15" s="37">
        <v>232602.22088352</v>
      </c>
      <c r="M15" s="36">
        <f>[1]!Table32[[#This Row],[C&amp;I CLM $ Collected]]/'[1]1.) CLM Reference'!$B$4</f>
        <v>2.063563533836498E-3</v>
      </c>
      <c r="N15" s="41">
        <v>17057.148000000001</v>
      </c>
      <c r="O15" s="39">
        <f>[1]!Table32[[#This Row],[C&amp;I Incentive Disbursements]]/'[1]1.) CLM Reference'!$B$5</f>
        <v>2.0868827133053942E-4</v>
      </c>
      <c r="P15">
        <f>VLOOKUP(Table32[[#This Row],[Census Tract]],'Population and Diversity Data'!$B$2:$K$823,10,FALSE)</f>
        <v>4</v>
      </c>
      <c r="Q15" t="str">
        <f>VLOOKUP(Table32[[#This Row],[Census Tract]],'ES Energy Burden'!$B$2:$E$914,4,FALSE)</f>
        <v>No</v>
      </c>
    </row>
    <row r="16" spans="1:17" x14ac:dyDescent="0.2">
      <c r="A16" s="100">
        <v>9005342100</v>
      </c>
      <c r="B16" s="38" t="s">
        <v>2739</v>
      </c>
      <c r="C16" s="38" t="s">
        <v>944</v>
      </c>
      <c r="D16" s="40">
        <f>[1]!Table32[[#This Row],[Residential CLM $ Collected]]+[1]!Table32[[#This Row],[C&amp;I CLM $ Collected]]</f>
        <v>1534.8291177600001</v>
      </c>
      <c r="E16" s="36">
        <f>[1]!Table32[[#This Row],[CLM $ Collected ]]/'[1]1.) CLM Reference'!$B$4</f>
        <v>1.3616453815658216E-5</v>
      </c>
      <c r="F16" s="37">
        <f>[1]!Table32[[#This Row],[Residential Incentive Disbursements]]+[1]!Table32[[#This Row],[C&amp;I Incentive Disbursements]]</f>
        <v>1450</v>
      </c>
      <c r="G16" s="36">
        <f>[1]!Table32[[#This Row],[Incentive Disbursements]]/'[1]1.) CLM Reference'!$B$5</f>
        <v>1.7740245522245699E-5</v>
      </c>
      <c r="H16" s="37">
        <v>0</v>
      </c>
      <c r="I16" s="36">
        <f>[1]!Table32[[#This Row],[Residential CLM $ Collected]]/'[1]1.) CLM Reference'!$B$4</f>
        <v>0</v>
      </c>
      <c r="J16" s="41">
        <v>0</v>
      </c>
      <c r="K16" s="36">
        <f>[1]!Table32[[#This Row],[Residential Incentive Disbursements]]/'[1]1.) CLM Reference'!$B$5</f>
        <v>0</v>
      </c>
      <c r="L16" s="37">
        <v>1534.8291177600001</v>
      </c>
      <c r="M16" s="36">
        <f>[1]!Table32[[#This Row],[C&amp;I CLM $ Collected]]/'[1]1.) CLM Reference'!$B$4</f>
        <v>1.3616453815658216E-5</v>
      </c>
      <c r="N16" s="41">
        <v>1450</v>
      </c>
      <c r="O16" s="39">
        <f>[1]!Table32[[#This Row],[C&amp;I Incentive Disbursements]]/'[1]1.) CLM Reference'!$B$5</f>
        <v>1.7740245522245699E-5</v>
      </c>
      <c r="P16">
        <f>VLOOKUP(Table32[[#This Row],[Census Tract]],'Population and Diversity Data'!$B$2:$K$823,10,FALSE)</f>
        <v>2</v>
      </c>
      <c r="Q16" t="str">
        <f>VLOOKUP(Table32[[#This Row],[Census Tract]],'ES Energy Burden'!$B$2:$E$914,4,FALSE)</f>
        <v>No</v>
      </c>
    </row>
    <row r="17" spans="1:17" x14ac:dyDescent="0.2">
      <c r="A17" s="100">
        <v>9003471300</v>
      </c>
      <c r="B17" s="38" t="s">
        <v>2740</v>
      </c>
      <c r="C17" s="38" t="s">
        <v>944</v>
      </c>
      <c r="D17" s="40">
        <f>[1]!Table32[[#This Row],[Residential CLM $ Collected]]+[1]!Table32[[#This Row],[C&amp;I CLM $ Collected]]</f>
        <v>37.731977280000002</v>
      </c>
      <c r="E17" s="36">
        <f>[1]!Table32[[#This Row],[CLM $ Collected ]]/'[1]1.) CLM Reference'!$B$4</f>
        <v>3.347445784429819E-7</v>
      </c>
      <c r="F17" s="37">
        <f>[1]!Table32[[#This Row],[Residential Incentive Disbursements]]+[1]!Table32[[#This Row],[C&amp;I Incentive Disbursements]]</f>
        <v>0</v>
      </c>
      <c r="G17" s="36">
        <f>[1]!Table32[[#This Row],[Incentive Disbursements]]/'[1]1.) CLM Reference'!$B$5</f>
        <v>0</v>
      </c>
      <c r="H17" s="37">
        <v>0</v>
      </c>
      <c r="I17" s="36">
        <f>[1]!Table32[[#This Row],[Residential CLM $ Collected]]/'[1]1.) CLM Reference'!$B$4</f>
        <v>0</v>
      </c>
      <c r="J17" s="41">
        <v>0</v>
      </c>
      <c r="K17" s="36">
        <f>[1]!Table32[[#This Row],[Residential Incentive Disbursements]]/'[1]1.) CLM Reference'!$B$5</f>
        <v>0</v>
      </c>
      <c r="L17" s="37">
        <v>37.731977280000002</v>
      </c>
      <c r="M17" s="36">
        <f>[1]!Table32[[#This Row],[C&amp;I CLM $ Collected]]/'[1]1.) CLM Reference'!$B$4</f>
        <v>3.347445784429819E-7</v>
      </c>
      <c r="N17" s="41">
        <v>0</v>
      </c>
      <c r="O17" s="39">
        <f>[1]!Table32[[#This Row],[C&amp;I Incentive Disbursements]]/'[1]1.) CLM Reference'!$B$5</f>
        <v>0</v>
      </c>
      <c r="P17">
        <f>VLOOKUP(Table32[[#This Row],[Census Tract]],'Population and Diversity Data'!$B$2:$K$823,10,FALSE)</f>
        <v>1</v>
      </c>
      <c r="Q17" t="str">
        <f>VLOOKUP(Table32[[#This Row],[Census Tract]],'ES Energy Burden'!$B$2:$E$914,4,FALSE)</f>
        <v>No</v>
      </c>
    </row>
    <row r="18" spans="1:17" x14ac:dyDescent="0.2">
      <c r="A18" s="100">
        <v>9003471400</v>
      </c>
      <c r="B18" s="38" t="s">
        <v>2740</v>
      </c>
      <c r="C18" s="38" t="s">
        <v>944</v>
      </c>
      <c r="D18" s="40">
        <f>[1]!Table32[[#This Row],[Residential CLM $ Collected]]+[1]!Table32[[#This Row],[C&amp;I CLM $ Collected]]</f>
        <v>947929.12726175995</v>
      </c>
      <c r="E18" s="36">
        <f>[1]!Table32[[#This Row],[CLM $ Collected ]]/'[1]1.) CLM Reference'!$B$4</f>
        <v>8.4096874580504768E-3</v>
      </c>
      <c r="F18" s="37">
        <f>[1]!Table32[[#This Row],[Residential Incentive Disbursements]]+[1]!Table32[[#This Row],[C&amp;I Incentive Disbursements]]</f>
        <v>451213.55450000003</v>
      </c>
      <c r="G18" s="36">
        <f>[1]!Table32[[#This Row],[Incentive Disbursements]]/'[1]1.) CLM Reference'!$B$5</f>
        <v>5.5204408550311654E-3</v>
      </c>
      <c r="H18" s="37">
        <v>0</v>
      </c>
      <c r="I18" s="36">
        <f>[1]!Table32[[#This Row],[Residential CLM $ Collected]]/'[1]1.) CLM Reference'!$B$4</f>
        <v>0</v>
      </c>
      <c r="J18" s="41">
        <v>0</v>
      </c>
      <c r="K18" s="36">
        <f>[1]!Table32[[#This Row],[Residential Incentive Disbursements]]/'[1]1.) CLM Reference'!$B$5</f>
        <v>0</v>
      </c>
      <c r="L18" s="37">
        <v>947929.12726175995</v>
      </c>
      <c r="M18" s="36">
        <f>[1]!Table32[[#This Row],[C&amp;I CLM $ Collected]]/'[1]1.) CLM Reference'!$B$4</f>
        <v>8.4096874580504768E-3</v>
      </c>
      <c r="N18" s="41">
        <v>451213.55450000003</v>
      </c>
      <c r="O18" s="39">
        <f>[1]!Table32[[#This Row],[C&amp;I Incentive Disbursements]]/'[1]1.) CLM Reference'!$B$5</f>
        <v>5.5204408550311654E-3</v>
      </c>
      <c r="P18">
        <f>VLOOKUP(Table32[[#This Row],[Census Tract]],'Population and Diversity Data'!$B$2:$K$823,10,FALSE)</f>
        <v>2</v>
      </c>
      <c r="Q18" t="str">
        <f>VLOOKUP(Table32[[#This Row],[Census Tract]],'ES Energy Burden'!$B$2:$E$914,4,FALSE)</f>
        <v>No</v>
      </c>
    </row>
    <row r="19" spans="1:17" x14ac:dyDescent="0.2">
      <c r="A19" s="100">
        <v>9013529100</v>
      </c>
      <c r="B19" s="38" t="s">
        <v>2741</v>
      </c>
      <c r="C19" s="38" t="s">
        <v>944</v>
      </c>
      <c r="D19" s="40">
        <f>[1]!Table32[[#This Row],[Residential CLM $ Collected]]+[1]!Table32[[#This Row],[C&amp;I CLM $ Collected]]</f>
        <v>23433.011458560002</v>
      </c>
      <c r="E19" s="36">
        <f>[1]!Table32[[#This Row],[CLM $ Collected ]]/'[1]1.) CLM Reference'!$B$4</f>
        <v>2.0788927874455755E-4</v>
      </c>
      <c r="F19" s="37">
        <f>[1]!Table32[[#This Row],[Residential Incentive Disbursements]]+[1]!Table32[[#This Row],[C&amp;I Incentive Disbursements]]</f>
        <v>0</v>
      </c>
      <c r="G19" s="36">
        <f>[1]!Table32[[#This Row],[Incentive Disbursements]]/'[1]1.) CLM Reference'!$B$5</f>
        <v>0</v>
      </c>
      <c r="H19" s="37">
        <v>0</v>
      </c>
      <c r="I19" s="36">
        <f>[1]!Table32[[#This Row],[Residential CLM $ Collected]]/'[1]1.) CLM Reference'!$B$4</f>
        <v>0</v>
      </c>
      <c r="J19" s="41">
        <v>0</v>
      </c>
      <c r="K19" s="36">
        <f>[1]!Table32[[#This Row],[Residential Incentive Disbursements]]/'[1]1.) CLM Reference'!$B$5</f>
        <v>0</v>
      </c>
      <c r="L19" s="37">
        <v>23433.011458560002</v>
      </c>
      <c r="M19" s="36">
        <f>[1]!Table32[[#This Row],[C&amp;I CLM $ Collected]]/'[1]1.) CLM Reference'!$B$4</f>
        <v>2.0788927874455755E-4</v>
      </c>
      <c r="N19" s="41">
        <v>0</v>
      </c>
      <c r="O19" s="39">
        <f>[1]!Table32[[#This Row],[C&amp;I Incentive Disbursements]]/'[1]1.) CLM Reference'!$B$5</f>
        <v>0</v>
      </c>
      <c r="P19">
        <f>VLOOKUP(Table32[[#This Row],[Census Tract]],'Population and Diversity Data'!$B$2:$K$823,10,FALSE)</f>
        <v>2</v>
      </c>
      <c r="Q19" t="str">
        <f>VLOOKUP(Table32[[#This Row],[Census Tract]],'ES Energy Burden'!$B$2:$E$914,4,FALSE)</f>
        <v>No</v>
      </c>
    </row>
    <row r="20" spans="1:17" x14ac:dyDescent="0.2">
      <c r="A20" s="100">
        <v>9009184200</v>
      </c>
      <c r="B20" s="38" t="s">
        <v>2742</v>
      </c>
      <c r="C20" s="38" t="s">
        <v>944</v>
      </c>
      <c r="D20" s="40">
        <f>[1]!Table32[[#This Row],[Residential CLM $ Collected]]+[1]!Table32[[#This Row],[C&amp;I CLM $ Collected]]</f>
        <v>1.8472060800000001</v>
      </c>
      <c r="E20" s="36">
        <f>[1]!Table32[[#This Row],[CLM $ Collected ]]/'[1]1.) CLM Reference'!$B$4</f>
        <v>1.6387750261756574E-8</v>
      </c>
      <c r="F20" s="37">
        <f>[1]!Table32[[#This Row],[Residential Incentive Disbursements]]+[1]!Table32[[#This Row],[C&amp;I Incentive Disbursements]]</f>
        <v>0</v>
      </c>
      <c r="G20" s="36">
        <f>[1]!Table32[[#This Row],[Incentive Disbursements]]/'[1]1.) CLM Reference'!$B$5</f>
        <v>0</v>
      </c>
      <c r="H20" s="37">
        <v>0</v>
      </c>
      <c r="I20" s="36">
        <f>[1]!Table32[[#This Row],[Residential CLM $ Collected]]/'[1]1.) CLM Reference'!$B$4</f>
        <v>0</v>
      </c>
      <c r="J20" s="41">
        <v>0</v>
      </c>
      <c r="K20" s="36">
        <f>[1]!Table32[[#This Row],[Residential Incentive Disbursements]]/'[1]1.) CLM Reference'!$B$5</f>
        <v>0</v>
      </c>
      <c r="L20" s="37">
        <v>1.8472060800000001</v>
      </c>
      <c r="M20" s="36">
        <f>[1]!Table32[[#This Row],[C&amp;I CLM $ Collected]]/'[1]1.) CLM Reference'!$B$4</f>
        <v>1.6387750261756574E-8</v>
      </c>
      <c r="N20" s="41">
        <v>0</v>
      </c>
      <c r="O20" s="39">
        <f>[1]!Table32[[#This Row],[C&amp;I Incentive Disbursements]]/'[1]1.) CLM Reference'!$B$5</f>
        <v>0</v>
      </c>
      <c r="P20">
        <f>VLOOKUP(Table32[[#This Row],[Census Tract]],'Population and Diversity Data'!$B$2:$K$823,10,FALSE)</f>
        <v>5</v>
      </c>
      <c r="Q20" t="str">
        <f>VLOOKUP(Table32[[#This Row],[Census Tract]],'ES Energy Burden'!$B$2:$E$914,4,FALSE)</f>
        <v>No</v>
      </c>
    </row>
    <row r="21" spans="1:17" x14ac:dyDescent="0.2">
      <c r="A21" s="100">
        <v>9009184300</v>
      </c>
      <c r="B21" s="38" t="s">
        <v>2742</v>
      </c>
      <c r="C21" s="38" t="s">
        <v>944</v>
      </c>
      <c r="D21" s="40">
        <f>[1]!Table32[[#This Row],[Residential CLM $ Collected]]+[1]!Table32[[#This Row],[C&amp;I CLM $ Collected]]</f>
        <v>7.3506182400000002</v>
      </c>
      <c r="E21" s="36">
        <f>[1]!Table32[[#This Row],[CLM $ Collected ]]/'[1]1.) CLM Reference'!$B$4</f>
        <v>6.52120503991805E-8</v>
      </c>
      <c r="F21" s="37">
        <f>[1]!Table32[[#This Row],[Residential Incentive Disbursements]]+[1]!Table32[[#This Row],[C&amp;I Incentive Disbursements]]</f>
        <v>0</v>
      </c>
      <c r="G21" s="36">
        <f>[1]!Table32[[#This Row],[Incentive Disbursements]]/'[1]1.) CLM Reference'!$B$5</f>
        <v>0</v>
      </c>
      <c r="H21" s="37">
        <v>0</v>
      </c>
      <c r="I21" s="36">
        <f>[1]!Table32[[#This Row],[Residential CLM $ Collected]]/'[1]1.) CLM Reference'!$B$4</f>
        <v>0</v>
      </c>
      <c r="J21" s="41">
        <v>0</v>
      </c>
      <c r="K21" s="36">
        <f>[1]!Table32[[#This Row],[Residential Incentive Disbursements]]/'[1]1.) CLM Reference'!$B$5</f>
        <v>0</v>
      </c>
      <c r="L21" s="37">
        <v>7.3506182400000002</v>
      </c>
      <c r="M21" s="36">
        <f>[1]!Table32[[#This Row],[C&amp;I CLM $ Collected]]/'[1]1.) CLM Reference'!$B$4</f>
        <v>6.52120503991805E-8</v>
      </c>
      <c r="N21" s="41">
        <v>0</v>
      </c>
      <c r="O21" s="39">
        <f>[1]!Table32[[#This Row],[C&amp;I Incentive Disbursements]]/'[1]1.) CLM Reference'!$B$5</f>
        <v>0</v>
      </c>
      <c r="P21">
        <f>VLOOKUP(Table32[[#This Row],[Census Tract]],'Population and Diversity Data'!$B$2:$K$823,10,FALSE)</f>
        <v>2</v>
      </c>
      <c r="Q21" t="str">
        <f>VLOOKUP(Table32[[#This Row],[Census Tract]],'ES Energy Burden'!$B$2:$E$914,4,FALSE)</f>
        <v>No</v>
      </c>
    </row>
    <row r="22" spans="1:17" x14ac:dyDescent="0.2">
      <c r="A22" s="100">
        <v>9009184700</v>
      </c>
      <c r="B22" s="38" t="s">
        <v>2742</v>
      </c>
      <c r="C22" s="38" t="s">
        <v>944</v>
      </c>
      <c r="D22" s="40">
        <f>[1]!Table32[[#This Row],[Residential CLM $ Collected]]+[1]!Table32[[#This Row],[C&amp;I CLM $ Collected]]</f>
        <v>445456.40151455998</v>
      </c>
      <c r="E22" s="36">
        <f>[1]!Table32[[#This Row],[CLM $ Collected ]]/'[1]1.) CLM Reference'!$B$4</f>
        <v>3.9519295326926225E-3</v>
      </c>
      <c r="F22" s="37">
        <f>[1]!Table32[[#This Row],[Residential Incentive Disbursements]]+[1]!Table32[[#This Row],[C&amp;I Incentive Disbursements]]</f>
        <v>360070.35019999999</v>
      </c>
      <c r="G22" s="36">
        <f>[1]!Table32[[#This Row],[Incentive Disbursements]]/'[1]1.) CLM Reference'!$B$5</f>
        <v>4.4053354605717169E-3</v>
      </c>
      <c r="H22" s="37">
        <v>0</v>
      </c>
      <c r="I22" s="36">
        <f>[1]!Table32[[#This Row],[Residential CLM $ Collected]]/'[1]1.) CLM Reference'!$B$4</f>
        <v>0</v>
      </c>
      <c r="J22" s="41">
        <v>0</v>
      </c>
      <c r="K22" s="36">
        <f>[1]!Table32[[#This Row],[Residential Incentive Disbursements]]/'[1]1.) CLM Reference'!$B$5</f>
        <v>0</v>
      </c>
      <c r="L22" s="37">
        <v>445456.40151455998</v>
      </c>
      <c r="M22" s="36">
        <f>[1]!Table32[[#This Row],[C&amp;I CLM $ Collected]]/'[1]1.) CLM Reference'!$B$4</f>
        <v>3.9519295326926225E-3</v>
      </c>
      <c r="N22" s="41">
        <v>360070.35019999999</v>
      </c>
      <c r="O22" s="39">
        <f>[1]!Table32[[#This Row],[C&amp;I Incentive Disbursements]]/'[1]1.) CLM Reference'!$B$5</f>
        <v>4.4053354605717169E-3</v>
      </c>
      <c r="P22">
        <f>VLOOKUP(Table32[[#This Row],[Census Tract]],'Population and Diversity Data'!$B$2:$K$823,10,FALSE)</f>
        <v>4</v>
      </c>
      <c r="Q22" t="str">
        <f>VLOOKUP(Table32[[#This Row],[Census Tract]],'ES Energy Burden'!$B$2:$E$914,4,FALSE)</f>
        <v>No</v>
      </c>
    </row>
    <row r="23" spans="1:17" x14ac:dyDescent="0.2">
      <c r="A23" s="100">
        <v>9005250100</v>
      </c>
      <c r="B23" s="38" t="s">
        <v>2743</v>
      </c>
      <c r="C23" s="38" t="s">
        <v>944</v>
      </c>
      <c r="D23" s="40">
        <f>[1]!Table32[[#This Row],[Residential CLM $ Collected]]+[1]!Table32[[#This Row],[C&amp;I CLM $ Collected]]</f>
        <v>307.45995551999999</v>
      </c>
      <c r="E23" s="36">
        <f>[1]!Table32[[#This Row],[CLM $ Collected ]]/'[1]1.) CLM Reference'!$B$4</f>
        <v>2.7276745248437817E-6</v>
      </c>
      <c r="F23" s="37">
        <f>[1]!Table32[[#This Row],[Residential Incentive Disbursements]]+[1]!Table32[[#This Row],[C&amp;I Incentive Disbursements]]</f>
        <v>0</v>
      </c>
      <c r="G23" s="36">
        <f>[1]!Table32[[#This Row],[Incentive Disbursements]]/'[1]1.) CLM Reference'!$B$5</f>
        <v>0</v>
      </c>
      <c r="H23" s="37">
        <v>0</v>
      </c>
      <c r="I23" s="36">
        <f>[1]!Table32[[#This Row],[Residential CLM $ Collected]]/'[1]1.) CLM Reference'!$B$4</f>
        <v>0</v>
      </c>
      <c r="J23" s="41">
        <v>0</v>
      </c>
      <c r="K23" s="36">
        <f>[1]!Table32[[#This Row],[Residential Incentive Disbursements]]/'[1]1.) CLM Reference'!$B$5</f>
        <v>0</v>
      </c>
      <c r="L23" s="37">
        <v>307.45995551999999</v>
      </c>
      <c r="M23" s="36">
        <f>[1]!Table32[[#This Row],[C&amp;I CLM $ Collected]]/'[1]1.) CLM Reference'!$B$4</f>
        <v>2.7276745248437817E-6</v>
      </c>
      <c r="N23" s="41">
        <v>0</v>
      </c>
      <c r="O23" s="39">
        <f>[1]!Table32[[#This Row],[C&amp;I Incentive Disbursements]]/'[1]1.) CLM Reference'!$B$5</f>
        <v>0</v>
      </c>
      <c r="P23">
        <f>VLOOKUP(Table32[[#This Row],[Census Tract]],'Population and Diversity Data'!$B$2:$K$823,10,FALSE)</f>
        <v>2</v>
      </c>
      <c r="Q23" t="str">
        <f>VLOOKUP(Table32[[#This Row],[Census Tract]],'ES Energy Burden'!$B$2:$E$914,4,FALSE)</f>
        <v>No</v>
      </c>
    </row>
    <row r="24" spans="1:17" x14ac:dyDescent="0.2">
      <c r="A24" s="100">
        <v>9003405402</v>
      </c>
      <c r="B24" s="38" t="s">
        <v>2744</v>
      </c>
      <c r="C24" s="38" t="s">
        <v>944</v>
      </c>
      <c r="D24" s="40">
        <f>[1]!Table32[[#This Row],[Residential CLM $ Collected]]+[1]!Table32[[#This Row],[C&amp;I CLM $ Collected]]</f>
        <v>3.6139478399999998</v>
      </c>
      <c r="E24" s="36">
        <f>[1]!Table32[[#This Row],[CLM $ Collected ]]/'[1]1.) CLM Reference'!$B$4</f>
        <v>3.2061649916686396E-8</v>
      </c>
      <c r="F24" s="37">
        <f>[1]!Table32[[#This Row],[Residential Incentive Disbursements]]+[1]!Table32[[#This Row],[C&amp;I Incentive Disbursements]]</f>
        <v>0</v>
      </c>
      <c r="G24" s="36">
        <f>[1]!Table32[[#This Row],[Incentive Disbursements]]/'[1]1.) CLM Reference'!$B$5</f>
        <v>0</v>
      </c>
      <c r="H24" s="37">
        <v>0</v>
      </c>
      <c r="I24" s="36">
        <f>[1]!Table32[[#This Row],[Residential CLM $ Collected]]/'[1]1.) CLM Reference'!$B$4</f>
        <v>0</v>
      </c>
      <c r="J24" s="41">
        <v>0</v>
      </c>
      <c r="K24" s="36">
        <f>[1]!Table32[[#This Row],[Residential Incentive Disbursements]]/'[1]1.) CLM Reference'!$B$5</f>
        <v>0</v>
      </c>
      <c r="L24" s="37">
        <v>3.6139478399999998</v>
      </c>
      <c r="M24" s="36">
        <f>[1]!Table32[[#This Row],[C&amp;I CLM $ Collected]]/'[1]1.) CLM Reference'!$B$4</f>
        <v>3.2061649916686396E-8</v>
      </c>
      <c r="N24" s="41">
        <v>0</v>
      </c>
      <c r="O24" s="39">
        <f>[1]!Table32[[#This Row],[C&amp;I Incentive Disbursements]]/'[1]1.) CLM Reference'!$B$5</f>
        <v>0</v>
      </c>
      <c r="P24">
        <f>VLOOKUP(Table32[[#This Row],[Census Tract]],'Population and Diversity Data'!$B$2:$K$823,10,FALSE)</f>
        <v>5</v>
      </c>
      <c r="Q24" t="str">
        <f>VLOOKUP(Table32[[#This Row],[Census Tract]],'ES Energy Burden'!$B$2:$E$914,4,FALSE)</f>
        <v>No</v>
      </c>
    </row>
    <row r="25" spans="1:17" x14ac:dyDescent="0.2">
      <c r="A25" s="100">
        <v>9003405800</v>
      </c>
      <c r="B25" s="38" t="s">
        <v>2744</v>
      </c>
      <c r="C25" s="38" t="s">
        <v>944</v>
      </c>
      <c r="D25" s="40">
        <f>[1]!Table32[[#This Row],[Residential CLM $ Collected]]+[1]!Table32[[#This Row],[C&amp;I CLM $ Collected]]</f>
        <v>1086518.5802438401</v>
      </c>
      <c r="E25" s="36">
        <f>[1]!Table32[[#This Row],[CLM $ Collected ]]/'[1]1.) CLM Reference'!$B$4</f>
        <v>9.6392034113456215E-3</v>
      </c>
      <c r="F25" s="37">
        <f>[1]!Table32[[#This Row],[Residential Incentive Disbursements]]+[1]!Table32[[#This Row],[C&amp;I Incentive Disbursements]]</f>
        <v>442381.23989999999</v>
      </c>
      <c r="G25" s="36">
        <f>[1]!Table32[[#This Row],[Incentive Disbursements]]/'[1]1.) CLM Reference'!$B$5</f>
        <v>5.4123805588010164E-3</v>
      </c>
      <c r="H25" s="37">
        <v>0</v>
      </c>
      <c r="I25" s="36">
        <f>[1]!Table32[[#This Row],[Residential CLM $ Collected]]/'[1]1.) CLM Reference'!$B$4</f>
        <v>0</v>
      </c>
      <c r="J25" s="41">
        <v>0</v>
      </c>
      <c r="K25" s="36">
        <f>[1]!Table32[[#This Row],[Residential Incentive Disbursements]]/'[1]1.) CLM Reference'!$B$5</f>
        <v>0</v>
      </c>
      <c r="L25" s="37">
        <v>1086518.5802438401</v>
      </c>
      <c r="M25" s="36">
        <f>[1]!Table32[[#This Row],[C&amp;I CLM $ Collected]]/'[1]1.) CLM Reference'!$B$4</f>
        <v>9.6392034113456215E-3</v>
      </c>
      <c r="N25" s="41">
        <v>442381.23989999999</v>
      </c>
      <c r="O25" s="39">
        <f>[1]!Table32[[#This Row],[C&amp;I Incentive Disbursements]]/'[1]1.) CLM Reference'!$B$5</f>
        <v>5.4123805588010164E-3</v>
      </c>
      <c r="P25">
        <f>VLOOKUP(Table32[[#This Row],[Census Tract]],'Population and Diversity Data'!$B$2:$K$823,10,FALSE)</f>
        <v>2</v>
      </c>
      <c r="Q25" t="str">
        <f>VLOOKUP(Table32[[#This Row],[Census Tract]],'ES Energy Burden'!$B$2:$E$914,4,FALSE)</f>
        <v>No</v>
      </c>
    </row>
    <row r="26" spans="1:17" x14ac:dyDescent="0.2">
      <c r="A26" s="100">
        <v>9001205200</v>
      </c>
      <c r="B26" s="38" t="s">
        <v>2745</v>
      </c>
      <c r="C26" s="38" t="s">
        <v>944</v>
      </c>
      <c r="D26" s="40">
        <f>[1]!Table32[[#This Row],[Residential CLM $ Collected]]+[1]!Table32[[#This Row],[C&amp;I CLM $ Collected]]</f>
        <v>182422.80751680001</v>
      </c>
      <c r="E26" s="36">
        <f>[1]!Table32[[#This Row],[CLM $ Collected ]]/'[1]1.) CLM Reference'!$B$4</f>
        <v>1.6183897638718297E-3</v>
      </c>
      <c r="F26" s="37">
        <f>[1]!Table32[[#This Row],[Residential Incentive Disbursements]]+[1]!Table32[[#This Row],[C&amp;I Incentive Disbursements]]</f>
        <v>253094.86</v>
      </c>
      <c r="G26" s="36">
        <f>[1]!Table32[[#This Row],[Incentive Disbursements]]/'[1]1.) CLM Reference'!$B$5</f>
        <v>3.0965275564264838E-3</v>
      </c>
      <c r="H26" s="37">
        <v>0</v>
      </c>
      <c r="I26" s="36">
        <f>[1]!Table32[[#This Row],[Residential CLM $ Collected]]/'[1]1.) CLM Reference'!$B$4</f>
        <v>0</v>
      </c>
      <c r="J26" s="41">
        <v>0</v>
      </c>
      <c r="K26" s="36">
        <f>[1]!Table32[[#This Row],[Residential Incentive Disbursements]]/'[1]1.) CLM Reference'!$B$5</f>
        <v>0</v>
      </c>
      <c r="L26" s="37">
        <v>182422.80751680001</v>
      </c>
      <c r="M26" s="36">
        <f>[1]!Table32[[#This Row],[C&amp;I CLM $ Collected]]/'[1]1.) CLM Reference'!$B$4</f>
        <v>1.6183897638718297E-3</v>
      </c>
      <c r="N26" s="41">
        <v>253094.86</v>
      </c>
      <c r="O26" s="39">
        <f>[1]!Table32[[#This Row],[C&amp;I Incentive Disbursements]]/'[1]1.) CLM Reference'!$B$5</f>
        <v>3.0965275564264838E-3</v>
      </c>
      <c r="P26">
        <f>VLOOKUP(Table32[[#This Row],[Census Tract]],'Population and Diversity Data'!$B$2:$K$823,10,FALSE)</f>
        <v>1</v>
      </c>
      <c r="Q26" t="str">
        <f>VLOOKUP(Table32[[#This Row],[Census Tract]],'ES Energy Burden'!$B$2:$E$914,4,FALSE)</f>
        <v>No</v>
      </c>
    </row>
    <row r="27" spans="1:17" x14ac:dyDescent="0.2">
      <c r="A27" s="100">
        <v>9005253400</v>
      </c>
      <c r="B27" s="38" t="s">
        <v>2745</v>
      </c>
      <c r="C27" s="38" t="s">
        <v>944</v>
      </c>
      <c r="D27" s="40">
        <f>[1]!Table32[[#This Row],[Residential CLM $ Collected]]+[1]!Table32[[#This Row],[C&amp;I CLM $ Collected]]</f>
        <v>23.6501424</v>
      </c>
      <c r="E27" s="36">
        <f>[1]!Table32[[#This Row],[CLM $ Collected ]]/'[1]1.) CLM Reference'!$B$4</f>
        <v>2.0981558663242395E-7</v>
      </c>
      <c r="F27" s="37">
        <f>[1]!Table32[[#This Row],[Residential Incentive Disbursements]]+[1]!Table32[[#This Row],[C&amp;I Incentive Disbursements]]</f>
        <v>0</v>
      </c>
      <c r="G27" s="36">
        <f>[1]!Table32[[#This Row],[Incentive Disbursements]]/'[1]1.) CLM Reference'!$B$5</f>
        <v>0</v>
      </c>
      <c r="H27" s="37">
        <v>0</v>
      </c>
      <c r="I27" s="36">
        <f>[1]!Table32[[#This Row],[Residential CLM $ Collected]]/'[1]1.) CLM Reference'!$B$4</f>
        <v>0</v>
      </c>
      <c r="J27" s="41">
        <v>0</v>
      </c>
      <c r="K27" s="36">
        <f>[1]!Table32[[#This Row],[Residential Incentive Disbursements]]/'[1]1.) CLM Reference'!$B$5</f>
        <v>0</v>
      </c>
      <c r="L27" s="37">
        <v>23.6501424</v>
      </c>
      <c r="M27" s="36">
        <f>[1]!Table32[[#This Row],[C&amp;I CLM $ Collected]]/'[1]1.) CLM Reference'!$B$4</f>
        <v>2.0981558663242395E-7</v>
      </c>
      <c r="N27" s="41">
        <v>0</v>
      </c>
      <c r="O27" s="39">
        <f>[1]!Table32[[#This Row],[C&amp;I Incentive Disbursements]]/'[1]1.) CLM Reference'!$B$5</f>
        <v>0</v>
      </c>
      <c r="P27">
        <f>VLOOKUP(Table32[[#This Row],[Census Tract]],'Population and Diversity Data'!$B$2:$K$823,10,FALSE)</f>
        <v>2</v>
      </c>
      <c r="Q27" t="str">
        <f>VLOOKUP(Table32[[#This Row],[Census Tract]],'ES Energy Burden'!$B$2:$E$914,4,FALSE)</f>
        <v>No</v>
      </c>
    </row>
    <row r="28" spans="1:17" x14ac:dyDescent="0.2">
      <c r="A28" s="100">
        <v>9015905100</v>
      </c>
      <c r="B28" s="38" t="s">
        <v>2746</v>
      </c>
      <c r="C28" s="38" t="s">
        <v>944</v>
      </c>
      <c r="D28" s="40">
        <f>[1]!Table32[[#This Row],[Residential CLM $ Collected]]+[1]!Table32[[#This Row],[C&amp;I CLM $ Collected]]</f>
        <v>39532.551681600002</v>
      </c>
      <c r="E28" s="36">
        <f>[1]!Table32[[#This Row],[CLM $ Collected ]]/'[1]1.) CLM Reference'!$B$4</f>
        <v>3.5071862916781092E-4</v>
      </c>
      <c r="F28" s="37">
        <f>[1]!Table32[[#This Row],[Residential Incentive Disbursements]]+[1]!Table32[[#This Row],[C&amp;I Incentive Disbursements]]</f>
        <v>98796.69</v>
      </c>
      <c r="G28" s="36">
        <f>[1]!Table32[[#This Row],[Incentive Disbursements]]/'[1]1.) CLM Reference'!$B$5</f>
        <v>1.2087431292311698E-3</v>
      </c>
      <c r="H28" s="37">
        <v>0</v>
      </c>
      <c r="I28" s="36">
        <f>[1]!Table32[[#This Row],[Residential CLM $ Collected]]/'[1]1.) CLM Reference'!$B$4</f>
        <v>0</v>
      </c>
      <c r="J28" s="41">
        <v>0</v>
      </c>
      <c r="K28" s="36">
        <f>[1]!Table32[[#This Row],[Residential Incentive Disbursements]]/'[1]1.) CLM Reference'!$B$5</f>
        <v>0</v>
      </c>
      <c r="L28" s="37">
        <v>39532.551681600002</v>
      </c>
      <c r="M28" s="36">
        <f>[1]!Table32[[#This Row],[C&amp;I CLM $ Collected]]/'[1]1.) CLM Reference'!$B$4</f>
        <v>3.5071862916781092E-4</v>
      </c>
      <c r="N28" s="41">
        <v>98796.69</v>
      </c>
      <c r="O28" s="39">
        <f>[1]!Table32[[#This Row],[C&amp;I Incentive Disbursements]]/'[1]1.) CLM Reference'!$B$5</f>
        <v>1.2087431292311698E-3</v>
      </c>
      <c r="P28">
        <f>VLOOKUP(Table32[[#This Row],[Census Tract]],'Population and Diversity Data'!$B$2:$K$823,10,FALSE)</f>
        <v>4</v>
      </c>
      <c r="Q28" t="str">
        <f>VLOOKUP(Table32[[#This Row],[Census Tract]],'ES Energy Burden'!$B$2:$E$914,4,FALSE)</f>
        <v>No</v>
      </c>
    </row>
    <row r="29" spans="1:17" x14ac:dyDescent="0.2">
      <c r="A29" s="100">
        <v>9003410101</v>
      </c>
      <c r="B29" s="38" t="s">
        <v>2747</v>
      </c>
      <c r="C29" s="38" t="s">
        <v>944</v>
      </c>
      <c r="D29" s="40">
        <f>[1]!Table32[[#This Row],[Residential CLM $ Collected]]+[1]!Table32[[#This Row],[C&amp;I CLM $ Collected]]</f>
        <v>16773.90069024</v>
      </c>
      <c r="E29" s="36">
        <f>[1]!Table32[[#This Row],[CLM $ Collected ]]/'[1]1.) CLM Reference'!$B$4</f>
        <v>1.4881203478236675E-4</v>
      </c>
      <c r="F29" s="37">
        <f>[1]!Table32[[#This Row],[Residential Incentive Disbursements]]+[1]!Table32[[#This Row],[C&amp;I Incentive Disbursements]]</f>
        <v>5950</v>
      </c>
      <c r="G29" s="36">
        <f>[1]!Table32[[#This Row],[Incentive Disbursements]]/'[1]1.) CLM Reference'!$B$5</f>
        <v>7.2796179901628898E-5</v>
      </c>
      <c r="H29" s="37">
        <v>0</v>
      </c>
      <c r="I29" s="36">
        <f>[1]!Table32[[#This Row],[Residential CLM $ Collected]]/'[1]1.) CLM Reference'!$B$4</f>
        <v>0</v>
      </c>
      <c r="J29" s="41">
        <v>0</v>
      </c>
      <c r="K29" s="36">
        <f>[1]!Table32[[#This Row],[Residential Incentive Disbursements]]/'[1]1.) CLM Reference'!$B$5</f>
        <v>0</v>
      </c>
      <c r="L29" s="37">
        <v>16773.90069024</v>
      </c>
      <c r="M29" s="36">
        <f>[1]!Table32[[#This Row],[C&amp;I CLM $ Collected]]/'[1]1.) CLM Reference'!$B$4</f>
        <v>1.4881203478236675E-4</v>
      </c>
      <c r="N29" s="41">
        <v>5950</v>
      </c>
      <c r="O29" s="39">
        <f>[1]!Table32[[#This Row],[C&amp;I Incentive Disbursements]]/'[1]1.) CLM Reference'!$B$5</f>
        <v>7.2796179901628898E-5</v>
      </c>
      <c r="P29">
        <f>VLOOKUP(Table32[[#This Row],[Census Tract]],'Population and Diversity Data'!$B$2:$K$823,10,FALSE)</f>
        <v>1</v>
      </c>
      <c r="Q29" t="str">
        <f>VLOOKUP(Table32[[#This Row],[Census Tract]],'ES Energy Burden'!$B$2:$E$914,4,FALSE)</f>
        <v>No</v>
      </c>
    </row>
    <row r="30" spans="1:17" x14ac:dyDescent="0.2">
      <c r="A30" s="100">
        <v>9005425600</v>
      </c>
      <c r="B30" s="38" t="s">
        <v>2748</v>
      </c>
      <c r="C30" s="38" t="s">
        <v>944</v>
      </c>
      <c r="D30" s="40">
        <f>[1]!Table32[[#This Row],[Residential CLM $ Collected]]+[1]!Table32[[#This Row],[C&amp;I CLM $ Collected]]</f>
        <v>28079.472821760002</v>
      </c>
      <c r="E30" s="36">
        <f>[1]!Table32[[#This Row],[CLM $ Collected ]]/'[1]1.) CLM Reference'!$B$4</f>
        <v>2.4911101856311783E-4</v>
      </c>
      <c r="F30" s="37">
        <f>[1]!Table32[[#This Row],[Residential Incentive Disbursements]]+[1]!Table32[[#This Row],[C&amp;I Incentive Disbursements]]</f>
        <v>50</v>
      </c>
      <c r="G30" s="36">
        <f>[1]!Table32[[#This Row],[Incentive Disbursements]]/'[1]1.) CLM Reference'!$B$5</f>
        <v>6.1173260421536883E-7</v>
      </c>
      <c r="H30" s="37">
        <v>0</v>
      </c>
      <c r="I30" s="36">
        <f>[1]!Table32[[#This Row],[Residential CLM $ Collected]]/'[1]1.) CLM Reference'!$B$4</f>
        <v>0</v>
      </c>
      <c r="J30" s="41">
        <v>0</v>
      </c>
      <c r="K30" s="36">
        <f>[1]!Table32[[#This Row],[Residential Incentive Disbursements]]/'[1]1.) CLM Reference'!$B$5</f>
        <v>0</v>
      </c>
      <c r="L30" s="37">
        <v>28079.472821760002</v>
      </c>
      <c r="M30" s="36">
        <f>[1]!Table32[[#This Row],[C&amp;I CLM $ Collected]]/'[1]1.) CLM Reference'!$B$4</f>
        <v>2.4911101856311783E-4</v>
      </c>
      <c r="N30" s="41">
        <v>50</v>
      </c>
      <c r="O30" s="39">
        <f>[1]!Table32[[#This Row],[C&amp;I Incentive Disbursements]]/'[1]1.) CLM Reference'!$B$5</f>
        <v>6.1173260421536883E-7</v>
      </c>
      <c r="P30">
        <f>VLOOKUP(Table32[[#This Row],[Census Tract]],'Population and Diversity Data'!$B$2:$K$823,10,FALSE)</f>
        <v>1</v>
      </c>
      <c r="Q30" t="str">
        <f>VLOOKUP(Table32[[#This Row],[Census Tract]],'ES Energy Burden'!$B$2:$E$914,4,FALSE)</f>
        <v>No</v>
      </c>
    </row>
    <row r="31" spans="1:17" x14ac:dyDescent="0.2">
      <c r="A31" s="100">
        <v>9015906100</v>
      </c>
      <c r="B31" s="38" t="s">
        <v>2749</v>
      </c>
      <c r="C31" s="38" t="s">
        <v>944</v>
      </c>
      <c r="D31" s="40">
        <f>[1]!Table32[[#This Row],[Residential CLM $ Collected]]+[1]!Table32[[#This Row],[C&amp;I CLM $ Collected]]</f>
        <v>5889.9019708800006</v>
      </c>
      <c r="E31" s="36">
        <f>[1]!Table32[[#This Row],[CLM $ Collected ]]/'[1]1.) CLM Reference'!$B$4</f>
        <v>5.2253099212952614E-5</v>
      </c>
      <c r="F31" s="37">
        <f>[1]!Table32[[#This Row],[Residential Incentive Disbursements]]+[1]!Table32[[#This Row],[C&amp;I Incentive Disbursements]]</f>
        <v>6525.37</v>
      </c>
      <c r="G31" s="36">
        <f>[1]!Table32[[#This Row],[Incentive Disbursements]]/'[1]1.) CLM Reference'!$B$5</f>
        <v>7.9835631671376823E-5</v>
      </c>
      <c r="H31" s="37">
        <v>0</v>
      </c>
      <c r="I31" s="36">
        <f>[1]!Table32[[#This Row],[Residential CLM $ Collected]]/'[1]1.) CLM Reference'!$B$4</f>
        <v>0</v>
      </c>
      <c r="J31" s="41">
        <v>0</v>
      </c>
      <c r="K31" s="36">
        <f>[1]!Table32[[#This Row],[Residential Incentive Disbursements]]/'[1]1.) CLM Reference'!$B$5</f>
        <v>0</v>
      </c>
      <c r="L31" s="37">
        <v>5889.9019708800006</v>
      </c>
      <c r="M31" s="36">
        <f>[1]!Table32[[#This Row],[C&amp;I CLM $ Collected]]/'[1]1.) CLM Reference'!$B$4</f>
        <v>5.2253099212952614E-5</v>
      </c>
      <c r="N31" s="41">
        <v>6525.37</v>
      </c>
      <c r="O31" s="39">
        <f>[1]!Table32[[#This Row],[C&amp;I Incentive Disbursements]]/'[1]1.) CLM Reference'!$B$5</f>
        <v>7.9835631671376823E-5</v>
      </c>
      <c r="P31">
        <f>VLOOKUP(Table32[[#This Row],[Census Tract]],'Population and Diversity Data'!$B$2:$K$823,10,FALSE)</f>
        <v>1</v>
      </c>
      <c r="Q31" t="str">
        <f>VLOOKUP(Table32[[#This Row],[Census Tract]],'ES Energy Burden'!$B$2:$E$914,4,FALSE)</f>
        <v>No</v>
      </c>
    </row>
    <row r="32" spans="1:17" x14ac:dyDescent="0.2">
      <c r="A32" s="100">
        <v>9003464101</v>
      </c>
      <c r="B32" s="38" t="s">
        <v>2750</v>
      </c>
      <c r="C32" s="38" t="s">
        <v>944</v>
      </c>
      <c r="D32" s="40">
        <f>[1]!Table32[[#This Row],[Residential CLM $ Collected]]+[1]!Table32[[#This Row],[C&amp;I CLM $ Collected]]</f>
        <v>44033.321105280003</v>
      </c>
      <c r="E32" s="36">
        <f>[1]!Table32[[#This Row],[CLM $ Collected ]]/'[1]1.) CLM Reference'!$B$4</f>
        <v>3.9064784231820178E-4</v>
      </c>
      <c r="F32" s="37">
        <f>[1]!Table32[[#This Row],[Residential Incentive Disbursements]]+[1]!Table32[[#This Row],[C&amp;I Incentive Disbursements]]</f>
        <v>169533.30660000001</v>
      </c>
      <c r="G32" s="36">
        <f>[1]!Table32[[#This Row],[Incentive Disbursements]]/'[1]1.) CLM Reference'!$B$5</f>
        <v>2.0741810229532118E-3</v>
      </c>
      <c r="H32" s="37">
        <v>0</v>
      </c>
      <c r="I32" s="36">
        <f>[1]!Table32[[#This Row],[Residential CLM $ Collected]]/'[1]1.) CLM Reference'!$B$4</f>
        <v>0</v>
      </c>
      <c r="J32" s="41">
        <v>0</v>
      </c>
      <c r="K32" s="36">
        <f>[1]!Table32[[#This Row],[Residential Incentive Disbursements]]/'[1]1.) CLM Reference'!$B$5</f>
        <v>0</v>
      </c>
      <c r="L32" s="37">
        <v>44033.321105280003</v>
      </c>
      <c r="M32" s="36">
        <f>[1]!Table32[[#This Row],[C&amp;I CLM $ Collected]]/'[1]1.) CLM Reference'!$B$4</f>
        <v>3.9064784231820178E-4</v>
      </c>
      <c r="N32" s="41">
        <v>169533.30660000001</v>
      </c>
      <c r="O32" s="39">
        <f>[1]!Table32[[#This Row],[C&amp;I Incentive Disbursements]]/'[1]1.) CLM Reference'!$B$5</f>
        <v>2.0741810229532118E-3</v>
      </c>
      <c r="P32">
        <f>VLOOKUP(Table32[[#This Row],[Census Tract]],'Population and Diversity Data'!$B$2:$K$823,10,FALSE)</f>
        <v>1</v>
      </c>
      <c r="Q32" t="str">
        <f>VLOOKUP(Table32[[#This Row],[Census Tract]],'ES Energy Burden'!$B$2:$E$914,4,FALSE)</f>
        <v>No</v>
      </c>
    </row>
    <row r="33" spans="1:17" x14ac:dyDescent="0.2">
      <c r="A33" s="100">
        <v>9015815000</v>
      </c>
      <c r="B33" s="38" t="s">
        <v>2751</v>
      </c>
      <c r="C33" s="38" t="s">
        <v>944</v>
      </c>
      <c r="D33" s="40">
        <f>[1]!Table32[[#This Row],[Residential CLM $ Collected]]+[1]!Table32[[#This Row],[C&amp;I CLM $ Collected]]</f>
        <v>8909.8975123199998</v>
      </c>
      <c r="E33" s="36">
        <f>[1]!Table32[[#This Row],[CLM $ Collected ]]/'[1]1.) CLM Reference'!$B$4</f>
        <v>7.9045417222612388E-5</v>
      </c>
      <c r="F33" s="37">
        <f>[1]!Table32[[#This Row],[Residential Incentive Disbursements]]+[1]!Table32[[#This Row],[C&amp;I Incentive Disbursements]]</f>
        <v>280</v>
      </c>
      <c r="G33" s="36">
        <f>[1]!Table32[[#This Row],[Incentive Disbursements]]/'[1]1.) CLM Reference'!$B$5</f>
        <v>3.4257025836060659E-6</v>
      </c>
      <c r="H33" s="37">
        <v>0</v>
      </c>
      <c r="I33" s="36">
        <f>[1]!Table32[[#This Row],[Residential CLM $ Collected]]/'[1]1.) CLM Reference'!$B$4</f>
        <v>0</v>
      </c>
      <c r="J33" s="41">
        <v>0</v>
      </c>
      <c r="K33" s="36">
        <f>[1]!Table32[[#This Row],[Residential Incentive Disbursements]]/'[1]1.) CLM Reference'!$B$5</f>
        <v>0</v>
      </c>
      <c r="L33" s="37">
        <v>8909.8975123199998</v>
      </c>
      <c r="M33" s="36">
        <f>[1]!Table32[[#This Row],[C&amp;I CLM $ Collected]]/'[1]1.) CLM Reference'!$B$4</f>
        <v>7.9045417222612388E-5</v>
      </c>
      <c r="N33" s="41">
        <v>280</v>
      </c>
      <c r="O33" s="39">
        <f>[1]!Table32[[#This Row],[C&amp;I Incentive Disbursements]]/'[1]1.) CLM Reference'!$B$5</f>
        <v>3.4257025836060659E-6</v>
      </c>
      <c r="P33">
        <f>VLOOKUP(Table32[[#This Row],[Census Tract]],'Population and Diversity Data'!$B$2:$K$823,10,FALSE)</f>
        <v>5</v>
      </c>
      <c r="Q33" t="str">
        <f>VLOOKUP(Table32[[#This Row],[Census Tract]],'ES Energy Burden'!$B$2:$E$914,4,FALSE)</f>
        <v>No</v>
      </c>
    </row>
    <row r="34" spans="1:17" x14ac:dyDescent="0.2">
      <c r="A34" s="100">
        <v>9009343400</v>
      </c>
      <c r="B34" s="38" t="s">
        <v>2752</v>
      </c>
      <c r="C34" s="38" t="s">
        <v>944</v>
      </c>
      <c r="D34" s="40">
        <f>[1]!Table32[[#This Row],[Residential CLM $ Collected]]+[1]!Table32[[#This Row],[C&amp;I CLM $ Collected]]</f>
        <v>561150.42747552006</v>
      </c>
      <c r="E34" s="36">
        <f>[1]!Table32[[#This Row],[CLM $ Collected ]]/'[1]1.) CLM Reference'!$B$4</f>
        <v>4.9783254636898812E-3</v>
      </c>
      <c r="F34" s="37">
        <f>[1]!Table32[[#This Row],[Residential Incentive Disbursements]]+[1]!Table32[[#This Row],[C&amp;I Incentive Disbursements]]</f>
        <v>700205.98950000003</v>
      </c>
      <c r="G34" s="36">
        <f>[1]!Table32[[#This Row],[Incentive Disbursements]]/'[1]1.) CLM Reference'!$B$5</f>
        <v>8.5667766688806851E-3</v>
      </c>
      <c r="H34" s="37">
        <v>0</v>
      </c>
      <c r="I34" s="36">
        <f>[1]!Table32[[#This Row],[Residential CLM $ Collected]]/'[1]1.) CLM Reference'!$B$4</f>
        <v>0</v>
      </c>
      <c r="J34" s="41">
        <v>0</v>
      </c>
      <c r="K34" s="36">
        <f>[1]!Table32[[#This Row],[Residential Incentive Disbursements]]/'[1]1.) CLM Reference'!$B$5</f>
        <v>0</v>
      </c>
      <c r="L34" s="37">
        <v>561150.42747552006</v>
      </c>
      <c r="M34" s="36">
        <f>[1]!Table32[[#This Row],[C&amp;I CLM $ Collected]]/'[1]1.) CLM Reference'!$B$4</f>
        <v>4.9783254636898812E-3</v>
      </c>
      <c r="N34" s="41">
        <v>700205.98950000003</v>
      </c>
      <c r="O34" s="39">
        <f>[1]!Table32[[#This Row],[C&amp;I Incentive Disbursements]]/'[1]1.) CLM Reference'!$B$5</f>
        <v>8.5667766688806851E-3</v>
      </c>
      <c r="P34">
        <f>VLOOKUP(Table32[[#This Row],[Census Tract]],'Population and Diversity Data'!$B$2:$K$823,10,FALSE)</f>
        <v>4</v>
      </c>
      <c r="Q34" t="str">
        <f>VLOOKUP(Table32[[#This Row],[Census Tract]],'ES Energy Burden'!$B$2:$E$914,4,FALSE)</f>
        <v>No</v>
      </c>
    </row>
    <row r="35" spans="1:17" x14ac:dyDescent="0.2">
      <c r="A35" s="100">
        <v>9007600100</v>
      </c>
      <c r="B35" s="38" t="s">
        <v>2753</v>
      </c>
      <c r="C35" s="38" t="s">
        <v>944</v>
      </c>
      <c r="D35" s="40">
        <f>[1]!Table32[[#This Row],[Residential CLM $ Collected]]+[1]!Table32[[#This Row],[C&amp;I CLM $ Collected]]</f>
        <v>54605.77992288</v>
      </c>
      <c r="E35" s="36">
        <f>[1]!Table32[[#This Row],[CLM $ Collected ]]/'[1]1.) CLM Reference'!$B$4</f>
        <v>4.8444290754207488E-4</v>
      </c>
      <c r="F35" s="37">
        <f>[1]!Table32[[#This Row],[Residential Incentive Disbursements]]+[1]!Table32[[#This Row],[C&amp;I Incentive Disbursements]]</f>
        <v>0</v>
      </c>
      <c r="G35" s="36">
        <f>[1]!Table32[[#This Row],[Incentive Disbursements]]/'[1]1.) CLM Reference'!$B$5</f>
        <v>0</v>
      </c>
      <c r="H35" s="37">
        <v>0</v>
      </c>
      <c r="I35" s="36">
        <f>[1]!Table32[[#This Row],[Residential CLM $ Collected]]/'[1]1.) CLM Reference'!$B$4</f>
        <v>0</v>
      </c>
      <c r="J35" s="41">
        <v>0</v>
      </c>
      <c r="K35" s="36">
        <f>[1]!Table32[[#This Row],[Residential Incentive Disbursements]]/'[1]1.) CLM Reference'!$B$5</f>
        <v>0</v>
      </c>
      <c r="L35" s="37">
        <v>54605.77992288</v>
      </c>
      <c r="M35" s="36">
        <f>[1]!Table32[[#This Row],[C&amp;I CLM $ Collected]]/'[1]1.) CLM Reference'!$B$4</f>
        <v>4.8444290754207488E-4</v>
      </c>
      <c r="N35" s="41">
        <v>0</v>
      </c>
      <c r="O35" s="39">
        <f>[1]!Table32[[#This Row],[C&amp;I Incentive Disbursements]]/'[1]1.) CLM Reference'!$B$5</f>
        <v>0</v>
      </c>
      <c r="P35">
        <f>VLOOKUP(Table32[[#This Row],[Census Tract]],'Population and Diversity Data'!$B$2:$K$823,10,FALSE)</f>
        <v>1</v>
      </c>
      <c r="Q35" t="str">
        <f>VLOOKUP(Table32[[#This Row],[Census Tract]],'ES Energy Burden'!$B$2:$E$914,4,FALSE)</f>
        <v>No</v>
      </c>
    </row>
    <row r="36" spans="1:17" x14ac:dyDescent="0.2">
      <c r="A36" s="100">
        <v>9007610100</v>
      </c>
      <c r="B36" s="38" t="s">
        <v>2754</v>
      </c>
      <c r="C36" s="38" t="s">
        <v>944</v>
      </c>
      <c r="D36" s="40">
        <f>[1]!Table32[[#This Row],[Residential CLM $ Collected]]+[1]!Table32[[#This Row],[C&amp;I CLM $ Collected]]</f>
        <v>34.610656319999997</v>
      </c>
      <c r="E36" s="36">
        <f>[1]!Table32[[#This Row],[CLM $ Collected ]]/'[1]1.) CLM Reference'!$B$4</f>
        <v>3.0705333763715567E-7</v>
      </c>
      <c r="F36" s="37">
        <f>[1]!Table32[[#This Row],[Residential Incentive Disbursements]]+[1]!Table32[[#This Row],[C&amp;I Incentive Disbursements]]</f>
        <v>0</v>
      </c>
      <c r="G36" s="36">
        <f>[1]!Table32[[#This Row],[Incentive Disbursements]]/'[1]1.) CLM Reference'!$B$5</f>
        <v>0</v>
      </c>
      <c r="H36" s="37">
        <v>0</v>
      </c>
      <c r="I36" s="36">
        <f>[1]!Table32[[#This Row],[Residential CLM $ Collected]]/'[1]1.) CLM Reference'!$B$4</f>
        <v>0</v>
      </c>
      <c r="J36" s="41">
        <v>0</v>
      </c>
      <c r="K36" s="36">
        <f>[1]!Table32[[#This Row],[Residential Incentive Disbursements]]/'[1]1.) CLM Reference'!$B$5</f>
        <v>0</v>
      </c>
      <c r="L36" s="37">
        <v>34.610656319999997</v>
      </c>
      <c r="M36" s="36">
        <f>[1]!Table32[[#This Row],[C&amp;I CLM $ Collected]]/'[1]1.) CLM Reference'!$B$4</f>
        <v>3.0705333763715567E-7</v>
      </c>
      <c r="N36" s="41">
        <v>0</v>
      </c>
      <c r="O36" s="39">
        <f>[1]!Table32[[#This Row],[C&amp;I Incentive Disbursements]]/'[1]1.) CLM Reference'!$B$5</f>
        <v>0</v>
      </c>
      <c r="P36">
        <f>VLOOKUP(Table32[[#This Row],[Census Tract]],'Population and Diversity Data'!$B$2:$K$823,10,FALSE)</f>
        <v>1</v>
      </c>
      <c r="Q36" t="str">
        <f>VLOOKUP(Table32[[#This Row],[Census Tract]],'ES Energy Burden'!$B$2:$E$914,4,FALSE)</f>
        <v>No</v>
      </c>
    </row>
    <row r="37" spans="1:17" x14ac:dyDescent="0.2">
      <c r="A37" s="100">
        <v>9007610300</v>
      </c>
      <c r="B37" s="38" t="s">
        <v>2754</v>
      </c>
      <c r="C37" s="38" t="s">
        <v>944</v>
      </c>
      <c r="D37" s="40">
        <f>[1]!Table32[[#This Row],[Residential CLM $ Collected]]+[1]!Table32[[#This Row],[C&amp;I CLM $ Collected]]</f>
        <v>60959.517019199993</v>
      </c>
      <c r="E37" s="36">
        <f>[1]!Table32[[#This Row],[CLM $ Collected ]]/'[1]1.) CLM Reference'!$B$4</f>
        <v>5.408109857390406E-4</v>
      </c>
      <c r="F37" s="37">
        <f>[1]!Table32[[#This Row],[Residential Incentive Disbursements]]+[1]!Table32[[#This Row],[C&amp;I Incentive Disbursements]]</f>
        <v>10768.68</v>
      </c>
      <c r="G37" s="36">
        <f>[1]!Table32[[#This Row],[Incentive Disbursements]]/'[1]1.) CLM Reference'!$B$5</f>
        <v>1.3175105320723917E-4</v>
      </c>
      <c r="H37" s="37">
        <v>0</v>
      </c>
      <c r="I37" s="36">
        <f>[1]!Table32[[#This Row],[Residential CLM $ Collected]]/'[1]1.) CLM Reference'!$B$4</f>
        <v>0</v>
      </c>
      <c r="J37" s="41">
        <v>0</v>
      </c>
      <c r="K37" s="36">
        <f>[1]!Table32[[#This Row],[Residential Incentive Disbursements]]/'[1]1.) CLM Reference'!$B$5</f>
        <v>0</v>
      </c>
      <c r="L37" s="37">
        <v>60959.517019199993</v>
      </c>
      <c r="M37" s="36">
        <f>[1]!Table32[[#This Row],[C&amp;I CLM $ Collected]]/'[1]1.) CLM Reference'!$B$4</f>
        <v>5.408109857390406E-4</v>
      </c>
      <c r="N37" s="41">
        <v>10768.68</v>
      </c>
      <c r="O37" s="39">
        <f>[1]!Table32[[#This Row],[C&amp;I Incentive Disbursements]]/'[1]1.) CLM Reference'!$B$5</f>
        <v>1.3175105320723917E-4</v>
      </c>
      <c r="P37">
        <f>VLOOKUP(Table32[[#This Row],[Census Tract]],'Population and Diversity Data'!$B$2:$K$823,10,FALSE)</f>
        <v>1</v>
      </c>
      <c r="Q37" t="str">
        <f>VLOOKUP(Table32[[#This Row],[Census Tract]],'ES Energy Burden'!$B$2:$E$914,4,FALSE)</f>
        <v>No</v>
      </c>
    </row>
    <row r="38" spans="1:17" x14ac:dyDescent="0.2">
      <c r="A38" s="100">
        <v>9007610400</v>
      </c>
      <c r="B38" s="38" t="s">
        <v>2754</v>
      </c>
      <c r="C38" s="38" t="s">
        <v>944</v>
      </c>
      <c r="D38" s="40">
        <f>[1]!Table32[[#This Row],[Residential CLM $ Collected]]+[1]!Table32[[#This Row],[C&amp;I CLM $ Collected]]</f>
        <v>1.8419961599999999</v>
      </c>
      <c r="E38" s="36">
        <f>[1]!Table32[[#This Row],[CLM $ Collected ]]/'[1]1.) CLM Reference'!$B$4</f>
        <v>1.6341529718868508E-8</v>
      </c>
      <c r="F38" s="37">
        <f>[1]!Table32[[#This Row],[Residential Incentive Disbursements]]+[1]!Table32[[#This Row],[C&amp;I Incentive Disbursements]]</f>
        <v>0</v>
      </c>
      <c r="G38" s="36">
        <f>[1]!Table32[[#This Row],[Incentive Disbursements]]/'[1]1.) CLM Reference'!$B$5</f>
        <v>0</v>
      </c>
      <c r="H38" s="37">
        <v>0</v>
      </c>
      <c r="I38" s="36">
        <f>[1]!Table32[[#This Row],[Residential CLM $ Collected]]/'[1]1.) CLM Reference'!$B$4</f>
        <v>0</v>
      </c>
      <c r="J38" s="41">
        <v>0</v>
      </c>
      <c r="K38" s="36">
        <f>[1]!Table32[[#This Row],[Residential Incentive Disbursements]]/'[1]1.) CLM Reference'!$B$5</f>
        <v>0</v>
      </c>
      <c r="L38" s="37">
        <v>1.8419961599999999</v>
      </c>
      <c r="M38" s="36">
        <f>[1]!Table32[[#This Row],[C&amp;I CLM $ Collected]]/'[1]1.) CLM Reference'!$B$4</f>
        <v>1.6341529718868508E-8</v>
      </c>
      <c r="N38" s="41">
        <v>0</v>
      </c>
      <c r="O38" s="39">
        <f>[1]!Table32[[#This Row],[C&amp;I Incentive Disbursements]]/'[1]1.) CLM Reference'!$B$5</f>
        <v>0</v>
      </c>
      <c r="P38">
        <f>VLOOKUP(Table32[[#This Row],[Census Tract]],'Population and Diversity Data'!$B$2:$K$823,10,FALSE)</f>
        <v>1</v>
      </c>
      <c r="Q38" t="str">
        <f>VLOOKUP(Table32[[#This Row],[Census Tract]],'ES Energy Burden'!$B$2:$E$914,4,FALSE)</f>
        <v>No</v>
      </c>
    </row>
    <row r="39" spans="1:17" x14ac:dyDescent="0.2">
      <c r="A39" s="100">
        <v>9011714103</v>
      </c>
      <c r="B39" s="38" t="s">
        <v>2755</v>
      </c>
      <c r="C39" s="38" t="s">
        <v>944</v>
      </c>
      <c r="D39" s="40">
        <f>[1]!Table32[[#This Row],[Residential CLM $ Collected]]+[1]!Table32[[#This Row],[C&amp;I CLM $ Collected]]</f>
        <v>68237.306366400007</v>
      </c>
      <c r="E39" s="36">
        <f>[1]!Table32[[#This Row],[CLM $ Collected ]]/'[1]1.) CLM Reference'!$B$4</f>
        <v>6.0537692430480481E-4</v>
      </c>
      <c r="F39" s="37">
        <f>[1]!Table32[[#This Row],[Residential Incentive Disbursements]]+[1]!Table32[[#This Row],[C&amp;I Incentive Disbursements]]</f>
        <v>140572.23989999999</v>
      </c>
      <c r="G39" s="36">
        <f>[1]!Table32[[#This Row],[Incentive Disbursements]]/'[1]1.) CLM Reference'!$B$5</f>
        <v>1.7198524478882916E-3</v>
      </c>
      <c r="H39" s="37">
        <v>0</v>
      </c>
      <c r="I39" s="36">
        <f>[1]!Table32[[#This Row],[Residential CLM $ Collected]]/'[1]1.) CLM Reference'!$B$4</f>
        <v>0</v>
      </c>
      <c r="J39" s="41">
        <v>0</v>
      </c>
      <c r="K39" s="36">
        <f>[1]!Table32[[#This Row],[Residential Incentive Disbursements]]/'[1]1.) CLM Reference'!$B$5</f>
        <v>0</v>
      </c>
      <c r="L39" s="37">
        <v>68237.306366400007</v>
      </c>
      <c r="M39" s="36">
        <f>[1]!Table32[[#This Row],[C&amp;I CLM $ Collected]]/'[1]1.) CLM Reference'!$B$4</f>
        <v>6.0537692430480481E-4</v>
      </c>
      <c r="N39" s="41">
        <v>140572.23989999999</v>
      </c>
      <c r="O39" s="39">
        <f>[1]!Table32[[#This Row],[C&amp;I Incentive Disbursements]]/'[1]1.) CLM Reference'!$B$5</f>
        <v>1.7198524478882916E-3</v>
      </c>
      <c r="P39">
        <f>VLOOKUP(Table32[[#This Row],[Census Tract]],'Population and Diversity Data'!$B$2:$K$823,10,FALSE)</f>
        <v>3</v>
      </c>
      <c r="Q39" t="str">
        <f>VLOOKUP(Table32[[#This Row],[Census Tract]],'ES Energy Burden'!$B$2:$E$914,4,FALSE)</f>
        <v>No</v>
      </c>
    </row>
    <row r="40" spans="1:17" x14ac:dyDescent="0.2">
      <c r="A40" s="100">
        <v>9011714104</v>
      </c>
      <c r="B40" s="38" t="s">
        <v>2755</v>
      </c>
      <c r="C40" s="38" t="s">
        <v>944</v>
      </c>
      <c r="D40" s="40">
        <f>[1]!Table32[[#This Row],[Residential CLM $ Collected]]+[1]!Table32[[#This Row],[C&amp;I CLM $ Collected]]</f>
        <v>684.42487488000006</v>
      </c>
      <c r="E40" s="36">
        <f>[1]!Table32[[#This Row],[CLM $ Collected ]]/'[1]1.) CLM Reference'!$B$4</f>
        <v>6.0719721767413363E-6</v>
      </c>
      <c r="F40" s="37">
        <f>[1]!Table32[[#This Row],[Residential Incentive Disbursements]]+[1]!Table32[[#This Row],[C&amp;I Incentive Disbursements]]</f>
        <v>0</v>
      </c>
      <c r="G40" s="36">
        <f>[1]!Table32[[#This Row],[Incentive Disbursements]]/'[1]1.) CLM Reference'!$B$5</f>
        <v>0</v>
      </c>
      <c r="H40" s="37">
        <v>0</v>
      </c>
      <c r="I40" s="36">
        <f>[1]!Table32[[#This Row],[Residential CLM $ Collected]]/'[1]1.) CLM Reference'!$B$4</f>
        <v>0</v>
      </c>
      <c r="J40" s="41">
        <v>0</v>
      </c>
      <c r="K40" s="36">
        <f>[1]!Table32[[#This Row],[Residential Incentive Disbursements]]/'[1]1.) CLM Reference'!$B$5</f>
        <v>0</v>
      </c>
      <c r="L40" s="37">
        <v>684.42487488000006</v>
      </c>
      <c r="M40" s="36">
        <f>[1]!Table32[[#This Row],[C&amp;I CLM $ Collected]]/'[1]1.) CLM Reference'!$B$4</f>
        <v>6.0719721767413363E-6</v>
      </c>
      <c r="N40" s="41">
        <v>0</v>
      </c>
      <c r="O40" s="39">
        <f>[1]!Table32[[#This Row],[C&amp;I Incentive Disbursements]]/'[1]1.) CLM Reference'!$B$5</f>
        <v>0</v>
      </c>
      <c r="P40">
        <f>VLOOKUP(Table32[[#This Row],[Census Tract]],'Population and Diversity Data'!$B$2:$K$823,10,FALSE)</f>
        <v>1</v>
      </c>
      <c r="Q40" t="str">
        <f>VLOOKUP(Table32[[#This Row],[Census Tract]],'ES Energy Burden'!$B$2:$E$914,4,FALSE)</f>
        <v>No</v>
      </c>
    </row>
    <row r="41" spans="1:17" x14ac:dyDescent="0.2">
      <c r="A41" s="100">
        <v>9005293100</v>
      </c>
      <c r="B41" s="38" t="s">
        <v>2756</v>
      </c>
      <c r="C41" s="38" t="s">
        <v>944</v>
      </c>
      <c r="D41" s="40">
        <f>[1]!Table32[[#This Row],[Residential CLM $ Collected]]+[1]!Table32[[#This Row],[C&amp;I CLM $ Collected]]</f>
        <v>3674.9490566400004</v>
      </c>
      <c r="E41" s="36">
        <f>[1]!Table32[[#This Row],[CLM $ Collected ]]/'[1]1.) CLM Reference'!$B$4</f>
        <v>3.2602830846515099E-5</v>
      </c>
      <c r="F41" s="37">
        <f>[1]!Table32[[#This Row],[Residential Incentive Disbursements]]+[1]!Table32[[#This Row],[C&amp;I Incentive Disbursements]]</f>
        <v>1858.7</v>
      </c>
      <c r="G41" s="36">
        <f>[1]!Table32[[#This Row],[Incentive Disbursements]]/'[1]1.) CLM Reference'!$B$5</f>
        <v>2.2740547829102122E-5</v>
      </c>
      <c r="H41" s="37">
        <v>0</v>
      </c>
      <c r="I41" s="36">
        <f>[1]!Table32[[#This Row],[Residential CLM $ Collected]]/'[1]1.) CLM Reference'!$B$4</f>
        <v>0</v>
      </c>
      <c r="J41" s="41">
        <v>0</v>
      </c>
      <c r="K41" s="36">
        <f>[1]!Table32[[#This Row],[Residential Incentive Disbursements]]/'[1]1.) CLM Reference'!$B$5</f>
        <v>0</v>
      </c>
      <c r="L41" s="37">
        <v>3674.9490566400004</v>
      </c>
      <c r="M41" s="36">
        <f>[1]!Table32[[#This Row],[C&amp;I CLM $ Collected]]/'[1]1.) CLM Reference'!$B$4</f>
        <v>3.2602830846515099E-5</v>
      </c>
      <c r="N41" s="41">
        <v>1858.7</v>
      </c>
      <c r="O41" s="39">
        <f>[1]!Table32[[#This Row],[C&amp;I Incentive Disbursements]]/'[1]1.) CLM Reference'!$B$5</f>
        <v>2.2740547829102122E-5</v>
      </c>
      <c r="P41">
        <f>VLOOKUP(Table32[[#This Row],[Census Tract]],'Population and Diversity Data'!$B$2:$K$823,10,FALSE)</f>
        <v>1</v>
      </c>
      <c r="Q41" t="str">
        <f>VLOOKUP(Table32[[#This Row],[Census Tract]],'ES Energy Burden'!$B$2:$E$914,4,FALSE)</f>
        <v>No</v>
      </c>
    </row>
    <row r="42" spans="1:17" x14ac:dyDescent="0.2">
      <c r="A42" s="100">
        <v>9013860100</v>
      </c>
      <c r="B42" s="38" t="s">
        <v>2757</v>
      </c>
      <c r="C42" s="38" t="s">
        <v>944</v>
      </c>
      <c r="D42" s="40">
        <f>[1]!Table32[[#This Row],[Residential CLM $ Collected]]+[1]!Table32[[#This Row],[C&amp;I CLM $ Collected]]</f>
        <v>19631.938921920002</v>
      </c>
      <c r="E42" s="36">
        <f>[1]!Table32[[#This Row],[CLM $ Collected ]]/'[1]1.) CLM Reference'!$B$4</f>
        <v>1.7416752558896059E-4</v>
      </c>
      <c r="F42" s="37">
        <f>[1]!Table32[[#This Row],[Residential Incentive Disbursements]]+[1]!Table32[[#This Row],[C&amp;I Incentive Disbursements]]</f>
        <v>23294.95</v>
      </c>
      <c r="G42" s="36">
        <f>[1]!Table32[[#This Row],[Incentive Disbursements]]/'[1]1.) CLM Reference'!$B$5</f>
        <v>2.8500560857133613E-4</v>
      </c>
      <c r="H42" s="37">
        <v>0</v>
      </c>
      <c r="I42" s="36">
        <f>[1]!Table32[[#This Row],[Residential CLM $ Collected]]/'[1]1.) CLM Reference'!$B$4</f>
        <v>0</v>
      </c>
      <c r="J42" s="41">
        <v>0</v>
      </c>
      <c r="K42" s="36">
        <f>[1]!Table32[[#This Row],[Residential Incentive Disbursements]]/'[1]1.) CLM Reference'!$B$5</f>
        <v>0</v>
      </c>
      <c r="L42" s="37">
        <v>19631.938921920002</v>
      </c>
      <c r="M42" s="36">
        <f>[1]!Table32[[#This Row],[C&amp;I CLM $ Collected]]/'[1]1.) CLM Reference'!$B$4</f>
        <v>1.7416752558896059E-4</v>
      </c>
      <c r="N42" s="41">
        <v>23294.95</v>
      </c>
      <c r="O42" s="39">
        <f>[1]!Table32[[#This Row],[C&amp;I Incentive Disbursements]]/'[1]1.) CLM Reference'!$B$5</f>
        <v>2.8500560857133613E-4</v>
      </c>
      <c r="P42">
        <f>VLOOKUP(Table32[[#This Row],[Census Tract]],'Population and Diversity Data'!$B$2:$K$823,10,FALSE)</f>
        <v>1</v>
      </c>
      <c r="Q42" t="str">
        <f>VLOOKUP(Table32[[#This Row],[Census Tract]],'ES Energy Burden'!$B$2:$E$914,4,FALSE)</f>
        <v>No</v>
      </c>
    </row>
    <row r="43" spans="1:17" x14ac:dyDescent="0.2">
      <c r="A43" s="100">
        <v>9005263200</v>
      </c>
      <c r="B43" s="38" t="s">
        <v>2758</v>
      </c>
      <c r="C43" s="38" t="s">
        <v>944</v>
      </c>
      <c r="D43" s="40">
        <f>[1]!Table32[[#This Row],[Residential CLM $ Collected]]+[1]!Table32[[#This Row],[C&amp;I CLM $ Collected]]</f>
        <v>6236.8855372800008</v>
      </c>
      <c r="E43" s="36">
        <f>[1]!Table32[[#This Row],[CLM $ Collected ]]/'[1]1.) CLM Reference'!$B$4</f>
        <v>5.5331413047376998E-5</v>
      </c>
      <c r="F43" s="37">
        <f>[1]!Table32[[#This Row],[Residential Incentive Disbursements]]+[1]!Table32[[#This Row],[C&amp;I Incentive Disbursements]]</f>
        <v>0</v>
      </c>
      <c r="G43" s="36">
        <f>[1]!Table32[[#This Row],[Incentive Disbursements]]/'[1]1.) CLM Reference'!$B$5</f>
        <v>0</v>
      </c>
      <c r="H43" s="37">
        <v>0</v>
      </c>
      <c r="I43" s="36">
        <f>[1]!Table32[[#This Row],[Residential CLM $ Collected]]/'[1]1.) CLM Reference'!$B$4</f>
        <v>0</v>
      </c>
      <c r="J43" s="41">
        <v>0</v>
      </c>
      <c r="K43" s="36">
        <f>[1]!Table32[[#This Row],[Residential Incentive Disbursements]]/'[1]1.) CLM Reference'!$B$5</f>
        <v>0</v>
      </c>
      <c r="L43" s="37">
        <v>6236.8855372800008</v>
      </c>
      <c r="M43" s="36">
        <f>[1]!Table32[[#This Row],[C&amp;I CLM $ Collected]]/'[1]1.) CLM Reference'!$B$4</f>
        <v>5.5331413047376998E-5</v>
      </c>
      <c r="N43" s="41">
        <v>0</v>
      </c>
      <c r="O43" s="39">
        <f>[1]!Table32[[#This Row],[C&amp;I Incentive Disbursements]]/'[1]1.) CLM Reference'!$B$5</f>
        <v>0</v>
      </c>
      <c r="P43">
        <f>VLOOKUP(Table32[[#This Row],[Census Tract]],'Population and Diversity Data'!$B$2:$K$823,10,FALSE)</f>
        <v>3</v>
      </c>
      <c r="Q43" t="str">
        <f>VLOOKUP(Table32[[#This Row],[Census Tract]],'ES Energy Burden'!$B$2:$E$914,4,FALSE)</f>
        <v>No</v>
      </c>
    </row>
    <row r="44" spans="1:17" x14ac:dyDescent="0.2">
      <c r="A44" s="100">
        <v>9013850200</v>
      </c>
      <c r="B44" s="38" t="s">
        <v>2759</v>
      </c>
      <c r="C44" s="38" t="s">
        <v>944</v>
      </c>
      <c r="D44" s="40">
        <f>[1]!Table32[[#This Row],[Residential CLM $ Collected]]+[1]!Table32[[#This Row],[C&amp;I CLM $ Collected]]</f>
        <v>13327.960613760002</v>
      </c>
      <c r="E44" s="36">
        <f>[1]!Table32[[#This Row],[CLM $ Collected ]]/'[1]1.) CLM Reference'!$B$4</f>
        <v>1.18240889525887E-4</v>
      </c>
      <c r="F44" s="37">
        <f>[1]!Table32[[#This Row],[Residential Incentive Disbursements]]+[1]!Table32[[#This Row],[C&amp;I Incentive Disbursements]]</f>
        <v>0</v>
      </c>
      <c r="G44" s="36">
        <f>[1]!Table32[[#This Row],[Incentive Disbursements]]/'[1]1.) CLM Reference'!$B$5</f>
        <v>0</v>
      </c>
      <c r="H44" s="37">
        <v>0</v>
      </c>
      <c r="I44" s="36">
        <f>[1]!Table32[[#This Row],[Residential CLM $ Collected]]/'[1]1.) CLM Reference'!$B$4</f>
        <v>0</v>
      </c>
      <c r="J44" s="41">
        <v>0</v>
      </c>
      <c r="K44" s="36">
        <f>[1]!Table32[[#This Row],[Residential Incentive Disbursements]]/'[1]1.) CLM Reference'!$B$5</f>
        <v>0</v>
      </c>
      <c r="L44" s="37">
        <v>13327.960613760002</v>
      </c>
      <c r="M44" s="36">
        <f>[1]!Table32[[#This Row],[C&amp;I CLM $ Collected]]/'[1]1.) CLM Reference'!$B$4</f>
        <v>1.18240889525887E-4</v>
      </c>
      <c r="N44" s="41">
        <v>0</v>
      </c>
      <c r="O44" s="39">
        <f>[1]!Table32[[#This Row],[C&amp;I Incentive Disbursements]]/'[1]1.) CLM Reference'!$B$5</f>
        <v>0</v>
      </c>
      <c r="P44">
        <f>VLOOKUP(Table32[[#This Row],[Census Tract]],'Population and Diversity Data'!$B$2:$K$823,10,FALSE)</f>
        <v>1</v>
      </c>
      <c r="Q44" t="str">
        <f>VLOOKUP(Table32[[#This Row],[Census Tract]],'ES Energy Burden'!$B$2:$E$914,4,FALSE)</f>
        <v>No</v>
      </c>
    </row>
    <row r="45" spans="1:17" x14ac:dyDescent="0.2">
      <c r="A45" s="100">
        <v>9007570300</v>
      </c>
      <c r="B45" s="38" t="s">
        <v>2760</v>
      </c>
      <c r="C45" s="38" t="s">
        <v>944</v>
      </c>
      <c r="D45" s="40">
        <f>[1]!Table32[[#This Row],[Residential CLM $ Collected]]+[1]!Table32[[#This Row],[C&amp;I CLM $ Collected]]</f>
        <v>281835.56314079999</v>
      </c>
      <c r="E45" s="36">
        <f>[1]!Table32[[#This Row],[CLM $ Collected ]]/'[1]1.) CLM Reference'!$B$4</f>
        <v>2.5003441000112756E-3</v>
      </c>
      <c r="F45" s="37">
        <f>[1]!Table32[[#This Row],[Residential Incentive Disbursements]]+[1]!Table32[[#This Row],[C&amp;I Incentive Disbursements]]</f>
        <v>160549.37280000001</v>
      </c>
      <c r="G45" s="36">
        <f>[1]!Table32[[#This Row],[Incentive Disbursements]]/'[1]1.) CLM Reference'!$B$5</f>
        <v>1.9642657185617624E-3</v>
      </c>
      <c r="H45" s="37">
        <v>0</v>
      </c>
      <c r="I45" s="36">
        <f>[1]!Table32[[#This Row],[Residential CLM $ Collected]]/'[1]1.) CLM Reference'!$B$4</f>
        <v>0</v>
      </c>
      <c r="J45" s="41">
        <v>0</v>
      </c>
      <c r="K45" s="36">
        <f>[1]!Table32[[#This Row],[Residential Incentive Disbursements]]/'[1]1.) CLM Reference'!$B$5</f>
        <v>0</v>
      </c>
      <c r="L45" s="37">
        <v>281835.56314079999</v>
      </c>
      <c r="M45" s="36">
        <f>[1]!Table32[[#This Row],[C&amp;I CLM $ Collected]]/'[1]1.) CLM Reference'!$B$4</f>
        <v>2.5003441000112756E-3</v>
      </c>
      <c r="N45" s="41">
        <v>160549.37280000001</v>
      </c>
      <c r="O45" s="39">
        <f>[1]!Table32[[#This Row],[C&amp;I Incentive Disbursements]]/'[1]1.) CLM Reference'!$B$5</f>
        <v>1.9642657185617624E-3</v>
      </c>
      <c r="P45">
        <f>VLOOKUP(Table32[[#This Row],[Census Tract]],'Population and Diversity Data'!$B$2:$K$823,10,FALSE)</f>
        <v>2</v>
      </c>
      <c r="Q45" t="str">
        <f>VLOOKUP(Table32[[#This Row],[Census Tract]],'ES Energy Burden'!$B$2:$E$914,4,FALSE)</f>
        <v>No</v>
      </c>
    </row>
    <row r="46" spans="1:17" x14ac:dyDescent="0.2">
      <c r="A46" s="100">
        <v>9001210500</v>
      </c>
      <c r="B46" s="38" t="s">
        <v>2761</v>
      </c>
      <c r="C46" s="38" t="s">
        <v>944</v>
      </c>
      <c r="D46" s="40">
        <f>[1]!Table32[[#This Row],[Residential CLM $ Collected]]+[1]!Table32[[#This Row],[C&amp;I CLM $ Collected]]</f>
        <v>1435371.3542160001</v>
      </c>
      <c r="E46" s="36">
        <f>[1]!Table32[[#This Row],[CLM $ Collected ]]/'[1]1.) CLM Reference'!$B$4</f>
        <v>1.2734100185384374E-2</v>
      </c>
      <c r="F46" s="37">
        <f>[1]!Table32[[#This Row],[Residential Incentive Disbursements]]+[1]!Table32[[#This Row],[C&amp;I Incentive Disbursements]]</f>
        <v>881799.21230000001</v>
      </c>
      <c r="G46" s="36">
        <f>[1]!Table32[[#This Row],[Incentive Disbursements]]/'[1]1.) CLM Reference'!$B$5</f>
        <v>1.0788506570706799E-2</v>
      </c>
      <c r="H46" s="37">
        <v>0</v>
      </c>
      <c r="I46" s="36">
        <f>[1]!Table32[[#This Row],[Residential CLM $ Collected]]/'[1]1.) CLM Reference'!$B$4</f>
        <v>0</v>
      </c>
      <c r="J46" s="41">
        <v>0</v>
      </c>
      <c r="K46" s="36">
        <f>[1]!Table32[[#This Row],[Residential Incentive Disbursements]]/'[1]1.) CLM Reference'!$B$5</f>
        <v>0</v>
      </c>
      <c r="L46" s="37">
        <v>1435371.3542160001</v>
      </c>
      <c r="M46" s="36">
        <f>[1]!Table32[[#This Row],[C&amp;I CLM $ Collected]]/'[1]1.) CLM Reference'!$B$4</f>
        <v>1.2734100185384374E-2</v>
      </c>
      <c r="N46" s="41">
        <v>881799.21230000001</v>
      </c>
      <c r="O46" s="39">
        <f>[1]!Table32[[#This Row],[C&amp;I Incentive Disbursements]]/'[1]1.) CLM Reference'!$B$5</f>
        <v>1.0788506570706799E-2</v>
      </c>
      <c r="P46">
        <f>VLOOKUP(Table32[[#This Row],[Census Tract]],'Population and Diversity Data'!$B$2:$K$823,10,FALSE)</f>
        <v>4</v>
      </c>
      <c r="Q46" t="str">
        <f>VLOOKUP(Table32[[#This Row],[Census Tract]],'ES Energy Burden'!$B$2:$E$914,4,FALSE)</f>
        <v>No</v>
      </c>
    </row>
    <row r="47" spans="1:17" x14ac:dyDescent="0.2">
      <c r="A47" s="100">
        <v>9001210701</v>
      </c>
      <c r="B47" s="38" t="s">
        <v>2761</v>
      </c>
      <c r="C47" s="38" t="s">
        <v>944</v>
      </c>
      <c r="D47" s="40">
        <f>[1]!Table32[[#This Row],[Residential CLM $ Collected]]+[1]!Table32[[#This Row],[C&amp;I CLM $ Collected]]</f>
        <v>151.93631808000001</v>
      </c>
      <c r="E47" s="36">
        <f>[1]!Table32[[#This Row],[CLM $ Collected ]]/'[1]1.) CLM Reference'!$B$4</f>
        <v>1.3479245566287062E-6</v>
      </c>
      <c r="F47" s="37">
        <f>[1]!Table32[[#This Row],[Residential Incentive Disbursements]]+[1]!Table32[[#This Row],[C&amp;I Incentive Disbursements]]</f>
        <v>0</v>
      </c>
      <c r="G47" s="36">
        <f>[1]!Table32[[#This Row],[Incentive Disbursements]]/'[1]1.) CLM Reference'!$B$5</f>
        <v>0</v>
      </c>
      <c r="H47" s="37">
        <v>0</v>
      </c>
      <c r="I47" s="36">
        <f>[1]!Table32[[#This Row],[Residential CLM $ Collected]]/'[1]1.) CLM Reference'!$B$4</f>
        <v>0</v>
      </c>
      <c r="J47" s="41">
        <v>0</v>
      </c>
      <c r="K47" s="36">
        <f>[1]!Table32[[#This Row],[Residential Incentive Disbursements]]/'[1]1.) CLM Reference'!$B$5</f>
        <v>0</v>
      </c>
      <c r="L47" s="37">
        <v>151.93631808000001</v>
      </c>
      <c r="M47" s="36">
        <f>[1]!Table32[[#This Row],[C&amp;I CLM $ Collected]]/'[1]1.) CLM Reference'!$B$4</f>
        <v>1.3479245566287062E-6</v>
      </c>
      <c r="N47" s="41">
        <v>0</v>
      </c>
      <c r="O47" s="39">
        <f>[1]!Table32[[#This Row],[C&amp;I Incentive Disbursements]]/'[1]1.) CLM Reference'!$B$5</f>
        <v>0</v>
      </c>
      <c r="P47">
        <f>VLOOKUP(Table32[[#This Row],[Census Tract]],'Population and Diversity Data'!$B$2:$K$823,10,FALSE)</f>
        <v>5</v>
      </c>
      <c r="Q47" t="str">
        <f>VLOOKUP(Table32[[#This Row],[Census Tract]],'ES Energy Burden'!$B$2:$E$914,4,FALSE)</f>
        <v>No</v>
      </c>
    </row>
    <row r="48" spans="1:17" x14ac:dyDescent="0.2">
      <c r="A48" s="100">
        <v>9001210800</v>
      </c>
      <c r="B48" s="38" t="s">
        <v>2761</v>
      </c>
      <c r="C48" s="38" t="s">
        <v>944</v>
      </c>
      <c r="D48" s="40">
        <f>[1]!Table32[[#This Row],[Residential CLM $ Collected]]+[1]!Table32[[#This Row],[C&amp;I CLM $ Collected]]</f>
        <v>6.8383094399999997</v>
      </c>
      <c r="E48" s="36">
        <f>[1]!Table32[[#This Row],[CLM $ Collected ]]/'[1]1.) CLM Reference'!$B$4</f>
        <v>6.066703034852097E-8</v>
      </c>
      <c r="F48" s="37">
        <f>[1]!Table32[[#This Row],[Residential Incentive Disbursements]]+[1]!Table32[[#This Row],[C&amp;I Incentive Disbursements]]</f>
        <v>0</v>
      </c>
      <c r="G48" s="36">
        <f>[1]!Table32[[#This Row],[Incentive Disbursements]]/'[1]1.) CLM Reference'!$B$5</f>
        <v>0</v>
      </c>
      <c r="H48" s="37">
        <v>0</v>
      </c>
      <c r="I48" s="36">
        <f>[1]!Table32[[#This Row],[Residential CLM $ Collected]]/'[1]1.) CLM Reference'!$B$4</f>
        <v>0</v>
      </c>
      <c r="J48" s="41">
        <v>0</v>
      </c>
      <c r="K48" s="36">
        <f>[1]!Table32[[#This Row],[Residential Incentive Disbursements]]/'[1]1.) CLM Reference'!$B$5</f>
        <v>0</v>
      </c>
      <c r="L48" s="37">
        <v>6.8383094399999997</v>
      </c>
      <c r="M48" s="36">
        <f>[1]!Table32[[#This Row],[C&amp;I CLM $ Collected]]/'[1]1.) CLM Reference'!$B$4</f>
        <v>6.066703034852097E-8</v>
      </c>
      <c r="N48" s="41">
        <v>0</v>
      </c>
      <c r="O48" s="39">
        <f>[1]!Table32[[#This Row],[C&amp;I Incentive Disbursements]]/'[1]1.) CLM Reference'!$B$5</f>
        <v>0</v>
      </c>
      <c r="P48">
        <f>VLOOKUP(Table32[[#This Row],[Census Tract]],'Population and Diversity Data'!$B$2:$K$823,10,FALSE)</f>
        <v>4</v>
      </c>
      <c r="Q48" t="str">
        <f>VLOOKUP(Table32[[#This Row],[Census Tract]],'ES Energy Burden'!$B$2:$E$914,4,FALSE)</f>
        <v>No</v>
      </c>
    </row>
    <row r="49" spans="1:17" x14ac:dyDescent="0.2">
      <c r="A49" s="100">
        <v>9001030300</v>
      </c>
      <c r="B49" s="38" t="s">
        <v>2762</v>
      </c>
      <c r="C49" s="38" t="s">
        <v>944</v>
      </c>
      <c r="D49" s="40">
        <f>[1]!Table32[[#This Row],[Residential CLM $ Collected]]+[1]!Table32[[#This Row],[C&amp;I CLM $ Collected]]</f>
        <v>183300.77976191998</v>
      </c>
      <c r="E49" s="36">
        <f>[1]!Table32[[#This Row],[CLM $ Collected ]]/'[1]1.) CLM Reference'!$B$4</f>
        <v>1.6261788189456308E-3</v>
      </c>
      <c r="F49" s="37">
        <f>[1]!Table32[[#This Row],[Residential Incentive Disbursements]]+[1]!Table32[[#This Row],[C&amp;I Incentive Disbursements]]</f>
        <v>290298.239</v>
      </c>
      <c r="G49" s="36">
        <f>[1]!Table32[[#This Row],[Incentive Disbursements]]/'[1]1.) CLM Reference'!$B$5</f>
        <v>3.5516979548521114E-3</v>
      </c>
      <c r="H49" s="37">
        <v>0</v>
      </c>
      <c r="I49" s="36">
        <f>[1]!Table32[[#This Row],[Residential CLM $ Collected]]/'[1]1.) CLM Reference'!$B$4</f>
        <v>0</v>
      </c>
      <c r="J49" s="41">
        <v>0</v>
      </c>
      <c r="K49" s="36">
        <f>[1]!Table32[[#This Row],[Residential Incentive Disbursements]]/'[1]1.) CLM Reference'!$B$5</f>
        <v>0</v>
      </c>
      <c r="L49" s="37">
        <v>183300.77976191998</v>
      </c>
      <c r="M49" s="36">
        <f>[1]!Table32[[#This Row],[C&amp;I CLM $ Collected]]/'[1]1.) CLM Reference'!$B$4</f>
        <v>1.6261788189456308E-3</v>
      </c>
      <c r="N49" s="41">
        <v>290298.239</v>
      </c>
      <c r="O49" s="39">
        <f>[1]!Table32[[#This Row],[C&amp;I Incentive Disbursements]]/'[1]1.) CLM Reference'!$B$5</f>
        <v>3.5516979548521114E-3</v>
      </c>
      <c r="P49">
        <f>VLOOKUP(Table32[[#This Row],[Census Tract]],'Population and Diversity Data'!$B$2:$K$823,10,FALSE)</f>
        <v>1</v>
      </c>
      <c r="Q49" t="str">
        <f>VLOOKUP(Table32[[#This Row],[Census Tract]],'ES Energy Burden'!$B$2:$E$914,4,FALSE)</f>
        <v>No</v>
      </c>
    </row>
    <row r="50" spans="1:17" x14ac:dyDescent="0.2">
      <c r="A50" s="100">
        <v>9007620100</v>
      </c>
      <c r="B50" s="38" t="s">
        <v>2763</v>
      </c>
      <c r="C50" s="38" t="s">
        <v>944</v>
      </c>
      <c r="D50" s="40">
        <f>[1]!Table32[[#This Row],[Residential CLM $ Collected]]+[1]!Table32[[#This Row],[C&amp;I CLM $ Collected]]</f>
        <v>77942.245196159987</v>
      </c>
      <c r="E50" s="36">
        <f>[1]!Table32[[#This Row],[CLM $ Collected ]]/'[1]1.) CLM Reference'!$B$4</f>
        <v>6.9147566313514184E-4</v>
      </c>
      <c r="F50" s="37">
        <f>[1]!Table32[[#This Row],[Residential Incentive Disbursements]]+[1]!Table32[[#This Row],[C&amp;I Incentive Disbursements]]</f>
        <v>44503.199999999997</v>
      </c>
      <c r="G50" s="36">
        <f>[1]!Table32[[#This Row],[Incentive Disbursements]]/'[1]1.) CLM Reference'!$B$5</f>
        <v>5.4448116863834806E-4</v>
      </c>
      <c r="H50" s="37">
        <v>0</v>
      </c>
      <c r="I50" s="36">
        <f>[1]!Table32[[#This Row],[Residential CLM $ Collected]]/'[1]1.) CLM Reference'!$B$4</f>
        <v>0</v>
      </c>
      <c r="J50" s="41">
        <v>0</v>
      </c>
      <c r="K50" s="36">
        <f>[1]!Table32[[#This Row],[Residential Incentive Disbursements]]/'[1]1.) CLM Reference'!$B$5</f>
        <v>0</v>
      </c>
      <c r="L50" s="37">
        <v>77942.245196159987</v>
      </c>
      <c r="M50" s="36">
        <f>[1]!Table32[[#This Row],[C&amp;I CLM $ Collected]]/'[1]1.) CLM Reference'!$B$4</f>
        <v>6.9147566313514184E-4</v>
      </c>
      <c r="N50" s="41">
        <v>44503.199999999997</v>
      </c>
      <c r="O50" s="39">
        <f>[1]!Table32[[#This Row],[C&amp;I Incentive Disbursements]]/'[1]1.) CLM Reference'!$B$5</f>
        <v>5.4448116863834806E-4</v>
      </c>
      <c r="P50">
        <f>VLOOKUP(Table32[[#This Row],[Census Tract]],'Population and Diversity Data'!$B$2:$K$823,10,FALSE)</f>
        <v>1</v>
      </c>
      <c r="Q50" t="str">
        <f>VLOOKUP(Table32[[#This Row],[Census Tract]],'ES Energy Burden'!$B$2:$E$914,4,FALSE)</f>
        <v>No</v>
      </c>
    </row>
    <row r="51" spans="1:17" x14ac:dyDescent="0.2">
      <c r="A51" s="100">
        <v>9007585100</v>
      </c>
      <c r="B51" s="38" t="s">
        <v>2764</v>
      </c>
      <c r="C51" s="38" t="s">
        <v>944</v>
      </c>
      <c r="D51" s="40">
        <f>[1]!Table32[[#This Row],[Residential CLM $ Collected]]+[1]!Table32[[#This Row],[C&amp;I CLM $ Collected]]</f>
        <v>58394.599885440002</v>
      </c>
      <c r="E51" s="36">
        <f>[1]!Table32[[#This Row],[CLM $ Collected ]]/'[1]1.) CLM Reference'!$B$4</f>
        <v>5.180559602520309E-4</v>
      </c>
      <c r="F51" s="37">
        <f>[1]!Table32[[#This Row],[Residential Incentive Disbursements]]+[1]!Table32[[#This Row],[C&amp;I Incentive Disbursements]]</f>
        <v>54684.714999999997</v>
      </c>
      <c r="G51" s="36">
        <f>[1]!Table32[[#This Row],[Incentive Disbursements]]/'[1]1.) CLM Reference'!$B$5</f>
        <v>6.6904846235450483E-4</v>
      </c>
      <c r="H51" s="37">
        <v>0</v>
      </c>
      <c r="I51" s="36">
        <f>[1]!Table32[[#This Row],[Residential CLM $ Collected]]/'[1]1.) CLM Reference'!$B$4</f>
        <v>0</v>
      </c>
      <c r="J51" s="41">
        <v>0</v>
      </c>
      <c r="K51" s="36">
        <f>[1]!Table32[[#This Row],[Residential Incentive Disbursements]]/'[1]1.) CLM Reference'!$B$5</f>
        <v>0</v>
      </c>
      <c r="L51" s="37">
        <v>58394.599885440002</v>
      </c>
      <c r="M51" s="36">
        <f>[1]!Table32[[#This Row],[C&amp;I CLM $ Collected]]/'[1]1.) CLM Reference'!$B$4</f>
        <v>5.180559602520309E-4</v>
      </c>
      <c r="N51" s="41">
        <v>54684.714999999997</v>
      </c>
      <c r="O51" s="39">
        <f>[1]!Table32[[#This Row],[C&amp;I Incentive Disbursements]]/'[1]1.) CLM Reference'!$B$5</f>
        <v>6.6904846235450483E-4</v>
      </c>
      <c r="P51">
        <f>VLOOKUP(Table32[[#This Row],[Census Tract]],'Population and Diversity Data'!$B$2:$K$823,10,FALSE)</f>
        <v>1</v>
      </c>
      <c r="Q51" t="str">
        <f>VLOOKUP(Table32[[#This Row],[Census Tract]],'ES Energy Burden'!$B$2:$E$914,4,FALSE)</f>
        <v>No</v>
      </c>
    </row>
    <row r="52" spans="1:17" x14ac:dyDescent="0.2">
      <c r="A52" s="100">
        <v>9003470100</v>
      </c>
      <c r="B52" s="38" t="s">
        <v>2765</v>
      </c>
      <c r="C52" s="38" t="s">
        <v>944</v>
      </c>
      <c r="D52" s="40">
        <f>[1]!Table32[[#This Row],[Residential CLM $ Collected]]+[1]!Table32[[#This Row],[C&amp;I CLM $ Collected]]</f>
        <v>263392.69178592</v>
      </c>
      <c r="E52" s="36">
        <f>[1]!Table32[[#This Row],[CLM $ Collected ]]/'[1]1.) CLM Reference'!$B$4</f>
        <v>2.3367255556886644E-3</v>
      </c>
      <c r="F52" s="37">
        <f>[1]!Table32[[#This Row],[Residential Incentive Disbursements]]+[1]!Table32[[#This Row],[C&amp;I Incentive Disbursements]]</f>
        <v>22299.75</v>
      </c>
      <c r="G52" s="36">
        <f>[1]!Table32[[#This Row],[Incentive Disbursements]]/'[1]1.) CLM Reference'!$B$5</f>
        <v>2.7282968281703342E-4</v>
      </c>
      <c r="H52" s="37">
        <v>0</v>
      </c>
      <c r="I52" s="36">
        <f>[1]!Table32[[#This Row],[Residential CLM $ Collected]]/'[1]1.) CLM Reference'!$B$4</f>
        <v>0</v>
      </c>
      <c r="J52" s="41">
        <v>0</v>
      </c>
      <c r="K52" s="36">
        <f>[1]!Table32[[#This Row],[Residential Incentive Disbursements]]/'[1]1.) CLM Reference'!$B$5</f>
        <v>0</v>
      </c>
      <c r="L52" s="37">
        <v>263392.69178592</v>
      </c>
      <c r="M52" s="36">
        <f>[1]!Table32[[#This Row],[C&amp;I CLM $ Collected]]/'[1]1.) CLM Reference'!$B$4</f>
        <v>2.3367255556886644E-3</v>
      </c>
      <c r="N52" s="41">
        <v>22299.75</v>
      </c>
      <c r="O52" s="39">
        <f>[1]!Table32[[#This Row],[C&amp;I Incentive Disbursements]]/'[1]1.) CLM Reference'!$B$5</f>
        <v>2.7282968281703342E-4</v>
      </c>
      <c r="P52">
        <f>VLOOKUP(Table32[[#This Row],[Census Tract]],'Population and Diversity Data'!$B$2:$K$823,10,FALSE)</f>
        <v>3</v>
      </c>
      <c r="Q52" t="str">
        <f>VLOOKUP(Table32[[#This Row],[Census Tract]],'ES Energy Burden'!$B$2:$E$914,4,FALSE)</f>
        <v>No</v>
      </c>
    </row>
    <row r="53" spans="1:17" x14ac:dyDescent="0.2">
      <c r="A53" s="100">
        <v>9007595102</v>
      </c>
      <c r="B53" s="38" t="s">
        <v>2766</v>
      </c>
      <c r="C53" s="38" t="s">
        <v>944</v>
      </c>
      <c r="D53" s="40">
        <f>[1]!Table32[[#This Row],[Residential CLM $ Collected]]+[1]!Table32[[#This Row],[C&amp;I CLM $ Collected]]</f>
        <v>12284.052416639999</v>
      </c>
      <c r="E53" s="36">
        <f>[1]!Table32[[#This Row],[CLM $ Collected ]]/'[1]1.) CLM Reference'!$B$4</f>
        <v>1.0897971016110104E-4</v>
      </c>
      <c r="F53" s="37">
        <f>[1]!Table32[[#This Row],[Residential Incentive Disbursements]]+[1]!Table32[[#This Row],[C&amp;I Incentive Disbursements]]</f>
        <v>9580</v>
      </c>
      <c r="G53" s="36">
        <f>[1]!Table32[[#This Row],[Incentive Disbursements]]/'[1]1.) CLM Reference'!$B$5</f>
        <v>1.1720796696766468E-4</v>
      </c>
      <c r="H53" s="37">
        <v>0</v>
      </c>
      <c r="I53" s="36">
        <f>[1]!Table32[[#This Row],[Residential CLM $ Collected]]/'[1]1.) CLM Reference'!$B$4</f>
        <v>0</v>
      </c>
      <c r="J53" s="41">
        <v>0</v>
      </c>
      <c r="K53" s="36">
        <f>[1]!Table32[[#This Row],[Residential Incentive Disbursements]]/'[1]1.) CLM Reference'!$B$5</f>
        <v>0</v>
      </c>
      <c r="L53" s="37">
        <v>12284.052416639999</v>
      </c>
      <c r="M53" s="36">
        <f>[1]!Table32[[#This Row],[C&amp;I CLM $ Collected]]/'[1]1.) CLM Reference'!$B$4</f>
        <v>1.0897971016110104E-4</v>
      </c>
      <c r="N53" s="41">
        <v>9580</v>
      </c>
      <c r="O53" s="39">
        <f>[1]!Table32[[#This Row],[C&amp;I Incentive Disbursements]]/'[1]1.) CLM Reference'!$B$5</f>
        <v>1.1720796696766468E-4</v>
      </c>
      <c r="P53">
        <f>VLOOKUP(Table32[[#This Row],[Census Tract]],'Population and Diversity Data'!$B$2:$K$823,10,FALSE)</f>
        <v>1</v>
      </c>
      <c r="Q53" t="str">
        <f>VLOOKUP(Table32[[#This Row],[Census Tract]],'ES Energy Burden'!$B$2:$E$914,4,FALSE)</f>
        <v>No</v>
      </c>
    </row>
    <row r="54" spans="1:17" x14ac:dyDescent="0.2">
      <c r="A54" s="100">
        <v>9007550100</v>
      </c>
      <c r="B54" s="38" t="s">
        <v>2767</v>
      </c>
      <c r="C54" s="38" t="s">
        <v>944</v>
      </c>
      <c r="D54" s="40">
        <f>[1]!Table32[[#This Row],[Residential CLM $ Collected]]+[1]!Table32[[#This Row],[C&amp;I CLM $ Collected]]</f>
        <v>43185.876096960004</v>
      </c>
      <c r="E54" s="36">
        <f>[1]!Table32[[#This Row],[CLM $ Collected ]]/'[1]1.) CLM Reference'!$B$4</f>
        <v>3.8312961394764534E-4</v>
      </c>
      <c r="F54" s="37">
        <f>[1]!Table32[[#This Row],[Residential Incentive Disbursements]]+[1]!Table32[[#This Row],[C&amp;I Incentive Disbursements]]</f>
        <v>4462.9402</v>
      </c>
      <c r="G54" s="36">
        <f>[1]!Table32[[#This Row],[Incentive Disbursements]]/'[1]1.) CLM Reference'!$B$5</f>
        <v>5.4602520620069181E-5</v>
      </c>
      <c r="H54" s="37">
        <v>0</v>
      </c>
      <c r="I54" s="36">
        <f>[1]!Table32[[#This Row],[Residential CLM $ Collected]]/'[1]1.) CLM Reference'!$B$4</f>
        <v>0</v>
      </c>
      <c r="J54" s="41">
        <v>0</v>
      </c>
      <c r="K54" s="36">
        <f>[1]!Table32[[#This Row],[Residential Incentive Disbursements]]/'[1]1.) CLM Reference'!$B$5</f>
        <v>0</v>
      </c>
      <c r="L54" s="37">
        <v>43185.876096960004</v>
      </c>
      <c r="M54" s="36">
        <f>[1]!Table32[[#This Row],[C&amp;I CLM $ Collected]]/'[1]1.) CLM Reference'!$B$4</f>
        <v>3.8312961394764534E-4</v>
      </c>
      <c r="N54" s="41">
        <v>4462.9402</v>
      </c>
      <c r="O54" s="39">
        <f>[1]!Table32[[#This Row],[C&amp;I Incentive Disbursements]]/'[1]1.) CLM Reference'!$B$5</f>
        <v>5.4602520620069181E-5</v>
      </c>
      <c r="P54">
        <f>VLOOKUP(Table32[[#This Row],[Census Tract]],'Population and Diversity Data'!$B$2:$K$823,10,FALSE)</f>
        <v>3</v>
      </c>
      <c r="Q54" t="str">
        <f>VLOOKUP(Table32[[#This Row],[Census Tract]],'ES Energy Burden'!$B$2:$E$914,4,FALSE)</f>
        <v>No</v>
      </c>
    </row>
    <row r="55" spans="1:17" x14ac:dyDescent="0.2">
      <c r="A55" s="100">
        <v>9003510200</v>
      </c>
      <c r="B55" s="38" t="s">
        <v>2768</v>
      </c>
      <c r="C55" s="38" t="s">
        <v>944</v>
      </c>
      <c r="D55" s="40">
        <f>[1]!Table32[[#This Row],[Residential CLM $ Collected]]+[1]!Table32[[#This Row],[C&amp;I CLM $ Collected]]</f>
        <v>25.598652480000002</v>
      </c>
      <c r="E55" s="36">
        <f>[1]!Table32[[#This Row],[CLM $ Collected ]]/'[1]1.) CLM Reference'!$B$4</f>
        <v>2.2710206967255954E-7</v>
      </c>
      <c r="F55" s="37">
        <f>[1]!Table32[[#This Row],[Residential Incentive Disbursements]]+[1]!Table32[[#This Row],[C&amp;I Incentive Disbursements]]</f>
        <v>0</v>
      </c>
      <c r="G55" s="36">
        <f>[1]!Table32[[#This Row],[Incentive Disbursements]]/'[1]1.) CLM Reference'!$B$5</f>
        <v>0</v>
      </c>
      <c r="H55" s="37">
        <v>0</v>
      </c>
      <c r="I55" s="36">
        <f>[1]!Table32[[#This Row],[Residential CLM $ Collected]]/'[1]1.) CLM Reference'!$B$4</f>
        <v>0</v>
      </c>
      <c r="J55" s="41">
        <v>0</v>
      </c>
      <c r="K55" s="36">
        <f>[1]!Table32[[#This Row],[Residential Incentive Disbursements]]/'[1]1.) CLM Reference'!$B$5</f>
        <v>0</v>
      </c>
      <c r="L55" s="37">
        <v>25.598652480000002</v>
      </c>
      <c r="M55" s="36">
        <f>[1]!Table32[[#This Row],[C&amp;I CLM $ Collected]]/'[1]1.) CLM Reference'!$B$4</f>
        <v>2.2710206967255954E-7</v>
      </c>
      <c r="N55" s="41">
        <v>0</v>
      </c>
      <c r="O55" s="39">
        <f>[1]!Table32[[#This Row],[C&amp;I Incentive Disbursements]]/'[1]1.) CLM Reference'!$B$5</f>
        <v>0</v>
      </c>
      <c r="P55">
        <f>VLOOKUP(Table32[[#This Row],[Census Tract]],'Population and Diversity Data'!$B$2:$K$823,10,FALSE)</f>
        <v>5</v>
      </c>
      <c r="Q55" t="str">
        <f>VLOOKUP(Table32[[#This Row],[Census Tract]],'ES Energy Burden'!$B$2:$E$914,4,FALSE)</f>
        <v>No</v>
      </c>
    </row>
    <row r="56" spans="1:17" x14ac:dyDescent="0.2">
      <c r="A56" s="100">
        <v>9003510400</v>
      </c>
      <c r="B56" s="38" t="s">
        <v>2768</v>
      </c>
      <c r="C56" s="38" t="s">
        <v>944</v>
      </c>
      <c r="D56" s="40">
        <f>[1]!Table32[[#This Row],[Residential CLM $ Collected]]+[1]!Table32[[#This Row],[C&amp;I CLM $ Collected]]</f>
        <v>9.93010752</v>
      </c>
      <c r="E56" s="36">
        <f>[1]!Table32[[#This Row],[CLM $ Collected ]]/'[1]1.) CLM Reference'!$B$4</f>
        <v>8.8096354744648155E-8</v>
      </c>
      <c r="F56" s="37">
        <f>[1]!Table32[[#This Row],[Residential Incentive Disbursements]]+[1]!Table32[[#This Row],[C&amp;I Incentive Disbursements]]</f>
        <v>0</v>
      </c>
      <c r="G56" s="36">
        <f>[1]!Table32[[#This Row],[Incentive Disbursements]]/'[1]1.) CLM Reference'!$B$5</f>
        <v>0</v>
      </c>
      <c r="H56" s="37">
        <v>0</v>
      </c>
      <c r="I56" s="36">
        <f>[1]!Table32[[#This Row],[Residential CLM $ Collected]]/'[1]1.) CLM Reference'!$B$4</f>
        <v>0</v>
      </c>
      <c r="J56" s="41">
        <v>0</v>
      </c>
      <c r="K56" s="36">
        <f>[1]!Table32[[#This Row],[Residential Incentive Disbursements]]/'[1]1.) CLM Reference'!$B$5</f>
        <v>0</v>
      </c>
      <c r="L56" s="37">
        <v>9.93010752</v>
      </c>
      <c r="M56" s="36">
        <f>[1]!Table32[[#This Row],[C&amp;I CLM $ Collected]]/'[1]1.) CLM Reference'!$B$4</f>
        <v>8.8096354744648155E-8</v>
      </c>
      <c r="N56" s="41">
        <v>0</v>
      </c>
      <c r="O56" s="39">
        <f>[1]!Table32[[#This Row],[C&amp;I Incentive Disbursements]]/'[1]1.) CLM Reference'!$B$5</f>
        <v>0</v>
      </c>
      <c r="P56">
        <f>VLOOKUP(Table32[[#This Row],[Census Tract]],'Population and Diversity Data'!$B$2:$K$823,10,FALSE)</f>
        <v>4</v>
      </c>
      <c r="Q56" t="str">
        <f>VLOOKUP(Table32[[#This Row],[Census Tract]],'ES Energy Burden'!$B$2:$E$914,4,FALSE)</f>
        <v>No</v>
      </c>
    </row>
    <row r="57" spans="1:17" x14ac:dyDescent="0.2">
      <c r="A57" s="100">
        <v>9003510600</v>
      </c>
      <c r="B57" s="38" t="s">
        <v>2768</v>
      </c>
      <c r="C57" s="38" t="s">
        <v>944</v>
      </c>
      <c r="D57" s="40">
        <f>[1]!Table32[[#This Row],[Residential CLM $ Collected]]+[1]!Table32[[#This Row],[C&amp;I CLM $ Collected]]</f>
        <v>4.7711289600000004</v>
      </c>
      <c r="E57" s="36">
        <f>[1]!Table32[[#This Row],[CLM $ Collected ]]/'[1]1.) CLM Reference'!$B$4</f>
        <v>4.2327746053712846E-8</v>
      </c>
      <c r="F57" s="37">
        <f>[1]!Table32[[#This Row],[Residential Incentive Disbursements]]+[1]!Table32[[#This Row],[C&amp;I Incentive Disbursements]]</f>
        <v>0</v>
      </c>
      <c r="G57" s="36">
        <f>[1]!Table32[[#This Row],[Incentive Disbursements]]/'[1]1.) CLM Reference'!$B$5</f>
        <v>0</v>
      </c>
      <c r="H57" s="37">
        <v>0</v>
      </c>
      <c r="I57" s="36">
        <f>[1]!Table32[[#This Row],[Residential CLM $ Collected]]/'[1]1.) CLM Reference'!$B$4</f>
        <v>0</v>
      </c>
      <c r="J57" s="41">
        <v>0</v>
      </c>
      <c r="K57" s="36">
        <f>[1]!Table32[[#This Row],[Residential Incentive Disbursements]]/'[1]1.) CLM Reference'!$B$5</f>
        <v>0</v>
      </c>
      <c r="L57" s="37">
        <v>4.7711289600000004</v>
      </c>
      <c r="M57" s="36">
        <f>[1]!Table32[[#This Row],[C&amp;I CLM $ Collected]]/'[1]1.) CLM Reference'!$B$4</f>
        <v>4.2327746053712846E-8</v>
      </c>
      <c r="N57" s="41">
        <v>0</v>
      </c>
      <c r="O57" s="39">
        <f>[1]!Table32[[#This Row],[C&amp;I Incentive Disbursements]]/'[1]1.) CLM Reference'!$B$5</f>
        <v>0</v>
      </c>
      <c r="P57">
        <f>VLOOKUP(Table32[[#This Row],[Census Tract]],'Population and Diversity Data'!$B$2:$K$823,10,FALSE)</f>
        <v>5</v>
      </c>
      <c r="Q57" t="str">
        <f>VLOOKUP(Table32[[#This Row],[Census Tract]],'ES Energy Burden'!$B$2:$E$914,4,FALSE)</f>
        <v>No</v>
      </c>
    </row>
    <row r="58" spans="1:17" x14ac:dyDescent="0.2">
      <c r="A58" s="100">
        <v>9003510700</v>
      </c>
      <c r="B58" s="38" t="s">
        <v>2768</v>
      </c>
      <c r="C58" s="38" t="s">
        <v>944</v>
      </c>
      <c r="D58" s="40">
        <f>[1]!Table32[[#This Row],[Residential CLM $ Collected]]+[1]!Table32[[#This Row],[C&amp;I CLM $ Collected]]</f>
        <v>772130.79901727999</v>
      </c>
      <c r="E58" s="36">
        <f>[1]!Table32[[#This Row],[CLM $ Collected ]]/'[1]1.) CLM Reference'!$B$4</f>
        <v>6.8500676999210305E-3</v>
      </c>
      <c r="F58" s="37">
        <f>[1]!Table32[[#This Row],[Residential Incentive Disbursements]]+[1]!Table32[[#This Row],[C&amp;I Incentive Disbursements]]</f>
        <v>353005.61440000002</v>
      </c>
      <c r="G58" s="36">
        <f>[1]!Table32[[#This Row],[Incentive Disbursements]]/'[1]1.) CLM Reference'!$B$5</f>
        <v>4.3189008759911664E-3</v>
      </c>
      <c r="H58" s="37">
        <v>0</v>
      </c>
      <c r="I58" s="36">
        <f>[1]!Table32[[#This Row],[Residential CLM $ Collected]]/'[1]1.) CLM Reference'!$B$4</f>
        <v>0</v>
      </c>
      <c r="J58" s="41">
        <v>0</v>
      </c>
      <c r="K58" s="36">
        <f>[1]!Table32[[#This Row],[Residential Incentive Disbursements]]/'[1]1.) CLM Reference'!$B$5</f>
        <v>0</v>
      </c>
      <c r="L58" s="37">
        <v>772130.79901727999</v>
      </c>
      <c r="M58" s="36">
        <f>[1]!Table32[[#This Row],[C&amp;I CLM $ Collected]]/'[1]1.) CLM Reference'!$B$4</f>
        <v>6.8500676999210305E-3</v>
      </c>
      <c r="N58" s="41">
        <v>353005.61440000002</v>
      </c>
      <c r="O58" s="39">
        <f>[1]!Table32[[#This Row],[C&amp;I Incentive Disbursements]]/'[1]1.) CLM Reference'!$B$5</f>
        <v>4.3189008759911664E-3</v>
      </c>
      <c r="P58">
        <f>VLOOKUP(Table32[[#This Row],[Census Tract]],'Population and Diversity Data'!$B$2:$K$823,10,FALSE)</f>
        <v>5</v>
      </c>
      <c r="Q58" t="str">
        <f>VLOOKUP(Table32[[#This Row],[Census Tract]],'ES Energy Burden'!$B$2:$E$914,4,FALSE)</f>
        <v>No</v>
      </c>
    </row>
    <row r="59" spans="1:17" x14ac:dyDescent="0.2">
      <c r="A59" s="100">
        <v>9011716102</v>
      </c>
      <c r="B59" s="38" t="s">
        <v>2769</v>
      </c>
      <c r="C59" s="38" t="s">
        <v>944</v>
      </c>
      <c r="D59" s="40">
        <f>[1]!Table32[[#This Row],[Residential CLM $ Collected]]+[1]!Table32[[#This Row],[C&amp;I CLM $ Collected]]</f>
        <v>148791.78171647998</v>
      </c>
      <c r="E59" s="36">
        <f>[1]!Table32[[#This Row],[CLM $ Collected ]]/'[1]1.) CLM Reference'!$B$4</f>
        <v>1.3200273570837704E-3</v>
      </c>
      <c r="F59" s="37">
        <f>[1]!Table32[[#This Row],[Residential Incentive Disbursements]]+[1]!Table32[[#This Row],[C&amp;I Incentive Disbursements]]</f>
        <v>310692.94199999998</v>
      </c>
      <c r="G59" s="36">
        <f>[1]!Table32[[#This Row],[Incentive Disbursements]]/'[1]1.) CLM Reference'!$B$5</f>
        <v>3.801220050419891E-3</v>
      </c>
      <c r="H59" s="37">
        <v>0</v>
      </c>
      <c r="I59" s="36">
        <f>[1]!Table32[[#This Row],[Residential CLM $ Collected]]/'[1]1.) CLM Reference'!$B$4</f>
        <v>0</v>
      </c>
      <c r="J59" s="41">
        <v>0</v>
      </c>
      <c r="K59" s="36">
        <f>[1]!Table32[[#This Row],[Residential Incentive Disbursements]]/'[1]1.) CLM Reference'!$B$5</f>
        <v>0</v>
      </c>
      <c r="L59" s="37">
        <v>148791.78171647998</v>
      </c>
      <c r="M59" s="36">
        <f>[1]!Table32[[#This Row],[C&amp;I CLM $ Collected]]/'[1]1.) CLM Reference'!$B$4</f>
        <v>1.3200273570837704E-3</v>
      </c>
      <c r="N59" s="41">
        <v>310692.94199999998</v>
      </c>
      <c r="O59" s="39">
        <f>[1]!Table32[[#This Row],[C&amp;I Incentive Disbursements]]/'[1]1.) CLM Reference'!$B$5</f>
        <v>3.801220050419891E-3</v>
      </c>
      <c r="P59">
        <f>VLOOKUP(Table32[[#This Row],[Census Tract]],'Population and Diversity Data'!$B$2:$K$823,10,FALSE)</f>
        <v>4</v>
      </c>
      <c r="Q59" t="str">
        <f>VLOOKUP(Table32[[#This Row],[Census Tract]],'ES Energy Burden'!$B$2:$E$914,4,FALSE)</f>
        <v>No</v>
      </c>
    </row>
    <row r="60" spans="1:17" x14ac:dyDescent="0.2">
      <c r="A60" s="100">
        <v>9003484100</v>
      </c>
      <c r="B60" s="38" t="s">
        <v>2770</v>
      </c>
      <c r="C60" s="38" t="s">
        <v>944</v>
      </c>
      <c r="D60" s="40">
        <f>[1]!Table32[[#This Row],[Residential CLM $ Collected]]+[1]!Table32[[#This Row],[C&amp;I CLM $ Collected]]</f>
        <v>217273.30887168</v>
      </c>
      <c r="E60" s="36">
        <f>[1]!Table32[[#This Row],[CLM $ Collected ]]/'[1]1.) CLM Reference'!$B$4</f>
        <v>1.927570920692612E-3</v>
      </c>
      <c r="F60" s="37">
        <f>[1]!Table32[[#This Row],[Residential Incentive Disbursements]]+[1]!Table32[[#This Row],[C&amp;I Incentive Disbursements]]</f>
        <v>52045.17</v>
      </c>
      <c r="G60" s="36">
        <f>[1]!Table32[[#This Row],[Incentive Disbursements]]/'[1]1.) CLM Reference'!$B$5</f>
        <v>6.3675454761863177E-4</v>
      </c>
      <c r="H60" s="37">
        <v>0</v>
      </c>
      <c r="I60" s="36">
        <f>[1]!Table32[[#This Row],[Residential CLM $ Collected]]/'[1]1.) CLM Reference'!$B$4</f>
        <v>0</v>
      </c>
      <c r="J60" s="41">
        <v>0</v>
      </c>
      <c r="K60" s="36">
        <f>[1]!Table32[[#This Row],[Residential Incentive Disbursements]]/'[1]1.) CLM Reference'!$B$5</f>
        <v>0</v>
      </c>
      <c r="L60" s="37">
        <v>217273.30887168</v>
      </c>
      <c r="M60" s="36">
        <f>[1]!Table32[[#This Row],[C&amp;I CLM $ Collected]]/'[1]1.) CLM Reference'!$B$4</f>
        <v>1.927570920692612E-3</v>
      </c>
      <c r="N60" s="41">
        <v>52045.17</v>
      </c>
      <c r="O60" s="39">
        <f>[1]!Table32[[#This Row],[C&amp;I Incentive Disbursements]]/'[1]1.) CLM Reference'!$B$5</f>
        <v>6.3675454761863177E-4</v>
      </c>
      <c r="P60">
        <f>VLOOKUP(Table32[[#This Row],[Census Tract]],'Population and Diversity Data'!$B$2:$K$823,10,FALSE)</f>
        <v>4</v>
      </c>
      <c r="Q60" t="str">
        <f>VLOOKUP(Table32[[#This Row],[Census Tract]],'ES Energy Burden'!$B$2:$E$914,4,FALSE)</f>
        <v>No</v>
      </c>
    </row>
    <row r="61" spans="1:17" x14ac:dyDescent="0.2">
      <c r="A61" s="100">
        <v>9015902200</v>
      </c>
      <c r="B61" s="38" t="s">
        <v>2771</v>
      </c>
      <c r="C61" s="38" t="s">
        <v>944</v>
      </c>
      <c r="D61" s="40">
        <f>[1]!Table32[[#This Row],[Residential CLM $ Collected]]+[1]!Table32[[#This Row],[C&amp;I CLM $ Collected]]</f>
        <v>40202.616280319999</v>
      </c>
      <c r="E61" s="36">
        <f>[1]!Table32[[#This Row],[CLM $ Collected ]]/'[1]1.) CLM Reference'!$B$4</f>
        <v>3.5666320212150514E-4</v>
      </c>
      <c r="F61" s="37">
        <f>[1]!Table32[[#This Row],[Residential Incentive Disbursements]]+[1]!Table32[[#This Row],[C&amp;I Incentive Disbursements]]</f>
        <v>32240</v>
      </c>
      <c r="G61" s="36">
        <f>[1]!Table32[[#This Row],[Incentive Disbursements]]/'[1]1.) CLM Reference'!$B$5</f>
        <v>3.9444518319806983E-4</v>
      </c>
      <c r="H61" s="37">
        <v>0</v>
      </c>
      <c r="I61" s="36">
        <f>[1]!Table32[[#This Row],[Residential CLM $ Collected]]/'[1]1.) CLM Reference'!$B$4</f>
        <v>0</v>
      </c>
      <c r="J61" s="41">
        <v>0</v>
      </c>
      <c r="K61" s="36">
        <f>[1]!Table32[[#This Row],[Residential Incentive Disbursements]]/'[1]1.) CLM Reference'!$B$5</f>
        <v>0</v>
      </c>
      <c r="L61" s="37">
        <v>40202.616280319999</v>
      </c>
      <c r="M61" s="36">
        <f>[1]!Table32[[#This Row],[C&amp;I CLM $ Collected]]/'[1]1.) CLM Reference'!$B$4</f>
        <v>3.5666320212150514E-4</v>
      </c>
      <c r="N61" s="41">
        <v>32240</v>
      </c>
      <c r="O61" s="39">
        <f>[1]!Table32[[#This Row],[C&amp;I Incentive Disbursements]]/'[1]1.) CLM Reference'!$B$5</f>
        <v>3.9444518319806983E-4</v>
      </c>
      <c r="P61">
        <f>VLOOKUP(Table32[[#This Row],[Census Tract]],'Population and Diversity Data'!$B$2:$K$823,10,FALSE)</f>
        <v>2</v>
      </c>
      <c r="Q61" t="str">
        <f>VLOOKUP(Table32[[#This Row],[Census Tract]],'ES Energy Burden'!$B$2:$E$914,4,FALSE)</f>
        <v>No</v>
      </c>
    </row>
    <row r="62" spans="1:17" x14ac:dyDescent="0.2">
      <c r="A62" s="100">
        <v>9013535100</v>
      </c>
      <c r="B62" s="38" t="s">
        <v>2772</v>
      </c>
      <c r="C62" s="38" t="s">
        <v>944</v>
      </c>
      <c r="D62" s="40">
        <f>[1]!Table32[[#This Row],[Residential CLM $ Collected]]+[1]!Table32[[#This Row],[C&amp;I CLM $ Collected]]</f>
        <v>145707.4303488</v>
      </c>
      <c r="E62" s="36">
        <f>[1]!Table32[[#This Row],[CLM $ Collected ]]/'[1]1.) CLM Reference'!$B$4</f>
        <v>1.2926640972502782E-3</v>
      </c>
      <c r="F62" s="37">
        <f>[1]!Table32[[#This Row],[Residential Incentive Disbursements]]+[1]!Table32[[#This Row],[C&amp;I Incentive Disbursements]]</f>
        <v>97005.352199999994</v>
      </c>
      <c r="G62" s="36">
        <f>[1]!Table32[[#This Row],[Incentive Disbursements]]/'[1]1.) CLM Reference'!$B$5</f>
        <v>1.1868267344827012E-3</v>
      </c>
      <c r="H62" s="37">
        <v>0</v>
      </c>
      <c r="I62" s="36">
        <f>[1]!Table32[[#This Row],[Residential CLM $ Collected]]/'[1]1.) CLM Reference'!$B$4</f>
        <v>0</v>
      </c>
      <c r="J62" s="41">
        <v>0</v>
      </c>
      <c r="K62" s="36">
        <f>[1]!Table32[[#This Row],[Residential Incentive Disbursements]]/'[1]1.) CLM Reference'!$B$5</f>
        <v>0</v>
      </c>
      <c r="L62" s="37">
        <v>145707.4303488</v>
      </c>
      <c r="M62" s="36">
        <f>[1]!Table32[[#This Row],[C&amp;I CLM $ Collected]]/'[1]1.) CLM Reference'!$B$4</f>
        <v>1.2926640972502782E-3</v>
      </c>
      <c r="N62" s="41">
        <v>97005.352199999994</v>
      </c>
      <c r="O62" s="39">
        <f>[1]!Table32[[#This Row],[C&amp;I Incentive Disbursements]]/'[1]1.) CLM Reference'!$B$5</f>
        <v>1.1868267344827012E-3</v>
      </c>
      <c r="P62">
        <f>VLOOKUP(Table32[[#This Row],[Census Tract]],'Population and Diversity Data'!$B$2:$K$823,10,FALSE)</f>
        <v>4</v>
      </c>
      <c r="Q62" t="str">
        <f>VLOOKUP(Table32[[#This Row],[Census Tract]],'ES Energy Burden'!$B$2:$E$914,4,FALSE)</f>
        <v>No</v>
      </c>
    </row>
    <row r="63" spans="1:17" x14ac:dyDescent="0.2">
      <c r="A63" s="100">
        <v>9013535200</v>
      </c>
      <c r="B63" s="38" t="s">
        <v>2772</v>
      </c>
      <c r="C63" s="38" t="s">
        <v>944</v>
      </c>
      <c r="D63" s="40">
        <f>[1]!Table32[[#This Row],[Residential CLM $ Collected]]+[1]!Table32[[#This Row],[C&amp;I CLM $ Collected]]</f>
        <v>1031.8449168</v>
      </c>
      <c r="E63" s="36">
        <f>[1]!Table32[[#This Row],[CLM $ Collected ]]/'[1]1.) CLM Reference'!$B$4</f>
        <v>9.1541582655365616E-6</v>
      </c>
      <c r="F63" s="37">
        <f>[1]!Table32[[#This Row],[Residential Incentive Disbursements]]+[1]!Table32[[#This Row],[C&amp;I Incentive Disbursements]]</f>
        <v>0</v>
      </c>
      <c r="G63" s="36">
        <f>[1]!Table32[[#This Row],[Incentive Disbursements]]/'[1]1.) CLM Reference'!$B$5</f>
        <v>0</v>
      </c>
      <c r="H63" s="37">
        <v>0</v>
      </c>
      <c r="I63" s="36">
        <f>[1]!Table32[[#This Row],[Residential CLM $ Collected]]/'[1]1.) CLM Reference'!$B$4</f>
        <v>0</v>
      </c>
      <c r="J63" s="41">
        <v>0</v>
      </c>
      <c r="K63" s="36">
        <f>[1]!Table32[[#This Row],[Residential Incentive Disbursements]]/'[1]1.) CLM Reference'!$B$5</f>
        <v>0</v>
      </c>
      <c r="L63" s="37">
        <v>1031.8449168</v>
      </c>
      <c r="M63" s="36">
        <f>[1]!Table32[[#This Row],[C&amp;I CLM $ Collected]]/'[1]1.) CLM Reference'!$B$4</f>
        <v>9.1541582655365616E-6</v>
      </c>
      <c r="N63" s="41">
        <v>0</v>
      </c>
      <c r="O63" s="39">
        <f>[1]!Table32[[#This Row],[C&amp;I Incentive Disbursements]]/'[1]1.) CLM Reference'!$B$5</f>
        <v>0</v>
      </c>
      <c r="P63">
        <f>VLOOKUP(Table32[[#This Row],[Census Tract]],'Population and Diversity Data'!$B$2:$K$823,10,FALSE)</f>
        <v>5</v>
      </c>
      <c r="Q63" t="str">
        <f>VLOOKUP(Table32[[#This Row],[Census Tract]],'ES Energy Burden'!$B$2:$E$914,4,FALSE)</f>
        <v>No</v>
      </c>
    </row>
    <row r="64" spans="1:17" x14ac:dyDescent="0.2">
      <c r="A64" s="100">
        <v>9003480600</v>
      </c>
      <c r="B64" s="38" t="s">
        <v>2773</v>
      </c>
      <c r="C64" s="38" t="s">
        <v>944</v>
      </c>
      <c r="D64" s="40">
        <f>[1]!Table32[[#This Row],[Residential CLM $ Collected]]+[1]!Table32[[#This Row],[C&amp;I CLM $ Collected]]</f>
        <v>14.697763200000001</v>
      </c>
      <c r="E64" s="36">
        <f>[1]!Table32[[#This Row],[CLM $ Collected ]]/'[1]1.) CLM Reference'!$B$4</f>
        <v>1.3039328710310231E-7</v>
      </c>
      <c r="F64" s="37">
        <f>[1]!Table32[[#This Row],[Residential Incentive Disbursements]]+[1]!Table32[[#This Row],[C&amp;I Incentive Disbursements]]</f>
        <v>0</v>
      </c>
      <c r="G64" s="36">
        <f>[1]!Table32[[#This Row],[Incentive Disbursements]]/'[1]1.) CLM Reference'!$B$5</f>
        <v>0</v>
      </c>
      <c r="H64" s="37">
        <v>0</v>
      </c>
      <c r="I64" s="36">
        <f>[1]!Table32[[#This Row],[Residential CLM $ Collected]]/'[1]1.) CLM Reference'!$B$4</f>
        <v>0</v>
      </c>
      <c r="J64" s="41">
        <v>0</v>
      </c>
      <c r="K64" s="36">
        <f>[1]!Table32[[#This Row],[Residential Incentive Disbursements]]/'[1]1.) CLM Reference'!$B$5</f>
        <v>0</v>
      </c>
      <c r="L64" s="37">
        <v>14.697763200000001</v>
      </c>
      <c r="M64" s="36">
        <f>[1]!Table32[[#This Row],[C&amp;I CLM $ Collected]]/'[1]1.) CLM Reference'!$B$4</f>
        <v>1.3039328710310231E-7</v>
      </c>
      <c r="N64" s="41">
        <v>0</v>
      </c>
      <c r="O64" s="39">
        <f>[1]!Table32[[#This Row],[C&amp;I Incentive Disbursements]]/'[1]1.) CLM Reference'!$B$5</f>
        <v>0</v>
      </c>
      <c r="P64">
        <f>VLOOKUP(Table32[[#This Row],[Census Tract]],'Population and Diversity Data'!$B$2:$K$823,10,FALSE)</f>
        <v>5</v>
      </c>
      <c r="Q64" t="str">
        <f>VLOOKUP(Table32[[#This Row],[Census Tract]],'ES Energy Burden'!$B$2:$E$914,4,FALSE)</f>
        <v>No</v>
      </c>
    </row>
    <row r="65" spans="1:17" x14ac:dyDescent="0.2">
      <c r="A65" s="100">
        <v>9003480800</v>
      </c>
      <c r="B65" s="38" t="s">
        <v>2773</v>
      </c>
      <c r="C65" s="38" t="s">
        <v>944</v>
      </c>
      <c r="D65" s="40">
        <f>[1]!Table32[[#This Row],[Residential CLM $ Collected]]+[1]!Table32[[#This Row],[C&amp;I CLM $ Collected]]</f>
        <v>575090.81244864</v>
      </c>
      <c r="E65" s="36">
        <f>[1]!Table32[[#This Row],[CLM $ Collected ]]/'[1]1.) CLM Reference'!$B$4</f>
        <v>5.1019995626254118E-3</v>
      </c>
      <c r="F65" s="37">
        <f>[1]!Table32[[#This Row],[Residential Incentive Disbursements]]+[1]!Table32[[#This Row],[C&amp;I Incentive Disbursements]]</f>
        <v>298041.04979999998</v>
      </c>
      <c r="G65" s="36">
        <f>[1]!Table32[[#This Row],[Incentive Disbursements]]/'[1]1.) CLM Reference'!$B$5</f>
        <v>3.6464285511447285E-3</v>
      </c>
      <c r="H65" s="37">
        <v>0</v>
      </c>
      <c r="I65" s="36">
        <f>[1]!Table32[[#This Row],[Residential CLM $ Collected]]/'[1]1.) CLM Reference'!$B$4</f>
        <v>0</v>
      </c>
      <c r="J65" s="41">
        <v>0</v>
      </c>
      <c r="K65" s="36">
        <f>[1]!Table32[[#This Row],[Residential Incentive Disbursements]]/'[1]1.) CLM Reference'!$B$5</f>
        <v>0</v>
      </c>
      <c r="L65" s="37">
        <v>575090.81244864</v>
      </c>
      <c r="M65" s="36">
        <f>[1]!Table32[[#This Row],[C&amp;I CLM $ Collected]]/'[1]1.) CLM Reference'!$B$4</f>
        <v>5.1019995626254118E-3</v>
      </c>
      <c r="N65" s="41">
        <v>298041.04979999998</v>
      </c>
      <c r="O65" s="39">
        <f>[1]!Table32[[#This Row],[C&amp;I Incentive Disbursements]]/'[1]1.) CLM Reference'!$B$5</f>
        <v>3.6464285511447285E-3</v>
      </c>
      <c r="P65">
        <f>VLOOKUP(Table32[[#This Row],[Census Tract]],'Population and Diversity Data'!$B$2:$K$823,10,FALSE)</f>
        <v>3</v>
      </c>
      <c r="Q65" t="str">
        <f>VLOOKUP(Table32[[#This Row],[Census Tract]],'ES Energy Burden'!$B$2:$E$914,4,FALSE)</f>
        <v>No</v>
      </c>
    </row>
    <row r="66" spans="1:17" x14ac:dyDescent="0.2">
      <c r="A66" s="100">
        <v>9007630100</v>
      </c>
      <c r="B66" s="38" t="s">
        <v>2774</v>
      </c>
      <c r="C66" s="38" t="s">
        <v>944</v>
      </c>
      <c r="D66" s="40">
        <f>[1]!Table32[[#This Row],[Residential CLM $ Collected]]+[1]!Table32[[#This Row],[C&amp;I CLM $ Collected]]</f>
        <v>68318.609483520006</v>
      </c>
      <c r="E66" s="36">
        <f>[1]!Table32[[#This Row],[CLM $ Collected ]]/'[1]1.) CLM Reference'!$B$4</f>
        <v>6.0609821641903656E-4</v>
      </c>
      <c r="F66" s="37">
        <f>[1]!Table32[[#This Row],[Residential Incentive Disbursements]]+[1]!Table32[[#This Row],[C&amp;I Incentive Disbursements]]</f>
        <v>28963.267</v>
      </c>
      <c r="G66" s="36">
        <f>[1]!Table32[[#This Row],[Incentive Disbursements]]/'[1]1.) CLM Reference'!$B$5</f>
        <v>3.543554949699011E-4</v>
      </c>
      <c r="H66" s="37">
        <v>0</v>
      </c>
      <c r="I66" s="36">
        <f>[1]!Table32[[#This Row],[Residential CLM $ Collected]]/'[1]1.) CLM Reference'!$B$4</f>
        <v>0</v>
      </c>
      <c r="J66" s="41">
        <v>0</v>
      </c>
      <c r="K66" s="36">
        <f>[1]!Table32[[#This Row],[Residential Incentive Disbursements]]/'[1]1.) CLM Reference'!$B$5</f>
        <v>0</v>
      </c>
      <c r="L66" s="37">
        <v>68318.609483520006</v>
      </c>
      <c r="M66" s="36">
        <f>[1]!Table32[[#This Row],[C&amp;I CLM $ Collected]]/'[1]1.) CLM Reference'!$B$4</f>
        <v>6.0609821641903656E-4</v>
      </c>
      <c r="N66" s="41">
        <v>28963.267</v>
      </c>
      <c r="O66" s="39">
        <f>[1]!Table32[[#This Row],[C&amp;I Incentive Disbursements]]/'[1]1.) CLM Reference'!$B$5</f>
        <v>3.543554949699011E-4</v>
      </c>
      <c r="P66">
        <f>VLOOKUP(Table32[[#This Row],[Census Tract]],'Population and Diversity Data'!$B$2:$K$823,10,FALSE)</f>
        <v>2</v>
      </c>
      <c r="Q66" t="str">
        <f>VLOOKUP(Table32[[#This Row],[Census Tract]],'ES Energy Burden'!$B$2:$E$914,4,FALSE)</f>
        <v>No</v>
      </c>
    </row>
    <row r="67" spans="1:17" x14ac:dyDescent="0.2">
      <c r="A67" s="100">
        <v>9003460204</v>
      </c>
      <c r="B67" s="38" t="s">
        <v>2775</v>
      </c>
      <c r="C67" s="38" t="s">
        <v>944</v>
      </c>
      <c r="D67" s="40">
        <f>[1]!Table32[[#This Row],[Residential CLM $ Collected]]+[1]!Table32[[#This Row],[C&amp;I CLM $ Collected]]</f>
        <v>477566.11562399997</v>
      </c>
      <c r="E67" s="36">
        <f>[1]!Table32[[#This Row],[CLM $ Collected ]]/'[1]1.) CLM Reference'!$B$4</f>
        <v>4.2367954074313549E-3</v>
      </c>
      <c r="F67" s="37">
        <f>[1]!Table32[[#This Row],[Residential Incentive Disbursements]]+[1]!Table32[[#This Row],[C&amp;I Incentive Disbursements]]</f>
        <v>820235.52520000003</v>
      </c>
      <c r="G67" s="36">
        <f>[1]!Table32[[#This Row],[Incentive Disbursements]]/'[1]1.) CLM Reference'!$B$5</f>
        <v>1.0035296278011138E-2</v>
      </c>
      <c r="H67" s="37">
        <v>0</v>
      </c>
      <c r="I67" s="36">
        <f>[1]!Table32[[#This Row],[Residential CLM $ Collected]]/'[1]1.) CLM Reference'!$B$4</f>
        <v>0</v>
      </c>
      <c r="J67" s="41">
        <v>0</v>
      </c>
      <c r="K67" s="36">
        <f>[1]!Table32[[#This Row],[Residential Incentive Disbursements]]/'[1]1.) CLM Reference'!$B$5</f>
        <v>0</v>
      </c>
      <c r="L67" s="37">
        <v>477566.11562399997</v>
      </c>
      <c r="M67" s="36">
        <f>[1]!Table32[[#This Row],[C&amp;I CLM $ Collected]]/'[1]1.) CLM Reference'!$B$4</f>
        <v>4.2367954074313549E-3</v>
      </c>
      <c r="N67" s="41">
        <v>820235.52520000003</v>
      </c>
      <c r="O67" s="39">
        <f>[1]!Table32[[#This Row],[C&amp;I Incentive Disbursements]]/'[1]1.) CLM Reference'!$B$5</f>
        <v>1.0035296278011138E-2</v>
      </c>
      <c r="P67">
        <f>VLOOKUP(Table32[[#This Row],[Census Tract]],'Population and Diversity Data'!$B$2:$K$823,10,FALSE)</f>
        <v>4</v>
      </c>
      <c r="Q67" t="str">
        <f>VLOOKUP(Table32[[#This Row],[Census Tract]],'ES Energy Burden'!$B$2:$E$914,4,FALSE)</f>
        <v>No</v>
      </c>
    </row>
    <row r="68" spans="1:17" x14ac:dyDescent="0.2">
      <c r="A68" s="100">
        <v>9003496200</v>
      </c>
      <c r="B68" s="38" t="s">
        <v>2775</v>
      </c>
      <c r="C68" s="38" t="s">
        <v>944</v>
      </c>
      <c r="D68" s="40">
        <f>[1]!Table32[[#This Row],[Residential CLM $ Collected]]+[1]!Table32[[#This Row],[C&amp;I CLM $ Collected]]</f>
        <v>556925.3484940799</v>
      </c>
      <c r="E68" s="36">
        <f>[1]!Table32[[#This Row],[CLM $ Collected ]]/'[1]1.) CLM Reference'!$B$4</f>
        <v>4.9408420773294172E-3</v>
      </c>
      <c r="F68" s="37">
        <f>[1]!Table32[[#This Row],[Residential Incentive Disbursements]]+[1]!Table32[[#This Row],[C&amp;I Incentive Disbursements]]</f>
        <v>0</v>
      </c>
      <c r="G68" s="36">
        <f>[1]!Table32[[#This Row],[Incentive Disbursements]]/'[1]1.) CLM Reference'!$B$5</f>
        <v>0</v>
      </c>
      <c r="H68" s="37">
        <v>0</v>
      </c>
      <c r="I68" s="36">
        <f>[1]!Table32[[#This Row],[Residential CLM $ Collected]]/'[1]1.) CLM Reference'!$B$4</f>
        <v>0</v>
      </c>
      <c r="J68" s="41">
        <v>0</v>
      </c>
      <c r="K68" s="36">
        <f>[1]!Table32[[#This Row],[Residential Incentive Disbursements]]/'[1]1.) CLM Reference'!$B$5</f>
        <v>0</v>
      </c>
      <c r="L68" s="37">
        <v>556925.3484940799</v>
      </c>
      <c r="M68" s="36">
        <f>[1]!Table32[[#This Row],[C&amp;I CLM $ Collected]]/'[1]1.) CLM Reference'!$B$4</f>
        <v>4.9408420773294172E-3</v>
      </c>
      <c r="N68" s="41">
        <v>0</v>
      </c>
      <c r="O68" s="39">
        <f>[1]!Table32[[#This Row],[C&amp;I Incentive Disbursements]]/'[1]1.) CLM Reference'!$B$5</f>
        <v>0</v>
      </c>
      <c r="P68">
        <f>VLOOKUP(Table32[[#This Row],[Census Tract]],'Population and Diversity Data'!$B$2:$K$823,10,FALSE)</f>
        <v>5</v>
      </c>
      <c r="Q68" t="str">
        <f>VLOOKUP(Table32[[#This Row],[Census Tract]],'ES Energy Burden'!$B$2:$E$914,4,FALSE)</f>
        <v>No</v>
      </c>
    </row>
    <row r="69" spans="1:17" x14ac:dyDescent="0.2">
      <c r="A69" s="100">
        <v>9011712100</v>
      </c>
      <c r="B69" s="38" t="s">
        <v>2776</v>
      </c>
      <c r="C69" s="38" t="s">
        <v>944</v>
      </c>
      <c r="D69" s="40">
        <f>[1]!Table32[[#This Row],[Residential CLM $ Collected]]+[1]!Table32[[#This Row],[C&amp;I CLM $ Collected]]</f>
        <v>8752.7854281600012</v>
      </c>
      <c r="E69" s="36">
        <f>[1]!Table32[[#This Row],[CLM $ Collected ]]/'[1]1.) CLM Reference'!$B$4</f>
        <v>7.7651575124432351E-5</v>
      </c>
      <c r="F69" s="37">
        <f>[1]!Table32[[#This Row],[Residential Incentive Disbursements]]+[1]!Table32[[#This Row],[C&amp;I Incentive Disbursements]]</f>
        <v>1672.8</v>
      </c>
      <c r="G69" s="36">
        <f>[1]!Table32[[#This Row],[Incentive Disbursements]]/'[1]1.) CLM Reference'!$B$5</f>
        <v>2.0466126006629379E-5</v>
      </c>
      <c r="H69" s="37">
        <v>0</v>
      </c>
      <c r="I69" s="36">
        <f>[1]!Table32[[#This Row],[Residential CLM $ Collected]]/'[1]1.) CLM Reference'!$B$4</f>
        <v>0</v>
      </c>
      <c r="J69" s="41">
        <v>0</v>
      </c>
      <c r="K69" s="36">
        <f>[1]!Table32[[#This Row],[Residential Incentive Disbursements]]/'[1]1.) CLM Reference'!$B$5</f>
        <v>0</v>
      </c>
      <c r="L69" s="37">
        <v>8752.7854281600012</v>
      </c>
      <c r="M69" s="36">
        <f>[1]!Table32[[#This Row],[C&amp;I CLM $ Collected]]/'[1]1.) CLM Reference'!$B$4</f>
        <v>7.7651575124432351E-5</v>
      </c>
      <c r="N69" s="41">
        <v>1672.8</v>
      </c>
      <c r="O69" s="39">
        <f>[1]!Table32[[#This Row],[C&amp;I Incentive Disbursements]]/'[1]1.) CLM Reference'!$B$5</f>
        <v>2.0466126006629379E-5</v>
      </c>
      <c r="P69">
        <f>VLOOKUP(Table32[[#This Row],[Census Tract]],'Population and Diversity Data'!$B$2:$K$823,10,FALSE)</f>
        <v>1</v>
      </c>
      <c r="Q69" t="str">
        <f>VLOOKUP(Table32[[#This Row],[Census Tract]],'ES Energy Burden'!$B$2:$E$914,4,FALSE)</f>
        <v>No</v>
      </c>
    </row>
    <row r="70" spans="1:17" x14ac:dyDescent="0.2">
      <c r="A70" s="100">
        <v>9003520201</v>
      </c>
      <c r="B70" s="38" t="s">
        <v>2777</v>
      </c>
      <c r="C70" s="38" t="s">
        <v>944</v>
      </c>
      <c r="D70" s="40">
        <f>[1]!Table32[[#This Row],[Residential CLM $ Collected]]+[1]!Table32[[#This Row],[C&amp;I CLM $ Collected]]</f>
        <v>5.7367007999999995</v>
      </c>
      <c r="E70" s="36">
        <f>[1]!Table32[[#This Row],[CLM $ Collected ]]/'[1]1.) CLM Reference'!$B$4</f>
        <v>5.0893953335633855E-8</v>
      </c>
      <c r="F70" s="37">
        <f>[1]!Table32[[#This Row],[Residential Incentive Disbursements]]+[1]!Table32[[#This Row],[C&amp;I Incentive Disbursements]]</f>
        <v>0</v>
      </c>
      <c r="G70" s="36">
        <f>[1]!Table32[[#This Row],[Incentive Disbursements]]/'[1]1.) CLM Reference'!$B$5</f>
        <v>0</v>
      </c>
      <c r="H70" s="37">
        <v>0</v>
      </c>
      <c r="I70" s="36">
        <f>[1]!Table32[[#This Row],[Residential CLM $ Collected]]/'[1]1.) CLM Reference'!$B$4</f>
        <v>0</v>
      </c>
      <c r="J70" s="41">
        <v>0</v>
      </c>
      <c r="K70" s="36">
        <f>[1]!Table32[[#This Row],[Residential Incentive Disbursements]]/'[1]1.) CLM Reference'!$B$5</f>
        <v>0</v>
      </c>
      <c r="L70" s="37">
        <v>5.7367007999999995</v>
      </c>
      <c r="M70" s="36">
        <f>[1]!Table32[[#This Row],[C&amp;I CLM $ Collected]]/'[1]1.) CLM Reference'!$B$4</f>
        <v>5.0893953335633855E-8</v>
      </c>
      <c r="N70" s="41">
        <v>0</v>
      </c>
      <c r="O70" s="39">
        <f>[1]!Table32[[#This Row],[C&amp;I Incentive Disbursements]]/'[1]1.) CLM Reference'!$B$5</f>
        <v>0</v>
      </c>
      <c r="P70">
        <f>VLOOKUP(Table32[[#This Row],[Census Tract]],'Population and Diversity Data'!$B$2:$K$823,10,FALSE)</f>
        <v>4</v>
      </c>
      <c r="Q70" t="str">
        <f>VLOOKUP(Table32[[#This Row],[Census Tract]],'ES Energy Burden'!$B$2:$E$914,4,FALSE)</f>
        <v>No</v>
      </c>
    </row>
    <row r="71" spans="1:17" x14ac:dyDescent="0.2">
      <c r="A71" s="100">
        <v>9003520301</v>
      </c>
      <c r="B71" s="38" t="s">
        <v>2777</v>
      </c>
      <c r="C71" s="38" t="s">
        <v>944</v>
      </c>
      <c r="D71" s="40">
        <f>[1]!Table32[[#This Row],[Residential CLM $ Collected]]+[1]!Table32[[#This Row],[C&amp;I CLM $ Collected]]</f>
        <v>79.242883199999994</v>
      </c>
      <c r="E71" s="36">
        <f>[1]!Table32[[#This Row],[CLM $ Collected ]]/'[1]1.) CLM Reference'!$B$4</f>
        <v>7.0301445732743881E-7</v>
      </c>
      <c r="F71" s="37">
        <f>[1]!Table32[[#This Row],[Residential Incentive Disbursements]]+[1]!Table32[[#This Row],[C&amp;I Incentive Disbursements]]</f>
        <v>0</v>
      </c>
      <c r="G71" s="36">
        <f>[1]!Table32[[#This Row],[Incentive Disbursements]]/'[1]1.) CLM Reference'!$B$5</f>
        <v>0</v>
      </c>
      <c r="H71" s="37">
        <v>0</v>
      </c>
      <c r="I71" s="36">
        <f>[1]!Table32[[#This Row],[Residential CLM $ Collected]]/'[1]1.) CLM Reference'!$B$4</f>
        <v>0</v>
      </c>
      <c r="J71" s="41">
        <v>0</v>
      </c>
      <c r="K71" s="36">
        <f>[1]!Table32[[#This Row],[Residential Incentive Disbursements]]/'[1]1.) CLM Reference'!$B$5</f>
        <v>0</v>
      </c>
      <c r="L71" s="37">
        <v>79.242883199999994</v>
      </c>
      <c r="M71" s="36">
        <f>[1]!Table32[[#This Row],[C&amp;I CLM $ Collected]]/'[1]1.) CLM Reference'!$B$4</f>
        <v>7.0301445732743881E-7</v>
      </c>
      <c r="N71" s="41">
        <v>0</v>
      </c>
      <c r="O71" s="39">
        <f>[1]!Table32[[#This Row],[C&amp;I Incentive Disbursements]]/'[1]1.) CLM Reference'!$B$5</f>
        <v>0</v>
      </c>
      <c r="P71">
        <f>VLOOKUP(Table32[[#This Row],[Census Tract]],'Population and Diversity Data'!$B$2:$K$823,10,FALSE)</f>
        <v>4</v>
      </c>
      <c r="Q71" t="str">
        <f>VLOOKUP(Table32[[#This Row],[Census Tract]],'ES Energy Burden'!$B$2:$E$914,4,FALSE)</f>
        <v>No</v>
      </c>
    </row>
    <row r="72" spans="1:17" x14ac:dyDescent="0.2">
      <c r="A72" s="100">
        <v>9003520400</v>
      </c>
      <c r="B72" s="38" t="s">
        <v>2777</v>
      </c>
      <c r="C72" s="38" t="s">
        <v>944</v>
      </c>
      <c r="D72" s="40">
        <f>[1]!Table32[[#This Row],[Residential CLM $ Collected]]+[1]!Table32[[#This Row],[C&amp;I CLM $ Collected]]</f>
        <v>327329.96231520001</v>
      </c>
      <c r="E72" s="36">
        <f>[1]!Table32[[#This Row],[CLM $ Collected ]]/'[1]1.) CLM Reference'!$B$4</f>
        <v>2.9039541032756283E-3</v>
      </c>
      <c r="F72" s="37">
        <f>[1]!Table32[[#This Row],[Residential Incentive Disbursements]]+[1]!Table32[[#This Row],[C&amp;I Incentive Disbursements]]</f>
        <v>320498.71610000002</v>
      </c>
      <c r="G72" s="36">
        <f>[1]!Table32[[#This Row],[Incentive Disbursements]]/'[1]1.) CLM Reference'!$B$5</f>
        <v>3.9211902849507034E-3</v>
      </c>
      <c r="H72" s="37">
        <v>0</v>
      </c>
      <c r="I72" s="36">
        <f>[1]!Table32[[#This Row],[Residential CLM $ Collected]]/'[1]1.) CLM Reference'!$B$4</f>
        <v>0</v>
      </c>
      <c r="J72" s="41">
        <v>0</v>
      </c>
      <c r="K72" s="36">
        <f>[1]!Table32[[#This Row],[Residential Incentive Disbursements]]/'[1]1.) CLM Reference'!$B$5</f>
        <v>0</v>
      </c>
      <c r="L72" s="37">
        <v>327329.96231520001</v>
      </c>
      <c r="M72" s="36">
        <f>[1]!Table32[[#This Row],[C&amp;I CLM $ Collected]]/'[1]1.) CLM Reference'!$B$4</f>
        <v>2.9039541032756283E-3</v>
      </c>
      <c r="N72" s="41">
        <v>320498.71610000002</v>
      </c>
      <c r="O72" s="39">
        <f>[1]!Table32[[#This Row],[C&amp;I Incentive Disbursements]]/'[1]1.) CLM Reference'!$B$5</f>
        <v>3.9211902849507034E-3</v>
      </c>
      <c r="P72">
        <f>VLOOKUP(Table32[[#This Row],[Census Tract]],'Population and Diversity Data'!$B$2:$K$823,10,FALSE)</f>
        <v>3</v>
      </c>
      <c r="Q72" t="str">
        <f>VLOOKUP(Table32[[#This Row],[Census Tract]],'ES Energy Burden'!$B$2:$E$914,4,FALSE)</f>
        <v>No</v>
      </c>
    </row>
    <row r="73" spans="1:17" x14ac:dyDescent="0.2">
      <c r="A73" s="100">
        <v>9005296100</v>
      </c>
      <c r="B73" s="38" t="s">
        <v>2778</v>
      </c>
      <c r="C73" s="38" t="s">
        <v>944</v>
      </c>
      <c r="D73" s="40">
        <f>[1]!Table32[[#This Row],[Residential CLM $ Collected]]+[1]!Table32[[#This Row],[C&amp;I CLM $ Collected]]</f>
        <v>1720.7572694400001</v>
      </c>
      <c r="E73" s="36">
        <f>[1]!Table32[[#This Row],[CLM $ Collected ]]/'[1]1.) CLM Reference'!$B$4</f>
        <v>1.5265941736552151E-5</v>
      </c>
      <c r="F73" s="37">
        <f>[1]!Table32[[#This Row],[Residential Incentive Disbursements]]+[1]!Table32[[#This Row],[C&amp;I Incentive Disbursements]]</f>
        <v>0</v>
      </c>
      <c r="G73" s="36">
        <f>[1]!Table32[[#This Row],[Incentive Disbursements]]/'[1]1.) CLM Reference'!$B$5</f>
        <v>0</v>
      </c>
      <c r="H73" s="37">
        <v>0</v>
      </c>
      <c r="I73" s="36">
        <f>[1]!Table32[[#This Row],[Residential CLM $ Collected]]/'[1]1.) CLM Reference'!$B$4</f>
        <v>0</v>
      </c>
      <c r="J73" s="41">
        <v>0</v>
      </c>
      <c r="K73" s="36">
        <f>[1]!Table32[[#This Row],[Residential Incentive Disbursements]]/'[1]1.) CLM Reference'!$B$5</f>
        <v>0</v>
      </c>
      <c r="L73" s="37">
        <v>1720.7572694400001</v>
      </c>
      <c r="M73" s="36">
        <f>[1]!Table32[[#This Row],[C&amp;I CLM $ Collected]]/'[1]1.) CLM Reference'!$B$4</f>
        <v>1.5265941736552151E-5</v>
      </c>
      <c r="N73" s="41">
        <v>0</v>
      </c>
      <c r="O73" s="39">
        <f>[1]!Table32[[#This Row],[C&amp;I Incentive Disbursements]]/'[1]1.) CLM Reference'!$B$5</f>
        <v>0</v>
      </c>
      <c r="P73">
        <f>VLOOKUP(Table32[[#This Row],[Census Tract]],'Population and Diversity Data'!$B$2:$K$823,10,FALSE)</f>
        <v>3</v>
      </c>
      <c r="Q73" t="str">
        <f>VLOOKUP(Table32[[#This Row],[Census Tract]],'ES Energy Burden'!$B$2:$E$914,4,FALSE)</f>
        <v>No</v>
      </c>
    </row>
    <row r="74" spans="1:17" x14ac:dyDescent="0.2">
      <c r="A74" s="100">
        <v>9003468101</v>
      </c>
      <c r="B74" s="38" t="s">
        <v>2779</v>
      </c>
      <c r="C74" s="38" t="s">
        <v>944</v>
      </c>
      <c r="D74" s="40">
        <f>[1]!Table32[[#This Row],[Residential CLM $ Collected]]+[1]!Table32[[#This Row],[C&amp;I CLM $ Collected]]</f>
        <v>51979.479511679994</v>
      </c>
      <c r="E74" s="36">
        <f>[1]!Table32[[#This Row],[CLM $ Collected ]]/'[1]1.) CLM Reference'!$B$4</f>
        <v>4.6114331161875794E-4</v>
      </c>
      <c r="F74" s="37">
        <f>[1]!Table32[[#This Row],[Residential Incentive Disbursements]]+[1]!Table32[[#This Row],[C&amp;I Incentive Disbursements]]</f>
        <v>6135.7402000000002</v>
      </c>
      <c r="G74" s="36">
        <f>[1]!Table32[[#This Row],[Incentive Disbursements]]/'[1]1.) CLM Reference'!$B$5</f>
        <v>7.5068646626698564E-5</v>
      </c>
      <c r="H74" s="37">
        <v>0</v>
      </c>
      <c r="I74" s="36">
        <f>[1]!Table32[[#This Row],[Residential CLM $ Collected]]/'[1]1.) CLM Reference'!$B$4</f>
        <v>0</v>
      </c>
      <c r="J74" s="41">
        <v>0</v>
      </c>
      <c r="K74" s="36">
        <f>[1]!Table32[[#This Row],[Residential Incentive Disbursements]]/'[1]1.) CLM Reference'!$B$5</f>
        <v>0</v>
      </c>
      <c r="L74" s="37">
        <v>51979.479511679994</v>
      </c>
      <c r="M74" s="36">
        <f>[1]!Table32[[#This Row],[C&amp;I CLM $ Collected]]/'[1]1.) CLM Reference'!$B$4</f>
        <v>4.6114331161875794E-4</v>
      </c>
      <c r="N74" s="41">
        <v>6135.7402000000002</v>
      </c>
      <c r="O74" s="39">
        <f>[1]!Table32[[#This Row],[C&amp;I Incentive Disbursements]]/'[1]1.) CLM Reference'!$B$5</f>
        <v>7.5068646626698564E-5</v>
      </c>
      <c r="P74">
        <f>VLOOKUP(Table32[[#This Row],[Census Tract]],'Population and Diversity Data'!$B$2:$K$823,10,FALSE)</f>
        <v>1</v>
      </c>
      <c r="Q74" t="str">
        <f>VLOOKUP(Table32[[#This Row],[Census Tract]],'ES Energy Burden'!$B$2:$E$914,4,FALSE)</f>
        <v>No</v>
      </c>
    </row>
    <row r="75" spans="1:17" x14ac:dyDescent="0.2">
      <c r="A75" s="100">
        <v>9001010102</v>
      </c>
      <c r="B75" s="38" t="s">
        <v>2780</v>
      </c>
      <c r="C75" s="38" t="s">
        <v>944</v>
      </c>
      <c r="D75" s="40">
        <f>[1]!Table32[[#This Row],[Residential CLM $ Collected]]+[1]!Table32[[#This Row],[C&amp;I CLM $ Collected]]</f>
        <v>1130232.5019936</v>
      </c>
      <c r="E75" s="36">
        <f>[1]!Table32[[#This Row],[CLM $ Collected ]]/'[1]1.) CLM Reference'!$B$4</f>
        <v>1.0027017657061526E-2</v>
      </c>
      <c r="F75" s="37">
        <f>[1]!Table32[[#This Row],[Residential Incentive Disbursements]]+[1]!Table32[[#This Row],[C&amp;I Incentive Disbursements]]</f>
        <v>1375074.5629</v>
      </c>
      <c r="G75" s="36">
        <f>[1]!Table32[[#This Row],[Incentive Disbursements]]/'[1]1.) CLM Reference'!$B$5</f>
        <v>1.6823558867062542E-2</v>
      </c>
      <c r="H75" s="37">
        <v>4234.0979318400005</v>
      </c>
      <c r="I75" s="36">
        <f>[1]!Table32[[#This Row],[Residential CLM $ Collected]]/'[1]1.) CLM Reference'!$B$4</f>
        <v>3.7563399255817703E-5</v>
      </c>
      <c r="J75" s="41">
        <v>0</v>
      </c>
      <c r="K75" s="36">
        <f>[1]!Table32[[#This Row],[Residential Incentive Disbursements]]/'[1]1.) CLM Reference'!$B$5</f>
        <v>0</v>
      </c>
      <c r="L75" s="37">
        <v>1125998.4040617601</v>
      </c>
      <c r="M75" s="36">
        <f>[1]!Table32[[#This Row],[C&amp;I CLM $ Collected]]/'[1]1.) CLM Reference'!$B$4</f>
        <v>9.9894542578057091E-3</v>
      </c>
      <c r="N75" s="41">
        <v>1375074.5629</v>
      </c>
      <c r="O75" s="39">
        <f>[1]!Table32[[#This Row],[C&amp;I Incentive Disbursements]]/'[1]1.) CLM Reference'!$B$5</f>
        <v>1.6823558867062542E-2</v>
      </c>
      <c r="P75">
        <f>VLOOKUP(Table32[[#This Row],[Census Tract]],'Population and Diversity Data'!$B$2:$K$823,10,FALSE)</f>
        <v>3</v>
      </c>
      <c r="Q75" t="str">
        <f>VLOOKUP(Table32[[#This Row],[Census Tract]],'ES Energy Burden'!$B$2:$E$914,4,FALSE)</f>
        <v>No</v>
      </c>
    </row>
    <row r="76" spans="1:17" x14ac:dyDescent="0.2">
      <c r="A76" s="100">
        <v>9001010300</v>
      </c>
      <c r="B76" s="38" t="s">
        <v>2780</v>
      </c>
      <c r="C76" s="38" t="s">
        <v>944</v>
      </c>
      <c r="D76" s="40">
        <f>[1]!Table32[[#This Row],[Residential CLM $ Collected]]+[1]!Table32[[#This Row],[C&amp;I CLM $ Collected]]</f>
        <v>5.4686793600000003</v>
      </c>
      <c r="E76" s="36">
        <f>[1]!Table32[[#This Row],[CLM $ Collected ]]/'[1]1.) CLM Reference'!$B$4</f>
        <v>4.8516163184836841E-8</v>
      </c>
      <c r="F76" s="37">
        <f>[1]!Table32[[#This Row],[Residential Incentive Disbursements]]+[1]!Table32[[#This Row],[C&amp;I Incentive Disbursements]]</f>
        <v>0</v>
      </c>
      <c r="G76" s="36">
        <f>[1]!Table32[[#This Row],[Incentive Disbursements]]/'[1]1.) CLM Reference'!$B$5</f>
        <v>0</v>
      </c>
      <c r="H76" s="37">
        <v>0</v>
      </c>
      <c r="I76" s="36">
        <f>[1]!Table32[[#This Row],[Residential CLM $ Collected]]/'[1]1.) CLM Reference'!$B$4</f>
        <v>0</v>
      </c>
      <c r="J76" s="41">
        <v>0</v>
      </c>
      <c r="K76" s="36">
        <f>[1]!Table32[[#This Row],[Residential Incentive Disbursements]]/'[1]1.) CLM Reference'!$B$5</f>
        <v>0</v>
      </c>
      <c r="L76" s="37">
        <v>5.4686793600000003</v>
      </c>
      <c r="M76" s="36">
        <f>[1]!Table32[[#This Row],[C&amp;I CLM $ Collected]]/'[1]1.) CLM Reference'!$B$4</f>
        <v>4.8516163184836841E-8</v>
      </c>
      <c r="N76" s="41">
        <v>0</v>
      </c>
      <c r="O76" s="39">
        <f>[1]!Table32[[#This Row],[C&amp;I Incentive Disbursements]]/'[1]1.) CLM Reference'!$B$5</f>
        <v>0</v>
      </c>
      <c r="P76">
        <f>VLOOKUP(Table32[[#This Row],[Census Tract]],'Population and Diversity Data'!$B$2:$K$823,10,FALSE)</f>
        <v>2</v>
      </c>
      <c r="Q76" t="str">
        <f>VLOOKUP(Table32[[#This Row],[Census Tract]],'ES Energy Burden'!$B$2:$E$914,4,FALSE)</f>
        <v>No</v>
      </c>
    </row>
    <row r="77" spans="1:17" x14ac:dyDescent="0.2">
      <c r="A77" s="100">
        <v>9001010500</v>
      </c>
      <c r="B77" s="38" t="s">
        <v>2780</v>
      </c>
      <c r="C77" s="38" t="s">
        <v>944</v>
      </c>
      <c r="D77" s="40">
        <f>[1]!Table32[[#This Row],[Residential CLM $ Collected]]+[1]!Table32[[#This Row],[C&amp;I CLM $ Collected]]</f>
        <v>31.89744576</v>
      </c>
      <c r="E77" s="36">
        <f>[1]!Table32[[#This Row],[CLM $ Collected ]]/'[1]1.) CLM Reference'!$B$4</f>
        <v>2.8298270602422777E-7</v>
      </c>
      <c r="F77" s="37">
        <f>[1]!Table32[[#This Row],[Residential Incentive Disbursements]]+[1]!Table32[[#This Row],[C&amp;I Incentive Disbursements]]</f>
        <v>0</v>
      </c>
      <c r="G77" s="36">
        <f>[1]!Table32[[#This Row],[Incentive Disbursements]]/'[1]1.) CLM Reference'!$B$5</f>
        <v>0</v>
      </c>
      <c r="H77" s="37">
        <v>0</v>
      </c>
      <c r="I77" s="36">
        <f>[1]!Table32[[#This Row],[Residential CLM $ Collected]]/'[1]1.) CLM Reference'!$B$4</f>
        <v>0</v>
      </c>
      <c r="J77" s="41">
        <v>0</v>
      </c>
      <c r="K77" s="36">
        <f>[1]!Table32[[#This Row],[Residential Incentive Disbursements]]/'[1]1.) CLM Reference'!$B$5</f>
        <v>0</v>
      </c>
      <c r="L77" s="37">
        <v>31.89744576</v>
      </c>
      <c r="M77" s="36">
        <f>[1]!Table32[[#This Row],[C&amp;I CLM $ Collected]]/'[1]1.) CLM Reference'!$B$4</f>
        <v>2.8298270602422777E-7</v>
      </c>
      <c r="N77" s="41">
        <v>0</v>
      </c>
      <c r="O77" s="39">
        <f>[1]!Table32[[#This Row],[C&amp;I Incentive Disbursements]]/'[1]1.) CLM Reference'!$B$5</f>
        <v>0</v>
      </c>
      <c r="P77">
        <f>VLOOKUP(Table32[[#This Row],[Census Tract]],'Population and Diversity Data'!$B$2:$K$823,10,FALSE)</f>
        <v>3</v>
      </c>
      <c r="Q77" t="str">
        <f>VLOOKUP(Table32[[#This Row],[Census Tract]],'ES Energy Burden'!$B$2:$E$914,4,FALSE)</f>
        <v>No</v>
      </c>
    </row>
    <row r="78" spans="1:17" x14ac:dyDescent="0.2">
      <c r="A78" s="100">
        <v>9001011000</v>
      </c>
      <c r="B78" s="38" t="s">
        <v>2780</v>
      </c>
      <c r="C78" s="38" t="s">
        <v>944</v>
      </c>
      <c r="D78" s="40">
        <f>[1]!Table32[[#This Row],[Residential CLM $ Collected]]+[1]!Table32[[#This Row],[C&amp;I CLM $ Collected]]</f>
        <v>2.1302783999999999</v>
      </c>
      <c r="E78" s="36">
        <f>[1]!Table32[[#This Row],[CLM $ Collected ]]/'[1]1.) CLM Reference'!$B$4</f>
        <v>1.8899066425341331E-8</v>
      </c>
      <c r="F78" s="37">
        <f>[1]!Table32[[#This Row],[Residential Incentive Disbursements]]+[1]!Table32[[#This Row],[C&amp;I Incentive Disbursements]]</f>
        <v>0</v>
      </c>
      <c r="G78" s="36">
        <f>[1]!Table32[[#This Row],[Incentive Disbursements]]/'[1]1.) CLM Reference'!$B$5</f>
        <v>0</v>
      </c>
      <c r="H78" s="37">
        <v>0</v>
      </c>
      <c r="I78" s="36">
        <f>[1]!Table32[[#This Row],[Residential CLM $ Collected]]/'[1]1.) CLM Reference'!$B$4</f>
        <v>0</v>
      </c>
      <c r="J78" s="41">
        <v>0</v>
      </c>
      <c r="K78" s="36">
        <f>[1]!Table32[[#This Row],[Residential Incentive Disbursements]]/'[1]1.) CLM Reference'!$B$5</f>
        <v>0</v>
      </c>
      <c r="L78" s="37">
        <v>2.1302783999999999</v>
      </c>
      <c r="M78" s="36">
        <f>[1]!Table32[[#This Row],[C&amp;I CLM $ Collected]]/'[1]1.) CLM Reference'!$B$4</f>
        <v>1.8899066425341331E-8</v>
      </c>
      <c r="N78" s="41">
        <v>0</v>
      </c>
      <c r="O78" s="39">
        <f>[1]!Table32[[#This Row],[C&amp;I Incentive Disbursements]]/'[1]1.) CLM Reference'!$B$5</f>
        <v>0</v>
      </c>
      <c r="P78">
        <f>VLOOKUP(Table32[[#This Row],[Census Tract]],'Population and Diversity Data'!$B$2:$K$823,10,FALSE)</f>
        <v>2</v>
      </c>
      <c r="Q78" t="str">
        <f>VLOOKUP(Table32[[#This Row],[Census Tract]],'ES Energy Burden'!$B$2:$E$914,4,FALSE)</f>
        <v>No</v>
      </c>
    </row>
    <row r="79" spans="1:17" x14ac:dyDescent="0.2">
      <c r="A79" s="100">
        <v>9001011200</v>
      </c>
      <c r="B79" s="38" t="s">
        <v>2780</v>
      </c>
      <c r="C79" s="38" t="s">
        <v>944</v>
      </c>
      <c r="D79" s="40">
        <f>[1]!Table32[[#This Row],[Residential CLM $ Collected]]+[1]!Table32[[#This Row],[C&amp;I CLM $ Collected]]</f>
        <v>4534.2700000000004</v>
      </c>
      <c r="E79" s="166">
        <f>[1]!Table32[[#This Row],[CLM $ Collected ]]/'[1]1.) CLM Reference'!$B$4</f>
        <v>4.0226418256145515E-5</v>
      </c>
      <c r="F79" s="37">
        <f>[1]!Table32[[#This Row],[Residential Incentive Disbursements]]+[1]!Table32[[#This Row],[C&amp;I Incentive Disbursements]]</f>
        <v>0</v>
      </c>
      <c r="G79" s="166">
        <f>[1]!Table32[[#This Row],[Incentive Disbursements]]/'[1]1.) CLM Reference'!$B$5</f>
        <v>0</v>
      </c>
      <c r="H79" s="167">
        <v>4534.2700000000004</v>
      </c>
      <c r="I79" s="166">
        <f>[1]!Table32[[#This Row],[Residential CLM $ Collected]]/'[1]1.) CLM Reference'!$B$4</f>
        <v>4.0226418256145515E-5</v>
      </c>
      <c r="J79" s="167">
        <v>0</v>
      </c>
      <c r="K79" s="166">
        <f>[1]!Table32[[#This Row],[Residential Incentive Disbursements]]/'[1]1.) CLM Reference'!$B$5</f>
        <v>0</v>
      </c>
      <c r="L79" s="167">
        <v>0</v>
      </c>
      <c r="M79" s="166">
        <f>[1]!Table32[[#This Row],[C&amp;I CLM $ Collected]]/'[1]1.) CLM Reference'!$B$4</f>
        <v>0</v>
      </c>
      <c r="N79" s="167">
        <v>0</v>
      </c>
      <c r="O79" s="39">
        <f>[1]!Table32[[#This Row],[C&amp;I Incentive Disbursements]]/'[1]1.) CLM Reference'!$B$5</f>
        <v>0</v>
      </c>
      <c r="P79">
        <f>VLOOKUP(Table32[[#This Row],[Census Tract]],'Population and Diversity Data'!$B$2:$K$823,10,FALSE)</f>
        <v>4</v>
      </c>
      <c r="Q79" t="str">
        <f>VLOOKUP(Table32[[#This Row],[Census Tract]],'ES Energy Burden'!$B$2:$E$914,4,FALSE)</f>
        <v>No</v>
      </c>
    </row>
    <row r="80" spans="1:17" x14ac:dyDescent="0.2">
      <c r="A80" s="100">
        <v>9011709100</v>
      </c>
      <c r="B80" s="38" t="s">
        <v>2781</v>
      </c>
      <c r="C80" s="38" t="s">
        <v>944</v>
      </c>
      <c r="D80" s="40">
        <f>[1]!Table32[[#This Row],[Residential CLM $ Collected]]+[1]!Table32[[#This Row],[C&amp;I CLM $ Collected]]</f>
        <v>9259.5578198399999</v>
      </c>
      <c r="E80" s="36">
        <f>[1]!Table32[[#This Row],[CLM $ Collected ]]/'[1]1.) CLM Reference'!$B$4</f>
        <v>8.214747814484949E-5</v>
      </c>
      <c r="F80" s="37">
        <f>[1]!Table32[[#This Row],[Residential Incentive Disbursements]]+[1]!Table32[[#This Row],[C&amp;I Incentive Disbursements]]</f>
        <v>8983.9599999999991</v>
      </c>
      <c r="G80" s="36">
        <f>[1]!Table32[[#This Row],[Incentive Disbursements]]/'[1]1.) CLM Reference'!$B$5</f>
        <v>1.0991562493933409E-4</v>
      </c>
      <c r="H80" s="37">
        <v>0</v>
      </c>
      <c r="I80" s="36">
        <f>[1]!Table32[[#This Row],[Residential CLM $ Collected]]/'[1]1.) CLM Reference'!$B$4</f>
        <v>0</v>
      </c>
      <c r="J80" s="41">
        <v>0</v>
      </c>
      <c r="K80" s="36">
        <f>[1]!Table32[[#This Row],[Residential Incentive Disbursements]]/'[1]1.) CLM Reference'!$B$5</f>
        <v>0</v>
      </c>
      <c r="L80" s="37">
        <v>9259.5578198399999</v>
      </c>
      <c r="M80" s="36">
        <f>[1]!Table32[[#This Row],[C&amp;I CLM $ Collected]]/'[1]1.) CLM Reference'!$B$4</f>
        <v>8.214747814484949E-5</v>
      </c>
      <c r="N80" s="41">
        <v>8983.9599999999991</v>
      </c>
      <c r="O80" s="39">
        <f>[1]!Table32[[#This Row],[C&amp;I Incentive Disbursements]]/'[1]1.) CLM Reference'!$B$5</f>
        <v>1.0991562493933409E-4</v>
      </c>
      <c r="P80">
        <f>VLOOKUP(Table32[[#This Row],[Census Tract]],'Population and Diversity Data'!$B$2:$K$823,10,FALSE)</f>
        <v>3</v>
      </c>
      <c r="Q80" t="str">
        <f>VLOOKUP(Table32[[#This Row],[Census Tract]],'ES Energy Burden'!$B$2:$E$914,4,FALSE)</f>
        <v>No</v>
      </c>
    </row>
    <row r="81" spans="1:17" x14ac:dyDescent="0.2">
      <c r="A81" s="100">
        <v>9011702900</v>
      </c>
      <c r="B81" s="38" t="s">
        <v>2782</v>
      </c>
      <c r="C81" s="38" t="s">
        <v>944</v>
      </c>
      <c r="D81" s="40">
        <f>[1]!Table32[[#This Row],[Residential CLM $ Collected]]+[1]!Table32[[#This Row],[C&amp;I CLM $ Collected]]</f>
        <v>18729.363697920002</v>
      </c>
      <c r="E81" s="36">
        <f>[1]!Table32[[#This Row],[CLM $ Collected ]]/'[1]1.) CLM Reference'!$B$4</f>
        <v>1.6616020170479441E-4</v>
      </c>
      <c r="F81" s="37">
        <f>[1]!Table32[[#This Row],[Residential Incentive Disbursements]]+[1]!Table32[[#This Row],[C&amp;I Incentive Disbursements]]</f>
        <v>0</v>
      </c>
      <c r="G81" s="36">
        <f>[1]!Table32[[#This Row],[Incentive Disbursements]]/'[1]1.) CLM Reference'!$B$5</f>
        <v>0</v>
      </c>
      <c r="H81" s="37">
        <v>0</v>
      </c>
      <c r="I81" s="36">
        <f>[1]!Table32[[#This Row],[Residential CLM $ Collected]]/'[1]1.) CLM Reference'!$B$4</f>
        <v>0</v>
      </c>
      <c r="J81" s="41">
        <v>0</v>
      </c>
      <c r="K81" s="36">
        <f>[1]!Table32[[#This Row],[Residential Incentive Disbursements]]/'[1]1.) CLM Reference'!$B$5</f>
        <v>0</v>
      </c>
      <c r="L81" s="37">
        <v>18729.363697920002</v>
      </c>
      <c r="M81" s="36">
        <f>[1]!Table32[[#This Row],[C&amp;I CLM $ Collected]]/'[1]1.) CLM Reference'!$B$4</f>
        <v>1.6616020170479441E-4</v>
      </c>
      <c r="N81" s="41">
        <v>0</v>
      </c>
      <c r="O81" s="39">
        <f>[1]!Table32[[#This Row],[C&amp;I Incentive Disbursements]]/'[1]1.) CLM Reference'!$B$5</f>
        <v>0</v>
      </c>
      <c r="P81">
        <f>VLOOKUP(Table32[[#This Row],[Census Tract]],'Population and Diversity Data'!$B$2:$K$823,10,FALSE)</f>
        <v>2</v>
      </c>
      <c r="Q81" t="str">
        <f>VLOOKUP(Table32[[#This Row],[Census Tract]],'ES Energy Burden'!$B$2:$E$914,4,FALSE)</f>
        <v>No</v>
      </c>
    </row>
    <row r="82" spans="1:17" x14ac:dyDescent="0.2">
      <c r="A82" s="100">
        <v>9009190301</v>
      </c>
      <c r="B82" s="38" t="s">
        <v>2783</v>
      </c>
      <c r="C82" s="38" t="s">
        <v>944</v>
      </c>
      <c r="D82" s="40">
        <f>[1]!Table32[[#This Row],[Residential CLM $ Collected]]+[1]!Table32[[#This Row],[C&amp;I CLM $ Collected]]</f>
        <v>151415.58194495999</v>
      </c>
      <c r="E82" s="36">
        <f>[1]!Table32[[#This Row],[CLM $ Collected ]]/'[1]1.) CLM Reference'!$B$4</f>
        <v>1.343304772282117E-3</v>
      </c>
      <c r="F82" s="37">
        <f>[1]!Table32[[#This Row],[Residential Incentive Disbursements]]+[1]!Table32[[#This Row],[C&amp;I Incentive Disbursements]]</f>
        <v>64877.385000000002</v>
      </c>
      <c r="G82" s="36">
        <f>[1]!Table32[[#This Row],[Incentive Disbursements]]/'[1]1.) CLM Reference'!$B$5</f>
        <v>7.9375223361466223E-4</v>
      </c>
      <c r="H82" s="37">
        <v>0</v>
      </c>
      <c r="I82" s="36">
        <f>[1]!Table32[[#This Row],[Residential CLM $ Collected]]/'[1]1.) CLM Reference'!$B$4</f>
        <v>0</v>
      </c>
      <c r="J82" s="41">
        <v>0</v>
      </c>
      <c r="K82" s="36">
        <f>[1]!Table32[[#This Row],[Residential Incentive Disbursements]]/'[1]1.) CLM Reference'!$B$5</f>
        <v>0</v>
      </c>
      <c r="L82" s="37">
        <v>151415.58194495999</v>
      </c>
      <c r="M82" s="36">
        <f>[1]!Table32[[#This Row],[C&amp;I CLM $ Collected]]/'[1]1.) CLM Reference'!$B$4</f>
        <v>1.343304772282117E-3</v>
      </c>
      <c r="N82" s="41">
        <v>64877.385000000002</v>
      </c>
      <c r="O82" s="39">
        <f>[1]!Table32[[#This Row],[C&amp;I Incentive Disbursements]]/'[1]1.) CLM Reference'!$B$5</f>
        <v>7.9375223361466223E-4</v>
      </c>
      <c r="P82">
        <f>VLOOKUP(Table32[[#This Row],[Census Tract]],'Population and Diversity Data'!$B$2:$K$823,10,FALSE)</f>
        <v>3</v>
      </c>
      <c r="Q82" t="str">
        <f>VLOOKUP(Table32[[#This Row],[Census Tract]],'ES Energy Burden'!$B$2:$E$914,4,FALSE)</f>
        <v>No</v>
      </c>
    </row>
    <row r="83" spans="1:17" x14ac:dyDescent="0.2">
      <c r="A83" s="100">
        <v>9007590100</v>
      </c>
      <c r="B83" s="38" t="s">
        <v>2784</v>
      </c>
      <c r="C83" s="38" t="s">
        <v>944</v>
      </c>
      <c r="D83" s="40">
        <f>[1]!Table32[[#This Row],[Residential CLM $ Collected]]+[1]!Table32[[#This Row],[C&amp;I CLM $ Collected]]</f>
        <v>26327.827094400003</v>
      </c>
      <c r="E83" s="36">
        <f>[1]!Table32[[#This Row],[CLM $ Collected ]]/'[1]1.) CLM Reference'!$B$4</f>
        <v>2.3357104549901411E-4</v>
      </c>
      <c r="F83" s="37">
        <f>[1]!Table32[[#This Row],[Residential Incentive Disbursements]]+[1]!Table32[[#This Row],[C&amp;I Incentive Disbursements]]</f>
        <v>11370</v>
      </c>
      <c r="G83" s="36">
        <f>[1]!Table32[[#This Row],[Incentive Disbursements]]/'[1]1.) CLM Reference'!$B$5</f>
        <v>1.3910799419857489E-4</v>
      </c>
      <c r="H83" s="37">
        <v>0</v>
      </c>
      <c r="I83" s="36">
        <f>[1]!Table32[[#This Row],[Residential CLM $ Collected]]/'[1]1.) CLM Reference'!$B$4</f>
        <v>0</v>
      </c>
      <c r="J83" s="41">
        <v>0</v>
      </c>
      <c r="K83" s="36">
        <f>[1]!Table32[[#This Row],[Residential Incentive Disbursements]]/'[1]1.) CLM Reference'!$B$5</f>
        <v>0</v>
      </c>
      <c r="L83" s="37">
        <v>26327.827094400003</v>
      </c>
      <c r="M83" s="36">
        <f>[1]!Table32[[#This Row],[C&amp;I CLM $ Collected]]/'[1]1.) CLM Reference'!$B$4</f>
        <v>2.3357104549901411E-4</v>
      </c>
      <c r="N83" s="41">
        <v>11370</v>
      </c>
      <c r="O83" s="39">
        <f>[1]!Table32[[#This Row],[C&amp;I Incentive Disbursements]]/'[1]1.) CLM Reference'!$B$5</f>
        <v>1.3910799419857489E-4</v>
      </c>
      <c r="P83">
        <f>VLOOKUP(Table32[[#This Row],[Census Tract]],'Population and Diversity Data'!$B$2:$K$823,10,FALSE)</f>
        <v>1</v>
      </c>
      <c r="Q83" t="str">
        <f>VLOOKUP(Table32[[#This Row],[Census Tract]],'ES Energy Burden'!$B$2:$E$914,4,FALSE)</f>
        <v>No</v>
      </c>
    </row>
    <row r="84" spans="1:17" x14ac:dyDescent="0.2">
      <c r="A84" s="100">
        <v>9015820000</v>
      </c>
      <c r="B84" s="38" t="s">
        <v>2785</v>
      </c>
      <c r="C84" s="38" t="s">
        <v>944</v>
      </c>
      <c r="D84" s="40">
        <f>[1]!Table32[[#This Row],[Residential CLM $ Collected]]+[1]!Table32[[#This Row],[C&amp;I CLM $ Collected]]</f>
        <v>1588.1323881600001</v>
      </c>
      <c r="E84" s="36">
        <f>[1]!Table32[[#This Row],[CLM $ Collected ]]/'[1]1.) CLM Reference'!$B$4</f>
        <v>1.4089341325561865E-5</v>
      </c>
      <c r="F84" s="37">
        <f>[1]!Table32[[#This Row],[Residential Incentive Disbursements]]+[1]!Table32[[#This Row],[C&amp;I Incentive Disbursements]]</f>
        <v>0</v>
      </c>
      <c r="G84" s="36">
        <f>[1]!Table32[[#This Row],[Incentive Disbursements]]/'[1]1.) CLM Reference'!$B$5</f>
        <v>0</v>
      </c>
      <c r="H84" s="37">
        <v>0</v>
      </c>
      <c r="I84" s="36">
        <f>[1]!Table32[[#This Row],[Residential CLM $ Collected]]/'[1]1.) CLM Reference'!$B$4</f>
        <v>0</v>
      </c>
      <c r="J84" s="41">
        <v>0</v>
      </c>
      <c r="K84" s="36">
        <f>[1]!Table32[[#This Row],[Residential Incentive Disbursements]]/'[1]1.) CLM Reference'!$B$5</f>
        <v>0</v>
      </c>
      <c r="L84" s="37">
        <v>1588.1323881600001</v>
      </c>
      <c r="M84" s="36">
        <f>[1]!Table32[[#This Row],[C&amp;I CLM $ Collected]]/'[1]1.) CLM Reference'!$B$4</f>
        <v>1.4089341325561865E-5</v>
      </c>
      <c r="N84" s="41">
        <v>0</v>
      </c>
      <c r="O84" s="39">
        <f>[1]!Table32[[#This Row],[C&amp;I Incentive Disbursements]]/'[1]1.) CLM Reference'!$B$5</f>
        <v>0</v>
      </c>
      <c r="P84">
        <f>VLOOKUP(Table32[[#This Row],[Census Tract]],'Population and Diversity Data'!$B$2:$K$823,10,FALSE)</f>
        <v>4</v>
      </c>
      <c r="Q84" t="str">
        <f>VLOOKUP(Table32[[#This Row],[Census Tract]],'ES Energy Burden'!$B$2:$E$914,4,FALSE)</f>
        <v>No</v>
      </c>
    </row>
    <row r="85" spans="1:17" x14ac:dyDescent="0.2">
      <c r="A85" s="100">
        <v>9003502400</v>
      </c>
      <c r="B85" s="38" t="s">
        <v>979</v>
      </c>
      <c r="C85" s="38" t="s">
        <v>944</v>
      </c>
      <c r="D85" s="40">
        <f>[1]!Table32[[#This Row],[Residential CLM $ Collected]]+[1]!Table32[[#This Row],[C&amp;I CLM $ Collected]]</f>
        <v>3472787.3019177597</v>
      </c>
      <c r="E85" s="36">
        <f>[1]!Table32[[#This Row],[CLM $ Collected ]]/'[1]1.) CLM Reference'!$B$4</f>
        <v>3.0809324217917079E-2</v>
      </c>
      <c r="F85" s="37">
        <f>[1]!Table32[[#This Row],[Residential Incentive Disbursements]]+[1]!Table32[[#This Row],[C&amp;I Incentive Disbursements]]</f>
        <v>2925875.7725999998</v>
      </c>
      <c r="G85" s="36">
        <f>[1]!Table32[[#This Row],[Incentive Disbursements]]/'[1]1.) CLM Reference'!$B$5</f>
        <v>3.5797072119665048E-2</v>
      </c>
      <c r="H85" s="37">
        <v>536.22406943999999</v>
      </c>
      <c r="I85" s="36">
        <f>[1]!Table32[[#This Row],[Residential CLM $ Collected]]/'[1]1.) CLM Reference'!$B$4</f>
        <v>4.7571877493633707E-6</v>
      </c>
      <c r="J85" s="41">
        <v>0</v>
      </c>
      <c r="K85" s="36">
        <f>[1]!Table32[[#This Row],[Residential Incentive Disbursements]]/'[1]1.) CLM Reference'!$B$5</f>
        <v>0</v>
      </c>
      <c r="L85" s="37">
        <v>3472251.0778483199</v>
      </c>
      <c r="M85" s="36">
        <f>[1]!Table32[[#This Row],[C&amp;I CLM $ Collected]]/'[1]1.) CLM Reference'!$B$4</f>
        <v>3.0804567030167717E-2</v>
      </c>
      <c r="N85" s="41">
        <v>2925875.7725999998</v>
      </c>
      <c r="O85" s="39">
        <f>[1]!Table32[[#This Row],[C&amp;I Incentive Disbursements]]/'[1]1.) CLM Reference'!$B$5</f>
        <v>3.5797072119665048E-2</v>
      </c>
      <c r="P85">
        <f>VLOOKUP(Table32[[#This Row],[Census Tract]],'Population and Diversity Data'!$B$2:$K$823,10,FALSE)</f>
        <v>5</v>
      </c>
      <c r="Q85" t="str">
        <f>VLOOKUP(Table32[[#This Row],[Census Tract]],'ES Energy Burden'!$B$2:$E$914,4,FALSE)</f>
        <v>Yes</v>
      </c>
    </row>
    <row r="86" spans="1:17" x14ac:dyDescent="0.2">
      <c r="A86" s="100">
        <v>9003503100</v>
      </c>
      <c r="B86" s="38" t="s">
        <v>979</v>
      </c>
      <c r="C86" s="38" t="s">
        <v>944</v>
      </c>
      <c r="D86" s="40">
        <f>[1]!Table32[[#This Row],[Residential CLM $ Collected]]+[1]!Table32[[#This Row],[C&amp;I CLM $ Collected]]</f>
        <v>13308.795054720002</v>
      </c>
      <c r="E86" s="36">
        <f>[1]!Table32[[#This Row],[CLM $ Collected ]]/'[1]1.) CLM Reference'!$B$4</f>
        <v>1.1807085955544944E-4</v>
      </c>
      <c r="F86" s="37">
        <f>[1]!Table32[[#This Row],[Residential Incentive Disbursements]]+[1]!Table32[[#This Row],[C&amp;I Incentive Disbursements]]</f>
        <v>0</v>
      </c>
      <c r="G86" s="36">
        <f>[1]!Table32[[#This Row],[Incentive Disbursements]]/'[1]1.) CLM Reference'!$B$5</f>
        <v>0</v>
      </c>
      <c r="H86" s="37">
        <v>13256.679646080001</v>
      </c>
      <c r="I86" s="36">
        <f>[1]!Table32[[#This Row],[Residential CLM $ Collected]]/'[1]1.) CLM Reference'!$B$4</f>
        <v>1.1760851032932427E-4</v>
      </c>
      <c r="J86" s="41">
        <v>0</v>
      </c>
      <c r="K86" s="36">
        <f>[1]!Table32[[#This Row],[Residential Incentive Disbursements]]/'[1]1.) CLM Reference'!$B$5</f>
        <v>0</v>
      </c>
      <c r="L86" s="37">
        <v>52.115408639999998</v>
      </c>
      <c r="M86" s="36">
        <f>[1]!Table32[[#This Row],[C&amp;I CLM $ Collected]]/'[1]1.) CLM Reference'!$B$4</f>
        <v>4.6234922612517104E-7</v>
      </c>
      <c r="N86" s="41">
        <v>0</v>
      </c>
      <c r="O86" s="39">
        <f>[1]!Table32[[#This Row],[C&amp;I Incentive Disbursements]]/'[1]1.) CLM Reference'!$B$5</f>
        <v>0</v>
      </c>
      <c r="P86">
        <f>VLOOKUP(Table32[[#This Row],[Census Tract]],'Population and Diversity Data'!$B$2:$K$823,10,FALSE)</f>
        <v>5</v>
      </c>
      <c r="Q86" t="str">
        <f>VLOOKUP(Table32[[#This Row],[Census Tract]],'ES Energy Burden'!$B$2:$E$914,4,FALSE)</f>
        <v>No</v>
      </c>
    </row>
    <row r="87" spans="1:17" x14ac:dyDescent="0.2">
      <c r="A87" s="100">
        <v>9003330100</v>
      </c>
      <c r="B87" s="38" t="s">
        <v>2786</v>
      </c>
      <c r="C87" s="38" t="s">
        <v>944</v>
      </c>
      <c r="D87" s="40">
        <f>[1]!Table32[[#This Row],[Residential CLM $ Collected]]+[1]!Table32[[#This Row],[C&amp;I CLM $ Collected]]</f>
        <v>573.96299328000009</v>
      </c>
      <c r="E87" s="36">
        <f>[1]!Table32[[#This Row],[CLM $ Collected ]]/'[1]1.) CLM Reference'!$B$4</f>
        <v>5.0919939551968715E-6</v>
      </c>
      <c r="F87" s="37">
        <f>[1]!Table32[[#This Row],[Residential Incentive Disbursements]]+[1]!Table32[[#This Row],[C&amp;I Incentive Disbursements]]</f>
        <v>0</v>
      </c>
      <c r="G87" s="36">
        <f>[1]!Table32[[#This Row],[Incentive Disbursements]]/'[1]1.) CLM Reference'!$B$5</f>
        <v>0</v>
      </c>
      <c r="H87" s="37">
        <v>0</v>
      </c>
      <c r="I87" s="36">
        <f>[1]!Table32[[#This Row],[Residential CLM $ Collected]]/'[1]1.) CLM Reference'!$B$4</f>
        <v>0</v>
      </c>
      <c r="J87" s="41">
        <v>0</v>
      </c>
      <c r="K87" s="36">
        <f>[1]!Table32[[#This Row],[Residential Incentive Disbursements]]/'[1]1.) CLM Reference'!$B$5</f>
        <v>0</v>
      </c>
      <c r="L87" s="37">
        <v>573.96299328000009</v>
      </c>
      <c r="M87" s="36">
        <f>[1]!Table32[[#This Row],[C&amp;I CLM $ Collected]]/'[1]1.) CLM Reference'!$B$4</f>
        <v>5.0919939551968715E-6</v>
      </c>
      <c r="N87" s="41">
        <v>0</v>
      </c>
      <c r="O87" s="39">
        <f>[1]!Table32[[#This Row],[C&amp;I Incentive Disbursements]]/'[1]1.) CLM Reference'!$B$5</f>
        <v>0</v>
      </c>
      <c r="P87">
        <f>VLOOKUP(Table32[[#This Row],[Census Tract]],'Population and Diversity Data'!$B$2:$K$823,10,FALSE)</f>
        <v>3</v>
      </c>
      <c r="Q87" t="str">
        <f>VLOOKUP(Table32[[#This Row],[Census Tract]],'ES Energy Burden'!$B$2:$E$914,4,FALSE)</f>
        <v>No</v>
      </c>
    </row>
    <row r="88" spans="1:17" x14ac:dyDescent="0.2">
      <c r="A88" s="100">
        <v>9005298400</v>
      </c>
      <c r="B88" s="38" t="s">
        <v>2787</v>
      </c>
      <c r="C88" s="38" t="s">
        <v>944</v>
      </c>
      <c r="D88" s="40">
        <f>[1]!Table32[[#This Row],[Residential CLM $ Collected]]+[1]!Table32[[#This Row],[C&amp;I CLM $ Collected]]</f>
        <v>22317.325614720001</v>
      </c>
      <c r="E88" s="36">
        <f>[1]!Table32[[#This Row],[CLM $ Collected ]]/'[1]1.) CLM Reference'!$B$4</f>
        <v>1.9799131382478689E-4</v>
      </c>
      <c r="F88" s="37">
        <f>[1]!Table32[[#This Row],[Residential Incentive Disbursements]]+[1]!Table32[[#This Row],[C&amp;I Incentive Disbursements]]</f>
        <v>16254.54</v>
      </c>
      <c r="G88" s="36">
        <f>[1]!Table32[[#This Row],[Incentive Disbursements]]/'[1]1.) CLM Reference'!$B$5</f>
        <v>1.9886864169045765E-4</v>
      </c>
      <c r="H88" s="37">
        <v>0</v>
      </c>
      <c r="I88" s="36">
        <f>[1]!Table32[[#This Row],[Residential CLM $ Collected]]/'[1]1.) CLM Reference'!$B$4</f>
        <v>0</v>
      </c>
      <c r="J88" s="41">
        <v>0</v>
      </c>
      <c r="K88" s="36">
        <f>[1]!Table32[[#This Row],[Residential Incentive Disbursements]]/'[1]1.) CLM Reference'!$B$5</f>
        <v>0</v>
      </c>
      <c r="L88" s="37">
        <v>22317.325614720001</v>
      </c>
      <c r="M88" s="36">
        <f>[1]!Table32[[#This Row],[C&amp;I CLM $ Collected]]/'[1]1.) CLM Reference'!$B$4</f>
        <v>1.9799131382478689E-4</v>
      </c>
      <c r="N88" s="41">
        <v>16254.54</v>
      </c>
      <c r="O88" s="39">
        <f>[1]!Table32[[#This Row],[C&amp;I Incentive Disbursements]]/'[1]1.) CLM Reference'!$B$5</f>
        <v>1.9886864169045765E-4</v>
      </c>
      <c r="P88">
        <f>VLOOKUP(Table32[[#This Row],[Census Tract]],'Population and Diversity Data'!$B$2:$K$823,10,FALSE)</f>
        <v>1</v>
      </c>
      <c r="Q88" t="str">
        <f>VLOOKUP(Table32[[#This Row],[Census Tract]],'ES Energy Burden'!$B$2:$E$914,4,FALSE)</f>
        <v>No</v>
      </c>
    </row>
    <row r="89" spans="1:17" x14ac:dyDescent="0.2">
      <c r="A89" s="100">
        <v>9013526102</v>
      </c>
      <c r="B89" s="38" t="s">
        <v>2788</v>
      </c>
      <c r="C89" s="38" t="s">
        <v>944</v>
      </c>
      <c r="D89" s="40">
        <f>[1]!Table32[[#This Row],[Residential CLM $ Collected]]+[1]!Table32[[#This Row],[C&amp;I CLM $ Collected]]</f>
        <v>27938.370242879999</v>
      </c>
      <c r="E89" s="36">
        <f>[1]!Table32[[#This Row],[CLM $ Collected ]]/'[1]1.) CLM Reference'!$B$4</f>
        <v>2.4785920705761683E-4</v>
      </c>
      <c r="F89" s="37">
        <f>[1]!Table32[[#This Row],[Residential Incentive Disbursements]]+[1]!Table32[[#This Row],[C&amp;I Incentive Disbursements]]</f>
        <v>1560</v>
      </c>
      <c r="G89" s="36">
        <f>[1]!Table32[[#This Row],[Incentive Disbursements]]/'[1]1.) CLM Reference'!$B$5</f>
        <v>1.9086057251519507E-5</v>
      </c>
      <c r="H89" s="37">
        <v>0</v>
      </c>
      <c r="I89" s="36">
        <f>[1]!Table32[[#This Row],[Residential CLM $ Collected]]/'[1]1.) CLM Reference'!$B$4</f>
        <v>0</v>
      </c>
      <c r="J89" s="41">
        <v>0</v>
      </c>
      <c r="K89" s="36">
        <f>[1]!Table32[[#This Row],[Residential Incentive Disbursements]]/'[1]1.) CLM Reference'!$B$5</f>
        <v>0</v>
      </c>
      <c r="L89" s="37">
        <v>27938.370242879999</v>
      </c>
      <c r="M89" s="36">
        <f>[1]!Table32[[#This Row],[C&amp;I CLM $ Collected]]/'[1]1.) CLM Reference'!$B$4</f>
        <v>2.4785920705761683E-4</v>
      </c>
      <c r="N89" s="41">
        <v>1560</v>
      </c>
      <c r="O89" s="39">
        <f>[1]!Table32[[#This Row],[C&amp;I Incentive Disbursements]]/'[1]1.) CLM Reference'!$B$5</f>
        <v>1.9086057251519507E-5</v>
      </c>
      <c r="P89">
        <f>VLOOKUP(Table32[[#This Row],[Census Tract]],'Population and Diversity Data'!$B$2:$K$823,10,FALSE)</f>
        <v>1</v>
      </c>
      <c r="Q89" t="str">
        <f>VLOOKUP(Table32[[#This Row],[Census Tract]],'ES Energy Burden'!$B$2:$E$914,4,FALSE)</f>
        <v>No</v>
      </c>
    </row>
    <row r="90" spans="1:17" x14ac:dyDescent="0.2">
      <c r="A90" s="100">
        <v>9005266100</v>
      </c>
      <c r="B90" s="38" t="s">
        <v>2789</v>
      </c>
      <c r="C90" s="38" t="s">
        <v>944</v>
      </c>
      <c r="D90" s="40">
        <f>[1]!Table32[[#This Row],[Residential CLM $ Collected]]+[1]!Table32[[#This Row],[C&amp;I CLM $ Collected]]</f>
        <v>16631.556992639998</v>
      </c>
      <c r="E90" s="36">
        <f>[1]!Table32[[#This Row],[CLM $ Collected ]]/'[1]1.) CLM Reference'!$B$4</f>
        <v>1.475492125164267E-4</v>
      </c>
      <c r="F90" s="37">
        <f>[1]!Table32[[#This Row],[Residential Incentive Disbursements]]+[1]!Table32[[#This Row],[C&amp;I Incentive Disbursements]]</f>
        <v>8086.52</v>
      </c>
      <c r="G90" s="36">
        <f>[1]!Table32[[#This Row],[Incentive Disbursements]]/'[1]1.) CLM Reference'!$B$5</f>
        <v>9.8935758772793295E-5</v>
      </c>
      <c r="H90" s="37">
        <v>0</v>
      </c>
      <c r="I90" s="36">
        <f>[1]!Table32[[#This Row],[Residential CLM $ Collected]]/'[1]1.) CLM Reference'!$B$4</f>
        <v>0</v>
      </c>
      <c r="J90" s="41">
        <v>0</v>
      </c>
      <c r="K90" s="36">
        <f>[1]!Table32[[#This Row],[Residential Incentive Disbursements]]/'[1]1.) CLM Reference'!$B$5</f>
        <v>0</v>
      </c>
      <c r="L90" s="37">
        <v>16631.556992639998</v>
      </c>
      <c r="M90" s="36">
        <f>[1]!Table32[[#This Row],[C&amp;I CLM $ Collected]]/'[1]1.) CLM Reference'!$B$4</f>
        <v>1.475492125164267E-4</v>
      </c>
      <c r="N90" s="41">
        <v>8086.52</v>
      </c>
      <c r="O90" s="39">
        <f>[1]!Table32[[#This Row],[C&amp;I Incentive Disbursements]]/'[1]1.) CLM Reference'!$B$5</f>
        <v>9.8935758772793295E-5</v>
      </c>
      <c r="P90">
        <f>VLOOKUP(Table32[[#This Row],[Census Tract]],'Population and Diversity Data'!$B$2:$K$823,10,FALSE)</f>
        <v>2</v>
      </c>
      <c r="Q90" t="str">
        <f>VLOOKUP(Table32[[#This Row],[Census Tract]],'ES Energy Burden'!$B$2:$E$914,4,FALSE)</f>
        <v>No</v>
      </c>
    </row>
    <row r="91" spans="1:17" x14ac:dyDescent="0.2">
      <c r="A91" s="100">
        <v>9015904100</v>
      </c>
      <c r="B91" s="38" t="s">
        <v>2790</v>
      </c>
      <c r="C91" s="38" t="s">
        <v>944</v>
      </c>
      <c r="D91" s="40">
        <f>[1]!Table32[[#This Row],[Residential CLM $ Collected]]+[1]!Table32[[#This Row],[C&amp;I CLM $ Collected]]</f>
        <v>462127.05953567999</v>
      </c>
      <c r="E91" s="36">
        <f>[1]!Table32[[#This Row],[CLM $ Collected ]]/'[1]1.) CLM Reference'!$B$4</f>
        <v>4.0998256355190407E-3</v>
      </c>
      <c r="F91" s="37">
        <f>[1]!Table32[[#This Row],[Residential Incentive Disbursements]]+[1]!Table32[[#This Row],[C&amp;I Incentive Disbursements]]</f>
        <v>263899.18160000001</v>
      </c>
      <c r="G91" s="36">
        <f>[1]!Table32[[#This Row],[Incentive Disbursements]]/'[1]1.) CLM Reference'!$B$5</f>
        <v>3.2287146722094514E-3</v>
      </c>
      <c r="H91" s="37">
        <v>0</v>
      </c>
      <c r="I91" s="36">
        <f>[1]!Table32[[#This Row],[Residential CLM $ Collected]]/'[1]1.) CLM Reference'!$B$4</f>
        <v>0</v>
      </c>
      <c r="J91" s="41">
        <v>0</v>
      </c>
      <c r="K91" s="36">
        <f>[1]!Table32[[#This Row],[Residential Incentive Disbursements]]/'[1]1.) CLM Reference'!$B$5</f>
        <v>0</v>
      </c>
      <c r="L91" s="37">
        <v>462127.05953567999</v>
      </c>
      <c r="M91" s="36">
        <f>[1]!Table32[[#This Row],[C&amp;I CLM $ Collected]]/'[1]1.) CLM Reference'!$B$4</f>
        <v>4.0998256355190407E-3</v>
      </c>
      <c r="N91" s="41">
        <v>263899.18160000001</v>
      </c>
      <c r="O91" s="39">
        <f>[1]!Table32[[#This Row],[C&amp;I Incentive Disbursements]]/'[1]1.) CLM Reference'!$B$5</f>
        <v>3.2287146722094514E-3</v>
      </c>
      <c r="P91">
        <f>VLOOKUP(Table32[[#This Row],[Census Tract]],'Population and Diversity Data'!$B$2:$K$823,10,FALSE)</f>
        <v>2</v>
      </c>
      <c r="Q91" t="str">
        <f>VLOOKUP(Table32[[#This Row],[Census Tract]],'ES Energy Burden'!$B$2:$E$914,4,FALSE)</f>
        <v>No</v>
      </c>
    </row>
    <row r="92" spans="1:17" x14ac:dyDescent="0.2">
      <c r="A92" s="100">
        <v>9015904500</v>
      </c>
      <c r="B92" s="38" t="s">
        <v>2790</v>
      </c>
      <c r="C92" s="38" t="s">
        <v>944</v>
      </c>
      <c r="D92" s="40">
        <f>[1]!Table32[[#This Row],[Residential CLM $ Collected]]+[1]!Table32[[#This Row],[C&amp;I CLM $ Collected]]</f>
        <v>3.4593868800000003</v>
      </c>
      <c r="E92" s="36">
        <f>[1]!Table32[[#This Row],[CLM $ Collected ]]/'[1]1.) CLM Reference'!$B$4</f>
        <v>3.0690440477673861E-8</v>
      </c>
      <c r="F92" s="37">
        <f>[1]!Table32[[#This Row],[Residential Incentive Disbursements]]+[1]!Table32[[#This Row],[C&amp;I Incentive Disbursements]]</f>
        <v>0</v>
      </c>
      <c r="G92" s="36">
        <f>[1]!Table32[[#This Row],[Incentive Disbursements]]/'[1]1.) CLM Reference'!$B$5</f>
        <v>0</v>
      </c>
      <c r="H92" s="37">
        <v>0</v>
      </c>
      <c r="I92" s="36">
        <f>[1]!Table32[[#This Row],[Residential CLM $ Collected]]/'[1]1.) CLM Reference'!$B$4</f>
        <v>0</v>
      </c>
      <c r="J92" s="41">
        <v>0</v>
      </c>
      <c r="K92" s="36">
        <f>[1]!Table32[[#This Row],[Residential Incentive Disbursements]]/'[1]1.) CLM Reference'!$B$5</f>
        <v>0</v>
      </c>
      <c r="L92" s="37">
        <v>3.4593868800000003</v>
      </c>
      <c r="M92" s="36">
        <f>[1]!Table32[[#This Row],[C&amp;I CLM $ Collected]]/'[1]1.) CLM Reference'!$B$4</f>
        <v>3.0690440477673861E-8</v>
      </c>
      <c r="N92" s="41">
        <v>0</v>
      </c>
      <c r="O92" s="39">
        <f>[1]!Table32[[#This Row],[C&amp;I Incentive Disbursements]]/'[1]1.) CLM Reference'!$B$5</f>
        <v>0</v>
      </c>
      <c r="P92">
        <f>VLOOKUP(Table32[[#This Row],[Census Tract]],'Population and Diversity Data'!$B$2:$K$823,10,FALSE)</f>
        <v>5</v>
      </c>
      <c r="Q92" t="str">
        <f>VLOOKUP(Table32[[#This Row],[Census Tract]],'ES Energy Burden'!$B$2:$E$914,4,FALSE)</f>
        <v>No</v>
      </c>
    </row>
    <row r="93" spans="1:17" x14ac:dyDescent="0.2">
      <c r="A93" s="100">
        <v>9007640100</v>
      </c>
      <c r="B93" s="38" t="s">
        <v>2791</v>
      </c>
      <c r="C93" s="38" t="s">
        <v>944</v>
      </c>
      <c r="D93" s="40">
        <f>[1]!Table32[[#This Row],[Residential CLM $ Collected]]+[1]!Table32[[#This Row],[C&amp;I CLM $ Collected]]</f>
        <v>8483.9992876800006</v>
      </c>
      <c r="E93" s="36">
        <f>[1]!Table32[[#This Row],[CLM $ Collected ]]/'[1]1.) CLM Reference'!$B$4</f>
        <v>7.5267000825062521E-5</v>
      </c>
      <c r="F93" s="37">
        <f>[1]!Table32[[#This Row],[Residential Incentive Disbursements]]+[1]!Table32[[#This Row],[C&amp;I Incentive Disbursements]]</f>
        <v>0</v>
      </c>
      <c r="G93" s="36">
        <f>[1]!Table32[[#This Row],[Incentive Disbursements]]/'[1]1.) CLM Reference'!$B$5</f>
        <v>0</v>
      </c>
      <c r="H93" s="37">
        <v>0</v>
      </c>
      <c r="I93" s="36">
        <f>[1]!Table32[[#This Row],[Residential CLM $ Collected]]/'[1]1.) CLM Reference'!$B$4</f>
        <v>0</v>
      </c>
      <c r="J93" s="41">
        <v>0</v>
      </c>
      <c r="K93" s="36">
        <f>[1]!Table32[[#This Row],[Residential Incentive Disbursements]]/'[1]1.) CLM Reference'!$B$5</f>
        <v>0</v>
      </c>
      <c r="L93" s="37">
        <v>8483.9992876800006</v>
      </c>
      <c r="M93" s="36">
        <f>[1]!Table32[[#This Row],[C&amp;I CLM $ Collected]]/'[1]1.) CLM Reference'!$B$4</f>
        <v>7.5267000825062521E-5</v>
      </c>
      <c r="N93" s="41">
        <v>0</v>
      </c>
      <c r="O93" s="39">
        <f>[1]!Table32[[#This Row],[C&amp;I Incentive Disbursements]]/'[1]1.) CLM Reference'!$B$5</f>
        <v>0</v>
      </c>
      <c r="P93">
        <f>VLOOKUP(Table32[[#This Row],[Census Tract]],'Population and Diversity Data'!$B$2:$K$823,10,FALSE)</f>
        <v>1</v>
      </c>
      <c r="Q93" t="str">
        <f>VLOOKUP(Table32[[#This Row],[Census Tract]],'ES Energy Burden'!$B$2:$E$914,4,FALSE)</f>
        <v>No</v>
      </c>
    </row>
    <row r="94" spans="1:17" x14ac:dyDescent="0.2">
      <c r="A94" s="100">
        <v>9011870100</v>
      </c>
      <c r="B94" s="38" t="s">
        <v>2792</v>
      </c>
      <c r="C94" s="38" t="s">
        <v>944</v>
      </c>
      <c r="D94" s="40">
        <f>[1]!Table32[[#This Row],[Residential CLM $ Collected]]+[1]!Table32[[#This Row],[C&amp;I CLM $ Collected]]</f>
        <v>49094.46720864001</v>
      </c>
      <c r="E94" s="36">
        <f>[1]!Table32[[#This Row],[CLM $ Collected ]]/'[1]1.) CLM Reference'!$B$4</f>
        <v>4.3554851651916924E-4</v>
      </c>
      <c r="F94" s="37">
        <f>[1]!Table32[[#This Row],[Residential Incentive Disbursements]]+[1]!Table32[[#This Row],[C&amp;I Incentive Disbursements]]</f>
        <v>53142</v>
      </c>
      <c r="G94" s="36">
        <f>[1]!Table32[[#This Row],[Incentive Disbursements]]/'[1]1.) CLM Reference'!$B$5</f>
        <v>6.5017388106426266E-4</v>
      </c>
      <c r="H94" s="37">
        <v>0</v>
      </c>
      <c r="I94" s="36">
        <f>[1]!Table32[[#This Row],[Residential CLM $ Collected]]/'[1]1.) CLM Reference'!$B$4</f>
        <v>0</v>
      </c>
      <c r="J94" s="41">
        <v>0</v>
      </c>
      <c r="K94" s="36">
        <f>[1]!Table32[[#This Row],[Residential Incentive Disbursements]]/'[1]1.) CLM Reference'!$B$5</f>
        <v>0</v>
      </c>
      <c r="L94" s="37">
        <v>49094.46720864001</v>
      </c>
      <c r="M94" s="36">
        <f>[1]!Table32[[#This Row],[C&amp;I CLM $ Collected]]/'[1]1.) CLM Reference'!$B$4</f>
        <v>4.3554851651916924E-4</v>
      </c>
      <c r="N94" s="41">
        <v>53142</v>
      </c>
      <c r="O94" s="39">
        <f>[1]!Table32[[#This Row],[C&amp;I Incentive Disbursements]]/'[1]1.) CLM Reference'!$B$5</f>
        <v>6.5017388106426266E-4</v>
      </c>
      <c r="P94">
        <f>VLOOKUP(Table32[[#This Row],[Census Tract]],'Population and Diversity Data'!$B$2:$K$823,10,FALSE)</f>
        <v>1</v>
      </c>
      <c r="Q94" t="str">
        <f>VLOOKUP(Table32[[#This Row],[Census Tract]],'ES Energy Burden'!$B$2:$E$914,4,FALSE)</f>
        <v>No</v>
      </c>
    </row>
    <row r="95" spans="1:17" x14ac:dyDescent="0.2">
      <c r="A95" s="100">
        <v>9011701100</v>
      </c>
      <c r="B95" s="38" t="s">
        <v>2793</v>
      </c>
      <c r="C95" s="38" t="s">
        <v>944</v>
      </c>
      <c r="D95" s="40">
        <f>[1]!Table32[[#This Row],[Residential CLM $ Collected]]+[1]!Table32[[#This Row],[C&amp;I CLM $ Collected]]</f>
        <v>1086552.1170777599</v>
      </c>
      <c r="E95" s="36">
        <f>[1]!Table32[[#This Row],[CLM $ Collected ]]/'[1]1.) CLM Reference'!$B$4</f>
        <v>9.639500938115806E-3</v>
      </c>
      <c r="F95" s="37">
        <f>[1]!Table32[[#This Row],[Residential Incentive Disbursements]]+[1]!Table32[[#This Row],[C&amp;I Incentive Disbursements]]</f>
        <v>381914.04639999999</v>
      </c>
      <c r="G95" s="36">
        <f>[1]!Table32[[#This Row],[Incentive Disbursements]]/'[1]1.) CLM Reference'!$B$5</f>
        <v>4.6725854838140244E-3</v>
      </c>
      <c r="H95" s="37">
        <v>0</v>
      </c>
      <c r="I95" s="36">
        <f>[1]!Table32[[#This Row],[Residential CLM $ Collected]]/'[1]1.) CLM Reference'!$B$4</f>
        <v>0</v>
      </c>
      <c r="J95" s="41">
        <v>0</v>
      </c>
      <c r="K95" s="36">
        <f>[1]!Table32[[#This Row],[Residential Incentive Disbursements]]/'[1]1.) CLM Reference'!$B$5</f>
        <v>0</v>
      </c>
      <c r="L95" s="37">
        <v>1086552.1170777599</v>
      </c>
      <c r="M95" s="36">
        <f>[1]!Table32[[#This Row],[C&amp;I CLM $ Collected]]/'[1]1.) CLM Reference'!$B$4</f>
        <v>9.639500938115806E-3</v>
      </c>
      <c r="N95" s="41">
        <v>381914.04639999999</v>
      </c>
      <c r="O95" s="39">
        <f>[1]!Table32[[#This Row],[C&amp;I Incentive Disbursements]]/'[1]1.) CLM Reference'!$B$5</f>
        <v>4.6725854838140244E-3</v>
      </c>
      <c r="P95">
        <f>VLOOKUP(Table32[[#This Row],[Census Tract]],'Population and Diversity Data'!$B$2:$K$823,10,FALSE)</f>
        <v>4</v>
      </c>
      <c r="Q95" t="str">
        <f>VLOOKUP(Table32[[#This Row],[Census Tract]],'ES Energy Burden'!$B$2:$E$914,4,FALSE)</f>
        <v>No</v>
      </c>
    </row>
    <row r="96" spans="1:17" x14ac:dyDescent="0.2">
      <c r="A96" s="100">
        <v>9003496200</v>
      </c>
      <c r="B96" s="38" t="s">
        <v>2794</v>
      </c>
      <c r="C96" s="38" t="s">
        <v>944</v>
      </c>
      <c r="D96" s="40">
        <f>[1]!Table32[[#This Row],[Residential CLM $ Collected]]+[1]!Table32[[#This Row],[C&amp;I CLM $ Collected]]</f>
        <v>25047.040622400003</v>
      </c>
      <c r="E96" s="36">
        <f>[1]!Table32[[#This Row],[CLM $ Collected ]]/'[1]1.) CLM Reference'!$B$4</f>
        <v>2.2220836698196836E-4</v>
      </c>
      <c r="F96" s="37">
        <f>[1]!Table32[[#This Row],[Residential Incentive Disbursements]]+[1]!Table32[[#This Row],[C&amp;I Incentive Disbursements]]</f>
        <v>0</v>
      </c>
      <c r="G96" s="36">
        <f>[1]!Table32[[#This Row],[Incentive Disbursements]]/'[1]1.) CLM Reference'!$B$5</f>
        <v>0</v>
      </c>
      <c r="H96" s="37">
        <v>0</v>
      </c>
      <c r="I96" s="36">
        <f>[1]!Table32[[#This Row],[Residential CLM $ Collected]]/'[1]1.) CLM Reference'!$B$4</f>
        <v>0</v>
      </c>
      <c r="J96" s="41">
        <v>0</v>
      </c>
      <c r="K96" s="36">
        <f>[1]!Table32[[#This Row],[Residential Incentive Disbursements]]/'[1]1.) CLM Reference'!$B$5</f>
        <v>0</v>
      </c>
      <c r="L96" s="37">
        <v>25047.040622400003</v>
      </c>
      <c r="M96" s="36">
        <f>[1]!Table32[[#This Row],[C&amp;I CLM $ Collected]]/'[1]1.) CLM Reference'!$B$4</f>
        <v>2.2220836698196836E-4</v>
      </c>
      <c r="N96" s="41">
        <v>0</v>
      </c>
      <c r="O96" s="39">
        <f>[1]!Table32[[#This Row],[C&amp;I Incentive Disbursements]]/'[1]1.) CLM Reference'!$B$5</f>
        <v>0</v>
      </c>
      <c r="P96">
        <f>VLOOKUP(Table32[[#This Row],[Census Tract]],'Population and Diversity Data'!$B$2:$K$823,10,FALSE)</f>
        <v>5</v>
      </c>
      <c r="Q96" t="str">
        <f>VLOOKUP(Table32[[#This Row],[Census Tract]],'ES Energy Burden'!$B$2:$E$914,4,FALSE)</f>
        <v>No</v>
      </c>
    </row>
    <row r="97" spans="1:17" x14ac:dyDescent="0.2">
      <c r="A97" s="100">
        <v>9011710100</v>
      </c>
      <c r="B97" s="38" t="s">
        <v>2794</v>
      </c>
      <c r="C97" s="38" t="s">
        <v>944</v>
      </c>
      <c r="D97" s="40">
        <f>[1]!Table32[[#This Row],[Residential CLM $ Collected]]+[1]!Table32[[#This Row],[C&amp;I CLM $ Collected]]</f>
        <v>44054.875702079997</v>
      </c>
      <c r="E97" s="36">
        <f>[1]!Table32[[#This Row],[CLM $ Collected ]]/'[1]1.) CLM Reference'!$B$4</f>
        <v>3.9083906697536138E-4</v>
      </c>
      <c r="F97" s="37">
        <f>[1]!Table32[[#This Row],[Residential Incentive Disbursements]]+[1]!Table32[[#This Row],[C&amp;I Incentive Disbursements]]</f>
        <v>187423.7506</v>
      </c>
      <c r="G97" s="36">
        <f>[1]!Table32[[#This Row],[Incentive Disbursements]]/'[1]1.) CLM Reference'!$B$5</f>
        <v>2.2930643809269961E-3</v>
      </c>
      <c r="H97" s="37">
        <v>0</v>
      </c>
      <c r="I97" s="36">
        <f>[1]!Table32[[#This Row],[Residential CLM $ Collected]]/'[1]1.) CLM Reference'!$B$4</f>
        <v>0</v>
      </c>
      <c r="J97" s="41">
        <v>0</v>
      </c>
      <c r="K97" s="36">
        <f>[1]!Table32[[#This Row],[Residential Incentive Disbursements]]/'[1]1.) CLM Reference'!$B$5</f>
        <v>0</v>
      </c>
      <c r="L97" s="37">
        <v>44054.875702079997</v>
      </c>
      <c r="M97" s="36">
        <f>[1]!Table32[[#This Row],[C&amp;I CLM $ Collected]]/'[1]1.) CLM Reference'!$B$4</f>
        <v>3.9083906697536138E-4</v>
      </c>
      <c r="N97" s="41">
        <v>187423.7506</v>
      </c>
      <c r="O97" s="39">
        <f>[1]!Table32[[#This Row],[C&amp;I Incentive Disbursements]]/'[1]1.) CLM Reference'!$B$5</f>
        <v>2.2930643809269961E-3</v>
      </c>
      <c r="P97">
        <f>VLOOKUP(Table32[[#This Row],[Census Tract]],'Population and Diversity Data'!$B$2:$K$823,10,FALSE)</f>
        <v>3</v>
      </c>
      <c r="Q97" t="str">
        <f>VLOOKUP(Table32[[#This Row],[Census Tract]],'ES Energy Burden'!$B$2:$E$914,4,FALSE)</f>
        <v>No</v>
      </c>
    </row>
    <row r="98" spans="1:17" x14ac:dyDescent="0.2">
      <c r="A98" s="100">
        <v>9005300400</v>
      </c>
      <c r="B98" s="38" t="s">
        <v>2795</v>
      </c>
      <c r="C98" s="38" t="s">
        <v>944</v>
      </c>
      <c r="D98" s="40">
        <f>[1]!Table32[[#This Row],[Residential CLM $ Collected]]+[1]!Table32[[#This Row],[C&amp;I CLM $ Collected]]</f>
        <v>2.7074217599999999</v>
      </c>
      <c r="E98" s="36">
        <f>[1]!Table32[[#This Row],[CLM $ Collected ]]/'[1]1.) CLM Reference'!$B$4</f>
        <v>2.4019275454163426E-8</v>
      </c>
      <c r="F98" s="37">
        <f>[1]!Table32[[#This Row],[Residential Incentive Disbursements]]+[1]!Table32[[#This Row],[C&amp;I Incentive Disbursements]]</f>
        <v>0</v>
      </c>
      <c r="G98" s="36">
        <f>[1]!Table32[[#This Row],[Incentive Disbursements]]/'[1]1.) CLM Reference'!$B$5</f>
        <v>0</v>
      </c>
      <c r="H98" s="37">
        <v>0</v>
      </c>
      <c r="I98" s="36">
        <f>[1]!Table32[[#This Row],[Residential CLM $ Collected]]/'[1]1.) CLM Reference'!$B$4</f>
        <v>0</v>
      </c>
      <c r="J98" s="41">
        <v>0</v>
      </c>
      <c r="K98" s="36">
        <f>[1]!Table32[[#This Row],[Residential Incentive Disbursements]]/'[1]1.) CLM Reference'!$B$5</f>
        <v>0</v>
      </c>
      <c r="L98" s="37">
        <v>2.7074217599999999</v>
      </c>
      <c r="M98" s="36">
        <f>[1]!Table32[[#This Row],[C&amp;I CLM $ Collected]]/'[1]1.) CLM Reference'!$B$4</f>
        <v>2.4019275454163426E-8</v>
      </c>
      <c r="N98" s="41">
        <v>0</v>
      </c>
      <c r="O98" s="39">
        <f>[1]!Table32[[#This Row],[C&amp;I Incentive Disbursements]]/'[1]1.) CLM Reference'!$B$5</f>
        <v>0</v>
      </c>
      <c r="P98">
        <f>VLOOKUP(Table32[[#This Row],[Census Tract]],'Population and Diversity Data'!$B$2:$K$823,10,FALSE)</f>
        <v>2</v>
      </c>
      <c r="Q98" t="str">
        <f>VLOOKUP(Table32[[#This Row],[Census Tract]],'ES Energy Burden'!$B$2:$E$914,4,FALSE)</f>
        <v>No</v>
      </c>
    </row>
    <row r="99" spans="1:17" x14ac:dyDescent="0.2">
      <c r="A99" s="100">
        <v>9005300500</v>
      </c>
      <c r="B99" s="38" t="s">
        <v>2795</v>
      </c>
      <c r="C99" s="38" t="s">
        <v>944</v>
      </c>
      <c r="D99" s="40">
        <f>[1]!Table32[[#This Row],[Residential CLM $ Collected]]+[1]!Table32[[#This Row],[C&amp;I CLM $ Collected]]</f>
        <v>47870.637897600005</v>
      </c>
      <c r="E99" s="36">
        <f>[1]!Table32[[#This Row],[CLM $ Collected ]]/'[1]1.) CLM Reference'!$B$4</f>
        <v>4.2469114151943928E-4</v>
      </c>
      <c r="F99" s="37">
        <f>[1]!Table32[[#This Row],[Residential Incentive Disbursements]]+[1]!Table32[[#This Row],[C&amp;I Incentive Disbursements]]</f>
        <v>18227.0638</v>
      </c>
      <c r="G99" s="36">
        <f>[1]!Table32[[#This Row],[Incentive Disbursements]]/'[1]1.) CLM Reference'!$B$5</f>
        <v>2.2300178411147355E-4</v>
      </c>
      <c r="H99" s="37">
        <v>0</v>
      </c>
      <c r="I99" s="36">
        <f>[1]!Table32[[#This Row],[Residential CLM $ Collected]]/'[1]1.) CLM Reference'!$B$4</f>
        <v>0</v>
      </c>
      <c r="J99" s="41">
        <v>0</v>
      </c>
      <c r="K99" s="36">
        <f>[1]!Table32[[#This Row],[Residential Incentive Disbursements]]/'[1]1.) CLM Reference'!$B$5</f>
        <v>0</v>
      </c>
      <c r="L99" s="37">
        <v>47870.637897600005</v>
      </c>
      <c r="M99" s="36">
        <f>[1]!Table32[[#This Row],[C&amp;I CLM $ Collected]]/'[1]1.) CLM Reference'!$B$4</f>
        <v>4.2469114151943928E-4</v>
      </c>
      <c r="N99" s="41">
        <v>18227.0638</v>
      </c>
      <c r="O99" s="39">
        <f>[1]!Table32[[#This Row],[C&amp;I Incentive Disbursements]]/'[1]1.) CLM Reference'!$B$5</f>
        <v>2.2300178411147355E-4</v>
      </c>
      <c r="P99">
        <f>VLOOKUP(Table32[[#This Row],[Census Tract]],'Population and Diversity Data'!$B$2:$K$823,10,FALSE)</f>
        <v>1</v>
      </c>
      <c r="Q99" t="str">
        <f>VLOOKUP(Table32[[#This Row],[Census Tract]],'ES Energy Burden'!$B$2:$E$914,4,FALSE)</f>
        <v>No</v>
      </c>
    </row>
    <row r="100" spans="1:17" x14ac:dyDescent="0.2">
      <c r="A100" s="100">
        <v>9011650100</v>
      </c>
      <c r="B100" s="38" t="s">
        <v>2796</v>
      </c>
      <c r="C100" s="38" t="s">
        <v>944</v>
      </c>
      <c r="D100" s="40">
        <f>[1]!Table32[[#This Row],[Residential CLM $ Collected]]+[1]!Table32[[#This Row],[C&amp;I CLM $ Collected]]</f>
        <v>711.01341216000003</v>
      </c>
      <c r="E100" s="36">
        <f>[1]!Table32[[#This Row],[CLM $ Collected ]]/'[1]1.) CLM Reference'!$B$4</f>
        <v>6.3078561495626275E-6</v>
      </c>
      <c r="F100" s="37">
        <f>[1]!Table32[[#This Row],[Residential Incentive Disbursements]]+[1]!Table32[[#This Row],[C&amp;I Incentive Disbursements]]</f>
        <v>0</v>
      </c>
      <c r="G100" s="36">
        <f>[1]!Table32[[#This Row],[Incentive Disbursements]]/'[1]1.) CLM Reference'!$B$5</f>
        <v>0</v>
      </c>
      <c r="H100" s="37">
        <v>0</v>
      </c>
      <c r="I100" s="36">
        <f>[1]!Table32[[#This Row],[Residential CLM $ Collected]]/'[1]1.) CLM Reference'!$B$4</f>
        <v>0</v>
      </c>
      <c r="J100" s="41">
        <v>0</v>
      </c>
      <c r="K100" s="36">
        <f>[1]!Table32[[#This Row],[Residential Incentive Disbursements]]/'[1]1.) CLM Reference'!$B$5</f>
        <v>0</v>
      </c>
      <c r="L100" s="37">
        <v>711.01341216000003</v>
      </c>
      <c r="M100" s="36">
        <f>[1]!Table32[[#This Row],[C&amp;I CLM $ Collected]]/'[1]1.) CLM Reference'!$B$4</f>
        <v>6.3078561495626275E-6</v>
      </c>
      <c r="N100" s="41">
        <v>0</v>
      </c>
      <c r="O100" s="39">
        <f>[1]!Table32[[#This Row],[C&amp;I Incentive Disbursements]]/'[1]1.) CLM Reference'!$B$5</f>
        <v>0</v>
      </c>
      <c r="P100">
        <f>VLOOKUP(Table32[[#This Row],[Census Tract]],'Population and Diversity Data'!$B$2:$K$823,10,FALSE)</f>
        <v>1</v>
      </c>
      <c r="Q100" t="str">
        <f>VLOOKUP(Table32[[#This Row],[Census Tract]],'ES Energy Burden'!$B$2:$E$914,4,FALSE)</f>
        <v>No</v>
      </c>
    </row>
    <row r="101" spans="1:17" x14ac:dyDescent="0.2">
      <c r="A101" s="100">
        <v>9009194201</v>
      </c>
      <c r="B101" s="38" t="s">
        <v>2797</v>
      </c>
      <c r="C101" s="38" t="s">
        <v>944</v>
      </c>
      <c r="D101" s="40">
        <f>[1]!Table32[[#This Row],[Residential CLM $ Collected]]+[1]!Table32[[#This Row],[C&amp;I CLM $ Collected]]</f>
        <v>59820.063520320007</v>
      </c>
      <c r="E101" s="36">
        <f>[1]!Table32[[#This Row],[CLM $ Collected ]]/'[1]1.) CLM Reference'!$B$4</f>
        <v>5.307021627026147E-4</v>
      </c>
      <c r="F101" s="37">
        <f>[1]!Table32[[#This Row],[Residential Incentive Disbursements]]+[1]!Table32[[#This Row],[C&amp;I Incentive Disbursements]]</f>
        <v>45275.3102</v>
      </c>
      <c r="G101" s="36">
        <f>[1]!Table32[[#This Row],[Incentive Disbursements]]/'[1]1.) CLM Reference'!$B$5</f>
        <v>5.5392766830609304E-4</v>
      </c>
      <c r="H101" s="37">
        <v>0</v>
      </c>
      <c r="I101" s="36">
        <f>[1]!Table32[[#This Row],[Residential CLM $ Collected]]/'[1]1.) CLM Reference'!$B$4</f>
        <v>0</v>
      </c>
      <c r="J101" s="41">
        <v>0</v>
      </c>
      <c r="K101" s="36">
        <f>[1]!Table32[[#This Row],[Residential Incentive Disbursements]]/'[1]1.) CLM Reference'!$B$5</f>
        <v>0</v>
      </c>
      <c r="L101" s="37">
        <v>59820.063520320007</v>
      </c>
      <c r="M101" s="36">
        <f>[1]!Table32[[#This Row],[C&amp;I CLM $ Collected]]/'[1]1.) CLM Reference'!$B$4</f>
        <v>5.307021627026147E-4</v>
      </c>
      <c r="N101" s="41">
        <v>45275.3102</v>
      </c>
      <c r="O101" s="39">
        <f>[1]!Table32[[#This Row],[C&amp;I Incentive Disbursements]]/'[1]1.) CLM Reference'!$B$5</f>
        <v>5.5392766830609304E-4</v>
      </c>
      <c r="P101">
        <f>VLOOKUP(Table32[[#This Row],[Census Tract]],'Population and Diversity Data'!$B$2:$K$823,10,FALSE)</f>
        <v>3</v>
      </c>
      <c r="Q101" t="str">
        <f>VLOOKUP(Table32[[#This Row],[Census Tract]],'ES Energy Burden'!$B$2:$E$914,4,FALSE)</f>
        <v>No</v>
      </c>
    </row>
    <row r="102" spans="1:17" x14ac:dyDescent="0.2">
      <c r="A102" s="100">
        <v>9003514102</v>
      </c>
      <c r="B102" s="38" t="s">
        <v>2798</v>
      </c>
      <c r="C102" s="38" t="s">
        <v>944</v>
      </c>
      <c r="D102" s="40">
        <f>[1]!Table32[[#This Row],[Residential CLM $ Collected]]+[1]!Table32[[#This Row],[C&amp;I CLM $ Collected]]</f>
        <v>1024813.19313216</v>
      </c>
      <c r="E102" s="36">
        <f>[1]!Table32[[#This Row],[CLM $ Collected ]]/'[1]1.) CLM Reference'!$B$4</f>
        <v>9.091775333482632E-3</v>
      </c>
      <c r="F102" s="37">
        <f>[1]!Table32[[#This Row],[Residential Incentive Disbursements]]+[1]!Table32[[#This Row],[C&amp;I Incentive Disbursements]]</f>
        <v>937033.15350000001</v>
      </c>
      <c r="G102" s="36">
        <f>[1]!Table32[[#This Row],[Incentive Disbursements]]/'[1]1.) CLM Reference'!$B$5</f>
        <v>1.146427462453389E-2</v>
      </c>
      <c r="H102" s="37">
        <v>0</v>
      </c>
      <c r="I102" s="36">
        <f>[1]!Table32[[#This Row],[Residential CLM $ Collected]]/'[1]1.) CLM Reference'!$B$4</f>
        <v>0</v>
      </c>
      <c r="J102" s="41">
        <v>0</v>
      </c>
      <c r="K102" s="36">
        <f>[1]!Table32[[#This Row],[Residential Incentive Disbursements]]/'[1]1.) CLM Reference'!$B$5</f>
        <v>0</v>
      </c>
      <c r="L102" s="37">
        <v>1024813.19313216</v>
      </c>
      <c r="M102" s="36">
        <f>[1]!Table32[[#This Row],[C&amp;I CLM $ Collected]]/'[1]1.) CLM Reference'!$B$4</f>
        <v>9.091775333482632E-3</v>
      </c>
      <c r="N102" s="41">
        <v>937033.15350000001</v>
      </c>
      <c r="O102" s="39">
        <f>[1]!Table32[[#This Row],[C&amp;I Incentive Disbursements]]/'[1]1.) CLM Reference'!$B$5</f>
        <v>1.146427462453389E-2</v>
      </c>
      <c r="P102">
        <f>VLOOKUP(Table32[[#This Row],[Census Tract]],'Population and Diversity Data'!$B$2:$K$823,10,FALSE)</f>
        <v>5</v>
      </c>
      <c r="Q102" t="str">
        <f>VLOOKUP(Table32[[#This Row],[Census Tract]],'ES Energy Burden'!$B$2:$E$914,4,FALSE)</f>
        <v>No</v>
      </c>
    </row>
    <row r="103" spans="1:17" x14ac:dyDescent="0.2">
      <c r="A103" s="100">
        <v>9003515101</v>
      </c>
      <c r="B103" s="38" t="s">
        <v>2798</v>
      </c>
      <c r="C103" s="38" t="s">
        <v>944</v>
      </c>
      <c r="D103" s="40">
        <f>[1]!Table32[[#This Row],[Residential CLM $ Collected]]+[1]!Table32[[#This Row],[C&amp;I CLM $ Collected]]</f>
        <v>4.9476873600000006</v>
      </c>
      <c r="E103" s="36">
        <f>[1]!Table32[[#This Row],[CLM $ Collected ]]/'[1]1.) CLM Reference'!$B$4</f>
        <v>4.3894108896030538E-8</v>
      </c>
      <c r="F103" s="37">
        <f>[1]!Table32[[#This Row],[Residential Incentive Disbursements]]+[1]!Table32[[#This Row],[C&amp;I Incentive Disbursements]]</f>
        <v>0</v>
      </c>
      <c r="G103" s="36">
        <f>[1]!Table32[[#This Row],[Incentive Disbursements]]/'[1]1.) CLM Reference'!$B$5</f>
        <v>0</v>
      </c>
      <c r="H103" s="37">
        <v>0</v>
      </c>
      <c r="I103" s="36">
        <f>[1]!Table32[[#This Row],[Residential CLM $ Collected]]/'[1]1.) CLM Reference'!$B$4</f>
        <v>0</v>
      </c>
      <c r="J103" s="41">
        <v>0</v>
      </c>
      <c r="K103" s="36">
        <f>[1]!Table32[[#This Row],[Residential Incentive Disbursements]]/'[1]1.) CLM Reference'!$B$5</f>
        <v>0</v>
      </c>
      <c r="L103" s="37">
        <v>4.9476873600000006</v>
      </c>
      <c r="M103" s="36">
        <f>[1]!Table32[[#This Row],[C&amp;I CLM $ Collected]]/'[1]1.) CLM Reference'!$B$4</f>
        <v>4.3894108896030538E-8</v>
      </c>
      <c r="N103" s="41">
        <v>0</v>
      </c>
      <c r="O103" s="39">
        <f>[1]!Table32[[#This Row],[C&amp;I Incentive Disbursements]]/'[1]1.) CLM Reference'!$B$5</f>
        <v>0</v>
      </c>
      <c r="P103">
        <f>VLOOKUP(Table32[[#This Row],[Census Tract]],'Population and Diversity Data'!$B$2:$K$823,10,FALSE)</f>
        <v>3</v>
      </c>
      <c r="Q103" t="str">
        <f>VLOOKUP(Table32[[#This Row],[Census Tract]],'ES Energy Burden'!$B$2:$E$914,4,FALSE)</f>
        <v>No</v>
      </c>
    </row>
    <row r="104" spans="1:17" x14ac:dyDescent="0.2">
      <c r="A104" s="100">
        <v>9013881300</v>
      </c>
      <c r="B104" s="38" t="s">
        <v>2799</v>
      </c>
      <c r="C104" s="38" t="s">
        <v>944</v>
      </c>
      <c r="D104" s="40">
        <f>[1]!Table32[[#This Row],[Residential CLM $ Collected]]+[1]!Table32[[#This Row],[C&amp;I CLM $ Collected]]</f>
        <v>265.23934272000002</v>
      </c>
      <c r="E104" s="36">
        <f>[1]!Table32[[#This Row],[CLM $ Collected ]]/'[1]1.) CLM Reference'!$B$4</f>
        <v>2.3531083808947953E-6</v>
      </c>
      <c r="F104" s="37">
        <f>[1]!Table32[[#This Row],[Residential Incentive Disbursements]]+[1]!Table32[[#This Row],[C&amp;I Incentive Disbursements]]</f>
        <v>0</v>
      </c>
      <c r="G104" s="36">
        <f>[1]!Table32[[#This Row],[Incentive Disbursements]]/'[1]1.) CLM Reference'!$B$5</f>
        <v>0</v>
      </c>
      <c r="H104" s="37">
        <v>0</v>
      </c>
      <c r="I104" s="36">
        <f>[1]!Table32[[#This Row],[Residential CLM $ Collected]]/'[1]1.) CLM Reference'!$B$4</f>
        <v>0</v>
      </c>
      <c r="J104" s="41">
        <v>0</v>
      </c>
      <c r="K104" s="36">
        <f>[1]!Table32[[#This Row],[Residential Incentive Disbursements]]/'[1]1.) CLM Reference'!$B$5</f>
        <v>0</v>
      </c>
      <c r="L104" s="37">
        <v>265.23934272000002</v>
      </c>
      <c r="M104" s="36">
        <f>[1]!Table32[[#This Row],[C&amp;I CLM $ Collected]]/'[1]1.) CLM Reference'!$B$4</f>
        <v>2.3531083808947953E-6</v>
      </c>
      <c r="N104" s="41">
        <v>0</v>
      </c>
      <c r="O104" s="39">
        <f>[1]!Table32[[#This Row],[C&amp;I Incentive Disbursements]]/'[1]1.) CLM Reference'!$B$5</f>
        <v>0</v>
      </c>
      <c r="P104">
        <f>VLOOKUP(Table32[[#This Row],[Census Tract]],'Population and Diversity Data'!$B$2:$K$823,10,FALSE)</f>
        <v>4</v>
      </c>
      <c r="Q104" t="str">
        <f>VLOOKUP(Table32[[#This Row],[Census Tract]],'ES Energy Burden'!$B$2:$E$914,4,FALSE)</f>
        <v>No</v>
      </c>
    </row>
    <row r="105" spans="1:17" x14ac:dyDescent="0.2">
      <c r="A105" s="100">
        <v>9013881500</v>
      </c>
      <c r="B105" s="38" t="s">
        <v>2799</v>
      </c>
      <c r="C105" s="38" t="s">
        <v>944</v>
      </c>
      <c r="D105" s="40">
        <f>[1]!Table32[[#This Row],[Residential CLM $ Collected]]+[1]!Table32[[#This Row],[C&amp;I CLM $ Collected]]</f>
        <v>99639.411456960006</v>
      </c>
      <c r="E105" s="36">
        <f>[1]!Table32[[#This Row],[CLM $ Collected ]]/'[1]1.) CLM Reference'!$B$4</f>
        <v>8.8396514545094362E-4</v>
      </c>
      <c r="F105" s="37">
        <f>[1]!Table32[[#This Row],[Residential Incentive Disbursements]]+[1]!Table32[[#This Row],[C&amp;I Incentive Disbursements]]</f>
        <v>858796.32059999998</v>
      </c>
      <c r="G105" s="36">
        <f>[1]!Table32[[#This Row],[Incentive Disbursements]]/'[1]1.) CLM Reference'!$B$5</f>
        <v>1.0507074193824297E-2</v>
      </c>
      <c r="H105" s="37">
        <v>0</v>
      </c>
      <c r="I105" s="36">
        <f>[1]!Table32[[#This Row],[Residential CLM $ Collected]]/'[1]1.) CLM Reference'!$B$4</f>
        <v>0</v>
      </c>
      <c r="J105" s="41">
        <v>0</v>
      </c>
      <c r="K105" s="36">
        <f>[1]!Table32[[#This Row],[Residential Incentive Disbursements]]/'[1]1.) CLM Reference'!$B$5</f>
        <v>0</v>
      </c>
      <c r="L105" s="37">
        <v>99639.411456960006</v>
      </c>
      <c r="M105" s="36">
        <f>[1]!Table32[[#This Row],[C&amp;I CLM $ Collected]]/'[1]1.) CLM Reference'!$B$4</f>
        <v>8.8396514545094362E-4</v>
      </c>
      <c r="N105" s="41">
        <v>858796.32059999998</v>
      </c>
      <c r="O105" s="39">
        <f>[1]!Table32[[#This Row],[C&amp;I Incentive Disbursements]]/'[1]1.) CLM Reference'!$B$5</f>
        <v>1.0507074193824297E-2</v>
      </c>
      <c r="P105">
        <f>VLOOKUP(Table32[[#This Row],[Census Tract]],'Population and Diversity Data'!$B$2:$K$823,10,FALSE)</f>
        <v>4</v>
      </c>
      <c r="Q105" t="str">
        <f>VLOOKUP(Table32[[#This Row],[Census Tract]],'ES Energy Burden'!$B$2:$E$914,4,FALSE)</f>
        <v>No</v>
      </c>
    </row>
    <row r="106" spans="1:17" x14ac:dyDescent="0.2">
      <c r="A106" s="100">
        <v>9003524100</v>
      </c>
      <c r="B106" s="38" t="s">
        <v>2800</v>
      </c>
      <c r="C106" s="38" t="s">
        <v>944</v>
      </c>
      <c r="D106" s="40">
        <f>[1]!Table32[[#This Row],[Residential CLM $ Collected]]+[1]!Table32[[#This Row],[C&amp;I CLM $ Collected]]</f>
        <v>29367.331470720004</v>
      </c>
      <c r="E106" s="36">
        <f>[1]!Table32[[#This Row],[CLM $ Collected ]]/'[1]1.) CLM Reference'!$B$4</f>
        <v>2.6053643889932619E-4</v>
      </c>
      <c r="F106" s="37">
        <f>[1]!Table32[[#This Row],[Residential Incentive Disbursements]]+[1]!Table32[[#This Row],[C&amp;I Incentive Disbursements]]</f>
        <v>800</v>
      </c>
      <c r="G106" s="36">
        <f>[1]!Table32[[#This Row],[Incentive Disbursements]]/'[1]1.) CLM Reference'!$B$5</f>
        <v>9.7877216674459013E-6</v>
      </c>
      <c r="H106" s="37">
        <v>0</v>
      </c>
      <c r="I106" s="36">
        <f>[1]!Table32[[#This Row],[Residential CLM $ Collected]]/'[1]1.) CLM Reference'!$B$4</f>
        <v>0</v>
      </c>
      <c r="J106" s="41">
        <v>0</v>
      </c>
      <c r="K106" s="36">
        <f>[1]!Table32[[#This Row],[Residential Incentive Disbursements]]/'[1]1.) CLM Reference'!$B$5</f>
        <v>0</v>
      </c>
      <c r="L106" s="37">
        <v>29367.331470720004</v>
      </c>
      <c r="M106" s="36">
        <f>[1]!Table32[[#This Row],[C&amp;I CLM $ Collected]]/'[1]1.) CLM Reference'!$B$4</f>
        <v>2.6053643889932619E-4</v>
      </c>
      <c r="N106" s="41">
        <v>800</v>
      </c>
      <c r="O106" s="39">
        <f>[1]!Table32[[#This Row],[C&amp;I Incentive Disbursements]]/'[1]1.) CLM Reference'!$B$5</f>
        <v>9.7877216674459013E-6</v>
      </c>
      <c r="P106">
        <f>VLOOKUP(Table32[[#This Row],[Census Tract]],'Population and Diversity Data'!$B$2:$K$823,10,FALSE)</f>
        <v>1</v>
      </c>
      <c r="Q106" t="str">
        <f>VLOOKUP(Table32[[#This Row],[Census Tract]],'ES Energy Burden'!$B$2:$E$914,4,FALSE)</f>
        <v>No</v>
      </c>
    </row>
    <row r="107" spans="1:17" x14ac:dyDescent="0.2">
      <c r="A107" s="100">
        <v>9009171200</v>
      </c>
      <c r="B107" s="38" t="s">
        <v>991</v>
      </c>
      <c r="C107" s="38" t="s">
        <v>944</v>
      </c>
      <c r="D107" s="40">
        <f>[1]!Table32[[#This Row],[Residential CLM $ Collected]]+[1]!Table32[[#This Row],[C&amp;I CLM $ Collected]]</f>
        <v>915321.75754175987</v>
      </c>
      <c r="E107" s="36">
        <f>[1]!Table32[[#This Row],[CLM $ Collected ]]/'[1]1.) CLM Reference'!$B$4</f>
        <v>8.1204065611057662E-3</v>
      </c>
      <c r="F107" s="37">
        <f>[1]!Table32[[#This Row],[Residential Incentive Disbursements]]+[1]!Table32[[#This Row],[C&amp;I Incentive Disbursements]]</f>
        <v>446006.51579999999</v>
      </c>
      <c r="G107" s="36">
        <f>[1]!Table32[[#This Row],[Incentive Disbursements]]/'[1]1.) CLM Reference'!$B$5</f>
        <v>5.4567345481471409E-3</v>
      </c>
      <c r="H107" s="37">
        <v>0</v>
      </c>
      <c r="I107" s="36">
        <f>[1]!Table32[[#This Row],[Residential CLM $ Collected]]/'[1]1.) CLM Reference'!$B$4</f>
        <v>0</v>
      </c>
      <c r="J107" s="41">
        <v>0</v>
      </c>
      <c r="K107" s="36">
        <f>[1]!Table32[[#This Row],[Residential Incentive Disbursements]]/'[1]1.) CLM Reference'!$B$5</f>
        <v>0</v>
      </c>
      <c r="L107" s="37">
        <v>915321.75754175987</v>
      </c>
      <c r="M107" s="36">
        <f>[1]!Table32[[#This Row],[C&amp;I CLM $ Collected]]/'[1]1.) CLM Reference'!$B$4</f>
        <v>8.1204065611057662E-3</v>
      </c>
      <c r="N107" s="41">
        <v>446006.51579999999</v>
      </c>
      <c r="O107" s="39">
        <f>[1]!Table32[[#This Row],[C&amp;I Incentive Disbursements]]/'[1]1.) CLM Reference'!$B$5</f>
        <v>5.4567345481471409E-3</v>
      </c>
      <c r="P107">
        <f>VLOOKUP(Table32[[#This Row],[Census Tract]],'Population and Diversity Data'!$B$2:$K$823,10,FALSE)</f>
        <v>3</v>
      </c>
      <c r="Q107" t="str">
        <f>VLOOKUP(Table32[[#This Row],[Census Tract]],'ES Energy Burden'!$B$2:$E$914,4,FALSE)</f>
        <v>No</v>
      </c>
    </row>
    <row r="108" spans="1:17" x14ac:dyDescent="0.2">
      <c r="A108" s="100">
        <v>9009171300</v>
      </c>
      <c r="B108" s="38" t="s">
        <v>991</v>
      </c>
      <c r="C108" s="38" t="s">
        <v>944</v>
      </c>
      <c r="D108" s="40">
        <f>[1]!Table32[[#This Row],[Residential CLM $ Collected]]+[1]!Table32[[#This Row],[C&amp;I CLM $ Collected]]</f>
        <v>5284.2626639999999</v>
      </c>
      <c r="E108" s="36">
        <f>[1]!Table32[[#This Row],[CLM $ Collected ]]/'[1]1.) CLM Reference'!$B$4</f>
        <v>4.6880084356996315E-5</v>
      </c>
      <c r="F108" s="37">
        <f>[1]!Table32[[#This Row],[Residential Incentive Disbursements]]+[1]!Table32[[#This Row],[C&amp;I Incentive Disbursements]]</f>
        <v>74012.543999999994</v>
      </c>
      <c r="G108" s="36">
        <f>[1]!Table32[[#This Row],[Incentive Disbursements]]/'[1]1.) CLM Reference'!$B$5</f>
        <v>9.0551772571449143E-4</v>
      </c>
      <c r="H108" s="37">
        <v>0</v>
      </c>
      <c r="I108" s="36">
        <f>[1]!Table32[[#This Row],[Residential CLM $ Collected]]/'[1]1.) CLM Reference'!$B$4</f>
        <v>0</v>
      </c>
      <c r="J108" s="41">
        <v>0</v>
      </c>
      <c r="K108" s="36">
        <f>[1]!Table32[[#This Row],[Residential Incentive Disbursements]]/'[1]1.) CLM Reference'!$B$5</f>
        <v>0</v>
      </c>
      <c r="L108" s="37">
        <v>5284.2626639999999</v>
      </c>
      <c r="M108" s="36">
        <f>[1]!Table32[[#This Row],[C&amp;I CLM $ Collected]]/'[1]1.) CLM Reference'!$B$4</f>
        <v>4.6880084356996315E-5</v>
      </c>
      <c r="N108" s="41">
        <v>74012.543999999994</v>
      </c>
      <c r="O108" s="39">
        <f>[1]!Table32[[#This Row],[C&amp;I Incentive Disbursements]]/'[1]1.) CLM Reference'!$B$5</f>
        <v>9.0551772571449143E-4</v>
      </c>
      <c r="P108">
        <f>VLOOKUP(Table32[[#This Row],[Census Tract]],'Population and Diversity Data'!$B$2:$K$823,10,FALSE)</f>
        <v>2</v>
      </c>
      <c r="Q108" t="str">
        <f>VLOOKUP(Table32[[#This Row],[Census Tract]],'ES Energy Burden'!$B$2:$E$914,4,FALSE)</f>
        <v>No</v>
      </c>
    </row>
    <row r="109" spans="1:17" x14ac:dyDescent="0.2">
      <c r="A109" s="100">
        <v>9009171700</v>
      </c>
      <c r="B109" s="38" t="s">
        <v>991</v>
      </c>
      <c r="C109" s="38" t="s">
        <v>944</v>
      </c>
      <c r="D109" s="40">
        <f>[1]!Table32[[#This Row],[Residential CLM $ Collected]]+[1]!Table32[[#This Row],[C&amp;I CLM $ Collected]]</f>
        <v>18.500425919999998</v>
      </c>
      <c r="E109" s="36">
        <f>[1]!Table32[[#This Row],[CLM $ Collected ]]/'[1]1.) CLM Reference'!$B$4</f>
        <v>1.6412914779551183E-7</v>
      </c>
      <c r="F109" s="37">
        <f>[1]!Table32[[#This Row],[Residential Incentive Disbursements]]+[1]!Table32[[#This Row],[C&amp;I Incentive Disbursements]]</f>
        <v>0</v>
      </c>
      <c r="G109" s="36">
        <f>[1]!Table32[[#This Row],[Incentive Disbursements]]/'[1]1.) CLM Reference'!$B$5</f>
        <v>0</v>
      </c>
      <c r="H109" s="37">
        <v>0</v>
      </c>
      <c r="I109" s="36">
        <f>[1]!Table32[[#This Row],[Residential CLM $ Collected]]/'[1]1.) CLM Reference'!$B$4</f>
        <v>0</v>
      </c>
      <c r="J109" s="41">
        <v>0</v>
      </c>
      <c r="K109" s="36">
        <f>[1]!Table32[[#This Row],[Residential Incentive Disbursements]]/'[1]1.) CLM Reference'!$B$5</f>
        <v>0</v>
      </c>
      <c r="L109" s="37">
        <v>18.500425919999998</v>
      </c>
      <c r="M109" s="36">
        <f>[1]!Table32[[#This Row],[C&amp;I CLM $ Collected]]/'[1]1.) CLM Reference'!$B$4</f>
        <v>1.6412914779551183E-7</v>
      </c>
      <c r="N109" s="41">
        <v>0</v>
      </c>
      <c r="O109" s="39">
        <f>[1]!Table32[[#This Row],[C&amp;I Incentive Disbursements]]/'[1]1.) CLM Reference'!$B$5</f>
        <v>0</v>
      </c>
      <c r="P109">
        <f>VLOOKUP(Table32[[#This Row],[Census Tract]],'Population and Diversity Data'!$B$2:$K$823,10,FALSE)</f>
        <v>2</v>
      </c>
      <c r="Q109" t="str">
        <f>VLOOKUP(Table32[[#This Row],[Census Tract]],'ES Energy Burden'!$B$2:$E$914,4,FALSE)</f>
        <v>No</v>
      </c>
    </row>
    <row r="110" spans="1:17" x14ac:dyDescent="0.2">
      <c r="A110" s="100">
        <v>9009344100</v>
      </c>
      <c r="B110" s="38" t="s">
        <v>2801</v>
      </c>
      <c r="C110" s="38" t="s">
        <v>944</v>
      </c>
      <c r="D110" s="40">
        <f>[1]!Table32[[#This Row],[Residential CLM $ Collected]]+[1]!Table32[[#This Row],[C&amp;I CLM $ Collected]]</f>
        <v>68058.342141120011</v>
      </c>
      <c r="E110" s="36">
        <f>[1]!Table32[[#This Row],[CLM $ Collected ]]/'[1]1.) CLM Reference'!$B$4</f>
        <v>6.0378921784290461E-4</v>
      </c>
      <c r="F110" s="37">
        <f>[1]!Table32[[#This Row],[Residential Incentive Disbursements]]+[1]!Table32[[#This Row],[C&amp;I Incentive Disbursements]]</f>
        <v>37848.43</v>
      </c>
      <c r="G110" s="36">
        <f>[1]!Table32[[#This Row],[Incentive Disbursements]]/'[1]1.) CLM Reference'!$B$5</f>
        <v>4.6306237298726188E-4</v>
      </c>
      <c r="H110" s="37">
        <v>0</v>
      </c>
      <c r="I110" s="36">
        <f>[1]!Table32[[#This Row],[Residential CLM $ Collected]]/'[1]1.) CLM Reference'!$B$4</f>
        <v>0</v>
      </c>
      <c r="J110" s="41">
        <v>0</v>
      </c>
      <c r="K110" s="36">
        <f>[1]!Table32[[#This Row],[Residential Incentive Disbursements]]/'[1]1.) CLM Reference'!$B$5</f>
        <v>0</v>
      </c>
      <c r="L110" s="37">
        <v>68058.342141120011</v>
      </c>
      <c r="M110" s="36">
        <f>[1]!Table32[[#This Row],[C&amp;I CLM $ Collected]]/'[1]1.) CLM Reference'!$B$4</f>
        <v>6.0378921784290461E-4</v>
      </c>
      <c r="N110" s="41">
        <v>37848.43</v>
      </c>
      <c r="O110" s="39">
        <f>[1]!Table32[[#This Row],[C&amp;I Incentive Disbursements]]/'[1]1.) CLM Reference'!$B$5</f>
        <v>4.6306237298726188E-4</v>
      </c>
      <c r="P110">
        <f>VLOOKUP(Table32[[#This Row],[Census Tract]],'Population and Diversity Data'!$B$2:$K$823,10,FALSE)</f>
        <v>2</v>
      </c>
      <c r="Q110" t="str">
        <f>VLOOKUP(Table32[[#This Row],[Census Tract]],'ES Energy Burden'!$B$2:$E$914,4,FALSE)</f>
        <v>No</v>
      </c>
    </row>
    <row r="111" spans="1:17" x14ac:dyDescent="0.2">
      <c r="A111" s="100">
        <v>9007580100</v>
      </c>
      <c r="B111" s="38" t="s">
        <v>2802</v>
      </c>
      <c r="C111" s="38" t="s">
        <v>944</v>
      </c>
      <c r="D111" s="40">
        <f>[1]!Table32[[#This Row],[Residential CLM $ Collected]]+[1]!Table32[[#This Row],[C&amp;I CLM $ Collected]]</f>
        <v>96305.562230400014</v>
      </c>
      <c r="E111" s="36">
        <f>[1]!Table32[[#This Row],[CLM $ Collected ]]/'[1]1.) CLM Reference'!$B$4</f>
        <v>8.5438843003908462E-4</v>
      </c>
      <c r="F111" s="37">
        <f>[1]!Table32[[#This Row],[Residential Incentive Disbursements]]+[1]!Table32[[#This Row],[C&amp;I Incentive Disbursements]]</f>
        <v>147031.02660000001</v>
      </c>
      <c r="G111" s="36">
        <f>[1]!Table32[[#This Row],[Incentive Disbursements]]/'[1]1.) CLM Reference'!$B$5</f>
        <v>1.7988734560495435E-3</v>
      </c>
      <c r="H111" s="37">
        <v>0</v>
      </c>
      <c r="I111" s="36">
        <f>[1]!Table32[[#This Row],[Residential CLM $ Collected]]/'[1]1.) CLM Reference'!$B$4</f>
        <v>0</v>
      </c>
      <c r="J111" s="41">
        <v>0</v>
      </c>
      <c r="K111" s="36">
        <f>[1]!Table32[[#This Row],[Residential Incentive Disbursements]]/'[1]1.) CLM Reference'!$B$5</f>
        <v>0</v>
      </c>
      <c r="L111" s="37">
        <v>96305.562230400014</v>
      </c>
      <c r="M111" s="36">
        <f>[1]!Table32[[#This Row],[C&amp;I CLM $ Collected]]/'[1]1.) CLM Reference'!$B$4</f>
        <v>8.5438843003908462E-4</v>
      </c>
      <c r="N111" s="41">
        <v>147031.02660000001</v>
      </c>
      <c r="O111" s="39">
        <f>[1]!Table32[[#This Row],[C&amp;I Incentive Disbursements]]/'[1]1.) CLM Reference'!$B$5</f>
        <v>1.7988734560495435E-3</v>
      </c>
      <c r="P111">
        <f>VLOOKUP(Table32[[#This Row],[Census Tract]],'Population and Diversity Data'!$B$2:$K$823,10,FALSE)</f>
        <v>1</v>
      </c>
      <c r="Q111" t="str">
        <f>VLOOKUP(Table32[[#This Row],[Census Tract]],'ES Energy Burden'!$B$2:$E$914,4,FALSE)</f>
        <v>No</v>
      </c>
    </row>
    <row r="112" spans="1:17" x14ac:dyDescent="0.2">
      <c r="A112" s="100">
        <v>9007541200</v>
      </c>
      <c r="B112" s="38" t="s">
        <v>2803</v>
      </c>
      <c r="C112" s="38" t="s">
        <v>944</v>
      </c>
      <c r="D112" s="40">
        <f>[1]!Table32[[#This Row],[Residential CLM $ Collected]]+[1]!Table32[[#This Row],[C&amp;I CLM $ Collected]]</f>
        <v>2.08917792</v>
      </c>
      <c r="E112" s="36">
        <f>[1]!Table32[[#This Row],[CLM $ Collected ]]/'[1]1.) CLM Reference'!$B$4</f>
        <v>1.8534437698113278E-8</v>
      </c>
      <c r="F112" s="37">
        <f>[1]!Table32[[#This Row],[Residential Incentive Disbursements]]+[1]!Table32[[#This Row],[C&amp;I Incentive Disbursements]]</f>
        <v>0</v>
      </c>
      <c r="G112" s="36">
        <f>[1]!Table32[[#This Row],[Incentive Disbursements]]/'[1]1.) CLM Reference'!$B$5</f>
        <v>0</v>
      </c>
      <c r="H112" s="37">
        <v>0</v>
      </c>
      <c r="I112" s="36">
        <f>[1]!Table32[[#This Row],[Residential CLM $ Collected]]/'[1]1.) CLM Reference'!$B$4</f>
        <v>0</v>
      </c>
      <c r="J112" s="41">
        <v>0</v>
      </c>
      <c r="K112" s="36">
        <f>[1]!Table32[[#This Row],[Residential Incentive Disbursements]]/'[1]1.) CLM Reference'!$B$5</f>
        <v>0</v>
      </c>
      <c r="L112" s="37">
        <v>2.08917792</v>
      </c>
      <c r="M112" s="36">
        <f>[1]!Table32[[#This Row],[C&amp;I CLM $ Collected]]/'[1]1.) CLM Reference'!$B$4</f>
        <v>1.8534437698113278E-8</v>
      </c>
      <c r="N112" s="41">
        <v>0</v>
      </c>
      <c r="O112" s="39">
        <f>[1]!Table32[[#This Row],[C&amp;I Incentive Disbursements]]/'[1]1.) CLM Reference'!$B$5</f>
        <v>0</v>
      </c>
      <c r="P112">
        <f>VLOOKUP(Table32[[#This Row],[Census Tract]],'Population and Diversity Data'!$B$2:$K$823,10,FALSE)</f>
        <v>4</v>
      </c>
      <c r="Q112" t="str">
        <f>VLOOKUP(Table32[[#This Row],[Census Tract]],'ES Energy Burden'!$B$2:$E$914,4,FALSE)</f>
        <v>No</v>
      </c>
    </row>
    <row r="113" spans="1:17" x14ac:dyDescent="0.2">
      <c r="A113" s="100">
        <v>9007541300</v>
      </c>
      <c r="B113" s="38" t="s">
        <v>2803</v>
      </c>
      <c r="C113" s="38" t="s">
        <v>944</v>
      </c>
      <c r="D113" s="40">
        <f>[1]!Table32[[#This Row],[Residential CLM $ Collected]]+[1]!Table32[[#This Row],[C&amp;I CLM $ Collected]]</f>
        <v>890452.79661600012</v>
      </c>
      <c r="E113" s="36">
        <f>[1]!Table32[[#This Row],[CLM $ Collected ]]/'[1]1.) CLM Reference'!$B$4</f>
        <v>7.8997780533646405E-3</v>
      </c>
      <c r="F113" s="37">
        <f>[1]!Table32[[#This Row],[Residential Incentive Disbursements]]+[1]!Table32[[#This Row],[C&amp;I Incentive Disbursements]]</f>
        <v>2538286.5921999998</v>
      </c>
      <c r="G113" s="36">
        <f>[1]!Table32[[#This Row],[Incentive Disbursements]]/'[1]1.) CLM Reference'!$B$5</f>
        <v>3.1055053345829198E-2</v>
      </c>
      <c r="H113" s="37">
        <v>0</v>
      </c>
      <c r="I113" s="36">
        <f>[1]!Table32[[#This Row],[Residential CLM $ Collected]]/'[1]1.) CLM Reference'!$B$4</f>
        <v>0</v>
      </c>
      <c r="J113" s="41">
        <v>0</v>
      </c>
      <c r="K113" s="36">
        <f>[1]!Table32[[#This Row],[Residential Incentive Disbursements]]/'[1]1.) CLM Reference'!$B$5</f>
        <v>0</v>
      </c>
      <c r="L113" s="37">
        <v>890452.79661600012</v>
      </c>
      <c r="M113" s="36">
        <f>[1]!Table32[[#This Row],[C&amp;I CLM $ Collected]]/'[1]1.) CLM Reference'!$B$4</f>
        <v>7.8997780533646405E-3</v>
      </c>
      <c r="N113" s="41">
        <v>2538286.5921999998</v>
      </c>
      <c r="O113" s="39">
        <f>[1]!Table32[[#This Row],[C&amp;I Incentive Disbursements]]/'[1]1.) CLM Reference'!$B$5</f>
        <v>3.1055053345829198E-2</v>
      </c>
      <c r="P113">
        <f>VLOOKUP(Table32[[#This Row],[Census Tract]],'Population and Diversity Data'!$B$2:$K$823,10,FALSE)</f>
        <v>4</v>
      </c>
      <c r="Q113" t="str">
        <f>VLOOKUP(Table32[[#This Row],[Census Tract]],'ES Energy Burden'!$B$2:$E$914,4,FALSE)</f>
        <v>No</v>
      </c>
    </row>
    <row r="114" spans="1:17" x14ac:dyDescent="0.2">
      <c r="A114" s="100">
        <v>9007541402</v>
      </c>
      <c r="B114" s="38" t="s">
        <v>2803</v>
      </c>
      <c r="C114" s="38" t="s">
        <v>944</v>
      </c>
      <c r="D114" s="40">
        <f>[1]!Table32[[#This Row],[Residential CLM $ Collected]]+[1]!Table32[[#This Row],[C&amp;I CLM $ Collected]]</f>
        <v>17574.062780159999</v>
      </c>
      <c r="E114" s="36">
        <f>[1]!Table32[[#This Row],[CLM $ Collected ]]/'[1]1.) CLM Reference'!$B$4</f>
        <v>1.5591078604813464E-4</v>
      </c>
      <c r="F114" s="37">
        <f>[1]!Table32[[#This Row],[Residential Incentive Disbursements]]+[1]!Table32[[#This Row],[C&amp;I Incentive Disbursements]]</f>
        <v>0</v>
      </c>
      <c r="G114" s="36">
        <f>[1]!Table32[[#This Row],[Incentive Disbursements]]/'[1]1.) CLM Reference'!$B$5</f>
        <v>0</v>
      </c>
      <c r="H114" s="37">
        <v>0</v>
      </c>
      <c r="I114" s="36">
        <f>[1]!Table32[[#This Row],[Residential CLM $ Collected]]/'[1]1.) CLM Reference'!$B$4</f>
        <v>0</v>
      </c>
      <c r="J114" s="41">
        <v>0</v>
      </c>
      <c r="K114" s="36">
        <f>[1]!Table32[[#This Row],[Residential Incentive Disbursements]]/'[1]1.) CLM Reference'!$B$5</f>
        <v>0</v>
      </c>
      <c r="L114" s="37">
        <v>17574.062780159999</v>
      </c>
      <c r="M114" s="36">
        <f>[1]!Table32[[#This Row],[C&amp;I CLM $ Collected]]/'[1]1.) CLM Reference'!$B$4</f>
        <v>1.5591078604813464E-4</v>
      </c>
      <c r="N114" s="41">
        <v>0</v>
      </c>
      <c r="O114" s="39">
        <f>[1]!Table32[[#This Row],[C&amp;I Incentive Disbursements]]/'[1]1.) CLM Reference'!$B$5</f>
        <v>0</v>
      </c>
      <c r="P114">
        <f>VLOOKUP(Table32[[#This Row],[Census Tract]],'Population and Diversity Data'!$B$2:$K$823,10,FALSE)</f>
        <v>2</v>
      </c>
      <c r="Q114" t="str">
        <f>VLOOKUP(Table32[[#This Row],[Census Tract]],'ES Energy Burden'!$B$2:$E$914,4,FALSE)</f>
        <v>No</v>
      </c>
    </row>
    <row r="115" spans="1:17" x14ac:dyDescent="0.2">
      <c r="A115" s="100">
        <v>9001100300</v>
      </c>
      <c r="B115" s="38" t="s">
        <v>2804</v>
      </c>
      <c r="C115" s="38" t="s">
        <v>944</v>
      </c>
      <c r="D115" s="40">
        <f>[1]!Table32[[#This Row],[Residential CLM $ Collected]]+[1]!Table32[[#This Row],[C&amp;I CLM $ Collected]]</f>
        <v>138587.41069344</v>
      </c>
      <c r="E115" s="36">
        <f>[1]!Table32[[#This Row],[CLM $ Collected ]]/'[1]1.) CLM Reference'!$B$4</f>
        <v>1.2294978348423298E-3</v>
      </c>
      <c r="F115" s="37">
        <f>[1]!Table32[[#This Row],[Residential Incentive Disbursements]]+[1]!Table32[[#This Row],[C&amp;I Incentive Disbursements]]</f>
        <v>27505.697700000001</v>
      </c>
      <c r="G115" s="36">
        <f>[1]!Table32[[#This Row],[Incentive Disbursements]]/'[1]1.) CLM Reference'!$B$5</f>
        <v>3.3652264169563366E-4</v>
      </c>
      <c r="H115" s="37">
        <v>0</v>
      </c>
      <c r="I115" s="36">
        <f>[1]!Table32[[#This Row],[Residential CLM $ Collected]]/'[1]1.) CLM Reference'!$B$4</f>
        <v>0</v>
      </c>
      <c r="J115" s="41">
        <v>0</v>
      </c>
      <c r="K115" s="36">
        <f>[1]!Table32[[#This Row],[Residential Incentive Disbursements]]/'[1]1.) CLM Reference'!$B$5</f>
        <v>0</v>
      </c>
      <c r="L115" s="37">
        <v>138587.41069344</v>
      </c>
      <c r="M115" s="36">
        <f>[1]!Table32[[#This Row],[C&amp;I CLM $ Collected]]/'[1]1.) CLM Reference'!$B$4</f>
        <v>1.2294978348423298E-3</v>
      </c>
      <c r="N115" s="41">
        <v>27505.697700000001</v>
      </c>
      <c r="O115" s="39">
        <f>[1]!Table32[[#This Row],[C&amp;I Incentive Disbursements]]/'[1]1.) CLM Reference'!$B$5</f>
        <v>3.3652264169563366E-4</v>
      </c>
      <c r="P115">
        <f>VLOOKUP(Table32[[#This Row],[Census Tract]],'Population and Diversity Data'!$B$2:$K$823,10,FALSE)</f>
        <v>2</v>
      </c>
      <c r="Q115" t="str">
        <f>VLOOKUP(Table32[[#This Row],[Census Tract]],'ES Energy Burden'!$B$2:$E$914,4,FALSE)</f>
        <v>No</v>
      </c>
    </row>
    <row r="116" spans="1:17" x14ac:dyDescent="0.2">
      <c r="A116" s="100">
        <v>9011695201</v>
      </c>
      <c r="B116" s="38" t="s">
        <v>2805</v>
      </c>
      <c r="C116" s="38" t="s">
        <v>944</v>
      </c>
      <c r="D116" s="40">
        <f>[1]!Table32[[#This Row],[Residential CLM $ Collected]]+[1]!Table32[[#This Row],[C&amp;I CLM $ Collected]]</f>
        <v>140997.76802496001</v>
      </c>
      <c r="E116" s="36">
        <f>[1]!Table32[[#This Row],[CLM $ Collected ]]/'[1]1.) CLM Reference'!$B$4</f>
        <v>1.2508816611615588E-3</v>
      </c>
      <c r="F116" s="37">
        <f>[1]!Table32[[#This Row],[Residential Incentive Disbursements]]+[1]!Table32[[#This Row],[C&amp;I Incentive Disbursements]]</f>
        <v>43157.768600000003</v>
      </c>
      <c r="G116" s="36">
        <f>[1]!Table32[[#This Row],[Incentive Disbursements]]/'[1]1.) CLM Reference'!$B$5</f>
        <v>5.2802028355604554E-4</v>
      </c>
      <c r="H116" s="37">
        <v>0</v>
      </c>
      <c r="I116" s="36">
        <f>[1]!Table32[[#This Row],[Residential CLM $ Collected]]/'[1]1.) CLM Reference'!$B$4</f>
        <v>0</v>
      </c>
      <c r="J116" s="41">
        <v>0</v>
      </c>
      <c r="K116" s="36">
        <f>[1]!Table32[[#This Row],[Residential Incentive Disbursements]]/'[1]1.) CLM Reference'!$B$5</f>
        <v>0</v>
      </c>
      <c r="L116" s="37">
        <v>140997.76802496001</v>
      </c>
      <c r="M116" s="36">
        <f>[1]!Table32[[#This Row],[C&amp;I CLM $ Collected]]/'[1]1.) CLM Reference'!$B$4</f>
        <v>1.2508816611615588E-3</v>
      </c>
      <c r="N116" s="41">
        <v>43157.768600000003</v>
      </c>
      <c r="O116" s="39">
        <f>[1]!Table32[[#This Row],[C&amp;I Incentive Disbursements]]/'[1]1.) CLM Reference'!$B$5</f>
        <v>5.2802028355604554E-4</v>
      </c>
      <c r="P116">
        <f>VLOOKUP(Table32[[#This Row],[Census Tract]],'Population and Diversity Data'!$B$2:$K$823,10,FALSE)</f>
        <v>3</v>
      </c>
      <c r="Q116" t="str">
        <f>VLOOKUP(Table32[[#This Row],[Census Tract]],'ES Energy Burden'!$B$2:$E$914,4,FALSE)</f>
        <v>No</v>
      </c>
    </row>
    <row r="117" spans="1:17" x14ac:dyDescent="0.2">
      <c r="A117" s="100">
        <v>9011695202</v>
      </c>
      <c r="B117" s="38" t="s">
        <v>2805</v>
      </c>
      <c r="C117" s="38" t="s">
        <v>944</v>
      </c>
      <c r="D117" s="40">
        <f>[1]!Table32[[#This Row],[Residential CLM $ Collected]]+[1]!Table32[[#This Row],[C&amp;I CLM $ Collected]]</f>
        <v>8.5471632</v>
      </c>
      <c r="E117" s="36">
        <f>[1]!Table32[[#This Row],[CLM $ Collected ]]/'[1]1.) CLM Reference'!$B$4</f>
        <v>7.5827368415805648E-8</v>
      </c>
      <c r="F117" s="37">
        <f>[1]!Table32[[#This Row],[Residential Incentive Disbursements]]+[1]!Table32[[#This Row],[C&amp;I Incentive Disbursements]]</f>
        <v>0</v>
      </c>
      <c r="G117" s="36">
        <f>[1]!Table32[[#This Row],[Incentive Disbursements]]/'[1]1.) CLM Reference'!$B$5</f>
        <v>0</v>
      </c>
      <c r="H117" s="37">
        <v>0</v>
      </c>
      <c r="I117" s="36">
        <f>[1]!Table32[[#This Row],[Residential CLM $ Collected]]/'[1]1.) CLM Reference'!$B$4</f>
        <v>0</v>
      </c>
      <c r="J117" s="41">
        <v>0</v>
      </c>
      <c r="K117" s="36">
        <f>[1]!Table32[[#This Row],[Residential Incentive Disbursements]]/'[1]1.) CLM Reference'!$B$5</f>
        <v>0</v>
      </c>
      <c r="L117" s="37">
        <v>8.5471632</v>
      </c>
      <c r="M117" s="36">
        <f>[1]!Table32[[#This Row],[C&amp;I CLM $ Collected]]/'[1]1.) CLM Reference'!$B$4</f>
        <v>7.5827368415805648E-8</v>
      </c>
      <c r="N117" s="41">
        <v>0</v>
      </c>
      <c r="O117" s="39">
        <f>[1]!Table32[[#This Row],[C&amp;I Incentive Disbursements]]/'[1]1.) CLM Reference'!$B$5</f>
        <v>0</v>
      </c>
      <c r="P117">
        <f>VLOOKUP(Table32[[#This Row],[Census Tract]],'Population and Diversity Data'!$B$2:$K$823,10,FALSE)</f>
        <v>3</v>
      </c>
      <c r="Q117" t="str">
        <f>VLOOKUP(Table32[[#This Row],[Census Tract]],'ES Energy Burden'!$B$2:$E$914,4,FALSE)</f>
        <v>No</v>
      </c>
    </row>
    <row r="118" spans="1:17" x14ac:dyDescent="0.2">
      <c r="A118" s="100">
        <v>9011870501</v>
      </c>
      <c r="B118" s="38" t="s">
        <v>2805</v>
      </c>
      <c r="C118" s="38" t="s">
        <v>944</v>
      </c>
      <c r="D118" s="40">
        <f>[1]!Table32[[#This Row],[Residential CLM $ Collected]]+[1]!Table32[[#This Row],[C&amp;I CLM $ Collected]]</f>
        <v>1833.5786659200003</v>
      </c>
      <c r="E118" s="36">
        <f>[1]!Table32[[#This Row],[CLM $ Collected ]]/'[1]1.) CLM Reference'!$B$4</f>
        <v>1.6266852728409033E-5</v>
      </c>
      <c r="F118" s="37">
        <f>[1]!Table32[[#This Row],[Residential Incentive Disbursements]]+[1]!Table32[[#This Row],[C&amp;I Incentive Disbursements]]</f>
        <v>0</v>
      </c>
      <c r="G118" s="36">
        <f>[1]!Table32[[#This Row],[Incentive Disbursements]]/'[1]1.) CLM Reference'!$B$5</f>
        <v>0</v>
      </c>
      <c r="H118" s="37">
        <v>0</v>
      </c>
      <c r="I118" s="36">
        <f>[1]!Table32[[#This Row],[Residential CLM $ Collected]]/'[1]1.) CLM Reference'!$B$4</f>
        <v>0</v>
      </c>
      <c r="J118" s="41">
        <v>0</v>
      </c>
      <c r="K118" s="36">
        <f>[1]!Table32[[#This Row],[Residential Incentive Disbursements]]/'[1]1.) CLM Reference'!$B$5</f>
        <v>0</v>
      </c>
      <c r="L118" s="37">
        <v>1833.5786659200003</v>
      </c>
      <c r="M118" s="36">
        <f>[1]!Table32[[#This Row],[C&amp;I CLM $ Collected]]/'[1]1.) CLM Reference'!$B$4</f>
        <v>1.6266852728409033E-5</v>
      </c>
      <c r="N118" s="41">
        <v>0</v>
      </c>
      <c r="O118" s="39">
        <f>[1]!Table32[[#This Row],[C&amp;I Incentive Disbursements]]/'[1]1.) CLM Reference'!$B$5</f>
        <v>0</v>
      </c>
      <c r="P118">
        <f>VLOOKUP(Table32[[#This Row],[Census Tract]],'Population and Diversity Data'!$B$2:$K$823,10,FALSE)</f>
        <v>5</v>
      </c>
      <c r="Q118" t="str">
        <f>VLOOKUP(Table32[[#This Row],[Census Tract]],'ES Energy Burden'!$B$2:$E$914,4,FALSE)</f>
        <v>No</v>
      </c>
    </row>
    <row r="119" spans="1:17" x14ac:dyDescent="0.2">
      <c r="A119" s="100">
        <v>9005303100</v>
      </c>
      <c r="B119" s="38" t="s">
        <v>2806</v>
      </c>
      <c r="C119" s="38" t="s">
        <v>944</v>
      </c>
      <c r="D119" s="40">
        <f>[1]!Table32[[#This Row],[Residential CLM $ Collected]]+[1]!Table32[[#This Row],[C&amp;I CLM $ Collected]]</f>
        <v>3854.3989622400004</v>
      </c>
      <c r="E119" s="36">
        <f>[1]!Table32[[#This Row],[CLM $ Collected ]]/'[1]1.) CLM Reference'!$B$4</f>
        <v>3.4194846090135669E-5</v>
      </c>
      <c r="F119" s="37">
        <f>[1]!Table32[[#This Row],[Residential Incentive Disbursements]]+[1]!Table32[[#This Row],[C&amp;I Incentive Disbursements]]</f>
        <v>0</v>
      </c>
      <c r="G119" s="36">
        <f>[1]!Table32[[#This Row],[Incentive Disbursements]]/'[1]1.) CLM Reference'!$B$5</f>
        <v>0</v>
      </c>
      <c r="H119" s="37">
        <v>0</v>
      </c>
      <c r="I119" s="36">
        <f>[1]!Table32[[#This Row],[Residential CLM $ Collected]]/'[1]1.) CLM Reference'!$B$4</f>
        <v>0</v>
      </c>
      <c r="J119" s="41">
        <v>0</v>
      </c>
      <c r="K119" s="36">
        <f>[1]!Table32[[#This Row],[Residential Incentive Disbursements]]/'[1]1.) CLM Reference'!$B$5</f>
        <v>0</v>
      </c>
      <c r="L119" s="37">
        <v>3854.3989622400004</v>
      </c>
      <c r="M119" s="36">
        <f>[1]!Table32[[#This Row],[C&amp;I CLM $ Collected]]/'[1]1.) CLM Reference'!$B$4</f>
        <v>3.4194846090135669E-5</v>
      </c>
      <c r="N119" s="41">
        <v>0</v>
      </c>
      <c r="O119" s="39">
        <f>[1]!Table32[[#This Row],[C&amp;I Incentive Disbursements]]/'[1]1.) CLM Reference'!$B$5</f>
        <v>0</v>
      </c>
      <c r="P119">
        <f>VLOOKUP(Table32[[#This Row],[Census Tract]],'Population and Diversity Data'!$B$2:$K$823,10,FALSE)</f>
        <v>1</v>
      </c>
      <c r="Q119" t="str">
        <f>VLOOKUP(Table32[[#This Row],[Census Tract]],'ES Energy Burden'!$B$2:$E$914,4,FALSE)</f>
        <v>No</v>
      </c>
    </row>
    <row r="120" spans="1:17" x14ac:dyDescent="0.2">
      <c r="A120" s="100">
        <v>9009345201</v>
      </c>
      <c r="B120" s="38" t="s">
        <v>2807</v>
      </c>
      <c r="C120" s="38" t="s">
        <v>944</v>
      </c>
      <c r="D120" s="40">
        <f>[1]!Table32[[#This Row],[Residential CLM $ Collected]]+[1]!Table32[[#This Row],[C&amp;I CLM $ Collected]]</f>
        <v>4.2015110399999998</v>
      </c>
      <c r="E120" s="36">
        <f>[1]!Table32[[#This Row],[CLM $ Collected ]]/'[1]1.) CLM Reference'!$B$4</f>
        <v>3.7274300031284616E-8</v>
      </c>
      <c r="F120" s="37">
        <f>[1]!Table32[[#This Row],[Residential Incentive Disbursements]]+[1]!Table32[[#This Row],[C&amp;I Incentive Disbursements]]</f>
        <v>0</v>
      </c>
      <c r="G120" s="36">
        <f>[1]!Table32[[#This Row],[Incentive Disbursements]]/'[1]1.) CLM Reference'!$B$5</f>
        <v>0</v>
      </c>
      <c r="H120" s="37">
        <v>0</v>
      </c>
      <c r="I120" s="36">
        <f>[1]!Table32[[#This Row],[Residential CLM $ Collected]]/'[1]1.) CLM Reference'!$B$4</f>
        <v>0</v>
      </c>
      <c r="J120" s="41">
        <v>0</v>
      </c>
      <c r="K120" s="36">
        <f>[1]!Table32[[#This Row],[Residential Incentive Disbursements]]/'[1]1.) CLM Reference'!$B$5</f>
        <v>0</v>
      </c>
      <c r="L120" s="37">
        <v>4.2015110399999998</v>
      </c>
      <c r="M120" s="36">
        <f>[1]!Table32[[#This Row],[C&amp;I CLM $ Collected]]/'[1]1.) CLM Reference'!$B$4</f>
        <v>3.7274300031284616E-8</v>
      </c>
      <c r="N120" s="41">
        <v>0</v>
      </c>
      <c r="O120" s="39">
        <f>[1]!Table32[[#This Row],[C&amp;I Incentive Disbursements]]/'[1]1.) CLM Reference'!$B$5</f>
        <v>0</v>
      </c>
      <c r="P120">
        <f>VLOOKUP(Table32[[#This Row],[Census Tract]],'Population and Diversity Data'!$B$2:$K$823,10,FALSE)</f>
        <v>4</v>
      </c>
      <c r="Q120" t="str">
        <f>VLOOKUP(Table32[[#This Row],[Census Tract]],'ES Energy Burden'!$B$2:$E$914,4,FALSE)</f>
        <v>No</v>
      </c>
    </row>
    <row r="121" spans="1:17" x14ac:dyDescent="0.2">
      <c r="A121" s="100">
        <v>9009345300</v>
      </c>
      <c r="B121" s="38" t="s">
        <v>2807</v>
      </c>
      <c r="C121" s="38" t="s">
        <v>944</v>
      </c>
      <c r="D121" s="40">
        <f>[1]!Table32[[#This Row],[Residential CLM $ Collected]]+[1]!Table32[[#This Row],[C&amp;I CLM $ Collected]]</f>
        <v>5.3245382399999999</v>
      </c>
      <c r="E121" s="36">
        <f>[1]!Table32[[#This Row],[CLM $ Collected ]]/'[1]1.) CLM Reference'!$B$4</f>
        <v>4.7237394831600425E-8</v>
      </c>
      <c r="F121" s="37">
        <f>[1]!Table32[[#This Row],[Residential Incentive Disbursements]]+[1]!Table32[[#This Row],[C&amp;I Incentive Disbursements]]</f>
        <v>0</v>
      </c>
      <c r="G121" s="36">
        <f>[1]!Table32[[#This Row],[Incentive Disbursements]]/'[1]1.) CLM Reference'!$B$5</f>
        <v>0</v>
      </c>
      <c r="H121" s="37">
        <v>0</v>
      </c>
      <c r="I121" s="36">
        <f>[1]!Table32[[#This Row],[Residential CLM $ Collected]]/'[1]1.) CLM Reference'!$B$4</f>
        <v>0</v>
      </c>
      <c r="J121" s="41">
        <v>0</v>
      </c>
      <c r="K121" s="36">
        <f>[1]!Table32[[#This Row],[Residential Incentive Disbursements]]/'[1]1.) CLM Reference'!$B$5</f>
        <v>0</v>
      </c>
      <c r="L121" s="37">
        <v>5.3245382399999999</v>
      </c>
      <c r="M121" s="36">
        <f>[1]!Table32[[#This Row],[C&amp;I CLM $ Collected]]/'[1]1.) CLM Reference'!$B$4</f>
        <v>4.7237394831600425E-8</v>
      </c>
      <c r="N121" s="41">
        <v>0</v>
      </c>
      <c r="O121" s="39">
        <f>[1]!Table32[[#This Row],[C&amp;I Incentive Disbursements]]/'[1]1.) CLM Reference'!$B$5</f>
        <v>0</v>
      </c>
      <c r="P121">
        <f>VLOOKUP(Table32[[#This Row],[Census Tract]],'Population and Diversity Data'!$B$2:$K$823,10,FALSE)</f>
        <v>4</v>
      </c>
      <c r="Q121" t="str">
        <f>VLOOKUP(Table32[[#This Row],[Census Tract]],'ES Energy Burden'!$B$2:$E$914,4,FALSE)</f>
        <v>No</v>
      </c>
    </row>
    <row r="122" spans="1:17" x14ac:dyDescent="0.2">
      <c r="A122" s="100">
        <v>9009345400</v>
      </c>
      <c r="B122" s="38" t="s">
        <v>2807</v>
      </c>
      <c r="C122" s="38" t="s">
        <v>944</v>
      </c>
      <c r="D122" s="40">
        <f>[1]!Table32[[#This Row],[Residential CLM $ Collected]]+[1]!Table32[[#This Row],[C&amp;I CLM $ Collected]]</f>
        <v>286458.57523295999</v>
      </c>
      <c r="E122" s="36">
        <f>[1]!Table32[[#This Row],[CLM $ Collected ]]/'[1]1.) CLM Reference'!$B$4</f>
        <v>2.5413578063019126E-3</v>
      </c>
      <c r="F122" s="37">
        <f>[1]!Table32[[#This Row],[Residential Incentive Disbursements]]+[1]!Table32[[#This Row],[C&amp;I Incentive Disbursements]]</f>
        <v>196744.7077</v>
      </c>
      <c r="G122" s="36">
        <f>[1]!Table32[[#This Row],[Incentive Disbursements]]/'[1]1.) CLM Reference'!$B$5</f>
        <v>2.4071030481382506E-3</v>
      </c>
      <c r="H122" s="37">
        <v>0</v>
      </c>
      <c r="I122" s="36">
        <f>[1]!Table32[[#This Row],[Residential CLM $ Collected]]/'[1]1.) CLM Reference'!$B$4</f>
        <v>0</v>
      </c>
      <c r="J122" s="41">
        <v>0</v>
      </c>
      <c r="K122" s="36">
        <f>[1]!Table32[[#This Row],[Residential Incentive Disbursements]]/'[1]1.) CLM Reference'!$B$5</f>
        <v>0</v>
      </c>
      <c r="L122" s="37">
        <v>286458.57523295999</v>
      </c>
      <c r="M122" s="36">
        <f>[1]!Table32[[#This Row],[C&amp;I CLM $ Collected]]/'[1]1.) CLM Reference'!$B$4</f>
        <v>2.5413578063019126E-3</v>
      </c>
      <c r="N122" s="41">
        <v>196744.7077</v>
      </c>
      <c r="O122" s="39">
        <f>[1]!Table32[[#This Row],[C&amp;I Incentive Disbursements]]/'[1]1.) CLM Reference'!$B$5</f>
        <v>2.4071030481382506E-3</v>
      </c>
      <c r="P122">
        <f>VLOOKUP(Table32[[#This Row],[Census Tract]],'Population and Diversity Data'!$B$2:$K$823,10,FALSE)</f>
        <v>4</v>
      </c>
      <c r="Q122" t="str">
        <f>VLOOKUP(Table32[[#This Row],[Census Tract]],'ES Energy Burden'!$B$2:$E$914,4,FALSE)</f>
        <v>No</v>
      </c>
    </row>
    <row r="123" spans="1:17" x14ac:dyDescent="0.2">
      <c r="A123" s="100">
        <v>9003415300</v>
      </c>
      <c r="B123" s="38" t="s">
        <v>985</v>
      </c>
      <c r="C123" s="38" t="s">
        <v>944</v>
      </c>
      <c r="D123" s="40">
        <f>[1]!Table32[[#This Row],[Residential CLM $ Collected]]+[1]!Table32[[#This Row],[C&amp;I CLM $ Collected]]</f>
        <v>44.097920639999998</v>
      </c>
      <c r="E123" s="36">
        <f>[1]!Table32[[#This Row],[CLM $ Collected ]]/'[1]1.) CLM Reference'!$B$4</f>
        <v>3.9122094623631846E-7</v>
      </c>
      <c r="F123" s="37">
        <f>[1]!Table32[[#This Row],[Residential Incentive Disbursements]]+[1]!Table32[[#This Row],[C&amp;I Incentive Disbursements]]</f>
        <v>0</v>
      </c>
      <c r="G123" s="36">
        <f>[1]!Table32[[#This Row],[Incentive Disbursements]]/'[1]1.) CLM Reference'!$B$5</f>
        <v>0</v>
      </c>
      <c r="H123" s="37">
        <v>0</v>
      </c>
      <c r="I123" s="36">
        <f>[1]!Table32[[#This Row],[Residential CLM $ Collected]]/'[1]1.) CLM Reference'!$B$4</f>
        <v>0</v>
      </c>
      <c r="J123" s="41">
        <v>0</v>
      </c>
      <c r="K123" s="36">
        <f>[1]!Table32[[#This Row],[Residential Incentive Disbursements]]/'[1]1.) CLM Reference'!$B$5</f>
        <v>0</v>
      </c>
      <c r="L123" s="37">
        <v>44.097920639999998</v>
      </c>
      <c r="M123" s="36">
        <f>[1]!Table32[[#This Row],[C&amp;I CLM $ Collected]]/'[1]1.) CLM Reference'!$B$4</f>
        <v>3.9122094623631846E-7</v>
      </c>
      <c r="N123" s="41">
        <v>0</v>
      </c>
      <c r="O123" s="39">
        <f>[1]!Table32[[#This Row],[C&amp;I Incentive Disbursements]]/'[1]1.) CLM Reference'!$B$5</f>
        <v>0</v>
      </c>
      <c r="P123">
        <f>VLOOKUP(Table32[[#This Row],[Census Tract]],'Population and Diversity Data'!$B$2:$K$823,10,FALSE)</f>
        <v>5</v>
      </c>
      <c r="Q123" t="str">
        <f>VLOOKUP(Table32[[#This Row],[Census Tract]],'ES Energy Burden'!$B$2:$E$914,4,FALSE)</f>
        <v>Yes</v>
      </c>
    </row>
    <row r="124" spans="1:17" x14ac:dyDescent="0.2">
      <c r="A124" s="100">
        <v>9003416100</v>
      </c>
      <c r="B124" s="38" t="s">
        <v>985</v>
      </c>
      <c r="C124" s="38" t="s">
        <v>944</v>
      </c>
      <c r="D124" s="40">
        <f>[1]!Table32[[#This Row],[Residential CLM $ Collected]]+[1]!Table32[[#This Row],[C&amp;I CLM $ Collected]]</f>
        <v>7.3506182400000002</v>
      </c>
      <c r="E124" s="36">
        <f>[1]!Table32[[#This Row],[CLM $ Collected ]]/'[1]1.) CLM Reference'!$B$4</f>
        <v>6.52120503991805E-8</v>
      </c>
      <c r="F124" s="37">
        <f>[1]!Table32[[#This Row],[Residential Incentive Disbursements]]+[1]!Table32[[#This Row],[C&amp;I Incentive Disbursements]]</f>
        <v>0</v>
      </c>
      <c r="G124" s="36">
        <f>[1]!Table32[[#This Row],[Incentive Disbursements]]/'[1]1.) CLM Reference'!$B$5</f>
        <v>0</v>
      </c>
      <c r="H124" s="37">
        <v>0</v>
      </c>
      <c r="I124" s="36">
        <f>[1]!Table32[[#This Row],[Residential CLM $ Collected]]/'[1]1.) CLM Reference'!$B$4</f>
        <v>0</v>
      </c>
      <c r="J124" s="41">
        <v>0</v>
      </c>
      <c r="K124" s="36">
        <f>[1]!Table32[[#This Row],[Residential Incentive Disbursements]]/'[1]1.) CLM Reference'!$B$5</f>
        <v>0</v>
      </c>
      <c r="L124" s="37">
        <v>7.3506182400000002</v>
      </c>
      <c r="M124" s="36">
        <f>[1]!Table32[[#This Row],[C&amp;I CLM $ Collected]]/'[1]1.) CLM Reference'!$B$4</f>
        <v>6.52120503991805E-8</v>
      </c>
      <c r="N124" s="41">
        <v>0</v>
      </c>
      <c r="O124" s="39">
        <f>[1]!Table32[[#This Row],[C&amp;I Incentive Disbursements]]/'[1]1.) CLM Reference'!$B$5</f>
        <v>0</v>
      </c>
      <c r="P124">
        <f>VLOOKUP(Table32[[#This Row],[Census Tract]],'Population and Diversity Data'!$B$2:$K$823,10,FALSE)</f>
        <v>5</v>
      </c>
      <c r="Q124" t="str">
        <f>VLOOKUP(Table32[[#This Row],[Census Tract]],'ES Energy Burden'!$B$2:$E$914,4,FALSE)</f>
        <v>Yes</v>
      </c>
    </row>
    <row r="125" spans="1:17" x14ac:dyDescent="0.2">
      <c r="A125" s="100">
        <v>9003416700</v>
      </c>
      <c r="B125" s="38" t="s">
        <v>985</v>
      </c>
      <c r="C125" s="38" t="s">
        <v>944</v>
      </c>
      <c r="D125" s="40">
        <f>[1]!Table32[[#This Row],[Residential CLM $ Collected]]+[1]!Table32[[#This Row],[C&amp;I CLM $ Collected]]</f>
        <v>954295.70391647995</v>
      </c>
      <c r="E125" s="36">
        <f>[1]!Table32[[#This Row],[CLM $ Collected ]]/'[1]1.) CLM Reference'!$B$4</f>
        <v>8.466169444207583E-3</v>
      </c>
      <c r="F125" s="37">
        <f>[1]!Table32[[#This Row],[Residential Incentive Disbursements]]+[1]!Table32[[#This Row],[C&amp;I Incentive Disbursements]]</f>
        <v>858475.93449999997</v>
      </c>
      <c r="G125" s="36">
        <f>[1]!Table32[[#This Row],[Incentive Disbursements]]/'[1]1.) CLM Reference'!$B$5</f>
        <v>1.0503154381358149E-2</v>
      </c>
      <c r="H125" s="37">
        <v>0</v>
      </c>
      <c r="I125" s="36">
        <f>[1]!Table32[[#This Row],[Residential CLM $ Collected]]/'[1]1.) CLM Reference'!$B$4</f>
        <v>0</v>
      </c>
      <c r="J125" s="41">
        <v>0</v>
      </c>
      <c r="K125" s="36">
        <f>[1]!Table32[[#This Row],[Residential Incentive Disbursements]]/'[1]1.) CLM Reference'!$B$5</f>
        <v>0</v>
      </c>
      <c r="L125" s="37">
        <v>954295.70391647995</v>
      </c>
      <c r="M125" s="36">
        <f>[1]!Table32[[#This Row],[C&amp;I CLM $ Collected]]/'[1]1.) CLM Reference'!$B$4</f>
        <v>8.466169444207583E-3</v>
      </c>
      <c r="N125" s="41">
        <v>858475.93449999997</v>
      </c>
      <c r="O125" s="39">
        <f>[1]!Table32[[#This Row],[C&amp;I Incentive Disbursements]]/'[1]1.) CLM Reference'!$B$5</f>
        <v>1.0503154381358149E-2</v>
      </c>
      <c r="P125">
        <f>VLOOKUP(Table32[[#This Row],[Census Tract]],'Population and Diversity Data'!$B$2:$K$823,10,FALSE)</f>
        <v>5</v>
      </c>
      <c r="Q125" t="str">
        <f>VLOOKUP(Table32[[#This Row],[Census Tract]],'ES Energy Burden'!$B$2:$E$914,4,FALSE)</f>
        <v>No</v>
      </c>
    </row>
    <row r="126" spans="1:17" x14ac:dyDescent="0.2">
      <c r="A126" s="100">
        <v>9001035100</v>
      </c>
      <c r="B126" s="38" t="s">
        <v>2808</v>
      </c>
      <c r="C126" s="38" t="s">
        <v>944</v>
      </c>
      <c r="D126" s="40">
        <f>[1]!Table32[[#This Row],[Residential CLM $ Collected]]+[1]!Table32[[#This Row],[C&amp;I CLM $ Collected]]</f>
        <v>142600.86619775998</v>
      </c>
      <c r="E126" s="36">
        <f>[1]!Table32[[#This Row],[CLM $ Collected ]]/'[1]1.) CLM Reference'!$B$4</f>
        <v>1.2651037735643743E-3</v>
      </c>
      <c r="F126" s="37">
        <f>[1]!Table32[[#This Row],[Residential Incentive Disbursements]]+[1]!Table32[[#This Row],[C&amp;I Incentive Disbursements]]</f>
        <v>5984.1714000000002</v>
      </c>
      <c r="G126" s="36">
        <f>[1]!Table32[[#This Row],[Incentive Disbursements]]/'[1]1.) CLM Reference'!$B$5</f>
        <v>7.3214255091862598E-5</v>
      </c>
      <c r="H126" s="37">
        <v>0</v>
      </c>
      <c r="I126" s="36">
        <f>[1]!Table32[[#This Row],[Residential CLM $ Collected]]/'[1]1.) CLM Reference'!$B$4</f>
        <v>0</v>
      </c>
      <c r="J126" s="41">
        <v>0</v>
      </c>
      <c r="K126" s="36">
        <f>[1]!Table32[[#This Row],[Residential Incentive Disbursements]]/'[1]1.) CLM Reference'!$B$5</f>
        <v>0</v>
      </c>
      <c r="L126" s="37">
        <v>142600.86619775998</v>
      </c>
      <c r="M126" s="36">
        <f>[1]!Table32[[#This Row],[C&amp;I CLM $ Collected]]/'[1]1.) CLM Reference'!$B$4</f>
        <v>1.2651037735643743E-3</v>
      </c>
      <c r="N126" s="41">
        <v>5984.1714000000002</v>
      </c>
      <c r="O126" s="39">
        <f>[1]!Table32[[#This Row],[C&amp;I Incentive Disbursements]]/'[1]1.) CLM Reference'!$B$5</f>
        <v>7.3214255091862598E-5</v>
      </c>
      <c r="P126">
        <f>VLOOKUP(Table32[[#This Row],[Census Tract]],'Population and Diversity Data'!$B$2:$K$823,10,FALSE)</f>
        <v>2</v>
      </c>
      <c r="Q126" t="str">
        <f>VLOOKUP(Table32[[#This Row],[Census Tract]],'ES Energy Burden'!$B$2:$E$914,4,FALSE)</f>
        <v>No</v>
      </c>
    </row>
    <row r="127" spans="1:17" x14ac:dyDescent="0.2">
      <c r="A127" s="100">
        <v>9001220200</v>
      </c>
      <c r="B127" s="38" t="s">
        <v>2809</v>
      </c>
      <c r="C127" s="38" t="s">
        <v>944</v>
      </c>
      <c r="D127" s="40">
        <f>[1]!Table32[[#This Row],[Residential CLM $ Collected]]+[1]!Table32[[#This Row],[C&amp;I CLM $ Collected]]</f>
        <v>26049.412442879999</v>
      </c>
      <c r="E127" s="36">
        <f>[1]!Table32[[#This Row],[CLM $ Collected ]]/'[1]1.) CLM Reference'!$B$4</f>
        <v>2.3110105050077123E-4</v>
      </c>
      <c r="F127" s="37">
        <f>[1]!Table32[[#This Row],[Residential Incentive Disbursements]]+[1]!Table32[[#This Row],[C&amp;I Incentive Disbursements]]</f>
        <v>2259.6999999999998</v>
      </c>
      <c r="G127" s="36">
        <f>[1]!Table32[[#This Row],[Incentive Disbursements]]/'[1]1.) CLM Reference'!$B$5</f>
        <v>2.7646643314909379E-5</v>
      </c>
      <c r="H127" s="37">
        <v>0</v>
      </c>
      <c r="I127" s="36">
        <f>[1]!Table32[[#This Row],[Residential CLM $ Collected]]/'[1]1.) CLM Reference'!$B$4</f>
        <v>0</v>
      </c>
      <c r="J127" s="41">
        <v>0</v>
      </c>
      <c r="K127" s="36">
        <f>[1]!Table32[[#This Row],[Residential Incentive Disbursements]]/'[1]1.) CLM Reference'!$B$5</f>
        <v>0</v>
      </c>
      <c r="L127" s="37">
        <v>26049.412442879999</v>
      </c>
      <c r="M127" s="36">
        <f>[1]!Table32[[#This Row],[C&amp;I CLM $ Collected]]/'[1]1.) CLM Reference'!$B$4</f>
        <v>2.3110105050077123E-4</v>
      </c>
      <c r="N127" s="41">
        <v>2259.6999999999998</v>
      </c>
      <c r="O127" s="39">
        <f>[1]!Table32[[#This Row],[C&amp;I Incentive Disbursements]]/'[1]1.) CLM Reference'!$B$5</f>
        <v>2.7646643314909379E-5</v>
      </c>
      <c r="P127">
        <f>VLOOKUP(Table32[[#This Row],[Census Tract]],'Population and Diversity Data'!$B$2:$K$823,10,FALSE)</f>
        <v>3</v>
      </c>
      <c r="Q127" t="str">
        <f>VLOOKUP(Table32[[#This Row],[Census Tract]],'ES Energy Burden'!$B$2:$E$914,4,FALSE)</f>
        <v>No</v>
      </c>
    </row>
    <row r="128" spans="1:17" x14ac:dyDescent="0.2">
      <c r="A128" s="100">
        <v>9001220300</v>
      </c>
      <c r="B128" s="38" t="s">
        <v>2809</v>
      </c>
      <c r="C128" s="38" t="s">
        <v>944</v>
      </c>
      <c r="D128" s="40">
        <f>[1]!Table32[[#This Row],[Residential CLM $ Collected]]+[1]!Table32[[#This Row],[C&amp;I CLM $ Collected]]</f>
        <v>2.7849916800000001</v>
      </c>
      <c r="E128" s="36">
        <f>[1]!Table32[[#This Row],[CLM $ Collected ]]/'[1]1.) CLM Reference'!$B$4</f>
        <v>2.4707447981607922E-8</v>
      </c>
      <c r="F128" s="37">
        <f>[1]!Table32[[#This Row],[Residential Incentive Disbursements]]+[1]!Table32[[#This Row],[C&amp;I Incentive Disbursements]]</f>
        <v>0</v>
      </c>
      <c r="G128" s="36">
        <f>[1]!Table32[[#This Row],[Incentive Disbursements]]/'[1]1.) CLM Reference'!$B$5</f>
        <v>0</v>
      </c>
      <c r="H128" s="37">
        <v>0</v>
      </c>
      <c r="I128" s="36">
        <f>[1]!Table32[[#This Row],[Residential CLM $ Collected]]/'[1]1.) CLM Reference'!$B$4</f>
        <v>0</v>
      </c>
      <c r="J128" s="41">
        <v>0</v>
      </c>
      <c r="K128" s="36">
        <f>[1]!Table32[[#This Row],[Residential Incentive Disbursements]]/'[1]1.) CLM Reference'!$B$5</f>
        <v>0</v>
      </c>
      <c r="L128" s="37">
        <v>2.7849916800000001</v>
      </c>
      <c r="M128" s="36">
        <f>[1]!Table32[[#This Row],[C&amp;I CLM $ Collected]]/'[1]1.) CLM Reference'!$B$4</f>
        <v>2.4707447981607922E-8</v>
      </c>
      <c r="N128" s="41">
        <v>0</v>
      </c>
      <c r="O128" s="39">
        <f>[1]!Table32[[#This Row],[C&amp;I Incentive Disbursements]]/'[1]1.) CLM Reference'!$B$5</f>
        <v>0</v>
      </c>
      <c r="P128">
        <f>VLOOKUP(Table32[[#This Row],[Census Tract]],'Population and Diversity Data'!$B$2:$K$823,10,FALSE)</f>
        <v>2</v>
      </c>
      <c r="Q128" t="str">
        <f>VLOOKUP(Table32[[#This Row],[Census Tract]],'ES Energy Burden'!$B$2:$E$914,4,FALSE)</f>
        <v>No</v>
      </c>
    </row>
    <row r="129" spans="1:17" x14ac:dyDescent="0.2">
      <c r="A129" s="100">
        <v>9005306100</v>
      </c>
      <c r="B129" s="38" t="s">
        <v>2810</v>
      </c>
      <c r="C129" s="38" t="s">
        <v>944</v>
      </c>
      <c r="D129" s="40">
        <f>[1]!Table32[[#This Row],[Residential CLM $ Collected]]+[1]!Table32[[#This Row],[C&amp;I CLM $ Collected]]</f>
        <v>52557.050663999995</v>
      </c>
      <c r="E129" s="36">
        <f>[1]!Table32[[#This Row],[CLM $ Collected ]]/'[1]1.) CLM Reference'!$B$4</f>
        <v>4.6626731586771271E-4</v>
      </c>
      <c r="F129" s="37">
        <f>[1]!Table32[[#This Row],[Residential Incentive Disbursements]]+[1]!Table32[[#This Row],[C&amp;I Incentive Disbursements]]</f>
        <v>0</v>
      </c>
      <c r="G129" s="36">
        <f>[1]!Table32[[#This Row],[Incentive Disbursements]]/'[1]1.) CLM Reference'!$B$5</f>
        <v>0</v>
      </c>
      <c r="H129" s="37">
        <v>0</v>
      </c>
      <c r="I129" s="36">
        <f>[1]!Table32[[#This Row],[Residential CLM $ Collected]]/'[1]1.) CLM Reference'!$B$4</f>
        <v>0</v>
      </c>
      <c r="J129" s="41">
        <v>0</v>
      </c>
      <c r="K129" s="36">
        <f>[1]!Table32[[#This Row],[Residential Incentive Disbursements]]/'[1]1.) CLM Reference'!$B$5</f>
        <v>0</v>
      </c>
      <c r="L129" s="37">
        <v>52557.050663999995</v>
      </c>
      <c r="M129" s="36">
        <f>[1]!Table32[[#This Row],[C&amp;I CLM $ Collected]]/'[1]1.) CLM Reference'!$B$4</f>
        <v>4.6626731586771271E-4</v>
      </c>
      <c r="N129" s="41">
        <v>0</v>
      </c>
      <c r="O129" s="39">
        <f>[1]!Table32[[#This Row],[C&amp;I Incentive Disbursements]]/'[1]1.) CLM Reference'!$B$5</f>
        <v>0</v>
      </c>
      <c r="P129">
        <f>VLOOKUP(Table32[[#This Row],[Census Tract]],'Population and Diversity Data'!$B$2:$K$823,10,FALSE)</f>
        <v>1</v>
      </c>
      <c r="Q129" t="str">
        <f>VLOOKUP(Table32[[#This Row],[Census Tract]],'ES Energy Burden'!$B$2:$E$914,4,FALSE)</f>
        <v>No</v>
      </c>
    </row>
    <row r="130" spans="1:17" x14ac:dyDescent="0.2">
      <c r="A130" s="100">
        <v>9011690500</v>
      </c>
      <c r="B130" s="38" t="s">
        <v>2811</v>
      </c>
      <c r="C130" s="38" t="s">
        <v>944</v>
      </c>
      <c r="D130" s="40">
        <f>[1]!Table32[[#This Row],[Residential CLM $ Collected]]+[1]!Table32[[#This Row],[C&amp;I CLM $ Collected]]</f>
        <v>29.694807359999999</v>
      </c>
      <c r="E130" s="36">
        <f>[1]!Table32[[#This Row],[CLM $ Collected ]]/'[1]1.) CLM Reference'!$B$4</f>
        <v>2.6344168761432998E-7</v>
      </c>
      <c r="F130" s="37">
        <f>[1]!Table32[[#This Row],[Residential Incentive Disbursements]]+[1]!Table32[[#This Row],[C&amp;I Incentive Disbursements]]</f>
        <v>0</v>
      </c>
      <c r="G130" s="36">
        <f>[1]!Table32[[#This Row],[Incentive Disbursements]]/'[1]1.) CLM Reference'!$B$5</f>
        <v>0</v>
      </c>
      <c r="H130" s="37">
        <v>0</v>
      </c>
      <c r="I130" s="36">
        <f>[1]!Table32[[#This Row],[Residential CLM $ Collected]]/'[1]1.) CLM Reference'!$B$4</f>
        <v>0</v>
      </c>
      <c r="J130" s="41">
        <v>0</v>
      </c>
      <c r="K130" s="36">
        <f>[1]!Table32[[#This Row],[Residential Incentive Disbursements]]/'[1]1.) CLM Reference'!$B$5</f>
        <v>0</v>
      </c>
      <c r="L130" s="37">
        <v>29.694807359999999</v>
      </c>
      <c r="M130" s="36">
        <f>[1]!Table32[[#This Row],[C&amp;I CLM $ Collected]]/'[1]1.) CLM Reference'!$B$4</f>
        <v>2.6344168761432998E-7</v>
      </c>
      <c r="N130" s="41">
        <v>0</v>
      </c>
      <c r="O130" s="39">
        <f>[1]!Table32[[#This Row],[C&amp;I Incentive Disbursements]]/'[1]1.) CLM Reference'!$B$5</f>
        <v>0</v>
      </c>
      <c r="P130">
        <f>VLOOKUP(Table32[[#This Row],[Census Tract]],'Population and Diversity Data'!$B$2:$K$823,10,FALSE)</f>
        <v>5</v>
      </c>
      <c r="Q130" t="str">
        <f>VLOOKUP(Table32[[#This Row],[Census Tract]],'ES Energy Burden'!$B$2:$E$914,4,FALSE)</f>
        <v>No</v>
      </c>
    </row>
    <row r="131" spans="1:17" x14ac:dyDescent="0.2">
      <c r="A131" s="100">
        <v>9011690900</v>
      </c>
      <c r="B131" s="38" t="s">
        <v>2811</v>
      </c>
      <c r="C131" s="38" t="s">
        <v>944</v>
      </c>
      <c r="D131" s="40">
        <f>[1]!Table32[[#This Row],[Residential CLM $ Collected]]+[1]!Table32[[#This Row],[C&amp;I CLM $ Collected]]</f>
        <v>569404.39258655999</v>
      </c>
      <c r="E131" s="36">
        <f>[1]!Table32[[#This Row],[CLM $ Collected ]]/'[1]1.) CLM Reference'!$B$4</f>
        <v>5.0515516837491906E-3</v>
      </c>
      <c r="F131" s="37">
        <f>[1]!Table32[[#This Row],[Residential Incentive Disbursements]]+[1]!Table32[[#This Row],[C&amp;I Incentive Disbursements]]</f>
        <v>818117.85970000003</v>
      </c>
      <c r="G131" s="36">
        <f>[1]!Table32[[#This Row],[Incentive Disbursements]]/'[1]1.) CLM Reference'!$B$5</f>
        <v>1.0009387377387696E-2</v>
      </c>
      <c r="H131" s="37">
        <v>0</v>
      </c>
      <c r="I131" s="36">
        <f>[1]!Table32[[#This Row],[Residential CLM $ Collected]]/'[1]1.) CLM Reference'!$B$4</f>
        <v>0</v>
      </c>
      <c r="J131" s="41">
        <v>0</v>
      </c>
      <c r="K131" s="36">
        <f>[1]!Table32[[#This Row],[Residential Incentive Disbursements]]/'[1]1.) CLM Reference'!$B$5</f>
        <v>0</v>
      </c>
      <c r="L131" s="37">
        <v>569404.39258655999</v>
      </c>
      <c r="M131" s="36">
        <f>[1]!Table32[[#This Row],[C&amp;I CLM $ Collected]]/'[1]1.) CLM Reference'!$B$4</f>
        <v>5.0515516837491906E-3</v>
      </c>
      <c r="N131" s="41">
        <v>818117.85970000003</v>
      </c>
      <c r="O131" s="39">
        <f>[1]!Table32[[#This Row],[C&amp;I Incentive Disbursements]]/'[1]1.) CLM Reference'!$B$5</f>
        <v>1.0009387377387696E-2</v>
      </c>
      <c r="P131">
        <f>VLOOKUP(Table32[[#This Row],[Census Tract]],'Population and Diversity Data'!$B$2:$K$823,10,FALSE)</f>
        <v>5</v>
      </c>
      <c r="Q131" t="str">
        <f>VLOOKUP(Table32[[#This Row],[Census Tract]],'ES Energy Burden'!$B$2:$E$914,4,FALSE)</f>
        <v>No</v>
      </c>
    </row>
    <row r="132" spans="1:17" x14ac:dyDescent="0.2">
      <c r="A132" s="100">
        <v>9005253100</v>
      </c>
      <c r="B132" s="38" t="s">
        <v>2812</v>
      </c>
      <c r="C132" s="38" t="s">
        <v>944</v>
      </c>
      <c r="D132" s="40">
        <f>[1]!Table32[[#This Row],[Residential CLM $ Collected]]+[1]!Table32[[#This Row],[C&amp;I CLM $ Collected]]</f>
        <v>1.6052342400000001</v>
      </c>
      <c r="E132" s="36">
        <f>[1]!Table32[[#This Row],[CLM $ Collected ]]/'[1]1.) CLM Reference'!$B$4</f>
        <v>1.424106282539987E-8</v>
      </c>
      <c r="F132" s="37">
        <f>[1]!Table32[[#This Row],[Residential Incentive Disbursements]]+[1]!Table32[[#This Row],[C&amp;I Incentive Disbursements]]</f>
        <v>0</v>
      </c>
      <c r="G132" s="36">
        <f>[1]!Table32[[#This Row],[Incentive Disbursements]]/'[1]1.) CLM Reference'!$B$5</f>
        <v>0</v>
      </c>
      <c r="H132" s="37">
        <v>0</v>
      </c>
      <c r="I132" s="36">
        <f>[1]!Table32[[#This Row],[Residential CLM $ Collected]]/'[1]1.) CLM Reference'!$B$4</f>
        <v>0</v>
      </c>
      <c r="J132" s="41">
        <v>0</v>
      </c>
      <c r="K132" s="36">
        <f>[1]!Table32[[#This Row],[Residential Incentive Disbursements]]/'[1]1.) CLM Reference'!$B$5</f>
        <v>0</v>
      </c>
      <c r="L132" s="37">
        <v>1.6052342400000001</v>
      </c>
      <c r="M132" s="36">
        <f>[1]!Table32[[#This Row],[C&amp;I CLM $ Collected]]/'[1]1.) CLM Reference'!$B$4</f>
        <v>1.424106282539987E-8</v>
      </c>
      <c r="N132" s="41">
        <v>0</v>
      </c>
      <c r="O132" s="39">
        <f>[1]!Table32[[#This Row],[C&amp;I Incentive Disbursements]]/'[1]1.) CLM Reference'!$B$5</f>
        <v>0</v>
      </c>
      <c r="P132">
        <f>VLOOKUP(Table32[[#This Row],[Census Tract]],'Population and Diversity Data'!$B$2:$K$823,10,FALSE)</f>
        <v>4</v>
      </c>
      <c r="Q132" t="str">
        <f>VLOOKUP(Table32[[#This Row],[Census Tract]],'ES Energy Burden'!$B$2:$E$914,4,FALSE)</f>
        <v>No</v>
      </c>
    </row>
    <row r="133" spans="1:17" x14ac:dyDescent="0.2">
      <c r="A133" s="100">
        <v>9005253200</v>
      </c>
      <c r="B133" s="38" t="s">
        <v>2812</v>
      </c>
      <c r="C133" s="38" t="s">
        <v>944</v>
      </c>
      <c r="D133" s="40">
        <f>[1]!Table32[[#This Row],[Residential CLM $ Collected]]+[1]!Table32[[#This Row],[C&amp;I CLM $ Collected]]</f>
        <v>203721.96425471999</v>
      </c>
      <c r="E133" s="36">
        <f>[1]!Table32[[#This Row],[CLM $ Collected ]]/'[1]1.) CLM Reference'!$B$4</f>
        <v>1.8073482483561612E-3</v>
      </c>
      <c r="F133" s="37">
        <f>[1]!Table32[[#This Row],[Residential Incentive Disbursements]]+[1]!Table32[[#This Row],[C&amp;I Incentive Disbursements]]</f>
        <v>166070.92069999999</v>
      </c>
      <c r="G133" s="36">
        <f>[1]!Table32[[#This Row],[Incentive Disbursements]]/'[1]1.) CLM Reference'!$B$5</f>
        <v>2.0318199360850999E-3</v>
      </c>
      <c r="H133" s="37">
        <v>0</v>
      </c>
      <c r="I133" s="36">
        <f>[1]!Table32[[#This Row],[Residential CLM $ Collected]]/'[1]1.) CLM Reference'!$B$4</f>
        <v>0</v>
      </c>
      <c r="J133" s="41">
        <v>0</v>
      </c>
      <c r="K133" s="36">
        <f>[1]!Table32[[#This Row],[Residential Incentive Disbursements]]/'[1]1.) CLM Reference'!$B$5</f>
        <v>0</v>
      </c>
      <c r="L133" s="37">
        <v>203721.96425471999</v>
      </c>
      <c r="M133" s="36">
        <f>[1]!Table32[[#This Row],[C&amp;I CLM $ Collected]]/'[1]1.) CLM Reference'!$B$4</f>
        <v>1.8073482483561612E-3</v>
      </c>
      <c r="N133" s="41">
        <v>166070.92069999999</v>
      </c>
      <c r="O133" s="39">
        <f>[1]!Table32[[#This Row],[C&amp;I Incentive Disbursements]]/'[1]1.) CLM Reference'!$B$5</f>
        <v>2.0318199360850999E-3</v>
      </c>
      <c r="P133">
        <f>VLOOKUP(Table32[[#This Row],[Census Tract]],'Population and Diversity Data'!$B$2:$K$823,10,FALSE)</f>
        <v>4</v>
      </c>
      <c r="Q133" t="str">
        <f>VLOOKUP(Table32[[#This Row],[Census Tract]],'ES Energy Burden'!$B$2:$E$914,4,FALSE)</f>
        <v>No</v>
      </c>
    </row>
    <row r="134" spans="1:17" x14ac:dyDescent="0.2">
      <c r="A134" s="100">
        <v>9005253400</v>
      </c>
      <c r="B134" s="38" t="s">
        <v>2812</v>
      </c>
      <c r="C134" s="38" t="s">
        <v>944</v>
      </c>
      <c r="D134" s="40">
        <f>[1]!Table32[[#This Row],[Residential CLM $ Collected]]+[1]!Table32[[#This Row],[C&amp;I CLM $ Collected]]</f>
        <v>6.3833097599999995</v>
      </c>
      <c r="E134" s="36">
        <f>[1]!Table32[[#This Row],[CLM $ Collected ]]/'[1]1.) CLM Reference'!$B$4</f>
        <v>5.6630436269630127E-8</v>
      </c>
      <c r="F134" s="37">
        <f>[1]!Table32[[#This Row],[Residential Incentive Disbursements]]+[1]!Table32[[#This Row],[C&amp;I Incentive Disbursements]]</f>
        <v>0</v>
      </c>
      <c r="G134" s="36">
        <f>[1]!Table32[[#This Row],[Incentive Disbursements]]/'[1]1.) CLM Reference'!$B$5</f>
        <v>0</v>
      </c>
      <c r="H134" s="37">
        <v>0</v>
      </c>
      <c r="I134" s="36">
        <f>[1]!Table32[[#This Row],[Residential CLM $ Collected]]/'[1]1.) CLM Reference'!$B$4</f>
        <v>0</v>
      </c>
      <c r="J134" s="41">
        <v>0</v>
      </c>
      <c r="K134" s="36">
        <f>[1]!Table32[[#This Row],[Residential Incentive Disbursements]]/'[1]1.) CLM Reference'!$B$5</f>
        <v>0</v>
      </c>
      <c r="L134" s="37">
        <v>6.3833097599999995</v>
      </c>
      <c r="M134" s="36">
        <f>[1]!Table32[[#This Row],[C&amp;I CLM $ Collected]]/'[1]1.) CLM Reference'!$B$4</f>
        <v>5.6630436269630127E-8</v>
      </c>
      <c r="N134" s="41">
        <v>0</v>
      </c>
      <c r="O134" s="39">
        <f>[1]!Table32[[#This Row],[C&amp;I Incentive Disbursements]]/'[1]1.) CLM Reference'!$B$5</f>
        <v>0</v>
      </c>
      <c r="P134">
        <f>VLOOKUP(Table32[[#This Row],[Census Tract]],'Population and Diversity Data'!$B$2:$K$823,10,FALSE)</f>
        <v>2</v>
      </c>
      <c r="Q134" t="str">
        <f>VLOOKUP(Table32[[#This Row],[Census Tract]],'ES Energy Burden'!$B$2:$E$914,4,FALSE)</f>
        <v>No</v>
      </c>
    </row>
    <row r="135" spans="1:17" x14ac:dyDescent="0.2">
      <c r="A135" s="100">
        <v>9005253500</v>
      </c>
      <c r="B135" s="38" t="s">
        <v>2812</v>
      </c>
      <c r="C135" s="38" t="s">
        <v>944</v>
      </c>
      <c r="D135" s="40">
        <f>[1]!Table32[[#This Row],[Residential CLM $ Collected]]+[1]!Table32[[#This Row],[C&amp;I CLM $ Collected]]</f>
        <v>8.0250134400000004</v>
      </c>
      <c r="E135" s="36">
        <f>[1]!Table32[[#This Row],[CLM $ Collected ]]/'[1]1.) CLM Reference'!$B$4</f>
        <v>7.1195042895246437E-8</v>
      </c>
      <c r="F135" s="37">
        <f>[1]!Table32[[#This Row],[Residential Incentive Disbursements]]+[1]!Table32[[#This Row],[C&amp;I Incentive Disbursements]]</f>
        <v>0</v>
      </c>
      <c r="G135" s="36">
        <f>[1]!Table32[[#This Row],[Incentive Disbursements]]/'[1]1.) CLM Reference'!$B$5</f>
        <v>0</v>
      </c>
      <c r="H135" s="37">
        <v>0</v>
      </c>
      <c r="I135" s="36">
        <f>[1]!Table32[[#This Row],[Residential CLM $ Collected]]/'[1]1.) CLM Reference'!$B$4</f>
        <v>0</v>
      </c>
      <c r="J135" s="41">
        <v>0</v>
      </c>
      <c r="K135" s="36">
        <f>[1]!Table32[[#This Row],[Residential Incentive Disbursements]]/'[1]1.) CLM Reference'!$B$5</f>
        <v>0</v>
      </c>
      <c r="L135" s="37">
        <v>8.0250134400000004</v>
      </c>
      <c r="M135" s="36">
        <f>[1]!Table32[[#This Row],[C&amp;I CLM $ Collected]]/'[1]1.) CLM Reference'!$B$4</f>
        <v>7.1195042895246437E-8</v>
      </c>
      <c r="N135" s="41">
        <v>0</v>
      </c>
      <c r="O135" s="39">
        <f>[1]!Table32[[#This Row],[C&amp;I Incentive Disbursements]]/'[1]1.) CLM Reference'!$B$5</f>
        <v>0</v>
      </c>
      <c r="P135">
        <f>VLOOKUP(Table32[[#This Row],[Census Tract]],'Population and Diversity Data'!$B$2:$K$823,10,FALSE)</f>
        <v>4</v>
      </c>
      <c r="Q135" t="str">
        <f>VLOOKUP(Table32[[#This Row],[Census Tract]],'ES Energy Burden'!$B$2:$E$914,4,FALSE)</f>
        <v>No</v>
      </c>
    </row>
    <row r="136" spans="1:17" x14ac:dyDescent="0.2">
      <c r="A136" s="100">
        <v>9003494100</v>
      </c>
      <c r="B136" s="38" t="s">
        <v>2813</v>
      </c>
      <c r="C136" s="38" t="s">
        <v>944</v>
      </c>
      <c r="D136" s="40">
        <f>[1]!Table32[[#This Row],[Residential CLM $ Collected]]+[1]!Table32[[#This Row],[C&amp;I CLM $ Collected]]</f>
        <v>715829.61213791999</v>
      </c>
      <c r="E136" s="36">
        <f>[1]!Table32[[#This Row],[CLM $ Collected ]]/'[1]1.) CLM Reference'!$B$4</f>
        <v>6.3505837495328645E-3</v>
      </c>
      <c r="F136" s="37">
        <f>[1]!Table32[[#This Row],[Residential Incentive Disbursements]]+[1]!Table32[[#This Row],[C&amp;I Incentive Disbursements]]</f>
        <v>385651.34590000001</v>
      </c>
      <c r="G136" s="36">
        <f>[1]!Table32[[#This Row],[Incentive Disbursements]]/'[1]1.) CLM Reference'!$B$5</f>
        <v>4.7183100429313805E-3</v>
      </c>
      <c r="H136" s="37">
        <v>0</v>
      </c>
      <c r="I136" s="36">
        <f>[1]!Table32[[#This Row],[Residential CLM $ Collected]]/'[1]1.) CLM Reference'!$B$4</f>
        <v>0</v>
      </c>
      <c r="J136" s="41">
        <v>0</v>
      </c>
      <c r="K136" s="36">
        <f>[1]!Table32[[#This Row],[Residential Incentive Disbursements]]/'[1]1.) CLM Reference'!$B$5</f>
        <v>0</v>
      </c>
      <c r="L136" s="37">
        <v>715829.61213791999</v>
      </c>
      <c r="M136" s="36">
        <f>[1]!Table32[[#This Row],[C&amp;I CLM $ Collected]]/'[1]1.) CLM Reference'!$B$4</f>
        <v>6.3505837495328645E-3</v>
      </c>
      <c r="N136" s="41">
        <v>385651.34590000001</v>
      </c>
      <c r="O136" s="39">
        <f>[1]!Table32[[#This Row],[C&amp;I Incentive Disbursements]]/'[1]1.) CLM Reference'!$B$5</f>
        <v>4.7183100429313805E-3</v>
      </c>
      <c r="P136">
        <f>VLOOKUP(Table32[[#This Row],[Census Tract]],'Population and Diversity Data'!$B$2:$K$823,10,FALSE)</f>
        <v>4</v>
      </c>
      <c r="Q136" t="str">
        <f>VLOOKUP(Table32[[#This Row],[Census Tract]],'ES Energy Burden'!$B$2:$E$914,4,FALSE)</f>
        <v>No</v>
      </c>
    </row>
    <row r="137" spans="1:17" x14ac:dyDescent="0.2">
      <c r="A137" s="100">
        <v>9003494400</v>
      </c>
      <c r="B137" s="38" t="s">
        <v>2813</v>
      </c>
      <c r="C137" s="38" t="s">
        <v>944</v>
      </c>
      <c r="D137" s="40">
        <f>[1]!Table32[[#This Row],[Residential CLM $ Collected]]+[1]!Table32[[#This Row],[C&amp;I CLM $ Collected]]</f>
        <v>2803.1441990399999</v>
      </c>
      <c r="E137" s="36">
        <f>[1]!Table32[[#This Row],[CLM $ Collected ]]/'[1]1.) CLM Reference'!$B$4</f>
        <v>2.4868490624261683E-5</v>
      </c>
      <c r="F137" s="37">
        <f>[1]!Table32[[#This Row],[Residential Incentive Disbursements]]+[1]!Table32[[#This Row],[C&amp;I Incentive Disbursements]]</f>
        <v>0</v>
      </c>
      <c r="G137" s="36">
        <f>[1]!Table32[[#This Row],[Incentive Disbursements]]/'[1]1.) CLM Reference'!$B$5</f>
        <v>0</v>
      </c>
      <c r="H137" s="37">
        <v>0</v>
      </c>
      <c r="I137" s="36">
        <f>[1]!Table32[[#This Row],[Residential CLM $ Collected]]/'[1]1.) CLM Reference'!$B$4</f>
        <v>0</v>
      </c>
      <c r="J137" s="41">
        <v>0</v>
      </c>
      <c r="K137" s="36">
        <f>[1]!Table32[[#This Row],[Residential Incentive Disbursements]]/'[1]1.) CLM Reference'!$B$5</f>
        <v>0</v>
      </c>
      <c r="L137" s="37">
        <v>2803.1441990399999</v>
      </c>
      <c r="M137" s="36">
        <f>[1]!Table32[[#This Row],[C&amp;I CLM $ Collected]]/'[1]1.) CLM Reference'!$B$4</f>
        <v>2.4868490624261683E-5</v>
      </c>
      <c r="N137" s="41">
        <v>0</v>
      </c>
      <c r="O137" s="39">
        <f>[1]!Table32[[#This Row],[C&amp;I Incentive Disbursements]]/'[1]1.) CLM Reference'!$B$5</f>
        <v>0</v>
      </c>
      <c r="P137">
        <f>VLOOKUP(Table32[[#This Row],[Census Tract]],'Population and Diversity Data'!$B$2:$K$823,10,FALSE)</f>
        <v>4</v>
      </c>
      <c r="Q137" t="str">
        <f>VLOOKUP(Table32[[#This Row],[Census Tract]],'ES Energy Burden'!$B$2:$E$914,4,FALSE)</f>
        <v>No</v>
      </c>
    </row>
    <row r="138" spans="1:17" x14ac:dyDescent="0.2">
      <c r="A138" s="100">
        <v>9001230100</v>
      </c>
      <c r="B138" s="38" t="s">
        <v>2814</v>
      </c>
      <c r="C138" s="38" t="s">
        <v>944</v>
      </c>
      <c r="D138" s="40">
        <f>[1]!Table32[[#This Row],[Residential CLM $ Collected]]+[1]!Table32[[#This Row],[C&amp;I CLM $ Collected]]</f>
        <v>255992.80680576002</v>
      </c>
      <c r="E138" s="36">
        <f>[1]!Table32[[#This Row],[CLM $ Collected ]]/'[1]1.) CLM Reference'!$B$4</f>
        <v>2.2710764284290868E-3</v>
      </c>
      <c r="F138" s="37">
        <f>[1]!Table32[[#This Row],[Residential Incentive Disbursements]]+[1]!Table32[[#This Row],[C&amp;I Incentive Disbursements]]</f>
        <v>328989.28240000003</v>
      </c>
      <c r="G138" s="36">
        <f>[1]!Table32[[#This Row],[Incentive Disbursements]]/'[1]1.) CLM Reference'!$B$5</f>
        <v>4.0250694096299489E-3</v>
      </c>
      <c r="H138" s="37">
        <v>0</v>
      </c>
      <c r="I138" s="36">
        <f>[1]!Table32[[#This Row],[Residential CLM $ Collected]]/'[1]1.) CLM Reference'!$B$4</f>
        <v>0</v>
      </c>
      <c r="J138" s="41">
        <v>0</v>
      </c>
      <c r="K138" s="36">
        <f>[1]!Table32[[#This Row],[Residential Incentive Disbursements]]/'[1]1.) CLM Reference'!$B$5</f>
        <v>0</v>
      </c>
      <c r="L138" s="37">
        <v>255992.80680576002</v>
      </c>
      <c r="M138" s="36">
        <f>[1]!Table32[[#This Row],[C&amp;I CLM $ Collected]]/'[1]1.) CLM Reference'!$B$4</f>
        <v>2.2710764284290868E-3</v>
      </c>
      <c r="N138" s="41">
        <v>328989.28240000003</v>
      </c>
      <c r="O138" s="39">
        <f>[1]!Table32[[#This Row],[C&amp;I Incentive Disbursements]]/'[1]1.) CLM Reference'!$B$5</f>
        <v>4.0250694096299489E-3</v>
      </c>
      <c r="P138">
        <f>VLOOKUP(Table32[[#This Row],[Census Tract]],'Population and Diversity Data'!$B$2:$K$823,10,FALSE)</f>
        <v>2</v>
      </c>
      <c r="Q138" t="str">
        <f>VLOOKUP(Table32[[#This Row],[Census Tract]],'ES Energy Burden'!$B$2:$E$914,4,FALSE)</f>
        <v>No</v>
      </c>
    </row>
    <row r="139" spans="1:17" x14ac:dyDescent="0.2">
      <c r="A139" s="100">
        <v>9001230200</v>
      </c>
      <c r="B139" s="38" t="s">
        <v>2814</v>
      </c>
      <c r="C139" s="38" t="s">
        <v>944</v>
      </c>
      <c r="D139" s="40">
        <f>[1]!Table32[[#This Row],[Residential CLM $ Collected]]+[1]!Table32[[#This Row],[C&amp;I CLM $ Collected]]</f>
        <v>23.53205088</v>
      </c>
      <c r="E139" s="36">
        <f>[1]!Table32[[#This Row],[CLM $ Collected ]]/'[1]1.) CLM Reference'!$B$4</f>
        <v>2.0876792099362786E-7</v>
      </c>
      <c r="F139" s="37">
        <f>[1]!Table32[[#This Row],[Residential Incentive Disbursements]]+[1]!Table32[[#This Row],[C&amp;I Incentive Disbursements]]</f>
        <v>0</v>
      </c>
      <c r="G139" s="36">
        <f>[1]!Table32[[#This Row],[Incentive Disbursements]]/'[1]1.) CLM Reference'!$B$5</f>
        <v>0</v>
      </c>
      <c r="H139" s="37">
        <v>0</v>
      </c>
      <c r="I139" s="36">
        <f>[1]!Table32[[#This Row],[Residential CLM $ Collected]]/'[1]1.) CLM Reference'!$B$4</f>
        <v>0</v>
      </c>
      <c r="J139" s="41">
        <v>0</v>
      </c>
      <c r="K139" s="36">
        <f>[1]!Table32[[#This Row],[Residential Incentive Disbursements]]/'[1]1.) CLM Reference'!$B$5</f>
        <v>0</v>
      </c>
      <c r="L139" s="37">
        <v>23.53205088</v>
      </c>
      <c r="M139" s="36">
        <f>[1]!Table32[[#This Row],[C&amp;I CLM $ Collected]]/'[1]1.) CLM Reference'!$B$4</f>
        <v>2.0876792099362786E-7</v>
      </c>
      <c r="N139" s="41">
        <v>0</v>
      </c>
      <c r="O139" s="39">
        <f>[1]!Table32[[#This Row],[C&amp;I Incentive Disbursements]]/'[1]1.) CLM Reference'!$B$5</f>
        <v>0</v>
      </c>
      <c r="P139">
        <f>VLOOKUP(Table32[[#This Row],[Census Tract]],'Population and Diversity Data'!$B$2:$K$823,10,FALSE)</f>
        <v>2</v>
      </c>
      <c r="Q139" t="str">
        <f>VLOOKUP(Table32[[#This Row],[Census Tract]],'ES Energy Burden'!$B$2:$E$914,4,FALSE)</f>
        <v>No</v>
      </c>
    </row>
    <row r="140" spans="1:17" x14ac:dyDescent="0.2">
      <c r="A140" s="100">
        <v>9005425600</v>
      </c>
      <c r="B140" s="38" t="s">
        <v>2815</v>
      </c>
      <c r="C140" s="38" t="s">
        <v>944</v>
      </c>
      <c r="D140" s="40">
        <f>[1]!Table32[[#This Row],[Residential CLM $ Collected]]+[1]!Table32[[#This Row],[C&amp;I CLM $ Collected]]</f>
        <v>921.00734207999994</v>
      </c>
      <c r="E140" s="36">
        <f>[1]!Table32[[#This Row],[CLM $ Collected ]]/'[1]1.) CLM Reference'!$B$4</f>
        <v>8.1708470292882783E-6</v>
      </c>
      <c r="F140" s="37">
        <f>[1]!Table32[[#This Row],[Residential Incentive Disbursements]]+[1]!Table32[[#This Row],[C&amp;I Incentive Disbursements]]</f>
        <v>250</v>
      </c>
      <c r="G140" s="36">
        <f>[1]!Table32[[#This Row],[Incentive Disbursements]]/'[1]1.) CLM Reference'!$B$5</f>
        <v>3.0586630210768441E-6</v>
      </c>
      <c r="H140" s="37">
        <v>0</v>
      </c>
      <c r="I140" s="36">
        <f>[1]!Table32[[#This Row],[Residential CLM $ Collected]]/'[1]1.) CLM Reference'!$B$4</f>
        <v>0</v>
      </c>
      <c r="J140" s="41">
        <v>0</v>
      </c>
      <c r="K140" s="36">
        <f>[1]!Table32[[#This Row],[Residential Incentive Disbursements]]/'[1]1.) CLM Reference'!$B$5</f>
        <v>0</v>
      </c>
      <c r="L140" s="37">
        <v>921.00734207999994</v>
      </c>
      <c r="M140" s="36">
        <f>[1]!Table32[[#This Row],[C&amp;I CLM $ Collected]]/'[1]1.) CLM Reference'!$B$4</f>
        <v>8.1708470292882783E-6</v>
      </c>
      <c r="N140" s="41">
        <v>250</v>
      </c>
      <c r="O140" s="39">
        <f>[1]!Table32[[#This Row],[C&amp;I Incentive Disbursements]]/'[1]1.) CLM Reference'!$B$5</f>
        <v>3.0586630210768441E-6</v>
      </c>
      <c r="P140">
        <f>VLOOKUP(Table32[[#This Row],[Census Tract]],'Population and Diversity Data'!$B$2:$K$823,10,FALSE)</f>
        <v>1</v>
      </c>
      <c r="Q140" t="str">
        <f>VLOOKUP(Table32[[#This Row],[Census Tract]],'ES Energy Burden'!$B$2:$E$914,4,FALSE)</f>
        <v>No</v>
      </c>
    </row>
    <row r="141" spans="1:17" x14ac:dyDescent="0.2">
      <c r="A141" s="100">
        <v>9005260200</v>
      </c>
      <c r="B141" s="38" t="s">
        <v>2816</v>
      </c>
      <c r="C141" s="38" t="s">
        <v>944</v>
      </c>
      <c r="D141" s="40">
        <f>[1]!Table32[[#This Row],[Residential CLM $ Collected]]+[1]!Table32[[#This Row],[C&amp;I CLM $ Collected]]</f>
        <v>343206.78598368005</v>
      </c>
      <c r="E141" s="36">
        <f>[1]!Table32[[#This Row],[CLM $ Collected ]]/'[1]1.) CLM Reference'!$B$4</f>
        <v>3.0448075922534239E-3</v>
      </c>
      <c r="F141" s="37">
        <f>[1]!Table32[[#This Row],[Residential Incentive Disbursements]]+[1]!Table32[[#This Row],[C&amp;I Incentive Disbursements]]</f>
        <v>129973.29730000001</v>
      </c>
      <c r="G141" s="36">
        <f>[1]!Table32[[#This Row],[Incentive Disbursements]]/'[1]1.) CLM Reference'!$B$5</f>
        <v>1.5901780727157475E-3</v>
      </c>
      <c r="H141" s="37">
        <v>4570.2807552000004</v>
      </c>
      <c r="I141" s="36">
        <f>[1]!Table32[[#This Row],[Residential CLM $ Collected]]/'[1]1.) CLM Reference'!$B$4</f>
        <v>4.0545892769219255E-5</v>
      </c>
      <c r="J141" s="41">
        <v>0</v>
      </c>
      <c r="K141" s="36">
        <f>[1]!Table32[[#This Row],[Residential Incentive Disbursements]]/'[1]1.) CLM Reference'!$B$5</f>
        <v>0</v>
      </c>
      <c r="L141" s="37">
        <v>338636.50522848003</v>
      </c>
      <c r="M141" s="36">
        <f>[1]!Table32[[#This Row],[C&amp;I CLM $ Collected]]/'[1]1.) CLM Reference'!$B$4</f>
        <v>3.0042616994842043E-3</v>
      </c>
      <c r="N141" s="41">
        <v>129973.29730000001</v>
      </c>
      <c r="O141" s="39">
        <f>[1]!Table32[[#This Row],[C&amp;I Incentive Disbursements]]/'[1]1.) CLM Reference'!$B$5</f>
        <v>1.5901780727157475E-3</v>
      </c>
      <c r="P141">
        <f>VLOOKUP(Table32[[#This Row],[Census Tract]],'Population and Diversity Data'!$B$2:$K$823,10,FALSE)</f>
        <v>1</v>
      </c>
      <c r="Q141" t="str">
        <f>VLOOKUP(Table32[[#This Row],[Census Tract]],'ES Energy Burden'!$B$2:$E$914,4,FALSE)</f>
        <v>No</v>
      </c>
    </row>
    <row r="142" spans="1:17" x14ac:dyDescent="0.2">
      <c r="A142" s="100">
        <v>9011707100</v>
      </c>
      <c r="B142" s="38" t="s">
        <v>2817</v>
      </c>
      <c r="C142" s="38" t="s">
        <v>944</v>
      </c>
      <c r="D142" s="40">
        <f>[1]!Table32[[#This Row],[Residential CLM $ Collected]]+[1]!Table32[[#This Row],[C&amp;I CLM $ Collected]]</f>
        <v>56102.820912000003</v>
      </c>
      <c r="E142" s="36">
        <f>[1]!Table32[[#This Row],[CLM $ Collected ]]/'[1]1.) CLM Reference'!$B$4</f>
        <v>4.9772411862455013E-4</v>
      </c>
      <c r="F142" s="37">
        <f>[1]!Table32[[#This Row],[Residential Incentive Disbursements]]+[1]!Table32[[#This Row],[C&amp;I Incentive Disbursements]]</f>
        <v>113808.5828</v>
      </c>
      <c r="G142" s="36">
        <f>[1]!Table32[[#This Row],[Incentive Disbursements]]/'[1]1.) CLM Reference'!$B$5</f>
        <v>1.3924084147660888E-3</v>
      </c>
      <c r="H142" s="37">
        <v>0</v>
      </c>
      <c r="I142" s="36">
        <f>[1]!Table32[[#This Row],[Residential CLM $ Collected]]/'[1]1.) CLM Reference'!$B$4</f>
        <v>0</v>
      </c>
      <c r="J142" s="41">
        <v>0</v>
      </c>
      <c r="K142" s="36">
        <f>[1]!Table32[[#This Row],[Residential Incentive Disbursements]]/'[1]1.) CLM Reference'!$B$5</f>
        <v>0</v>
      </c>
      <c r="L142" s="37">
        <v>56102.820912000003</v>
      </c>
      <c r="M142" s="36">
        <f>[1]!Table32[[#This Row],[C&amp;I CLM $ Collected]]/'[1]1.) CLM Reference'!$B$4</f>
        <v>4.9772411862455013E-4</v>
      </c>
      <c r="N142" s="41">
        <v>113808.5828</v>
      </c>
      <c r="O142" s="39">
        <f>[1]!Table32[[#This Row],[C&amp;I Incentive Disbursements]]/'[1]1.) CLM Reference'!$B$5</f>
        <v>1.3924084147660888E-3</v>
      </c>
      <c r="P142">
        <f>VLOOKUP(Table32[[#This Row],[Census Tract]],'Population and Diversity Data'!$B$2:$K$823,10,FALSE)</f>
        <v>3</v>
      </c>
      <c r="Q142" t="str">
        <f>VLOOKUP(Table32[[#This Row],[Census Tract]],'ES Energy Burden'!$B$2:$E$914,4,FALSE)</f>
        <v>No</v>
      </c>
    </row>
    <row r="143" spans="1:17" x14ac:dyDescent="0.2">
      <c r="A143" s="100">
        <v>9001044600</v>
      </c>
      <c r="B143" s="38" t="s">
        <v>2818</v>
      </c>
      <c r="C143" s="38" t="s">
        <v>944</v>
      </c>
      <c r="D143" s="40">
        <f>[1]!Table32[[#This Row],[Residential CLM $ Collected]]+[1]!Table32[[#This Row],[C&amp;I CLM $ Collected]]</f>
        <v>1072681.6573353601</v>
      </c>
      <c r="E143" s="36">
        <f>[1]!Table32[[#This Row],[CLM $ Collected ]]/'[1]1.) CLM Reference'!$B$4</f>
        <v>9.5164471907644554E-3</v>
      </c>
      <c r="F143" s="37">
        <f>[1]!Table32[[#This Row],[Residential Incentive Disbursements]]+[1]!Table32[[#This Row],[C&amp;I Incentive Disbursements]]</f>
        <v>582330.61540000001</v>
      </c>
      <c r="G143" s="36">
        <f>[1]!Table32[[#This Row],[Incentive Disbursements]]/'[1]1.) CLM Reference'!$B$5</f>
        <v>7.1246124774596081E-3</v>
      </c>
      <c r="H143" s="37">
        <v>0</v>
      </c>
      <c r="I143" s="36">
        <f>[1]!Table32[[#This Row],[Residential CLM $ Collected]]/'[1]1.) CLM Reference'!$B$4</f>
        <v>0</v>
      </c>
      <c r="J143" s="41">
        <v>0</v>
      </c>
      <c r="K143" s="36">
        <f>[1]!Table32[[#This Row],[Residential Incentive Disbursements]]/'[1]1.) CLM Reference'!$B$5</f>
        <v>0</v>
      </c>
      <c r="L143" s="37">
        <v>1072681.6573353601</v>
      </c>
      <c r="M143" s="36">
        <f>[1]!Table32[[#This Row],[C&amp;I CLM $ Collected]]/'[1]1.) CLM Reference'!$B$4</f>
        <v>9.5164471907644554E-3</v>
      </c>
      <c r="N143" s="41">
        <v>582330.61540000001</v>
      </c>
      <c r="O143" s="39">
        <f>[1]!Table32[[#This Row],[C&amp;I Incentive Disbursements]]/'[1]1.) CLM Reference'!$B$5</f>
        <v>7.1246124774596081E-3</v>
      </c>
      <c r="P143">
        <f>VLOOKUP(Table32[[#This Row],[Census Tract]],'Population and Diversity Data'!$B$2:$K$823,10,FALSE)</f>
        <v>1</v>
      </c>
      <c r="Q143" t="str">
        <f>VLOOKUP(Table32[[#This Row],[Census Tract]],'ES Energy Burden'!$B$2:$E$914,4,FALSE)</f>
        <v>No</v>
      </c>
    </row>
    <row r="144" spans="1:17" x14ac:dyDescent="0.2">
      <c r="A144" s="100">
        <v>9011660101</v>
      </c>
      <c r="B144" s="38" t="s">
        <v>2819</v>
      </c>
      <c r="C144" s="38" t="s">
        <v>944</v>
      </c>
      <c r="D144" s="40">
        <f>[1]!Table32[[#This Row],[Residential CLM $ Collected]]+[1]!Table32[[#This Row],[C&amp;I CLM $ Collected]]</f>
        <v>104.71418208</v>
      </c>
      <c r="E144" s="36">
        <f>[1]!Table32[[#This Row],[CLM $ Collected ]]/'[1]1.) CLM Reference'!$B$4</f>
        <v>9.2898669150717911E-7</v>
      </c>
      <c r="F144" s="37">
        <f>[1]!Table32[[#This Row],[Residential Incentive Disbursements]]+[1]!Table32[[#This Row],[C&amp;I Incentive Disbursements]]</f>
        <v>0</v>
      </c>
      <c r="G144" s="36">
        <f>[1]!Table32[[#This Row],[Incentive Disbursements]]/'[1]1.) CLM Reference'!$B$5</f>
        <v>0</v>
      </c>
      <c r="H144" s="37">
        <v>0</v>
      </c>
      <c r="I144" s="36">
        <f>[1]!Table32[[#This Row],[Residential CLM $ Collected]]/'[1]1.) CLM Reference'!$B$4</f>
        <v>0</v>
      </c>
      <c r="J144" s="41">
        <v>0</v>
      </c>
      <c r="K144" s="36">
        <f>[1]!Table32[[#This Row],[Residential Incentive Disbursements]]/'[1]1.) CLM Reference'!$B$5</f>
        <v>0</v>
      </c>
      <c r="L144" s="37">
        <v>104.71418208</v>
      </c>
      <c r="M144" s="36">
        <f>[1]!Table32[[#This Row],[C&amp;I CLM $ Collected]]/'[1]1.) CLM Reference'!$B$4</f>
        <v>9.2898669150717911E-7</v>
      </c>
      <c r="N144" s="41">
        <v>0</v>
      </c>
      <c r="O144" s="39">
        <f>[1]!Table32[[#This Row],[C&amp;I Incentive Disbursements]]/'[1]1.) CLM Reference'!$B$5</f>
        <v>0</v>
      </c>
      <c r="P144">
        <f>VLOOKUP(Table32[[#This Row],[Census Tract]],'Population and Diversity Data'!$B$2:$K$823,10,FALSE)</f>
        <v>2</v>
      </c>
      <c r="Q144" t="str">
        <f>VLOOKUP(Table32[[#This Row],[Census Tract]],'ES Energy Burden'!$B$2:$E$914,4,FALSE)</f>
        <v>No</v>
      </c>
    </row>
    <row r="145" spans="1:17" x14ac:dyDescent="0.2">
      <c r="A145" s="100">
        <v>9011660102</v>
      </c>
      <c r="B145" s="38" t="s">
        <v>2819</v>
      </c>
      <c r="C145" s="38" t="s">
        <v>944</v>
      </c>
      <c r="D145" s="40">
        <f>[1]!Table32[[#This Row],[Residential CLM $ Collected]]+[1]!Table32[[#This Row],[C&amp;I CLM $ Collected]]</f>
        <v>32927.099037120002</v>
      </c>
      <c r="E145" s="36">
        <f>[1]!Table32[[#This Row],[CLM $ Collected ]]/'[1]1.) CLM Reference'!$B$4</f>
        <v>2.9211742084805611E-4</v>
      </c>
      <c r="F145" s="37">
        <f>[1]!Table32[[#This Row],[Residential Incentive Disbursements]]+[1]!Table32[[#This Row],[C&amp;I Incentive Disbursements]]</f>
        <v>943</v>
      </c>
      <c r="G145" s="36">
        <f>[1]!Table32[[#This Row],[Incentive Disbursements]]/'[1]1.) CLM Reference'!$B$5</f>
        <v>1.1537276915501858E-5</v>
      </c>
      <c r="H145" s="37">
        <v>0</v>
      </c>
      <c r="I145" s="36">
        <f>[1]!Table32[[#This Row],[Residential CLM $ Collected]]/'[1]1.) CLM Reference'!$B$4</f>
        <v>0</v>
      </c>
      <c r="J145" s="41">
        <v>0</v>
      </c>
      <c r="K145" s="36">
        <f>[1]!Table32[[#This Row],[Residential Incentive Disbursements]]/'[1]1.) CLM Reference'!$B$5</f>
        <v>0</v>
      </c>
      <c r="L145" s="37">
        <v>32927.099037120002</v>
      </c>
      <c r="M145" s="36">
        <f>[1]!Table32[[#This Row],[C&amp;I CLM $ Collected]]/'[1]1.) CLM Reference'!$B$4</f>
        <v>2.9211742084805611E-4</v>
      </c>
      <c r="N145" s="41">
        <v>943</v>
      </c>
      <c r="O145" s="39">
        <f>[1]!Table32[[#This Row],[C&amp;I Incentive Disbursements]]/'[1]1.) CLM Reference'!$B$5</f>
        <v>1.1537276915501858E-5</v>
      </c>
      <c r="P145">
        <f>VLOOKUP(Table32[[#This Row],[Census Tract]],'Population and Diversity Data'!$B$2:$K$823,10,FALSE)</f>
        <v>1</v>
      </c>
      <c r="Q145" t="str">
        <f>VLOOKUP(Table32[[#This Row],[Census Tract]],'ES Energy Burden'!$B$2:$E$914,4,FALSE)</f>
        <v>No</v>
      </c>
    </row>
    <row r="146" spans="1:17" x14ac:dyDescent="0.2">
      <c r="A146" s="100">
        <v>9007670100</v>
      </c>
      <c r="B146" s="38" t="s">
        <v>2820</v>
      </c>
      <c r="C146" s="38" t="s">
        <v>944</v>
      </c>
      <c r="D146" s="40">
        <f>[1]!Table32[[#This Row],[Residential CLM $ Collected]]+[1]!Table32[[#This Row],[C&amp;I CLM $ Collected]]</f>
        <v>703.97017920000008</v>
      </c>
      <c r="E146" s="36">
        <f>[1]!Table32[[#This Row],[CLM $ Collected ]]/'[1]1.) CLM Reference'!$B$4</f>
        <v>6.2453711111938429E-6</v>
      </c>
      <c r="F146" s="37">
        <f>[1]!Table32[[#This Row],[Residential Incentive Disbursements]]+[1]!Table32[[#This Row],[C&amp;I Incentive Disbursements]]</f>
        <v>82901.959000000003</v>
      </c>
      <c r="G146" s="36">
        <f>[1]!Table32[[#This Row],[Incentive Disbursements]]/'[1]1.) CLM Reference'!$B$5</f>
        <v>1.0142766254725149E-3</v>
      </c>
      <c r="H146" s="37">
        <v>0</v>
      </c>
      <c r="I146" s="36">
        <f>[1]!Table32[[#This Row],[Residential CLM $ Collected]]/'[1]1.) CLM Reference'!$B$4</f>
        <v>0</v>
      </c>
      <c r="J146" s="41">
        <v>0</v>
      </c>
      <c r="K146" s="36">
        <f>[1]!Table32[[#This Row],[Residential Incentive Disbursements]]/'[1]1.) CLM Reference'!$B$5</f>
        <v>0</v>
      </c>
      <c r="L146" s="37">
        <v>703.97017920000008</v>
      </c>
      <c r="M146" s="36">
        <f>[1]!Table32[[#This Row],[C&amp;I CLM $ Collected]]/'[1]1.) CLM Reference'!$B$4</f>
        <v>6.2453711111938429E-6</v>
      </c>
      <c r="N146" s="41">
        <v>82901.959000000003</v>
      </c>
      <c r="O146" s="39">
        <f>[1]!Table32[[#This Row],[C&amp;I Incentive Disbursements]]/'[1]1.) CLM Reference'!$B$5</f>
        <v>1.0142766254725149E-3</v>
      </c>
      <c r="P146">
        <f>VLOOKUP(Table32[[#This Row],[Census Tract]],'Population and Diversity Data'!$B$2:$K$823,10,FALSE)</f>
        <v>2</v>
      </c>
      <c r="Q146" t="str">
        <f>VLOOKUP(Table32[[#This Row],[Census Tract]],'ES Energy Burden'!$B$2:$E$914,4,FALSE)</f>
        <v>No</v>
      </c>
    </row>
    <row r="147" spans="1:17" x14ac:dyDescent="0.2">
      <c r="A147" s="100">
        <v>9007670200</v>
      </c>
      <c r="B147" s="38" t="s">
        <v>2820</v>
      </c>
      <c r="C147" s="38" t="s">
        <v>944</v>
      </c>
      <c r="D147" s="40">
        <f>[1]!Table32[[#This Row],[Residential CLM $ Collected]]+[1]!Table32[[#This Row],[C&amp;I CLM $ Collected]]</f>
        <v>137961.97658496001</v>
      </c>
      <c r="E147" s="36">
        <f>[1]!Table32[[#This Row],[CLM $ Collected ]]/'[1]1.) CLM Reference'!$B$4</f>
        <v>1.2239492076014781E-3</v>
      </c>
      <c r="F147" s="37">
        <f>[1]!Table32[[#This Row],[Residential Incentive Disbursements]]+[1]!Table32[[#This Row],[C&amp;I Incentive Disbursements]]</f>
        <v>13245.88</v>
      </c>
      <c r="G147" s="36">
        <f>[1]!Table32[[#This Row],[Incentive Disbursements]]/'[1]1.) CLM Reference'!$B$5</f>
        <v>1.620587333504854E-4</v>
      </c>
      <c r="H147" s="37">
        <v>0</v>
      </c>
      <c r="I147" s="36">
        <f>[1]!Table32[[#This Row],[Residential CLM $ Collected]]/'[1]1.) CLM Reference'!$B$4</f>
        <v>0</v>
      </c>
      <c r="J147" s="41">
        <v>0</v>
      </c>
      <c r="K147" s="36">
        <f>[1]!Table32[[#This Row],[Residential Incentive Disbursements]]/'[1]1.) CLM Reference'!$B$5</f>
        <v>0</v>
      </c>
      <c r="L147" s="37">
        <v>137961.97658496001</v>
      </c>
      <c r="M147" s="36">
        <f>[1]!Table32[[#This Row],[C&amp;I CLM $ Collected]]/'[1]1.) CLM Reference'!$B$4</f>
        <v>1.2239492076014781E-3</v>
      </c>
      <c r="N147" s="41">
        <v>13245.88</v>
      </c>
      <c r="O147" s="39">
        <f>[1]!Table32[[#This Row],[C&amp;I Incentive Disbursements]]/'[1]1.) CLM Reference'!$B$5</f>
        <v>1.620587333504854E-4</v>
      </c>
      <c r="P147">
        <f>VLOOKUP(Table32[[#This Row],[Census Tract]],'Population and Diversity Data'!$B$2:$K$823,10,FALSE)</f>
        <v>1</v>
      </c>
      <c r="Q147" t="str">
        <f>VLOOKUP(Table32[[#This Row],[Census Tract]],'ES Energy Burden'!$B$2:$E$914,4,FALSE)</f>
        <v>No</v>
      </c>
    </row>
    <row r="148" spans="1:17" x14ac:dyDescent="0.2">
      <c r="A148" s="100">
        <v>9009346101</v>
      </c>
      <c r="B148" s="38" t="s">
        <v>2821</v>
      </c>
      <c r="C148" s="38" t="s">
        <v>944</v>
      </c>
      <c r="D148" s="40">
        <f>[1]!Table32[[#This Row],[Residential CLM $ Collected]]+[1]!Table32[[#This Row],[C&amp;I CLM $ Collected]]</f>
        <v>94745.623613759992</v>
      </c>
      <c r="E148" s="36">
        <f>[1]!Table32[[#This Row],[CLM $ Collected ]]/'[1]1.) CLM Reference'!$B$4</f>
        <v>8.405492137491693E-4</v>
      </c>
      <c r="F148" s="37">
        <f>[1]!Table32[[#This Row],[Residential Incentive Disbursements]]+[1]!Table32[[#This Row],[C&amp;I Incentive Disbursements]]</f>
        <v>45889.202499999999</v>
      </c>
      <c r="G148" s="36">
        <f>[1]!Table32[[#This Row],[Incentive Disbursements]]/'[1]1.) CLM Reference'!$B$5</f>
        <v>5.6143842701382831E-4</v>
      </c>
      <c r="H148" s="37">
        <v>0</v>
      </c>
      <c r="I148" s="36">
        <f>[1]!Table32[[#This Row],[Residential CLM $ Collected]]/'[1]1.) CLM Reference'!$B$4</f>
        <v>0</v>
      </c>
      <c r="J148" s="41">
        <v>0</v>
      </c>
      <c r="K148" s="36">
        <f>[1]!Table32[[#This Row],[Residential Incentive Disbursements]]/'[1]1.) CLM Reference'!$B$5</f>
        <v>0</v>
      </c>
      <c r="L148" s="37">
        <v>94745.623613759992</v>
      </c>
      <c r="M148" s="36">
        <f>[1]!Table32[[#This Row],[C&amp;I CLM $ Collected]]/'[1]1.) CLM Reference'!$B$4</f>
        <v>8.405492137491693E-4</v>
      </c>
      <c r="N148" s="41">
        <v>45889.202499999999</v>
      </c>
      <c r="O148" s="39">
        <f>[1]!Table32[[#This Row],[C&amp;I Incentive Disbursements]]/'[1]1.) CLM Reference'!$B$5</f>
        <v>5.6143842701382831E-4</v>
      </c>
      <c r="P148">
        <f>VLOOKUP(Table32[[#This Row],[Census Tract]],'Population and Diversity Data'!$B$2:$K$823,10,FALSE)</f>
        <v>1</v>
      </c>
      <c r="Q148" t="str">
        <f>VLOOKUP(Table32[[#This Row],[Census Tract]],'ES Energy Burden'!$B$2:$E$914,4,FALSE)</f>
        <v>No</v>
      </c>
    </row>
    <row r="149" spans="1:17" x14ac:dyDescent="0.2">
      <c r="A149" s="100">
        <v>9015907200</v>
      </c>
      <c r="B149" s="38" t="s">
        <v>2822</v>
      </c>
      <c r="C149" s="38" t="s">
        <v>944</v>
      </c>
      <c r="D149" s="40">
        <f>[1]!Table32[[#This Row],[Residential CLM $ Collected]]+[1]!Table32[[#This Row],[C&amp;I CLM $ Collected]]</f>
        <v>28.66555872</v>
      </c>
      <c r="E149" s="36">
        <f>[1]!Table32[[#This Row],[CLM $ Collected ]]/'[1]1.) CLM Reference'!$B$4</f>
        <v>2.5431056258599929E-7</v>
      </c>
      <c r="F149" s="37">
        <f>[1]!Table32[[#This Row],[Residential Incentive Disbursements]]+[1]!Table32[[#This Row],[C&amp;I Incentive Disbursements]]</f>
        <v>0</v>
      </c>
      <c r="G149" s="36">
        <f>[1]!Table32[[#This Row],[Incentive Disbursements]]/'[1]1.) CLM Reference'!$B$5</f>
        <v>0</v>
      </c>
      <c r="H149" s="37">
        <v>0</v>
      </c>
      <c r="I149" s="36">
        <f>[1]!Table32[[#This Row],[Residential CLM $ Collected]]/'[1]1.) CLM Reference'!$B$4</f>
        <v>0</v>
      </c>
      <c r="J149" s="41">
        <v>0</v>
      </c>
      <c r="K149" s="36">
        <f>[1]!Table32[[#This Row],[Residential Incentive Disbursements]]/'[1]1.) CLM Reference'!$B$5</f>
        <v>0</v>
      </c>
      <c r="L149" s="37">
        <v>28.66555872</v>
      </c>
      <c r="M149" s="36">
        <f>[1]!Table32[[#This Row],[C&amp;I CLM $ Collected]]/'[1]1.) CLM Reference'!$B$4</f>
        <v>2.5431056258599929E-7</v>
      </c>
      <c r="N149" s="41">
        <v>0</v>
      </c>
      <c r="O149" s="39">
        <f>[1]!Table32[[#This Row],[C&amp;I Incentive Disbursements]]/'[1]1.) CLM Reference'!$B$5</f>
        <v>0</v>
      </c>
      <c r="P149">
        <f>VLOOKUP(Table32[[#This Row],[Census Tract]],'Population and Diversity Data'!$B$2:$K$823,10,FALSE)</f>
        <v>3</v>
      </c>
      <c r="Q149" t="str">
        <f>VLOOKUP(Table32[[#This Row],[Census Tract]],'ES Energy Burden'!$B$2:$E$914,4,FALSE)</f>
        <v>No</v>
      </c>
    </row>
    <row r="150" spans="1:17" x14ac:dyDescent="0.2">
      <c r="A150" s="100">
        <v>9015907300</v>
      </c>
      <c r="B150" s="38" t="s">
        <v>2822</v>
      </c>
      <c r="C150" s="38" t="s">
        <v>944</v>
      </c>
      <c r="D150" s="40">
        <f>[1]!Table32[[#This Row],[Residential CLM $ Collected]]+[1]!Table32[[#This Row],[C&amp;I CLM $ Collected]]</f>
        <v>201090.73525920001</v>
      </c>
      <c r="E150" s="36">
        <f>[1]!Table32[[#This Row],[CLM $ Collected ]]/'[1]1.) CLM Reference'!$B$4</f>
        <v>1.7840049277992724E-3</v>
      </c>
      <c r="F150" s="37">
        <f>[1]!Table32[[#This Row],[Residential Incentive Disbursements]]+[1]!Table32[[#This Row],[C&amp;I Incentive Disbursements]]</f>
        <v>168159.66</v>
      </c>
      <c r="G150" s="36">
        <f>[1]!Table32[[#This Row],[Incentive Disbursements]]/'[1]1.) CLM Reference'!$B$5</f>
        <v>2.0573749347154199E-3</v>
      </c>
      <c r="H150" s="37">
        <v>0</v>
      </c>
      <c r="I150" s="36">
        <f>[1]!Table32[[#This Row],[Residential CLM $ Collected]]/'[1]1.) CLM Reference'!$B$4</f>
        <v>0</v>
      </c>
      <c r="J150" s="41">
        <v>0</v>
      </c>
      <c r="K150" s="36">
        <f>[1]!Table32[[#This Row],[Residential Incentive Disbursements]]/'[1]1.) CLM Reference'!$B$5</f>
        <v>0</v>
      </c>
      <c r="L150" s="37">
        <v>201090.73525920001</v>
      </c>
      <c r="M150" s="36">
        <f>[1]!Table32[[#This Row],[C&amp;I CLM $ Collected]]/'[1]1.) CLM Reference'!$B$4</f>
        <v>1.7840049277992724E-3</v>
      </c>
      <c r="N150" s="41">
        <v>168159.66</v>
      </c>
      <c r="O150" s="39">
        <f>[1]!Table32[[#This Row],[C&amp;I Incentive Disbursements]]/'[1]1.) CLM Reference'!$B$5</f>
        <v>2.0573749347154199E-3</v>
      </c>
      <c r="P150">
        <f>VLOOKUP(Table32[[#This Row],[Census Tract]],'Population and Diversity Data'!$B$2:$K$823,10,FALSE)</f>
        <v>5</v>
      </c>
      <c r="Q150" t="str">
        <f>VLOOKUP(Table32[[#This Row],[Census Tract]],'ES Energy Burden'!$B$2:$E$914,4,FALSE)</f>
        <v>No</v>
      </c>
    </row>
    <row r="151" spans="1:17" x14ac:dyDescent="0.2">
      <c r="A151" s="100">
        <v>9003420500</v>
      </c>
      <c r="B151" s="38" t="s">
        <v>2823</v>
      </c>
      <c r="C151" s="38" t="s">
        <v>944</v>
      </c>
      <c r="D151" s="40">
        <f>[1]!Table32[[#This Row],[Residential CLM $ Collected]]+[1]!Table32[[#This Row],[C&amp;I CLM $ Collected]]</f>
        <v>5.5439337599999998</v>
      </c>
      <c r="E151" s="36">
        <f>[1]!Table32[[#This Row],[CLM $ Collected ]]/'[1]1.) CLM Reference'!$B$4</f>
        <v>4.9183793248775525E-8</v>
      </c>
      <c r="F151" s="37">
        <f>[1]!Table32[[#This Row],[Residential Incentive Disbursements]]+[1]!Table32[[#This Row],[C&amp;I Incentive Disbursements]]</f>
        <v>0</v>
      </c>
      <c r="G151" s="36">
        <f>[1]!Table32[[#This Row],[Incentive Disbursements]]/'[1]1.) CLM Reference'!$B$5</f>
        <v>0</v>
      </c>
      <c r="H151" s="37">
        <v>0</v>
      </c>
      <c r="I151" s="36">
        <f>[1]!Table32[[#This Row],[Residential CLM $ Collected]]/'[1]1.) CLM Reference'!$B$4</f>
        <v>0</v>
      </c>
      <c r="J151" s="41">
        <v>0</v>
      </c>
      <c r="K151" s="36">
        <f>[1]!Table32[[#This Row],[Residential Incentive Disbursements]]/'[1]1.) CLM Reference'!$B$5</f>
        <v>0</v>
      </c>
      <c r="L151" s="37">
        <v>5.5439337599999998</v>
      </c>
      <c r="M151" s="36">
        <f>[1]!Table32[[#This Row],[C&amp;I CLM $ Collected]]/'[1]1.) CLM Reference'!$B$4</f>
        <v>4.9183793248775525E-8</v>
      </c>
      <c r="N151" s="41">
        <v>0</v>
      </c>
      <c r="O151" s="39">
        <f>[1]!Table32[[#This Row],[C&amp;I Incentive Disbursements]]/'[1]1.) CLM Reference'!$B$5</f>
        <v>0</v>
      </c>
      <c r="P151">
        <f>VLOOKUP(Table32[[#This Row],[Census Tract]],'Population and Diversity Data'!$B$2:$K$823,10,FALSE)</f>
        <v>4</v>
      </c>
      <c r="Q151" t="str">
        <f>VLOOKUP(Table32[[#This Row],[Census Tract]],'ES Energy Burden'!$B$2:$E$914,4,FALSE)</f>
        <v>No</v>
      </c>
    </row>
    <row r="152" spans="1:17" x14ac:dyDescent="0.2">
      <c r="A152" s="100">
        <v>9003420600</v>
      </c>
      <c r="B152" s="38" t="s">
        <v>2823</v>
      </c>
      <c r="C152" s="38" t="s">
        <v>944</v>
      </c>
      <c r="D152" s="40">
        <f>[1]!Table32[[#This Row],[Residential CLM $ Collected]]+[1]!Table32[[#This Row],[C&amp;I CLM $ Collected]]</f>
        <v>270962.72291231999</v>
      </c>
      <c r="E152" s="36">
        <f>[1]!Table32[[#This Row],[CLM $ Collected ]]/'[1]1.) CLM Reference'!$B$4</f>
        <v>2.4038841585734961E-3</v>
      </c>
      <c r="F152" s="37">
        <f>[1]!Table32[[#This Row],[Residential Incentive Disbursements]]+[1]!Table32[[#This Row],[C&amp;I Incentive Disbursements]]</f>
        <v>378502.59279999998</v>
      </c>
      <c r="G152" s="36">
        <f>[1]!Table32[[#This Row],[Incentive Disbursements]]/'[1]1.) CLM Reference'!$B$5</f>
        <v>4.6308475359162667E-3</v>
      </c>
      <c r="H152" s="37">
        <v>0</v>
      </c>
      <c r="I152" s="36">
        <f>[1]!Table32[[#This Row],[Residential CLM $ Collected]]/'[1]1.) CLM Reference'!$B$4</f>
        <v>0</v>
      </c>
      <c r="J152" s="41">
        <v>0</v>
      </c>
      <c r="K152" s="36">
        <f>[1]!Table32[[#This Row],[Residential Incentive Disbursements]]/'[1]1.) CLM Reference'!$B$5</f>
        <v>0</v>
      </c>
      <c r="L152" s="37">
        <v>270962.72291231999</v>
      </c>
      <c r="M152" s="36">
        <f>[1]!Table32[[#This Row],[C&amp;I CLM $ Collected]]/'[1]1.) CLM Reference'!$B$4</f>
        <v>2.4038841585734961E-3</v>
      </c>
      <c r="N152" s="41">
        <v>378502.59279999998</v>
      </c>
      <c r="O152" s="39">
        <f>[1]!Table32[[#This Row],[C&amp;I Incentive Disbursements]]/'[1]1.) CLM Reference'!$B$5</f>
        <v>4.6308475359162667E-3</v>
      </c>
      <c r="P152">
        <f>VLOOKUP(Table32[[#This Row],[Census Tract]],'Population and Diversity Data'!$B$2:$K$823,10,FALSE)</f>
        <v>3</v>
      </c>
      <c r="Q152" t="str">
        <f>VLOOKUP(Table32[[#This Row],[Census Tract]],'ES Energy Burden'!$B$2:$E$914,4,FALSE)</f>
        <v>No</v>
      </c>
    </row>
    <row r="153" spans="1:17" x14ac:dyDescent="0.2">
      <c r="A153" s="100">
        <v>9005425400</v>
      </c>
      <c r="B153" s="38" t="s">
        <v>2824</v>
      </c>
      <c r="C153" s="38" t="s">
        <v>944</v>
      </c>
      <c r="D153" s="40">
        <f>[1]!Table32[[#This Row],[Residential CLM $ Collected]]+[1]!Table32[[#This Row],[C&amp;I CLM $ Collected]]</f>
        <v>37331.74312128</v>
      </c>
      <c r="E153" s="36">
        <f>[1]!Table32[[#This Row],[CLM $ Collected ]]/'[1]1.) CLM Reference'!$B$4</f>
        <v>3.3119384443969864E-4</v>
      </c>
      <c r="F153" s="37">
        <f>[1]!Table32[[#This Row],[Residential Incentive Disbursements]]+[1]!Table32[[#This Row],[C&amp;I Incentive Disbursements]]</f>
        <v>19432.567999999999</v>
      </c>
      <c r="G153" s="36">
        <f>[1]!Table32[[#This Row],[Incentive Disbursements]]/'[1]1.) CLM Reference'!$B$5</f>
        <v>2.3775070858464482E-4</v>
      </c>
      <c r="H153" s="37">
        <v>0</v>
      </c>
      <c r="I153" s="36">
        <f>[1]!Table32[[#This Row],[Residential CLM $ Collected]]/'[1]1.) CLM Reference'!$B$4</f>
        <v>0</v>
      </c>
      <c r="J153" s="41">
        <v>0</v>
      </c>
      <c r="K153" s="36">
        <f>[1]!Table32[[#This Row],[Residential Incentive Disbursements]]/'[1]1.) CLM Reference'!$B$5</f>
        <v>0</v>
      </c>
      <c r="L153" s="37">
        <v>37331.74312128</v>
      </c>
      <c r="M153" s="36">
        <f>[1]!Table32[[#This Row],[C&amp;I CLM $ Collected]]/'[1]1.) CLM Reference'!$B$4</f>
        <v>3.3119384443969864E-4</v>
      </c>
      <c r="N153" s="41">
        <v>19432.567999999999</v>
      </c>
      <c r="O153" s="39">
        <f>[1]!Table32[[#This Row],[C&amp;I Incentive Disbursements]]/'[1]1.) CLM Reference'!$B$5</f>
        <v>2.3775070858464482E-4</v>
      </c>
      <c r="P153">
        <f>VLOOKUP(Table32[[#This Row],[Census Tract]],'Population and Diversity Data'!$B$2:$K$823,10,FALSE)</f>
        <v>2</v>
      </c>
      <c r="Q153" t="str">
        <f>VLOOKUP(Table32[[#This Row],[Census Tract]],'ES Energy Burden'!$B$2:$E$914,4,FALSE)</f>
        <v>No</v>
      </c>
    </row>
    <row r="154" spans="1:17" x14ac:dyDescent="0.2">
      <c r="A154" s="100">
        <v>9015902500</v>
      </c>
      <c r="B154" s="38" t="s">
        <v>2825</v>
      </c>
      <c r="C154" s="38" t="s">
        <v>944</v>
      </c>
      <c r="D154" s="40">
        <f>[1]!Table32[[#This Row],[Residential CLM $ Collected]]+[1]!Table32[[#This Row],[C&amp;I CLM $ Collected]]</f>
        <v>77285.890212480008</v>
      </c>
      <c r="E154" s="36">
        <f>[1]!Table32[[#This Row],[CLM $ Collected ]]/'[1]1.) CLM Reference'!$B$4</f>
        <v>6.8565271697224983E-4</v>
      </c>
      <c r="F154" s="37">
        <f>[1]!Table32[[#This Row],[Residential Incentive Disbursements]]+[1]!Table32[[#This Row],[C&amp;I Incentive Disbursements]]</f>
        <v>56577.283499999998</v>
      </c>
      <c r="G154" s="36">
        <f>[1]!Table32[[#This Row],[Incentive Disbursements]]/'[1]1.) CLM Reference'!$B$5</f>
        <v>6.9220337949772433E-4</v>
      </c>
      <c r="H154" s="37">
        <v>0</v>
      </c>
      <c r="I154" s="36">
        <f>[1]!Table32[[#This Row],[Residential CLM $ Collected]]/'[1]1.) CLM Reference'!$B$4</f>
        <v>0</v>
      </c>
      <c r="J154" s="41">
        <v>0</v>
      </c>
      <c r="K154" s="36">
        <f>[1]!Table32[[#This Row],[Residential Incentive Disbursements]]/'[1]1.) CLM Reference'!$B$5</f>
        <v>0</v>
      </c>
      <c r="L154" s="37">
        <v>77285.890212480008</v>
      </c>
      <c r="M154" s="36">
        <f>[1]!Table32[[#This Row],[C&amp;I CLM $ Collected]]/'[1]1.) CLM Reference'!$B$4</f>
        <v>6.8565271697224983E-4</v>
      </c>
      <c r="N154" s="41">
        <v>56577.283499999998</v>
      </c>
      <c r="O154" s="39">
        <f>[1]!Table32[[#This Row],[C&amp;I Incentive Disbursements]]/'[1]1.) CLM Reference'!$B$5</f>
        <v>6.9220337949772433E-4</v>
      </c>
      <c r="P154">
        <f>VLOOKUP(Table32[[#This Row],[Census Tract]],'Population and Diversity Data'!$B$2:$K$823,10,FALSE)</f>
        <v>2</v>
      </c>
      <c r="Q154" t="str">
        <f>VLOOKUP(Table32[[#This Row],[Census Tract]],'ES Energy Burden'!$B$2:$E$914,4,FALSE)</f>
        <v>No</v>
      </c>
    </row>
    <row r="155" spans="1:17" x14ac:dyDescent="0.2">
      <c r="A155" s="100">
        <v>9007560100</v>
      </c>
      <c r="B155" s="38" t="s">
        <v>2826</v>
      </c>
      <c r="C155" s="38" t="s">
        <v>944</v>
      </c>
      <c r="D155" s="40">
        <f>[1]!Table32[[#This Row],[Residential CLM $ Collected]]+[1]!Table32[[#This Row],[C&amp;I CLM $ Collected]]</f>
        <v>77772.743343359994</v>
      </c>
      <c r="E155" s="36">
        <f>[1]!Table32[[#This Row],[CLM $ Collected ]]/'[1]1.) CLM Reference'!$B$4</f>
        <v>6.899719034503582E-4</v>
      </c>
      <c r="F155" s="37">
        <f>[1]!Table32[[#This Row],[Residential Incentive Disbursements]]+[1]!Table32[[#This Row],[C&amp;I Incentive Disbursements]]</f>
        <v>2937.5</v>
      </c>
      <c r="G155" s="36">
        <f>[1]!Table32[[#This Row],[Incentive Disbursements]]/'[1]1.) CLM Reference'!$B$5</f>
        <v>3.593929049765292E-5</v>
      </c>
      <c r="H155" s="37">
        <v>0</v>
      </c>
      <c r="I155" s="36">
        <f>[1]!Table32[[#This Row],[Residential CLM $ Collected]]/'[1]1.) CLM Reference'!$B$4</f>
        <v>0</v>
      </c>
      <c r="J155" s="41">
        <v>0</v>
      </c>
      <c r="K155" s="36">
        <f>[1]!Table32[[#This Row],[Residential Incentive Disbursements]]/'[1]1.) CLM Reference'!$B$5</f>
        <v>0</v>
      </c>
      <c r="L155" s="37">
        <v>77772.743343359994</v>
      </c>
      <c r="M155" s="36">
        <f>[1]!Table32[[#This Row],[C&amp;I CLM $ Collected]]/'[1]1.) CLM Reference'!$B$4</f>
        <v>6.899719034503582E-4</v>
      </c>
      <c r="N155" s="41">
        <v>2937.5</v>
      </c>
      <c r="O155" s="39">
        <f>[1]!Table32[[#This Row],[C&amp;I Incentive Disbursements]]/'[1]1.) CLM Reference'!$B$5</f>
        <v>3.593929049765292E-5</v>
      </c>
      <c r="P155">
        <f>VLOOKUP(Table32[[#This Row],[Census Tract]],'Population and Diversity Data'!$B$2:$K$823,10,FALSE)</f>
        <v>1</v>
      </c>
      <c r="Q155" t="str">
        <f>VLOOKUP(Table32[[#This Row],[Census Tract]],'ES Energy Burden'!$B$2:$E$914,4,FALSE)</f>
        <v>No</v>
      </c>
    </row>
    <row r="156" spans="1:17" x14ac:dyDescent="0.2">
      <c r="A156" s="100">
        <v>9011700100</v>
      </c>
      <c r="B156" s="38" t="s">
        <v>2827</v>
      </c>
      <c r="C156" s="38" t="s">
        <v>944</v>
      </c>
      <c r="D156" s="40">
        <f>[1]!Table32[[#This Row],[Residential CLM $ Collected]]+[1]!Table32[[#This Row],[C&amp;I CLM $ Collected]]</f>
        <v>12412.190399039999</v>
      </c>
      <c r="E156" s="36">
        <f>[1]!Table32[[#This Row],[CLM $ Collected ]]/'[1]1.) CLM Reference'!$B$4</f>
        <v>1.1011650441343295E-4</v>
      </c>
      <c r="F156" s="37">
        <f>[1]!Table32[[#This Row],[Residential Incentive Disbursements]]+[1]!Table32[[#This Row],[C&amp;I Incentive Disbursements]]</f>
        <v>2410</v>
      </c>
      <c r="G156" s="36">
        <f>[1]!Table32[[#This Row],[Incentive Disbursements]]/'[1]1.) CLM Reference'!$B$5</f>
        <v>2.948551152318078E-5</v>
      </c>
      <c r="H156" s="37">
        <v>0</v>
      </c>
      <c r="I156" s="36">
        <f>[1]!Table32[[#This Row],[Residential CLM $ Collected]]/'[1]1.) CLM Reference'!$B$4</f>
        <v>0</v>
      </c>
      <c r="J156" s="41">
        <v>0</v>
      </c>
      <c r="K156" s="36">
        <f>[1]!Table32[[#This Row],[Residential Incentive Disbursements]]/'[1]1.) CLM Reference'!$B$5</f>
        <v>0</v>
      </c>
      <c r="L156" s="37">
        <v>12412.190399039999</v>
      </c>
      <c r="M156" s="36">
        <f>[1]!Table32[[#This Row],[C&amp;I CLM $ Collected]]/'[1]1.) CLM Reference'!$B$4</f>
        <v>1.1011650441343295E-4</v>
      </c>
      <c r="N156" s="41">
        <v>2410</v>
      </c>
      <c r="O156" s="39">
        <f>[1]!Table32[[#This Row],[C&amp;I Incentive Disbursements]]/'[1]1.) CLM Reference'!$B$5</f>
        <v>2.948551152318078E-5</v>
      </c>
      <c r="P156">
        <f>VLOOKUP(Table32[[#This Row],[Census Tract]],'Population and Diversity Data'!$B$2:$K$823,10,FALSE)</f>
        <v>4</v>
      </c>
      <c r="Q156" t="str">
        <f>VLOOKUP(Table32[[#This Row],[Census Tract]],'ES Energy Burden'!$B$2:$E$914,4,FALSE)</f>
        <v>No</v>
      </c>
    </row>
    <row r="157" spans="1:17" x14ac:dyDescent="0.2">
      <c r="A157" s="100">
        <v>9009347100</v>
      </c>
      <c r="B157" s="38" t="s">
        <v>2828</v>
      </c>
      <c r="C157" s="38" t="s">
        <v>944</v>
      </c>
      <c r="D157" s="40">
        <f>[1]!Table32[[#This Row],[Residential CLM $ Collected]]+[1]!Table32[[#This Row],[C&amp;I CLM $ Collected]]</f>
        <v>30821.149226879999</v>
      </c>
      <c r="E157" s="36">
        <f>[1]!Table32[[#This Row],[CLM $ Collected ]]/'[1]1.) CLM Reference'!$B$4</f>
        <v>2.7343418895115434E-4</v>
      </c>
      <c r="F157" s="37">
        <f>[1]!Table32[[#This Row],[Residential Incentive Disbursements]]+[1]!Table32[[#This Row],[C&amp;I Incentive Disbursements]]</f>
        <v>10630</v>
      </c>
      <c r="G157" s="36">
        <f>[1]!Table32[[#This Row],[Incentive Disbursements]]/'[1]1.) CLM Reference'!$B$5</f>
        <v>1.3005435165618743E-4</v>
      </c>
      <c r="H157" s="37">
        <v>0</v>
      </c>
      <c r="I157" s="36">
        <f>[1]!Table32[[#This Row],[Residential CLM $ Collected]]/'[1]1.) CLM Reference'!$B$4</f>
        <v>0</v>
      </c>
      <c r="J157" s="41">
        <v>0</v>
      </c>
      <c r="K157" s="36">
        <f>[1]!Table32[[#This Row],[Residential Incentive Disbursements]]/'[1]1.) CLM Reference'!$B$5</f>
        <v>0</v>
      </c>
      <c r="L157" s="37">
        <v>30821.149226879999</v>
      </c>
      <c r="M157" s="36">
        <f>[1]!Table32[[#This Row],[C&amp;I CLM $ Collected]]/'[1]1.) CLM Reference'!$B$4</f>
        <v>2.7343418895115434E-4</v>
      </c>
      <c r="N157" s="41">
        <v>10630</v>
      </c>
      <c r="O157" s="39">
        <f>[1]!Table32[[#This Row],[C&amp;I Incentive Disbursements]]/'[1]1.) CLM Reference'!$B$5</f>
        <v>1.3005435165618743E-4</v>
      </c>
      <c r="P157">
        <f>VLOOKUP(Table32[[#This Row],[Census Tract]],'Population and Diversity Data'!$B$2:$K$823,10,FALSE)</f>
        <v>1</v>
      </c>
      <c r="Q157" t="str">
        <f>VLOOKUP(Table32[[#This Row],[Census Tract]],'ES Energy Burden'!$B$2:$E$914,4,FALSE)</f>
        <v>No</v>
      </c>
    </row>
    <row r="158" spans="1:17" x14ac:dyDescent="0.2">
      <c r="A158" s="100">
        <v>9015903100</v>
      </c>
      <c r="B158" s="38" t="s">
        <v>2829</v>
      </c>
      <c r="C158" s="38" t="s">
        <v>944</v>
      </c>
      <c r="D158" s="40">
        <f>[1]!Table32[[#This Row],[Residential CLM $ Collected]]+[1]!Table32[[#This Row],[C&amp;I CLM $ Collected]]</f>
        <v>289427.07360960002</v>
      </c>
      <c r="E158" s="36">
        <f>[1]!Table32[[#This Row],[CLM $ Collected ]]/'[1]1.) CLM Reference'!$B$4</f>
        <v>2.5676932599232034E-3</v>
      </c>
      <c r="F158" s="37">
        <f>[1]!Table32[[#This Row],[Residential Incentive Disbursements]]+[1]!Table32[[#This Row],[C&amp;I Incentive Disbursements]]</f>
        <v>47692.290200000003</v>
      </c>
      <c r="G158" s="36">
        <f>[1]!Table32[[#This Row],[Incentive Disbursements]]/'[1]1.) CLM Reference'!$B$5</f>
        <v>5.834985777008223E-4</v>
      </c>
      <c r="H158" s="37">
        <v>0</v>
      </c>
      <c r="I158" s="36">
        <f>[1]!Table32[[#This Row],[Residential CLM $ Collected]]/'[1]1.) CLM Reference'!$B$4</f>
        <v>0</v>
      </c>
      <c r="J158" s="41">
        <v>0</v>
      </c>
      <c r="K158" s="36">
        <f>[1]!Table32[[#This Row],[Residential Incentive Disbursements]]/'[1]1.) CLM Reference'!$B$5</f>
        <v>0</v>
      </c>
      <c r="L158" s="37">
        <v>289427.07360960002</v>
      </c>
      <c r="M158" s="36">
        <f>[1]!Table32[[#This Row],[C&amp;I CLM $ Collected]]/'[1]1.) CLM Reference'!$B$4</f>
        <v>2.5676932599232034E-3</v>
      </c>
      <c r="N158" s="41">
        <v>47692.290200000003</v>
      </c>
      <c r="O158" s="39">
        <f>[1]!Table32[[#This Row],[C&amp;I Incentive Disbursements]]/'[1]1.) CLM Reference'!$B$5</f>
        <v>5.834985777008223E-4</v>
      </c>
      <c r="P158">
        <f>VLOOKUP(Table32[[#This Row],[Census Tract]],'Population and Diversity Data'!$B$2:$K$823,10,FALSE)</f>
        <v>2</v>
      </c>
      <c r="Q158" t="str">
        <f>VLOOKUP(Table32[[#This Row],[Census Tract]],'ES Energy Burden'!$B$2:$E$914,4,FALSE)</f>
        <v>No</v>
      </c>
    </row>
    <row r="159" spans="1:17" x14ac:dyDescent="0.2">
      <c r="A159" s="100">
        <v>9015903200</v>
      </c>
      <c r="B159" s="38" t="s">
        <v>2829</v>
      </c>
      <c r="C159" s="38" t="s">
        <v>944</v>
      </c>
      <c r="D159" s="40">
        <f>[1]!Table32[[#This Row],[Residential CLM $ Collected]]+[1]!Table32[[#This Row],[C&amp;I CLM $ Collected]]</f>
        <v>2.5829625599999999</v>
      </c>
      <c r="E159" s="36">
        <f>[1]!Table32[[#This Row],[CLM $ Collected ]]/'[1]1.) CLM Reference'!$B$4</f>
        <v>2.2915118040726365E-8</v>
      </c>
      <c r="F159" s="37">
        <f>[1]!Table32[[#This Row],[Residential Incentive Disbursements]]+[1]!Table32[[#This Row],[C&amp;I Incentive Disbursements]]</f>
        <v>0</v>
      </c>
      <c r="G159" s="36">
        <f>[1]!Table32[[#This Row],[Incentive Disbursements]]/'[1]1.) CLM Reference'!$B$5</f>
        <v>0</v>
      </c>
      <c r="H159" s="37">
        <v>0</v>
      </c>
      <c r="I159" s="36">
        <f>[1]!Table32[[#This Row],[Residential CLM $ Collected]]/'[1]1.) CLM Reference'!$B$4</f>
        <v>0</v>
      </c>
      <c r="J159" s="41">
        <v>0</v>
      </c>
      <c r="K159" s="36">
        <f>[1]!Table32[[#This Row],[Residential Incentive Disbursements]]/'[1]1.) CLM Reference'!$B$5</f>
        <v>0</v>
      </c>
      <c r="L159" s="37">
        <v>2.5829625599999999</v>
      </c>
      <c r="M159" s="36">
        <f>[1]!Table32[[#This Row],[C&amp;I CLM $ Collected]]/'[1]1.) CLM Reference'!$B$4</f>
        <v>2.2915118040726365E-8</v>
      </c>
      <c r="N159" s="41">
        <v>0</v>
      </c>
      <c r="O159" s="39">
        <f>[1]!Table32[[#This Row],[C&amp;I Incentive Disbursements]]/'[1]1.) CLM Reference'!$B$5</f>
        <v>0</v>
      </c>
      <c r="P159">
        <f>VLOOKUP(Table32[[#This Row],[Census Tract]],'Population and Diversity Data'!$B$2:$K$823,10,FALSE)</f>
        <v>3</v>
      </c>
      <c r="Q159" t="str">
        <f>VLOOKUP(Table32[[#This Row],[Census Tract]],'ES Energy Burden'!$B$2:$E$914,4,FALSE)</f>
        <v>No</v>
      </c>
    </row>
    <row r="160" spans="1:17" x14ac:dyDescent="0.2">
      <c r="A160" s="100">
        <v>9001240200</v>
      </c>
      <c r="B160" s="38" t="s">
        <v>2830</v>
      </c>
      <c r="C160" s="38" t="s">
        <v>944</v>
      </c>
      <c r="D160" s="40">
        <f>[1]!Table32[[#This Row],[Residential CLM $ Collected]]+[1]!Table32[[#This Row],[C&amp;I CLM $ Collected]]</f>
        <v>50952.629750399996</v>
      </c>
      <c r="E160" s="36">
        <f>[1]!Table32[[#This Row],[CLM $ Collected ]]/'[1]1.) CLM Reference'!$B$4</f>
        <v>4.5203346858261928E-4</v>
      </c>
      <c r="F160" s="37">
        <f>[1]!Table32[[#This Row],[Residential Incentive Disbursements]]+[1]!Table32[[#This Row],[C&amp;I Incentive Disbursements]]</f>
        <v>2370</v>
      </c>
      <c r="G160" s="36">
        <f>[1]!Table32[[#This Row],[Incentive Disbursements]]/'[1]1.) CLM Reference'!$B$5</f>
        <v>2.8996125439808485E-5</v>
      </c>
      <c r="H160" s="37">
        <v>0</v>
      </c>
      <c r="I160" s="36">
        <f>[1]!Table32[[#This Row],[Residential CLM $ Collected]]/'[1]1.) CLM Reference'!$B$4</f>
        <v>0</v>
      </c>
      <c r="J160" s="41">
        <v>0</v>
      </c>
      <c r="K160" s="36">
        <f>[1]!Table32[[#This Row],[Residential Incentive Disbursements]]/'[1]1.) CLM Reference'!$B$5</f>
        <v>0</v>
      </c>
      <c r="L160" s="37">
        <v>50952.629750399996</v>
      </c>
      <c r="M160" s="36">
        <f>[1]!Table32[[#This Row],[C&amp;I CLM $ Collected]]/'[1]1.) CLM Reference'!$B$4</f>
        <v>4.5203346858261928E-4</v>
      </c>
      <c r="N160" s="41">
        <v>2370</v>
      </c>
      <c r="O160" s="39">
        <f>[1]!Table32[[#This Row],[C&amp;I Incentive Disbursements]]/'[1]1.) CLM Reference'!$B$5</f>
        <v>2.8996125439808485E-5</v>
      </c>
      <c r="P160">
        <f>VLOOKUP(Table32[[#This Row],[Census Tract]],'Population and Diversity Data'!$B$2:$K$823,10,FALSE)</f>
        <v>2</v>
      </c>
      <c r="Q160" t="str">
        <f>VLOOKUP(Table32[[#This Row],[Census Tract]],'ES Energy Burden'!$B$2:$E$914,4,FALSE)</f>
        <v>No</v>
      </c>
    </row>
    <row r="161" spans="1:17" x14ac:dyDescent="0.2">
      <c r="A161" s="100">
        <v>9001245600</v>
      </c>
      <c r="B161" s="38" t="s">
        <v>2831</v>
      </c>
      <c r="C161" s="38" t="s">
        <v>944</v>
      </c>
      <c r="D161" s="40">
        <f>[1]!Table32[[#This Row],[Residential CLM $ Collected]]+[1]!Table32[[#This Row],[C&amp;I CLM $ Collected]]</f>
        <v>449471.78468927997</v>
      </c>
      <c r="E161" s="36">
        <f>[1]!Table32[[#This Row],[CLM $ Collected ]]/'[1]1.) CLM Reference'!$B$4</f>
        <v>3.9875525730155362E-3</v>
      </c>
      <c r="F161" s="37">
        <f>[1]!Table32[[#This Row],[Residential Incentive Disbursements]]+[1]!Table32[[#This Row],[C&amp;I Incentive Disbursements]]</f>
        <v>149727.1966</v>
      </c>
      <c r="G161" s="36">
        <f>[1]!Table32[[#This Row],[Incentive Disbursements]]/'[1]1.) CLM Reference'!$B$5</f>
        <v>1.8318601579596905E-3</v>
      </c>
      <c r="H161" s="37">
        <v>0</v>
      </c>
      <c r="I161" s="36">
        <f>[1]!Table32[[#This Row],[Residential CLM $ Collected]]/'[1]1.) CLM Reference'!$B$4</f>
        <v>0</v>
      </c>
      <c r="J161" s="41">
        <v>0</v>
      </c>
      <c r="K161" s="36">
        <f>[1]!Table32[[#This Row],[Residential Incentive Disbursements]]/'[1]1.) CLM Reference'!$B$5</f>
        <v>0</v>
      </c>
      <c r="L161" s="37">
        <v>449471.78468927997</v>
      </c>
      <c r="M161" s="36">
        <f>[1]!Table32[[#This Row],[C&amp;I CLM $ Collected]]/'[1]1.) CLM Reference'!$B$4</f>
        <v>3.9875525730155362E-3</v>
      </c>
      <c r="N161" s="41">
        <v>149727.1966</v>
      </c>
      <c r="O161" s="39">
        <f>[1]!Table32[[#This Row],[C&amp;I Incentive Disbursements]]/'[1]1.) CLM Reference'!$B$5</f>
        <v>1.8318601579596905E-3</v>
      </c>
      <c r="P161">
        <f>VLOOKUP(Table32[[#This Row],[Census Tract]],'Population and Diversity Data'!$B$2:$K$823,10,FALSE)</f>
        <v>3</v>
      </c>
      <c r="Q161" t="str">
        <f>VLOOKUP(Table32[[#This Row],[Census Tract]],'ES Energy Burden'!$B$2:$E$914,4,FALSE)</f>
        <v>No</v>
      </c>
    </row>
    <row r="162" spans="1:17" x14ac:dyDescent="0.2">
      <c r="A162" s="100">
        <v>9003490302</v>
      </c>
      <c r="B162" s="38" t="s">
        <v>2832</v>
      </c>
      <c r="C162" s="38" t="s">
        <v>944</v>
      </c>
      <c r="D162" s="40">
        <f>[1]!Table32[[#This Row],[Residential CLM $ Collected]]+[1]!Table32[[#This Row],[C&amp;I CLM $ Collected]]</f>
        <v>455482.61816544004</v>
      </c>
      <c r="E162" s="36">
        <f>[1]!Table32[[#This Row],[CLM $ Collected ]]/'[1]1.) CLM Reference'!$B$4</f>
        <v>4.0408785331987754E-3</v>
      </c>
      <c r="F162" s="37">
        <f>[1]!Table32[[#This Row],[Residential Incentive Disbursements]]+[1]!Table32[[#This Row],[C&amp;I Incentive Disbursements]]</f>
        <v>133258.31839999999</v>
      </c>
      <c r="G162" s="36">
        <f>[1]!Table32[[#This Row],[Incentive Disbursements]]/'[1]1.) CLM Reference'!$B$5</f>
        <v>1.630369162963856E-3</v>
      </c>
      <c r="H162" s="37">
        <v>0</v>
      </c>
      <c r="I162" s="36">
        <f>[1]!Table32[[#This Row],[Residential CLM $ Collected]]/'[1]1.) CLM Reference'!$B$4</f>
        <v>0</v>
      </c>
      <c r="J162" s="41">
        <v>0</v>
      </c>
      <c r="K162" s="36">
        <f>[1]!Table32[[#This Row],[Residential Incentive Disbursements]]/'[1]1.) CLM Reference'!$B$5</f>
        <v>0</v>
      </c>
      <c r="L162" s="37">
        <v>455482.61816544004</v>
      </c>
      <c r="M162" s="36">
        <f>[1]!Table32[[#This Row],[C&amp;I CLM $ Collected]]/'[1]1.) CLM Reference'!$B$4</f>
        <v>4.0408785331987754E-3</v>
      </c>
      <c r="N162" s="41">
        <v>133258.31839999999</v>
      </c>
      <c r="O162" s="39">
        <f>[1]!Table32[[#This Row],[C&amp;I Incentive Disbursements]]/'[1]1.) CLM Reference'!$B$5</f>
        <v>1.630369162963856E-3</v>
      </c>
      <c r="P162">
        <f>VLOOKUP(Table32[[#This Row],[Census Tract]],'Population and Diversity Data'!$B$2:$K$823,10,FALSE)</f>
        <v>5</v>
      </c>
      <c r="Q162" t="str">
        <f>VLOOKUP(Table32[[#This Row],[Census Tract]],'ES Energy Burden'!$B$2:$E$914,4,FALSE)</f>
        <v>No</v>
      </c>
    </row>
    <row r="163" spans="1:17" x14ac:dyDescent="0.2">
      <c r="A163" s="100">
        <v>9003524200</v>
      </c>
      <c r="B163" s="38" t="s">
        <v>2832</v>
      </c>
      <c r="C163" s="38" t="s">
        <v>944</v>
      </c>
      <c r="D163" s="40">
        <f>[1]!Table32[[#This Row],[Residential CLM $ Collected]]+[1]!Table32[[#This Row],[C&amp;I CLM $ Collected]]</f>
        <v>2177.0102246400002</v>
      </c>
      <c r="E163" s="36">
        <f>[1]!Table32[[#This Row],[CLM $ Collected ]]/'[1]1.) CLM Reference'!$B$4</f>
        <v>1.9313654423815505E-5</v>
      </c>
      <c r="F163" s="37">
        <f>[1]!Table32[[#This Row],[Residential Incentive Disbursements]]+[1]!Table32[[#This Row],[C&amp;I Incentive Disbursements]]</f>
        <v>0</v>
      </c>
      <c r="G163" s="36">
        <f>[1]!Table32[[#This Row],[Incentive Disbursements]]/'[1]1.) CLM Reference'!$B$5</f>
        <v>0</v>
      </c>
      <c r="H163" s="37">
        <v>0</v>
      </c>
      <c r="I163" s="36">
        <f>[1]!Table32[[#This Row],[Residential CLM $ Collected]]/'[1]1.) CLM Reference'!$B$4</f>
        <v>0</v>
      </c>
      <c r="J163" s="41">
        <v>0</v>
      </c>
      <c r="K163" s="36">
        <f>[1]!Table32[[#This Row],[Residential Incentive Disbursements]]/'[1]1.) CLM Reference'!$B$5</f>
        <v>0</v>
      </c>
      <c r="L163" s="37">
        <v>2177.0102246400002</v>
      </c>
      <c r="M163" s="36">
        <f>[1]!Table32[[#This Row],[C&amp;I CLM $ Collected]]/'[1]1.) CLM Reference'!$B$4</f>
        <v>1.9313654423815505E-5</v>
      </c>
      <c r="N163" s="41">
        <v>0</v>
      </c>
      <c r="O163" s="39">
        <f>[1]!Table32[[#This Row],[C&amp;I Incentive Disbursements]]/'[1]1.) CLM Reference'!$B$5</f>
        <v>0</v>
      </c>
      <c r="P163">
        <f>VLOOKUP(Table32[[#This Row],[Census Tract]],'Population and Diversity Data'!$B$2:$K$823,10,FALSE)</f>
        <v>4</v>
      </c>
      <c r="Q163" t="str">
        <f>VLOOKUP(Table32[[#This Row],[Census Tract]],'ES Energy Burden'!$B$2:$E$914,4,FALSE)</f>
        <v>No</v>
      </c>
    </row>
    <row r="164" spans="1:17" x14ac:dyDescent="0.2">
      <c r="A164" s="100">
        <v>9005268100</v>
      </c>
      <c r="B164" s="38" t="s">
        <v>2833</v>
      </c>
      <c r="C164" s="38" t="s">
        <v>944</v>
      </c>
      <c r="D164" s="40">
        <f>[1]!Table32[[#This Row],[Residential CLM $ Collected]]+[1]!Table32[[#This Row],[C&amp;I CLM $ Collected]]</f>
        <v>483.88405536000005</v>
      </c>
      <c r="E164" s="36">
        <f>[1]!Table32[[#This Row],[CLM $ Collected ]]/'[1]1.) CLM Reference'!$B$4</f>
        <v>4.2928459042781371E-6</v>
      </c>
      <c r="F164" s="37">
        <f>[1]!Table32[[#This Row],[Residential Incentive Disbursements]]+[1]!Table32[[#This Row],[C&amp;I Incentive Disbursements]]</f>
        <v>0</v>
      </c>
      <c r="G164" s="36">
        <f>[1]!Table32[[#This Row],[Incentive Disbursements]]/'[1]1.) CLM Reference'!$B$5</f>
        <v>0</v>
      </c>
      <c r="H164" s="37">
        <v>0</v>
      </c>
      <c r="I164" s="36">
        <f>[1]!Table32[[#This Row],[Residential CLM $ Collected]]/'[1]1.) CLM Reference'!$B$4</f>
        <v>0</v>
      </c>
      <c r="J164" s="41">
        <v>0</v>
      </c>
      <c r="K164" s="36">
        <f>[1]!Table32[[#This Row],[Residential Incentive Disbursements]]/'[1]1.) CLM Reference'!$B$5</f>
        <v>0</v>
      </c>
      <c r="L164" s="37">
        <v>483.88405536000005</v>
      </c>
      <c r="M164" s="36">
        <f>[1]!Table32[[#This Row],[C&amp;I CLM $ Collected]]/'[1]1.) CLM Reference'!$B$4</f>
        <v>4.2928459042781371E-6</v>
      </c>
      <c r="N164" s="41">
        <v>0</v>
      </c>
      <c r="O164" s="39">
        <f>[1]!Table32[[#This Row],[C&amp;I Incentive Disbursements]]/'[1]1.) CLM Reference'!$B$5</f>
        <v>0</v>
      </c>
      <c r="P164">
        <f>VLOOKUP(Table32[[#This Row],[Census Tract]],'Population and Diversity Data'!$B$2:$K$823,10,FALSE)</f>
        <v>1</v>
      </c>
      <c r="Q164" t="str">
        <f>VLOOKUP(Table32[[#This Row],[Census Tract]],'ES Energy Burden'!$B$2:$E$914,4,FALSE)</f>
        <v>No</v>
      </c>
    </row>
    <row r="165" spans="1:17" x14ac:dyDescent="0.2">
      <c r="A165" s="100">
        <v>9011715100</v>
      </c>
      <c r="B165" s="38" t="s">
        <v>2834</v>
      </c>
      <c r="C165" s="38" t="s">
        <v>944</v>
      </c>
      <c r="D165" s="40">
        <f>[1]!Table32[[#This Row],[Residential CLM $ Collected]]+[1]!Table32[[#This Row],[C&amp;I CLM $ Collected]]</f>
        <v>6473.2086662399997</v>
      </c>
      <c r="E165" s="36">
        <f>[1]!Table32[[#This Row],[CLM $ Collected ]]/'[1]1.) CLM Reference'!$B$4</f>
        <v>5.7427987144011286E-5</v>
      </c>
      <c r="F165" s="37">
        <f>[1]!Table32[[#This Row],[Residential Incentive Disbursements]]+[1]!Table32[[#This Row],[C&amp;I Incentive Disbursements]]</f>
        <v>250</v>
      </c>
      <c r="G165" s="36">
        <f>[1]!Table32[[#This Row],[Incentive Disbursements]]/'[1]1.) CLM Reference'!$B$5</f>
        <v>3.0586630210768441E-6</v>
      </c>
      <c r="H165" s="37">
        <v>0</v>
      </c>
      <c r="I165" s="36">
        <f>[1]!Table32[[#This Row],[Residential CLM $ Collected]]/'[1]1.) CLM Reference'!$B$4</f>
        <v>0</v>
      </c>
      <c r="J165" s="41">
        <v>0</v>
      </c>
      <c r="K165" s="36">
        <f>[1]!Table32[[#This Row],[Residential Incentive Disbursements]]/'[1]1.) CLM Reference'!$B$5</f>
        <v>0</v>
      </c>
      <c r="L165" s="37">
        <v>6473.2086662399997</v>
      </c>
      <c r="M165" s="36">
        <f>[1]!Table32[[#This Row],[C&amp;I CLM $ Collected]]/'[1]1.) CLM Reference'!$B$4</f>
        <v>5.7427987144011286E-5</v>
      </c>
      <c r="N165" s="41">
        <v>250</v>
      </c>
      <c r="O165" s="39">
        <f>[1]!Table32[[#This Row],[C&amp;I Incentive Disbursements]]/'[1]1.) CLM Reference'!$B$5</f>
        <v>3.0586630210768441E-6</v>
      </c>
      <c r="P165">
        <f>VLOOKUP(Table32[[#This Row],[Census Tract]],'Population and Diversity Data'!$B$2:$K$823,10,FALSE)</f>
        <v>3</v>
      </c>
      <c r="Q165" t="str">
        <f>VLOOKUP(Table32[[#This Row],[Census Tract]],'ES Energy Burden'!$B$2:$E$914,4,FALSE)</f>
        <v>No</v>
      </c>
    </row>
    <row r="166" spans="1:17" x14ac:dyDescent="0.2">
      <c r="A166" s="100">
        <v>9005261100</v>
      </c>
      <c r="B166" s="38" t="s">
        <v>2835</v>
      </c>
      <c r="C166" s="38" t="s">
        <v>944</v>
      </c>
      <c r="D166" s="40">
        <f>[1]!Table32[[#This Row],[Residential CLM $ Collected]]+[1]!Table32[[#This Row],[C&amp;I CLM $ Collected]]</f>
        <v>67915.366306559998</v>
      </c>
      <c r="E166" s="36">
        <f>[1]!Table32[[#This Row],[CLM $ Collected ]]/'[1]1.) CLM Reference'!$B$4</f>
        <v>6.0252078748442744E-4</v>
      </c>
      <c r="F166" s="37">
        <f>[1]!Table32[[#This Row],[Residential Incentive Disbursements]]+[1]!Table32[[#This Row],[C&amp;I Incentive Disbursements]]</f>
        <v>0</v>
      </c>
      <c r="G166" s="36">
        <f>[1]!Table32[[#This Row],[Incentive Disbursements]]/'[1]1.) CLM Reference'!$B$5</f>
        <v>0</v>
      </c>
      <c r="H166" s="37">
        <v>0</v>
      </c>
      <c r="I166" s="36">
        <f>[1]!Table32[[#This Row],[Residential CLM $ Collected]]/'[1]1.) CLM Reference'!$B$4</f>
        <v>0</v>
      </c>
      <c r="J166" s="41">
        <v>0</v>
      </c>
      <c r="K166" s="36">
        <f>[1]!Table32[[#This Row],[Residential Incentive Disbursements]]/'[1]1.) CLM Reference'!$B$5</f>
        <v>0</v>
      </c>
      <c r="L166" s="37">
        <v>67915.366306559998</v>
      </c>
      <c r="M166" s="36">
        <f>[1]!Table32[[#This Row],[C&amp;I CLM $ Collected]]/'[1]1.) CLM Reference'!$B$4</f>
        <v>6.0252078748442744E-4</v>
      </c>
      <c r="N166" s="41">
        <v>0</v>
      </c>
      <c r="O166" s="39">
        <f>[1]!Table32[[#This Row],[C&amp;I Incentive Disbursements]]/'[1]1.) CLM Reference'!$B$5</f>
        <v>0</v>
      </c>
      <c r="P166">
        <f>VLOOKUP(Table32[[#This Row],[Census Tract]],'Population and Diversity Data'!$B$2:$K$823,10,FALSE)</f>
        <v>1</v>
      </c>
      <c r="Q166" t="str">
        <f>VLOOKUP(Table32[[#This Row],[Census Tract]],'ES Energy Burden'!$B$2:$E$914,4,FALSE)</f>
        <v>No</v>
      </c>
    </row>
    <row r="167" spans="1:17" x14ac:dyDescent="0.2">
      <c r="A167" s="100">
        <v>9015825000</v>
      </c>
      <c r="B167" s="38" t="s">
        <v>2836</v>
      </c>
      <c r="C167" s="38" t="s">
        <v>944</v>
      </c>
      <c r="D167" s="40">
        <f>[1]!Table32[[#This Row],[Residential CLM $ Collected]]+[1]!Table32[[#This Row],[C&amp;I CLM $ Collected]]</f>
        <v>4962.2624006400001</v>
      </c>
      <c r="E167" s="36">
        <f>[1]!Table32[[#This Row],[CLM $ Collected ]]/'[1]1.) CLM Reference'!$B$4</f>
        <v>4.4023413432567832E-5</v>
      </c>
      <c r="F167" s="37">
        <f>[1]!Table32[[#This Row],[Residential Incentive Disbursements]]+[1]!Table32[[#This Row],[C&amp;I Incentive Disbursements]]</f>
        <v>0</v>
      </c>
      <c r="G167" s="36">
        <f>[1]!Table32[[#This Row],[Incentive Disbursements]]/'[1]1.) CLM Reference'!$B$5</f>
        <v>0</v>
      </c>
      <c r="H167" s="37">
        <v>0</v>
      </c>
      <c r="I167" s="36">
        <f>[1]!Table32[[#This Row],[Residential CLM $ Collected]]/'[1]1.) CLM Reference'!$B$4</f>
        <v>0</v>
      </c>
      <c r="J167" s="41">
        <v>0</v>
      </c>
      <c r="K167" s="36">
        <f>[1]!Table32[[#This Row],[Residential Incentive Disbursements]]/'[1]1.) CLM Reference'!$B$5</f>
        <v>0</v>
      </c>
      <c r="L167" s="37">
        <v>4962.2624006400001</v>
      </c>
      <c r="M167" s="36">
        <f>[1]!Table32[[#This Row],[C&amp;I CLM $ Collected]]/'[1]1.) CLM Reference'!$B$4</f>
        <v>4.4023413432567832E-5</v>
      </c>
      <c r="N167" s="41">
        <v>0</v>
      </c>
      <c r="O167" s="39">
        <f>[1]!Table32[[#This Row],[C&amp;I Incentive Disbursements]]/'[1]1.) CLM Reference'!$B$5</f>
        <v>0</v>
      </c>
      <c r="P167">
        <f>VLOOKUP(Table32[[#This Row],[Census Tract]],'Population and Diversity Data'!$B$2:$K$823,10,FALSE)</f>
        <v>2</v>
      </c>
      <c r="Q167" t="str">
        <f>VLOOKUP(Table32[[#This Row],[Census Tract]],'ES Energy Burden'!$B$2:$E$914,4,FALSE)</f>
        <v>No</v>
      </c>
    </row>
    <row r="168" spans="1:17" x14ac:dyDescent="0.2">
      <c r="A168" s="100">
        <v>9009130102</v>
      </c>
      <c r="B168" s="38" t="s">
        <v>2837</v>
      </c>
      <c r="C168" s="38" t="s">
        <v>944</v>
      </c>
      <c r="D168" s="40">
        <f>[1]!Table32[[#This Row],[Residential CLM $ Collected]]+[1]!Table32[[#This Row],[C&amp;I CLM $ Collected]]</f>
        <v>27.423282239999999</v>
      </c>
      <c r="E168" s="36">
        <f>[1]!Table32[[#This Row],[CLM $ Collected ]]/'[1]1.) CLM Reference'!$B$4</f>
        <v>2.4328953091513449E-7</v>
      </c>
      <c r="F168" s="37">
        <f>[1]!Table32[[#This Row],[Residential Incentive Disbursements]]+[1]!Table32[[#This Row],[C&amp;I Incentive Disbursements]]</f>
        <v>0</v>
      </c>
      <c r="G168" s="36">
        <f>[1]!Table32[[#This Row],[Incentive Disbursements]]/'[1]1.) CLM Reference'!$B$5</f>
        <v>0</v>
      </c>
      <c r="H168" s="37">
        <v>0</v>
      </c>
      <c r="I168" s="36">
        <f>[1]!Table32[[#This Row],[Residential CLM $ Collected]]/'[1]1.) CLM Reference'!$B$4</f>
        <v>0</v>
      </c>
      <c r="J168" s="41">
        <v>0</v>
      </c>
      <c r="K168" s="36">
        <f>[1]!Table32[[#This Row],[Residential Incentive Disbursements]]/'[1]1.) CLM Reference'!$B$5</f>
        <v>0</v>
      </c>
      <c r="L168" s="37">
        <v>27.423282239999999</v>
      </c>
      <c r="M168" s="36">
        <f>[1]!Table32[[#This Row],[C&amp;I CLM $ Collected]]/'[1]1.) CLM Reference'!$B$4</f>
        <v>2.4328953091513449E-7</v>
      </c>
      <c r="N168" s="41">
        <v>0</v>
      </c>
      <c r="O168" s="39">
        <f>[1]!Table32[[#This Row],[C&amp;I Incentive Disbursements]]/'[1]1.) CLM Reference'!$B$5</f>
        <v>0</v>
      </c>
      <c r="P168">
        <f>VLOOKUP(Table32[[#This Row],[Census Tract]],'Population and Diversity Data'!$B$2:$K$823,10,FALSE)</f>
        <v>2</v>
      </c>
      <c r="Q168" t="str">
        <f>VLOOKUP(Table32[[#This Row],[Census Tract]],'ES Energy Burden'!$B$2:$E$914,4,FALSE)</f>
        <v>No</v>
      </c>
    </row>
    <row r="169" spans="1:17" x14ac:dyDescent="0.2">
      <c r="A169" s="100">
        <v>9009130200</v>
      </c>
      <c r="B169" s="38" t="s">
        <v>2837</v>
      </c>
      <c r="C169" s="38" t="s">
        <v>944</v>
      </c>
      <c r="D169" s="40">
        <f>[1]!Table32[[#This Row],[Residential CLM $ Collected]]+[1]!Table32[[#This Row],[C&amp;I CLM $ Collected]]</f>
        <v>182985.24616704002</v>
      </c>
      <c r="E169" s="36">
        <f>[1]!Table32[[#This Row],[CLM $ Collected ]]/'[1]1.) CLM Reference'!$B$4</f>
        <v>1.6233795179861584E-3</v>
      </c>
      <c r="F169" s="37">
        <f>[1]!Table32[[#This Row],[Residential Incentive Disbursements]]+[1]!Table32[[#This Row],[C&amp;I Incentive Disbursements]]</f>
        <v>977435.72600000002</v>
      </c>
      <c r="G169" s="36">
        <f>[1]!Table32[[#This Row],[Incentive Disbursements]]/'[1]1.) CLM Reference'!$B$5</f>
        <v>1.1958586042382395E-2</v>
      </c>
      <c r="H169" s="37">
        <v>0</v>
      </c>
      <c r="I169" s="36">
        <f>[1]!Table32[[#This Row],[Residential CLM $ Collected]]/'[1]1.) CLM Reference'!$B$4</f>
        <v>0</v>
      </c>
      <c r="J169" s="41">
        <v>0</v>
      </c>
      <c r="K169" s="36">
        <f>[1]!Table32[[#This Row],[Residential Incentive Disbursements]]/'[1]1.) CLM Reference'!$B$5</f>
        <v>0</v>
      </c>
      <c r="L169" s="37">
        <v>182985.24616704002</v>
      </c>
      <c r="M169" s="36">
        <f>[1]!Table32[[#This Row],[C&amp;I CLM $ Collected]]/'[1]1.) CLM Reference'!$B$4</f>
        <v>1.6233795179861584E-3</v>
      </c>
      <c r="N169" s="41">
        <v>977435.72600000002</v>
      </c>
      <c r="O169" s="39">
        <f>[1]!Table32[[#This Row],[C&amp;I Incentive Disbursements]]/'[1]1.) CLM Reference'!$B$5</f>
        <v>1.1958586042382395E-2</v>
      </c>
      <c r="P169">
        <f>VLOOKUP(Table32[[#This Row],[Census Tract]],'Population and Diversity Data'!$B$2:$K$823,10,FALSE)</f>
        <v>3</v>
      </c>
      <c r="Q169" t="str">
        <f>VLOOKUP(Table32[[#This Row],[Census Tract]],'ES Energy Burden'!$B$2:$E$914,4,FALSE)</f>
        <v>No</v>
      </c>
    </row>
    <row r="170" spans="1:17" x14ac:dyDescent="0.2">
      <c r="A170" s="100">
        <v>9005262100</v>
      </c>
      <c r="B170" s="38" t="s">
        <v>2838</v>
      </c>
      <c r="C170" s="38" t="s">
        <v>944</v>
      </c>
      <c r="D170" s="40">
        <f>[1]!Table32[[#This Row],[Residential CLM $ Collected]]+[1]!Table32[[#This Row],[C&amp;I CLM $ Collected]]</f>
        <v>36097.601063039998</v>
      </c>
      <c r="E170" s="36">
        <f>[1]!Table32[[#This Row],[CLM $ Collected ]]/'[1]1.) CLM Reference'!$B$4</f>
        <v>3.2024497844312971E-4</v>
      </c>
      <c r="F170" s="37">
        <f>[1]!Table32[[#This Row],[Residential Incentive Disbursements]]+[1]!Table32[[#This Row],[C&amp;I Incentive Disbursements]]</f>
        <v>0</v>
      </c>
      <c r="G170" s="36">
        <f>[1]!Table32[[#This Row],[Incentive Disbursements]]/'[1]1.) CLM Reference'!$B$5</f>
        <v>0</v>
      </c>
      <c r="H170" s="37">
        <v>0</v>
      </c>
      <c r="I170" s="36">
        <f>[1]!Table32[[#This Row],[Residential CLM $ Collected]]/'[1]1.) CLM Reference'!$B$4</f>
        <v>0</v>
      </c>
      <c r="J170" s="41">
        <v>0</v>
      </c>
      <c r="K170" s="36">
        <f>[1]!Table32[[#This Row],[Residential Incentive Disbursements]]/'[1]1.) CLM Reference'!$B$5</f>
        <v>0</v>
      </c>
      <c r="L170" s="37">
        <v>36097.601063039998</v>
      </c>
      <c r="M170" s="36">
        <f>[1]!Table32[[#This Row],[C&amp;I CLM $ Collected]]/'[1]1.) CLM Reference'!$B$4</f>
        <v>3.2024497844312971E-4</v>
      </c>
      <c r="N170" s="41">
        <v>0</v>
      </c>
      <c r="O170" s="39">
        <f>[1]!Table32[[#This Row],[C&amp;I Incentive Disbursements]]/'[1]1.) CLM Reference'!$B$5</f>
        <v>0</v>
      </c>
      <c r="P170">
        <f>VLOOKUP(Table32[[#This Row],[Census Tract]],'Population and Diversity Data'!$B$2:$K$823,10,FALSE)</f>
        <v>1</v>
      </c>
      <c r="Q170" t="str">
        <f>VLOOKUP(Table32[[#This Row],[Census Tract]],'ES Energy Burden'!$B$2:$E$914,4,FALSE)</f>
        <v>No</v>
      </c>
    </row>
    <row r="171" spans="1:17" x14ac:dyDescent="0.2">
      <c r="A171" s="100">
        <v>9001257100</v>
      </c>
      <c r="B171" s="38" t="s">
        <v>2839</v>
      </c>
      <c r="C171" s="38" t="s">
        <v>944</v>
      </c>
      <c r="D171" s="40">
        <f>[1]!Table32[[#This Row],[Residential CLM $ Collected]]+[1]!Table32[[#This Row],[C&amp;I CLM $ Collected]]</f>
        <v>3238.8469142399999</v>
      </c>
      <c r="E171" s="36">
        <f>[1]!Table32[[#This Row],[CLM $ Collected ]]/'[1]1.) CLM Reference'!$B$4</f>
        <v>2.8733888947911014E-5</v>
      </c>
      <c r="F171" s="37">
        <f>[1]!Table32[[#This Row],[Residential Incentive Disbursements]]+[1]!Table32[[#This Row],[C&amp;I Incentive Disbursements]]</f>
        <v>0</v>
      </c>
      <c r="G171" s="36">
        <f>[1]!Table32[[#This Row],[Incentive Disbursements]]/'[1]1.) CLM Reference'!$B$5</f>
        <v>0</v>
      </c>
      <c r="H171" s="37">
        <v>0</v>
      </c>
      <c r="I171" s="36">
        <f>[1]!Table32[[#This Row],[Residential CLM $ Collected]]/'[1]1.) CLM Reference'!$B$4</f>
        <v>0</v>
      </c>
      <c r="J171" s="41">
        <v>0</v>
      </c>
      <c r="K171" s="36">
        <f>[1]!Table32[[#This Row],[Residential Incentive Disbursements]]/'[1]1.) CLM Reference'!$B$5</f>
        <v>0</v>
      </c>
      <c r="L171" s="37">
        <v>3238.8469142399999</v>
      </c>
      <c r="M171" s="36">
        <f>[1]!Table32[[#This Row],[C&amp;I CLM $ Collected]]/'[1]1.) CLM Reference'!$B$4</f>
        <v>2.8733888947911014E-5</v>
      </c>
      <c r="N171" s="41">
        <v>0</v>
      </c>
      <c r="O171" s="39">
        <f>[1]!Table32[[#This Row],[C&amp;I Incentive Disbursements]]/'[1]1.) CLM Reference'!$B$5</f>
        <v>0</v>
      </c>
      <c r="P171">
        <f>VLOOKUP(Table32[[#This Row],[Census Tract]],'Population and Diversity Data'!$B$2:$K$823,10,FALSE)</f>
        <v>1</v>
      </c>
      <c r="Q171" t="str">
        <f>VLOOKUP(Table32[[#This Row],[Census Tract]],'ES Energy Burden'!$B$2:$E$914,4,FALSE)</f>
        <v>No</v>
      </c>
    </row>
    <row r="172" spans="1:17" x14ac:dyDescent="0.2">
      <c r="A172" s="100">
        <v>9003466102</v>
      </c>
      <c r="B172" s="38" t="s">
        <v>2840</v>
      </c>
      <c r="C172" s="38" t="s">
        <v>944</v>
      </c>
      <c r="D172" s="40">
        <f>[1]!Table32[[#This Row],[Residential CLM $ Collected]]+[1]!Table32[[#This Row],[C&amp;I CLM $ Collected]]</f>
        <v>268148.18114495999</v>
      </c>
      <c r="E172" s="36">
        <f>[1]!Table32[[#This Row],[CLM $ Collected ]]/'[1]1.) CLM Reference'!$B$4</f>
        <v>2.378914552808243E-3</v>
      </c>
      <c r="F172" s="37">
        <f>[1]!Table32[[#This Row],[Residential Incentive Disbursements]]+[1]!Table32[[#This Row],[C&amp;I Incentive Disbursements]]</f>
        <v>322738.55099999998</v>
      </c>
      <c r="G172" s="36">
        <f>[1]!Table32[[#This Row],[Incentive Disbursements]]/'[1]1.) CLM Reference'!$B$5</f>
        <v>3.9485938856784926E-3</v>
      </c>
      <c r="H172" s="37">
        <v>0</v>
      </c>
      <c r="I172" s="36">
        <f>[1]!Table32[[#This Row],[Residential CLM $ Collected]]/'[1]1.) CLM Reference'!$B$4</f>
        <v>0</v>
      </c>
      <c r="J172" s="41">
        <v>0</v>
      </c>
      <c r="K172" s="36">
        <f>[1]!Table32[[#This Row],[Residential Incentive Disbursements]]/'[1]1.) CLM Reference'!$B$5</f>
        <v>0</v>
      </c>
      <c r="L172" s="37">
        <v>268148.18114495999</v>
      </c>
      <c r="M172" s="36">
        <f>[1]!Table32[[#This Row],[C&amp;I CLM $ Collected]]/'[1]1.) CLM Reference'!$B$4</f>
        <v>2.378914552808243E-3</v>
      </c>
      <c r="N172" s="41">
        <v>322738.55099999998</v>
      </c>
      <c r="O172" s="39">
        <f>[1]!Table32[[#This Row],[C&amp;I Incentive Disbursements]]/'[1]1.) CLM Reference'!$B$5</f>
        <v>3.9485938856784926E-3</v>
      </c>
      <c r="P172">
        <f>VLOOKUP(Table32[[#This Row],[Census Tract]],'Population and Diversity Data'!$B$2:$K$823,10,FALSE)</f>
        <v>2</v>
      </c>
      <c r="Q172" t="str">
        <f>VLOOKUP(Table32[[#This Row],[Census Tract]],'ES Energy Burden'!$B$2:$E$914,4,FALSE)</f>
        <v>No</v>
      </c>
    </row>
    <row r="173" spans="1:17" x14ac:dyDescent="0.2">
      <c r="A173" s="100">
        <v>9013538201</v>
      </c>
      <c r="B173" s="38" t="s">
        <v>2841</v>
      </c>
      <c r="C173" s="38" t="s">
        <v>944</v>
      </c>
      <c r="D173" s="40">
        <f>[1]!Table32[[#This Row],[Residential CLM $ Collected]]+[1]!Table32[[#This Row],[C&amp;I CLM $ Collected]]</f>
        <v>90490.580066880008</v>
      </c>
      <c r="E173" s="36">
        <f>[1]!Table32[[#This Row],[CLM $ Collected ]]/'[1]1.) CLM Reference'!$B$4</f>
        <v>8.0279999250409408E-4</v>
      </c>
      <c r="F173" s="37">
        <f>[1]!Table32[[#This Row],[Residential Incentive Disbursements]]+[1]!Table32[[#This Row],[C&amp;I Incentive Disbursements]]</f>
        <v>190013.86799999999</v>
      </c>
      <c r="G173" s="36">
        <f>[1]!Table32[[#This Row],[Incentive Disbursements]]/'[1]1.) CLM Reference'!$B$5</f>
        <v>2.3247535661735067E-3</v>
      </c>
      <c r="H173" s="37">
        <v>0</v>
      </c>
      <c r="I173" s="36">
        <f>[1]!Table32[[#This Row],[Residential CLM $ Collected]]/'[1]1.) CLM Reference'!$B$4</f>
        <v>0</v>
      </c>
      <c r="J173" s="41">
        <v>0</v>
      </c>
      <c r="K173" s="36">
        <f>[1]!Table32[[#This Row],[Residential Incentive Disbursements]]/'[1]1.) CLM Reference'!$B$5</f>
        <v>0</v>
      </c>
      <c r="L173" s="37">
        <v>90490.580066880008</v>
      </c>
      <c r="M173" s="36">
        <f>[1]!Table32[[#This Row],[C&amp;I CLM $ Collected]]/'[1]1.) CLM Reference'!$B$4</f>
        <v>8.0279999250409408E-4</v>
      </c>
      <c r="N173" s="41">
        <v>190013.86799999999</v>
      </c>
      <c r="O173" s="39">
        <f>[1]!Table32[[#This Row],[C&amp;I Incentive Disbursements]]/'[1]1.) CLM Reference'!$B$5</f>
        <v>2.3247535661735067E-3</v>
      </c>
      <c r="P173">
        <f>VLOOKUP(Table32[[#This Row],[Census Tract]],'Population and Diversity Data'!$B$2:$K$823,10,FALSE)</f>
        <v>3</v>
      </c>
      <c r="Q173" t="str">
        <f>VLOOKUP(Table32[[#This Row],[Census Tract]],'ES Energy Burden'!$B$2:$E$914,4,FALSE)</f>
        <v>No</v>
      </c>
    </row>
    <row r="174" spans="1:17" x14ac:dyDescent="0.2">
      <c r="A174" s="100">
        <v>9003487500</v>
      </c>
      <c r="B174" s="38" t="s">
        <v>2842</v>
      </c>
      <c r="C174" s="38" t="s">
        <v>944</v>
      </c>
      <c r="D174" s="40">
        <f>[1]!Table32[[#This Row],[Residential CLM $ Collected]]+[1]!Table32[[#This Row],[C&amp;I CLM $ Collected]]</f>
        <v>595224.04929407989</v>
      </c>
      <c r="E174" s="36">
        <f>[1]!Table32[[#This Row],[CLM $ Collected ]]/'[1]1.) CLM Reference'!$B$4</f>
        <v>5.280614423715445E-3</v>
      </c>
      <c r="F174" s="37">
        <f>[1]!Table32[[#This Row],[Residential Incentive Disbursements]]+[1]!Table32[[#This Row],[C&amp;I Incentive Disbursements]]</f>
        <v>689340.95860000001</v>
      </c>
      <c r="G174" s="36">
        <f>[1]!Table32[[#This Row],[Incentive Disbursements]]/'[1]1.) CLM Reference'!$B$5</f>
        <v>8.4338467959339351E-3</v>
      </c>
      <c r="H174" s="37">
        <v>0</v>
      </c>
      <c r="I174" s="36">
        <f>[1]!Table32[[#This Row],[Residential CLM $ Collected]]/'[1]1.) CLM Reference'!$B$4</f>
        <v>0</v>
      </c>
      <c r="J174" s="41">
        <v>0</v>
      </c>
      <c r="K174" s="36">
        <f>[1]!Table32[[#This Row],[Residential Incentive Disbursements]]/'[1]1.) CLM Reference'!$B$5</f>
        <v>0</v>
      </c>
      <c r="L174" s="37">
        <v>595224.04929407989</v>
      </c>
      <c r="M174" s="36">
        <f>[1]!Table32[[#This Row],[C&amp;I CLM $ Collected]]/'[1]1.) CLM Reference'!$B$4</f>
        <v>5.280614423715445E-3</v>
      </c>
      <c r="N174" s="41">
        <v>689340.95860000001</v>
      </c>
      <c r="O174" s="39">
        <f>[1]!Table32[[#This Row],[C&amp;I Incentive Disbursements]]/'[1]1.) CLM Reference'!$B$5</f>
        <v>8.4338467959339351E-3</v>
      </c>
      <c r="P174">
        <f>VLOOKUP(Table32[[#This Row],[Census Tract]],'Population and Diversity Data'!$B$2:$K$823,10,FALSE)</f>
        <v>5</v>
      </c>
      <c r="Q174" t="str">
        <f>VLOOKUP(Table32[[#This Row],[Census Tract]],'ES Energy Burden'!$B$2:$E$914,4,FALSE)</f>
        <v>No</v>
      </c>
    </row>
    <row r="175" spans="1:17" x14ac:dyDescent="0.2">
      <c r="A175" s="100">
        <v>9009348124</v>
      </c>
      <c r="B175" s="38" t="s">
        <v>2843</v>
      </c>
      <c r="C175" s="38" t="s">
        <v>944</v>
      </c>
      <c r="D175" s="40">
        <f>[1]!Table32[[#This Row],[Residential CLM $ Collected]]+[1]!Table32[[#This Row],[C&amp;I CLM $ Collected]]</f>
        <v>5.6093472000000002</v>
      </c>
      <c r="E175" s="36">
        <f>[1]!Table32[[#This Row],[CLM $ Collected ]]/'[1]1.) CLM Reference'!$B$4</f>
        <v>4.976411784281454E-8</v>
      </c>
      <c r="F175" s="37">
        <f>[1]!Table32[[#This Row],[Residential Incentive Disbursements]]+[1]!Table32[[#This Row],[C&amp;I Incentive Disbursements]]</f>
        <v>0</v>
      </c>
      <c r="G175" s="36">
        <f>[1]!Table32[[#This Row],[Incentive Disbursements]]/'[1]1.) CLM Reference'!$B$5</f>
        <v>0</v>
      </c>
      <c r="H175" s="37">
        <v>0</v>
      </c>
      <c r="I175" s="36">
        <f>[1]!Table32[[#This Row],[Residential CLM $ Collected]]/'[1]1.) CLM Reference'!$B$4</f>
        <v>0</v>
      </c>
      <c r="J175" s="41">
        <v>0</v>
      </c>
      <c r="K175" s="36">
        <f>[1]!Table32[[#This Row],[Residential Incentive Disbursements]]/'[1]1.) CLM Reference'!$B$5</f>
        <v>0</v>
      </c>
      <c r="L175" s="37">
        <v>5.6093472000000002</v>
      </c>
      <c r="M175" s="36">
        <f>[1]!Table32[[#This Row],[C&amp;I CLM $ Collected]]/'[1]1.) CLM Reference'!$B$4</f>
        <v>4.976411784281454E-8</v>
      </c>
      <c r="N175" s="41">
        <v>0</v>
      </c>
      <c r="O175" s="39">
        <f>[1]!Table32[[#This Row],[C&amp;I Incentive Disbursements]]/'[1]1.) CLM Reference'!$B$5</f>
        <v>0</v>
      </c>
      <c r="P175">
        <f>VLOOKUP(Table32[[#This Row],[Census Tract]],'Population and Diversity Data'!$B$2:$K$823,10,FALSE)</f>
        <v>2</v>
      </c>
      <c r="Q175" t="str">
        <f>VLOOKUP(Table32[[#This Row],[Census Tract]],'ES Energy Burden'!$B$2:$E$914,4,FALSE)</f>
        <v>No</v>
      </c>
    </row>
    <row r="176" spans="1:17" x14ac:dyDescent="0.2">
      <c r="A176" s="100">
        <v>9009348125</v>
      </c>
      <c r="B176" s="38" t="s">
        <v>2843</v>
      </c>
      <c r="C176" s="38" t="s">
        <v>944</v>
      </c>
      <c r="D176" s="40">
        <f>[1]!Table32[[#This Row],[Residential CLM $ Collected]]+[1]!Table32[[#This Row],[C&amp;I CLM $ Collected]]</f>
        <v>309731.64504192001</v>
      </c>
      <c r="E176" s="36">
        <f>[1]!Table32[[#This Row],[CLM $ Collected ]]/'[1]1.) CLM Reference'!$B$4</f>
        <v>2.7478281400578862E-3</v>
      </c>
      <c r="F176" s="37">
        <f>[1]!Table32[[#This Row],[Residential Incentive Disbursements]]+[1]!Table32[[#This Row],[C&amp;I Incentive Disbursements]]</f>
        <v>40841.460200000001</v>
      </c>
      <c r="G176" s="36">
        <f>[1]!Table32[[#This Row],[Incentive Disbursements]]/'[1]1.) CLM Reference'!$B$5</f>
        <v>4.9968105616208678E-4</v>
      </c>
      <c r="H176" s="37">
        <v>0</v>
      </c>
      <c r="I176" s="36">
        <f>[1]!Table32[[#This Row],[Residential CLM $ Collected]]/'[1]1.) CLM Reference'!$B$4</f>
        <v>0</v>
      </c>
      <c r="J176" s="41">
        <v>0</v>
      </c>
      <c r="K176" s="36">
        <f>[1]!Table32[[#This Row],[Residential Incentive Disbursements]]/'[1]1.) CLM Reference'!$B$5</f>
        <v>0</v>
      </c>
      <c r="L176" s="37">
        <v>309731.64504192001</v>
      </c>
      <c r="M176" s="36">
        <f>[1]!Table32[[#This Row],[C&amp;I CLM $ Collected]]/'[1]1.) CLM Reference'!$B$4</f>
        <v>2.7478281400578862E-3</v>
      </c>
      <c r="N176" s="41">
        <v>40841.460200000001</v>
      </c>
      <c r="O176" s="39">
        <f>[1]!Table32[[#This Row],[C&amp;I Incentive Disbursements]]/'[1]1.) CLM Reference'!$B$5</f>
        <v>4.9968105616208678E-4</v>
      </c>
      <c r="P176">
        <f>VLOOKUP(Table32[[#This Row],[Census Tract]],'Population and Diversity Data'!$B$2:$K$823,10,FALSE)</f>
        <v>1</v>
      </c>
      <c r="Q176" t="str">
        <f>VLOOKUP(Table32[[#This Row],[Census Tract]],'ES Energy Burden'!$B$2:$E$914,4,FALSE)</f>
        <v>No</v>
      </c>
    </row>
    <row r="177" spans="1:17" x14ac:dyDescent="0.2">
      <c r="A177" s="100">
        <v>9003430203</v>
      </c>
      <c r="B177" s="38" t="s">
        <v>2844</v>
      </c>
      <c r="C177" s="38" t="s">
        <v>944</v>
      </c>
      <c r="D177" s="40">
        <f>[1]!Table32[[#This Row],[Residential CLM $ Collected]]+[1]!Table32[[#This Row],[C&amp;I CLM $ Collected]]</f>
        <v>13.780238399999998</v>
      </c>
      <c r="E177" s="36">
        <f>[1]!Table32[[#This Row],[CLM $ Collected ]]/'[1]1.) CLM Reference'!$B$4</f>
        <v>1.2225333593892673E-7</v>
      </c>
      <c r="F177" s="37">
        <f>[1]!Table32[[#This Row],[Residential Incentive Disbursements]]+[1]!Table32[[#This Row],[C&amp;I Incentive Disbursements]]</f>
        <v>0</v>
      </c>
      <c r="G177" s="36">
        <f>[1]!Table32[[#This Row],[Incentive Disbursements]]/'[1]1.) CLM Reference'!$B$5</f>
        <v>0</v>
      </c>
      <c r="H177" s="37">
        <v>0</v>
      </c>
      <c r="I177" s="36">
        <f>[1]!Table32[[#This Row],[Residential CLM $ Collected]]/'[1]1.) CLM Reference'!$B$4</f>
        <v>0</v>
      </c>
      <c r="J177" s="41">
        <v>0</v>
      </c>
      <c r="K177" s="36">
        <f>[1]!Table32[[#This Row],[Residential Incentive Disbursements]]/'[1]1.) CLM Reference'!$B$5</f>
        <v>0</v>
      </c>
      <c r="L177" s="37">
        <v>13.780238399999998</v>
      </c>
      <c r="M177" s="36">
        <f>[1]!Table32[[#This Row],[C&amp;I CLM $ Collected]]/'[1]1.) CLM Reference'!$B$4</f>
        <v>1.2225333593892673E-7</v>
      </c>
      <c r="N177" s="41">
        <v>0</v>
      </c>
      <c r="O177" s="39">
        <f>[1]!Table32[[#This Row],[C&amp;I Incentive Disbursements]]/'[1]1.) CLM Reference'!$B$5</f>
        <v>0</v>
      </c>
      <c r="P177">
        <f>VLOOKUP(Table32[[#This Row],[Census Tract]],'Population and Diversity Data'!$B$2:$K$823,10,FALSE)</f>
        <v>2</v>
      </c>
      <c r="Q177" t="str">
        <f>VLOOKUP(Table32[[#This Row],[Census Tract]],'ES Energy Burden'!$B$2:$E$914,4,FALSE)</f>
        <v>No</v>
      </c>
    </row>
    <row r="178" spans="1:17" x14ac:dyDescent="0.2">
      <c r="A178" s="100">
        <v>9003430500</v>
      </c>
      <c r="B178" s="38" t="s">
        <v>2844</v>
      </c>
      <c r="C178" s="38" t="s">
        <v>944</v>
      </c>
      <c r="D178" s="40">
        <f>[1]!Table32[[#This Row],[Residential CLM $ Collected]]+[1]!Table32[[#This Row],[C&amp;I CLM $ Collected]]</f>
        <v>660779.74326528003</v>
      </c>
      <c r="E178" s="36">
        <f>[1]!Table32[[#This Row],[CLM $ Collected ]]/'[1]1.) CLM Reference'!$B$4</f>
        <v>5.8622010439999392E-3</v>
      </c>
      <c r="F178" s="37">
        <f>[1]!Table32[[#This Row],[Residential Incentive Disbursements]]+[1]!Table32[[#This Row],[C&amp;I Incentive Disbursements]]</f>
        <v>301487.09879999998</v>
      </c>
      <c r="G178" s="36">
        <f>[1]!Table32[[#This Row],[Incentive Disbursements]]/'[1]1.) CLM Reference'!$B$5</f>
        <v>3.6885897617252041E-3</v>
      </c>
      <c r="H178" s="37">
        <v>0</v>
      </c>
      <c r="I178" s="36">
        <f>[1]!Table32[[#This Row],[Residential CLM $ Collected]]/'[1]1.) CLM Reference'!$B$4</f>
        <v>0</v>
      </c>
      <c r="J178" s="41">
        <v>0</v>
      </c>
      <c r="K178" s="36">
        <f>[1]!Table32[[#This Row],[Residential Incentive Disbursements]]/'[1]1.) CLM Reference'!$B$5</f>
        <v>0</v>
      </c>
      <c r="L178" s="37">
        <v>660779.74326528003</v>
      </c>
      <c r="M178" s="36">
        <f>[1]!Table32[[#This Row],[C&amp;I CLM $ Collected]]/'[1]1.) CLM Reference'!$B$4</f>
        <v>5.8622010439999392E-3</v>
      </c>
      <c r="N178" s="41">
        <v>301487.09879999998</v>
      </c>
      <c r="O178" s="39">
        <f>[1]!Table32[[#This Row],[C&amp;I Incentive Disbursements]]/'[1]1.) CLM Reference'!$B$5</f>
        <v>3.6885897617252041E-3</v>
      </c>
      <c r="P178">
        <f>VLOOKUP(Table32[[#This Row],[Census Tract]],'Population and Diversity Data'!$B$2:$K$823,10,FALSE)</f>
        <v>1</v>
      </c>
      <c r="Q178" t="str">
        <f>VLOOKUP(Table32[[#This Row],[Census Tract]],'ES Energy Burden'!$B$2:$E$914,4,FALSE)</f>
        <v>No</v>
      </c>
    </row>
    <row r="179" spans="1:17" x14ac:dyDescent="0.2">
      <c r="A179" s="100">
        <v>9003430601</v>
      </c>
      <c r="B179" s="38" t="s">
        <v>2844</v>
      </c>
      <c r="C179" s="38" t="s">
        <v>944</v>
      </c>
      <c r="D179" s="40">
        <f>[1]!Table32[[#This Row],[Residential CLM $ Collected]]+[1]!Table32[[#This Row],[C&amp;I CLM $ Collected]]</f>
        <v>14.623087679999999</v>
      </c>
      <c r="E179" s="36">
        <f>[1]!Table32[[#This Row],[CLM $ Collected ]]/'[1]1.) CLM Reference'!$B$4</f>
        <v>1.2973079265504004E-7</v>
      </c>
      <c r="F179" s="37">
        <f>[1]!Table32[[#This Row],[Residential Incentive Disbursements]]+[1]!Table32[[#This Row],[C&amp;I Incentive Disbursements]]</f>
        <v>0</v>
      </c>
      <c r="G179" s="36">
        <f>[1]!Table32[[#This Row],[Incentive Disbursements]]/'[1]1.) CLM Reference'!$B$5</f>
        <v>0</v>
      </c>
      <c r="H179" s="37">
        <v>0</v>
      </c>
      <c r="I179" s="36">
        <f>[1]!Table32[[#This Row],[Residential CLM $ Collected]]/'[1]1.) CLM Reference'!$B$4</f>
        <v>0</v>
      </c>
      <c r="J179" s="41">
        <v>0</v>
      </c>
      <c r="K179" s="36">
        <f>[1]!Table32[[#This Row],[Residential Incentive Disbursements]]/'[1]1.) CLM Reference'!$B$5</f>
        <v>0</v>
      </c>
      <c r="L179" s="37">
        <v>14.623087679999999</v>
      </c>
      <c r="M179" s="36">
        <f>[1]!Table32[[#This Row],[C&amp;I CLM $ Collected]]/'[1]1.) CLM Reference'!$B$4</f>
        <v>1.2973079265504004E-7</v>
      </c>
      <c r="N179" s="41">
        <v>0</v>
      </c>
      <c r="O179" s="39">
        <f>[1]!Table32[[#This Row],[C&amp;I Incentive Disbursements]]/'[1]1.) CLM Reference'!$B$5</f>
        <v>0</v>
      </c>
      <c r="P179">
        <f>VLOOKUP(Table32[[#This Row],[Census Tract]],'Population and Diversity Data'!$B$2:$K$823,10,FALSE)</f>
        <v>2</v>
      </c>
      <c r="Q179" t="str">
        <f>VLOOKUP(Table32[[#This Row],[Census Tract]],'ES Energy Burden'!$B$2:$E$914,4,FALSE)</f>
        <v>No</v>
      </c>
    </row>
    <row r="180" spans="1:17" x14ac:dyDescent="0.2">
      <c r="A180" s="100">
        <v>9011711100</v>
      </c>
      <c r="B180" s="38" t="s">
        <v>2845</v>
      </c>
      <c r="C180" s="38" t="s">
        <v>944</v>
      </c>
      <c r="D180" s="40">
        <f>[1]!Table32[[#This Row],[Residential CLM $ Collected]]+[1]!Table32[[#This Row],[C&amp;I CLM $ Collected]]</f>
        <v>11427.039100800001</v>
      </c>
      <c r="E180" s="36">
        <f>[1]!Table32[[#This Row],[CLM $ Collected ]]/'[1]1.) CLM Reference'!$B$4</f>
        <v>1.0137659519572273E-4</v>
      </c>
      <c r="F180" s="37">
        <f>[1]!Table32[[#This Row],[Residential Incentive Disbursements]]+[1]!Table32[[#This Row],[C&amp;I Incentive Disbursements]]</f>
        <v>100</v>
      </c>
      <c r="G180" s="36">
        <f>[1]!Table32[[#This Row],[Incentive Disbursements]]/'[1]1.) CLM Reference'!$B$5</f>
        <v>1.2234652084307377E-6</v>
      </c>
      <c r="H180" s="37">
        <v>0</v>
      </c>
      <c r="I180" s="36">
        <f>[1]!Table32[[#This Row],[Residential CLM $ Collected]]/'[1]1.) CLM Reference'!$B$4</f>
        <v>0</v>
      </c>
      <c r="J180" s="41">
        <v>0</v>
      </c>
      <c r="K180" s="36">
        <f>[1]!Table32[[#This Row],[Residential Incentive Disbursements]]/'[1]1.) CLM Reference'!$B$5</f>
        <v>0</v>
      </c>
      <c r="L180" s="37">
        <v>11427.039100800001</v>
      </c>
      <c r="M180" s="36">
        <f>[1]!Table32[[#This Row],[C&amp;I CLM $ Collected]]/'[1]1.) CLM Reference'!$B$4</f>
        <v>1.0137659519572273E-4</v>
      </c>
      <c r="N180" s="41">
        <v>100</v>
      </c>
      <c r="O180" s="39">
        <f>[1]!Table32[[#This Row],[C&amp;I Incentive Disbursements]]/'[1]1.) CLM Reference'!$B$5</f>
        <v>1.2234652084307377E-6</v>
      </c>
      <c r="P180">
        <f>VLOOKUP(Table32[[#This Row],[Census Tract]],'Population and Diversity Data'!$B$2:$K$823,10,FALSE)</f>
        <v>4</v>
      </c>
      <c r="Q180" t="str">
        <f>VLOOKUP(Table32[[#This Row],[Census Tract]],'ES Energy Burden'!$B$2:$E$914,4,FALSE)</f>
        <v>No</v>
      </c>
    </row>
    <row r="181" spans="1:17" x14ac:dyDescent="0.2">
      <c r="A181" s="100">
        <v>9013890100</v>
      </c>
      <c r="B181" s="38" t="s">
        <v>2846</v>
      </c>
      <c r="C181" s="38" t="s">
        <v>944</v>
      </c>
      <c r="D181" s="40">
        <f>[1]!Table32[[#This Row],[Residential CLM $ Collected]]+[1]!Table32[[#This Row],[C&amp;I CLM $ Collected]]</f>
        <v>10.75095936</v>
      </c>
      <c r="E181" s="36">
        <f>[1]!Table32[[#This Row],[CLM $ Collected ]]/'[1]1.) CLM Reference'!$B$4</f>
        <v>9.537865805745631E-8</v>
      </c>
      <c r="F181" s="37">
        <f>[1]!Table32[[#This Row],[Residential Incentive Disbursements]]+[1]!Table32[[#This Row],[C&amp;I Incentive Disbursements]]</f>
        <v>0</v>
      </c>
      <c r="G181" s="36">
        <f>[1]!Table32[[#This Row],[Incentive Disbursements]]/'[1]1.) CLM Reference'!$B$5</f>
        <v>0</v>
      </c>
      <c r="H181" s="37">
        <v>0</v>
      </c>
      <c r="I181" s="36">
        <f>[1]!Table32[[#This Row],[Residential CLM $ Collected]]/'[1]1.) CLM Reference'!$B$4</f>
        <v>0</v>
      </c>
      <c r="J181" s="41">
        <v>0</v>
      </c>
      <c r="K181" s="36">
        <f>[1]!Table32[[#This Row],[Residential Incentive Disbursements]]/'[1]1.) CLM Reference'!$B$5</f>
        <v>0</v>
      </c>
      <c r="L181" s="37">
        <v>10.75095936</v>
      </c>
      <c r="M181" s="36">
        <f>[1]!Table32[[#This Row],[C&amp;I CLM $ Collected]]/'[1]1.) CLM Reference'!$B$4</f>
        <v>9.537865805745631E-8</v>
      </c>
      <c r="N181" s="41">
        <v>0</v>
      </c>
      <c r="O181" s="39">
        <f>[1]!Table32[[#This Row],[C&amp;I Incentive Disbursements]]/'[1]1.) CLM Reference'!$B$5</f>
        <v>0</v>
      </c>
      <c r="P181">
        <f>VLOOKUP(Table32[[#This Row],[Census Tract]],'Population and Diversity Data'!$B$2:$K$823,10,FALSE)</f>
        <v>2</v>
      </c>
      <c r="Q181" t="str">
        <f>VLOOKUP(Table32[[#This Row],[Census Tract]],'ES Energy Burden'!$B$2:$E$914,4,FALSE)</f>
        <v>No</v>
      </c>
    </row>
    <row r="182" spans="1:17" x14ac:dyDescent="0.2">
      <c r="A182" s="100">
        <v>9013890202</v>
      </c>
      <c r="B182" s="38" t="s">
        <v>2846</v>
      </c>
      <c r="C182" s="38" t="s">
        <v>944</v>
      </c>
      <c r="D182" s="40">
        <f>[1]!Table32[[#This Row],[Residential CLM $ Collected]]+[1]!Table32[[#This Row],[C&amp;I CLM $ Collected]]</f>
        <v>187853.59512864001</v>
      </c>
      <c r="E182" s="36">
        <f>[1]!Table32[[#This Row],[CLM $ Collected ]]/'[1]1.) CLM Reference'!$B$4</f>
        <v>1.6665697650482419E-3</v>
      </c>
      <c r="F182" s="37">
        <f>[1]!Table32[[#This Row],[Residential Incentive Disbursements]]+[1]!Table32[[#This Row],[C&amp;I Incentive Disbursements]]</f>
        <v>102797.24619999999</v>
      </c>
      <c r="G182" s="36">
        <f>[1]!Table32[[#This Row],[Incentive Disbursements]]/'[1]1.) CLM Reference'!$B$5</f>
        <v>1.2576885424818885E-3</v>
      </c>
      <c r="H182" s="37">
        <v>0</v>
      </c>
      <c r="I182" s="36">
        <f>[1]!Table32[[#This Row],[Residential CLM $ Collected]]/'[1]1.) CLM Reference'!$B$4</f>
        <v>0</v>
      </c>
      <c r="J182" s="41">
        <v>0</v>
      </c>
      <c r="K182" s="36">
        <f>[1]!Table32[[#This Row],[Residential Incentive Disbursements]]/'[1]1.) CLM Reference'!$B$5</f>
        <v>0</v>
      </c>
      <c r="L182" s="37">
        <v>187853.59512864001</v>
      </c>
      <c r="M182" s="36">
        <f>[1]!Table32[[#This Row],[C&amp;I CLM $ Collected]]/'[1]1.) CLM Reference'!$B$4</f>
        <v>1.6665697650482419E-3</v>
      </c>
      <c r="N182" s="41">
        <v>102797.24619999999</v>
      </c>
      <c r="O182" s="39">
        <f>[1]!Table32[[#This Row],[C&amp;I Incentive Disbursements]]/'[1]1.) CLM Reference'!$B$5</f>
        <v>1.2576885424818885E-3</v>
      </c>
      <c r="P182">
        <f>VLOOKUP(Table32[[#This Row],[Census Tract]],'Population and Diversity Data'!$B$2:$K$823,10,FALSE)</f>
        <v>4</v>
      </c>
      <c r="Q182" t="str">
        <f>VLOOKUP(Table32[[#This Row],[Census Tract]],'ES Energy Burden'!$B$2:$E$914,4,FALSE)</f>
        <v>No</v>
      </c>
    </row>
    <row r="183" spans="1:17" x14ac:dyDescent="0.2">
      <c r="A183" s="100">
        <v>9001020100</v>
      </c>
      <c r="B183" s="38" t="s">
        <v>988</v>
      </c>
      <c r="C183" s="38" t="s">
        <v>936</v>
      </c>
      <c r="D183" s="40">
        <f>[1]!Table32[[#This Row],[Residential CLM $ Collected]]+[1]!Table32[[#This Row],[C&amp;I CLM $ Collected]]</f>
        <v>83.611111680000008</v>
      </c>
      <c r="E183" s="36">
        <f>[1]!Table32[[#This Row],[CLM $ Collected ]]/'[1]1.) CLM Reference'!$B$4</f>
        <v>7.4176781473114154E-7</v>
      </c>
      <c r="F183" s="37">
        <f>[1]!Table32[[#This Row],[Residential Incentive Disbursements]]+[1]!Table32[[#This Row],[C&amp;I Incentive Disbursements]]</f>
        <v>0</v>
      </c>
      <c r="G183" s="36">
        <f>[1]!Table32[[#This Row],[Incentive Disbursements]]/'[1]1.) CLM Reference'!$B$5</f>
        <v>0</v>
      </c>
      <c r="H183" s="37">
        <v>0</v>
      </c>
      <c r="I183" s="36">
        <f>[1]!Table32[[#This Row],[Residential CLM $ Collected]]/'[1]1.) CLM Reference'!$B$4</f>
        <v>0</v>
      </c>
      <c r="J183" s="41">
        <v>0</v>
      </c>
      <c r="K183" s="36">
        <f>[1]!Table32[[#This Row],[Residential Incentive Disbursements]]/'[1]1.) CLM Reference'!$B$5</f>
        <v>0</v>
      </c>
      <c r="L183" s="37">
        <v>83.611111680000008</v>
      </c>
      <c r="M183" s="36">
        <f>[1]!Table32[[#This Row],[C&amp;I CLM $ Collected]]/'[1]1.) CLM Reference'!$B$4</f>
        <v>7.4176781473114154E-7</v>
      </c>
      <c r="N183" s="41">
        <v>0</v>
      </c>
      <c r="O183" s="39">
        <f>[1]!Table32[[#This Row],[C&amp;I Incentive Disbursements]]/'[1]1.) CLM Reference'!$B$5</f>
        <v>0</v>
      </c>
      <c r="P183">
        <f>VLOOKUP(Table32[[#This Row],[Census Tract]],'Population and Diversity Data'!$B$2:$K$823,10,FALSE)</f>
        <v>4</v>
      </c>
      <c r="Q183" t="str">
        <f>VLOOKUP(Table32[[#This Row],[Census Tract]],'ES Energy Burden'!$B$2:$E$914,4,FALSE)</f>
        <v>No</v>
      </c>
    </row>
    <row r="184" spans="1:17" x14ac:dyDescent="0.2">
      <c r="A184" s="100">
        <v>9001020300</v>
      </c>
      <c r="B184" s="38" t="s">
        <v>988</v>
      </c>
      <c r="C184" s="38" t="s">
        <v>944</v>
      </c>
      <c r="D184" s="40">
        <f>[1]!Table32[[#This Row],[Residential CLM $ Collected]]+[1]!Table32[[#This Row],[C&amp;I CLM $ Collected]]</f>
        <v>3448045.0682438398</v>
      </c>
      <c r="E184" s="36">
        <f>[1]!Table32[[#This Row],[CLM $ Collected ]]/'[1]1.) CLM Reference'!$B$4</f>
        <v>3.0589819988932392E-2</v>
      </c>
      <c r="F184" s="37">
        <f>[1]!Table32[[#This Row],[Residential Incentive Disbursements]]+[1]!Table32[[#This Row],[C&amp;I Incentive Disbursements]]</f>
        <v>1303373.4186</v>
      </c>
      <c r="G184" s="36">
        <f>[1]!Table32[[#This Row],[Incentive Disbursements]]/'[1]1.) CLM Reference'!$B$5</f>
        <v>1.594632031250532E-2</v>
      </c>
      <c r="H184" s="37">
        <v>0</v>
      </c>
      <c r="I184" s="36">
        <f>[1]!Table32[[#This Row],[Residential CLM $ Collected]]/'[1]1.) CLM Reference'!$B$4</f>
        <v>0</v>
      </c>
      <c r="J184" s="41">
        <v>0</v>
      </c>
      <c r="K184" s="36">
        <f>[1]!Table32[[#This Row],[Residential Incentive Disbursements]]/'[1]1.) CLM Reference'!$B$5</f>
        <v>0</v>
      </c>
      <c r="L184" s="37">
        <v>3448045.0682438398</v>
      </c>
      <c r="M184" s="36">
        <f>[1]!Table32[[#This Row],[C&amp;I CLM $ Collected]]/'[1]1.) CLM Reference'!$B$4</f>
        <v>3.0589819988932392E-2</v>
      </c>
      <c r="N184" s="41">
        <v>1303373.4186</v>
      </c>
      <c r="O184" s="39">
        <f>[1]!Table32[[#This Row],[C&amp;I Incentive Disbursements]]/'[1]1.) CLM Reference'!$B$5</f>
        <v>1.594632031250532E-2</v>
      </c>
      <c r="P184">
        <f>VLOOKUP(Table32[[#This Row],[Census Tract]],'Population and Diversity Data'!$B$2:$K$823,10,FALSE)</f>
        <v>3</v>
      </c>
      <c r="Q184" t="str">
        <f>VLOOKUP(Table32[[#This Row],[Census Tract]],'ES Energy Burden'!$B$2:$E$914,4,FALSE)</f>
        <v>No</v>
      </c>
    </row>
    <row r="185" spans="1:17" x14ac:dyDescent="0.2">
      <c r="A185" s="100">
        <v>9001021700</v>
      </c>
      <c r="B185" s="38" t="s">
        <v>988</v>
      </c>
      <c r="C185" s="38" t="s">
        <v>944</v>
      </c>
      <c r="D185" s="40">
        <f>[1]!Table32[[#This Row],[Residential CLM $ Collected]]+[1]!Table32[[#This Row],[C&amp;I CLM $ Collected]]</f>
        <v>11182.57</v>
      </c>
      <c r="E185" s="166">
        <f>[1]!Table32[[#This Row],[CLM $ Collected ]]/'[1]1.) CLM Reference'!$B$4</f>
        <v>9.9207752956622576E-5</v>
      </c>
      <c r="F185" s="37">
        <f>[1]!Table32[[#This Row],[Residential Incentive Disbursements]]+[1]!Table32[[#This Row],[C&amp;I Incentive Disbursements]]</f>
        <v>0</v>
      </c>
      <c r="G185" s="166">
        <f>[1]!Table32[[#This Row],[Incentive Disbursements]]/'[1]1.) CLM Reference'!$B$5</f>
        <v>0</v>
      </c>
      <c r="H185" s="167">
        <v>11182.57</v>
      </c>
      <c r="I185" s="166">
        <f>[1]!Table32[[#This Row],[Residential CLM $ Collected]]/'[1]1.) CLM Reference'!$B$4</f>
        <v>9.9207752956622576E-5</v>
      </c>
      <c r="J185" s="167">
        <v>0</v>
      </c>
      <c r="K185" s="166">
        <f>[1]!Table32[[#This Row],[Residential Incentive Disbursements]]/'[1]1.) CLM Reference'!$B$5</f>
        <v>0</v>
      </c>
      <c r="L185" s="167">
        <v>0</v>
      </c>
      <c r="M185" s="166">
        <f>[1]!Table32[[#This Row],[C&amp;I CLM $ Collected]]/'[1]1.) CLM Reference'!$B$4</f>
        <v>0</v>
      </c>
      <c r="N185" s="167">
        <v>0</v>
      </c>
      <c r="O185" s="39">
        <f>[1]!Table32[[#This Row],[C&amp;I Incentive Disbursements]]/'[1]1.) CLM Reference'!$B$5</f>
        <v>0</v>
      </c>
      <c r="P185">
        <f>VLOOKUP(Table32[[#This Row],[Census Tract]],'Population and Diversity Data'!$B$2:$K$823,10,FALSE)</f>
        <v>5</v>
      </c>
      <c r="Q185" t="str">
        <f>VLOOKUP(Table32[[#This Row],[Census Tract]],'ES Energy Burden'!$B$2:$E$914,4,FALSE)</f>
        <v>No</v>
      </c>
    </row>
    <row r="186" spans="1:17" x14ac:dyDescent="0.2">
      <c r="A186" s="100">
        <v>9015908100</v>
      </c>
      <c r="B186" s="38" t="s">
        <v>2847</v>
      </c>
      <c r="C186" s="38" t="s">
        <v>944</v>
      </c>
      <c r="D186" s="40">
        <f>[1]!Table32[[#This Row],[Residential CLM $ Collected]]+[1]!Table32[[#This Row],[C&amp;I CLM $ Collected]]</f>
        <v>4718.8242576000002</v>
      </c>
      <c r="E186" s="36">
        <f>[1]!Table32[[#This Row],[CLM $ Collected ]]/'[1]1.) CLM Reference'!$B$4</f>
        <v>4.1863717481196073E-5</v>
      </c>
      <c r="F186" s="37">
        <f>[1]!Table32[[#This Row],[Residential Incentive Disbursements]]+[1]!Table32[[#This Row],[C&amp;I Incentive Disbursements]]</f>
        <v>50</v>
      </c>
      <c r="G186" s="36">
        <f>[1]!Table32[[#This Row],[Incentive Disbursements]]/'[1]1.) CLM Reference'!$B$5</f>
        <v>6.1173260421536883E-7</v>
      </c>
      <c r="H186" s="37">
        <v>0</v>
      </c>
      <c r="I186" s="36">
        <f>[1]!Table32[[#This Row],[Residential CLM $ Collected]]/'[1]1.) CLM Reference'!$B$4</f>
        <v>0</v>
      </c>
      <c r="J186" s="41">
        <v>0</v>
      </c>
      <c r="K186" s="36">
        <f>[1]!Table32[[#This Row],[Residential Incentive Disbursements]]/'[1]1.) CLM Reference'!$B$5</f>
        <v>0</v>
      </c>
      <c r="L186" s="37">
        <v>4718.8242576000002</v>
      </c>
      <c r="M186" s="36">
        <f>[1]!Table32[[#This Row],[C&amp;I CLM $ Collected]]/'[1]1.) CLM Reference'!$B$4</f>
        <v>4.1863717481196073E-5</v>
      </c>
      <c r="N186" s="41">
        <v>50</v>
      </c>
      <c r="O186" s="39">
        <f>[1]!Table32[[#This Row],[C&amp;I Incentive Disbursements]]/'[1]1.) CLM Reference'!$B$5</f>
        <v>6.1173260421536883E-7</v>
      </c>
      <c r="P186" t="e">
        <f>VLOOKUP(Table32[[#This Row],[Census Tract]],'Population and Diversity Data'!$B$2:$K$823,10,FALSE)</f>
        <v>#N/A</v>
      </c>
      <c r="Q186" t="e">
        <f>VLOOKUP(Table32[[#This Row],[Census Tract]],'ES Energy Burden'!$B$2:$E$914,4,FALSE)</f>
        <v>#N/A</v>
      </c>
    </row>
    <row r="187" spans="1:17" x14ac:dyDescent="0.2">
      <c r="A187" s="100">
        <v>9011702800</v>
      </c>
      <c r="B187" s="38" t="s">
        <v>2848</v>
      </c>
      <c r="C187" s="38" t="s">
        <v>944</v>
      </c>
      <c r="D187" s="40">
        <f>[1]!Table32[[#This Row],[Residential CLM $ Collected]]+[1]!Table32[[#This Row],[C&amp;I CLM $ Collected]]</f>
        <v>4.9905244799999995</v>
      </c>
      <c r="E187" s="36">
        <f>[1]!Table32[[#This Row],[CLM $ Collected ]]/'[1]1.) CLM Reference'!$B$4</f>
        <v>4.4274144470887939E-8</v>
      </c>
      <c r="F187" s="37">
        <f>[1]!Table32[[#This Row],[Residential Incentive Disbursements]]+[1]!Table32[[#This Row],[C&amp;I Incentive Disbursements]]</f>
        <v>0</v>
      </c>
      <c r="G187" s="36">
        <f>[1]!Table32[[#This Row],[Incentive Disbursements]]/'[1]1.) CLM Reference'!$B$5</f>
        <v>0</v>
      </c>
      <c r="H187" s="37">
        <v>0</v>
      </c>
      <c r="I187" s="36">
        <f>[1]!Table32[[#This Row],[Residential CLM $ Collected]]/'[1]1.) CLM Reference'!$B$4</f>
        <v>0</v>
      </c>
      <c r="J187" s="41">
        <v>0</v>
      </c>
      <c r="K187" s="36">
        <f>[1]!Table32[[#This Row],[Residential Incentive Disbursements]]/'[1]1.) CLM Reference'!$B$5</f>
        <v>0</v>
      </c>
      <c r="L187" s="37">
        <v>4.9905244799999995</v>
      </c>
      <c r="M187" s="36">
        <f>[1]!Table32[[#This Row],[C&amp;I CLM $ Collected]]/'[1]1.) CLM Reference'!$B$4</f>
        <v>4.4274144470887939E-8</v>
      </c>
      <c r="N187" s="41">
        <v>0</v>
      </c>
      <c r="O187" s="39">
        <f>[1]!Table32[[#This Row],[C&amp;I Incentive Disbursements]]/'[1]1.) CLM Reference'!$B$5</f>
        <v>0</v>
      </c>
      <c r="P187">
        <f>VLOOKUP(Table32[[#This Row],[Census Tract]],'Population and Diversity Data'!$B$2:$K$823,10,FALSE)</f>
        <v>5</v>
      </c>
      <c r="Q187" t="str">
        <f>VLOOKUP(Table32[[#This Row],[Census Tract]],'ES Energy Burden'!$B$2:$E$914,4,FALSE)</f>
        <v>No</v>
      </c>
    </row>
    <row r="188" spans="1:17" x14ac:dyDescent="0.2">
      <c r="A188" s="100">
        <v>9011705200</v>
      </c>
      <c r="B188" s="38" t="s">
        <v>2848</v>
      </c>
      <c r="C188" s="38" t="s">
        <v>944</v>
      </c>
      <c r="D188" s="40">
        <f>[1]!Table32[[#This Row],[Residential CLM $ Collected]]+[1]!Table32[[#This Row],[C&amp;I CLM $ Collected]]</f>
        <v>320163.21893952001</v>
      </c>
      <c r="E188" s="36">
        <f>[1]!Table32[[#This Row],[CLM $ Collected ]]/'[1]1.) CLM Reference'!$B$4</f>
        <v>2.8403733247678279E-3</v>
      </c>
      <c r="F188" s="37">
        <f>[1]!Table32[[#This Row],[Residential Incentive Disbursements]]+[1]!Table32[[#This Row],[C&amp;I Incentive Disbursements]]</f>
        <v>108830.7934</v>
      </c>
      <c r="G188" s="36">
        <f>[1]!Table32[[#This Row],[Incentive Disbursements]]/'[1]1.) CLM Reference'!$B$5</f>
        <v>1.3315068933081355E-3</v>
      </c>
      <c r="H188" s="37">
        <v>0</v>
      </c>
      <c r="I188" s="36">
        <f>[1]!Table32[[#This Row],[Residential CLM $ Collected]]/'[1]1.) CLM Reference'!$B$4</f>
        <v>0</v>
      </c>
      <c r="J188" s="41">
        <v>0</v>
      </c>
      <c r="K188" s="36">
        <f>[1]!Table32[[#This Row],[Residential Incentive Disbursements]]/'[1]1.) CLM Reference'!$B$5</f>
        <v>0</v>
      </c>
      <c r="L188" s="37">
        <v>320163.21893952001</v>
      </c>
      <c r="M188" s="36">
        <f>[1]!Table32[[#This Row],[C&amp;I CLM $ Collected]]/'[1]1.) CLM Reference'!$B$4</f>
        <v>2.8403733247678279E-3</v>
      </c>
      <c r="N188" s="41">
        <v>108830.7934</v>
      </c>
      <c r="O188" s="39">
        <f>[1]!Table32[[#This Row],[C&amp;I Incentive Disbursements]]/'[1]1.) CLM Reference'!$B$5</f>
        <v>1.3315068933081355E-3</v>
      </c>
      <c r="P188">
        <f>VLOOKUP(Table32[[#This Row],[Census Tract]],'Population and Diversity Data'!$B$2:$K$823,10,FALSE)</f>
        <v>2</v>
      </c>
      <c r="Q188" t="str">
        <f>VLOOKUP(Table32[[#This Row],[Census Tract]],'ES Energy Burden'!$B$2:$E$914,4,FALSE)</f>
        <v>No</v>
      </c>
    </row>
    <row r="189" spans="1:17" x14ac:dyDescent="0.2">
      <c r="A189" s="100">
        <v>9003477102</v>
      </c>
      <c r="B189" s="38" t="s">
        <v>2849</v>
      </c>
      <c r="C189" s="38" t="s">
        <v>944</v>
      </c>
      <c r="D189" s="40">
        <f>[1]!Table32[[#This Row],[Residential CLM $ Collected]]+[1]!Table32[[#This Row],[C&amp;I CLM $ Collected]]</f>
        <v>294039.08582400001</v>
      </c>
      <c r="E189" s="36">
        <f>[1]!Table32[[#This Row],[CLM $ Collected ]]/'[1]1.) CLM Reference'!$B$4</f>
        <v>2.6086093792409559E-3</v>
      </c>
      <c r="F189" s="37">
        <f>[1]!Table32[[#This Row],[Residential Incentive Disbursements]]+[1]!Table32[[#This Row],[C&amp;I Incentive Disbursements]]</f>
        <v>254921.49</v>
      </c>
      <c r="G189" s="36">
        <f>[1]!Table32[[#This Row],[Incentive Disbursements]]/'[1]1.) CLM Reference'!$B$5</f>
        <v>3.1188757389632423E-3</v>
      </c>
      <c r="H189" s="37">
        <v>0</v>
      </c>
      <c r="I189" s="36">
        <f>[1]!Table32[[#This Row],[Residential CLM $ Collected]]/'[1]1.) CLM Reference'!$B$4</f>
        <v>0</v>
      </c>
      <c r="J189" s="41">
        <v>0</v>
      </c>
      <c r="K189" s="36">
        <f>[1]!Table32[[#This Row],[Residential Incentive Disbursements]]/'[1]1.) CLM Reference'!$B$5</f>
        <v>0</v>
      </c>
      <c r="L189" s="37">
        <v>294039.08582400001</v>
      </c>
      <c r="M189" s="36">
        <f>[1]!Table32[[#This Row],[C&amp;I CLM $ Collected]]/'[1]1.) CLM Reference'!$B$4</f>
        <v>2.6086093792409559E-3</v>
      </c>
      <c r="N189" s="41">
        <v>254921.49</v>
      </c>
      <c r="O189" s="39">
        <f>[1]!Table32[[#This Row],[C&amp;I Incentive Disbursements]]/'[1]1.) CLM Reference'!$B$5</f>
        <v>3.1188757389632423E-3</v>
      </c>
      <c r="P189">
        <f>VLOOKUP(Table32[[#This Row],[Census Tract]],'Population and Diversity Data'!$B$2:$K$823,10,FALSE)</f>
        <v>4</v>
      </c>
      <c r="Q189" t="str">
        <f>VLOOKUP(Table32[[#This Row],[Census Tract]],'ES Energy Burden'!$B$2:$E$914,4,FALSE)</f>
        <v>No</v>
      </c>
    </row>
    <row r="190" spans="1:17" x14ac:dyDescent="0.2">
      <c r="A190" s="100">
        <v>9005349100</v>
      </c>
      <c r="B190" s="38" t="s">
        <v>2850</v>
      </c>
      <c r="C190" s="38" t="s">
        <v>944</v>
      </c>
      <c r="D190" s="40">
        <f>[1]!Table32[[#This Row],[Residential CLM $ Collected]]+[1]!Table32[[#This Row],[C&amp;I CLM $ Collected]]</f>
        <v>153495.88331904</v>
      </c>
      <c r="E190" s="36">
        <f>[1]!Table32[[#This Row],[CLM $ Collected ]]/'[1]1.) CLM Reference'!$B$4</f>
        <v>1.3617604604463809E-3</v>
      </c>
      <c r="F190" s="37">
        <f>[1]!Table32[[#This Row],[Residential Incentive Disbursements]]+[1]!Table32[[#This Row],[C&amp;I Incentive Disbursements]]</f>
        <v>168947.7738</v>
      </c>
      <c r="G190" s="36">
        <f>[1]!Table32[[#This Row],[Incentive Disbursements]]/'[1]1.) CLM Reference'!$B$5</f>
        <v>2.0670172328612611E-3</v>
      </c>
      <c r="H190" s="37">
        <v>0</v>
      </c>
      <c r="I190" s="36">
        <f>[1]!Table32[[#This Row],[Residential CLM $ Collected]]/'[1]1.) CLM Reference'!$B$4</f>
        <v>0</v>
      </c>
      <c r="J190" s="41">
        <v>0</v>
      </c>
      <c r="K190" s="36">
        <f>[1]!Table32[[#This Row],[Residential Incentive Disbursements]]/'[1]1.) CLM Reference'!$B$5</f>
        <v>0</v>
      </c>
      <c r="L190" s="37">
        <v>153495.88331904</v>
      </c>
      <c r="M190" s="36">
        <f>[1]!Table32[[#This Row],[C&amp;I CLM $ Collected]]/'[1]1.) CLM Reference'!$B$4</f>
        <v>1.3617604604463809E-3</v>
      </c>
      <c r="N190" s="41">
        <v>168947.7738</v>
      </c>
      <c r="O190" s="39">
        <f>[1]!Table32[[#This Row],[C&amp;I Incentive Disbursements]]/'[1]1.) CLM Reference'!$B$5</f>
        <v>2.0670172328612611E-3</v>
      </c>
      <c r="P190">
        <f>VLOOKUP(Table32[[#This Row],[Census Tract]],'Population and Diversity Data'!$B$2:$K$823,10,FALSE)</f>
        <v>1</v>
      </c>
      <c r="Q190" t="str">
        <f>VLOOKUP(Table32[[#This Row],[Census Tract]],'ES Energy Burden'!$B$2:$E$914,4,FALSE)</f>
        <v>No</v>
      </c>
    </row>
    <row r="191" spans="1:17" x14ac:dyDescent="0.2">
      <c r="A191" s="100">
        <v>9015900100</v>
      </c>
      <c r="B191" s="38" t="s">
        <v>2851</v>
      </c>
      <c r="C191" s="38" t="s">
        <v>944</v>
      </c>
      <c r="D191" s="40">
        <f>[1]!Table32[[#This Row],[Residential CLM $ Collected]]+[1]!Table32[[#This Row],[C&amp;I CLM $ Collected]]</f>
        <v>23080.36991904</v>
      </c>
      <c r="E191" s="36">
        <f>[1]!Table32[[#This Row],[CLM $ Collected ]]/'[1]1.) CLM Reference'!$B$4</f>
        <v>2.0476076940055671E-4</v>
      </c>
      <c r="F191" s="37">
        <f>[1]!Table32[[#This Row],[Residential Incentive Disbursements]]+[1]!Table32[[#This Row],[C&amp;I Incentive Disbursements]]</f>
        <v>74984.634000000005</v>
      </c>
      <c r="G191" s="36">
        <f>[1]!Table32[[#This Row],[Incentive Disbursements]]/'[1]1.) CLM Reference'!$B$5</f>
        <v>9.1741090865912593E-4</v>
      </c>
      <c r="H191" s="37">
        <v>0</v>
      </c>
      <c r="I191" s="36">
        <f>[1]!Table32[[#This Row],[Residential CLM $ Collected]]/'[1]1.) CLM Reference'!$B$4</f>
        <v>0</v>
      </c>
      <c r="J191" s="41">
        <v>0</v>
      </c>
      <c r="K191" s="36">
        <f>[1]!Table32[[#This Row],[Residential Incentive Disbursements]]/'[1]1.) CLM Reference'!$B$5</f>
        <v>0</v>
      </c>
      <c r="L191" s="37">
        <v>23080.36991904</v>
      </c>
      <c r="M191" s="36">
        <f>[1]!Table32[[#This Row],[C&amp;I CLM $ Collected]]/'[1]1.) CLM Reference'!$B$4</f>
        <v>2.0476076940055671E-4</v>
      </c>
      <c r="N191" s="41">
        <v>74984.634000000005</v>
      </c>
      <c r="O191" s="39">
        <f>[1]!Table32[[#This Row],[C&amp;I Incentive Disbursements]]/'[1]1.) CLM Reference'!$B$5</f>
        <v>9.1741090865912593E-4</v>
      </c>
      <c r="P191">
        <f>VLOOKUP(Table32[[#This Row],[Census Tract]],'Population and Diversity Data'!$B$2:$K$823,10,FALSE)</f>
        <v>2</v>
      </c>
      <c r="Q191" t="str">
        <f>VLOOKUP(Table32[[#This Row],[Census Tract]],'ES Energy Burden'!$B$2:$E$914,4,FALSE)</f>
        <v>No</v>
      </c>
    </row>
    <row r="192" spans="1:17" x14ac:dyDescent="0.2">
      <c r="A192" s="100">
        <v>9013533101</v>
      </c>
      <c r="B192" s="38" t="s">
        <v>2852</v>
      </c>
      <c r="C192" s="38" t="s">
        <v>944</v>
      </c>
      <c r="D192" s="40">
        <f>[1]!Table32[[#This Row],[Residential CLM $ Collected]]+[1]!Table32[[#This Row],[C&amp;I CLM $ Collected]]</f>
        <v>73592.366054400016</v>
      </c>
      <c r="E192" s="36">
        <f>[1]!Table32[[#This Row],[CLM $ Collected ]]/'[1]1.) CLM Reference'!$B$4</f>
        <v>6.528850944834912E-4</v>
      </c>
      <c r="F192" s="37">
        <f>[1]!Table32[[#This Row],[Residential Incentive Disbursements]]+[1]!Table32[[#This Row],[C&amp;I Incentive Disbursements]]</f>
        <v>9342.7900000000009</v>
      </c>
      <c r="G192" s="36">
        <f>[1]!Table32[[#This Row],[Incentive Disbursements]]/'[1]1.) CLM Reference'!$B$5</f>
        <v>1.1430578514674613E-4</v>
      </c>
      <c r="H192" s="37">
        <v>0</v>
      </c>
      <c r="I192" s="36">
        <f>[1]!Table32[[#This Row],[Residential CLM $ Collected]]/'[1]1.) CLM Reference'!$B$4</f>
        <v>0</v>
      </c>
      <c r="J192" s="41">
        <v>0</v>
      </c>
      <c r="K192" s="36">
        <f>[1]!Table32[[#This Row],[Residential Incentive Disbursements]]/'[1]1.) CLM Reference'!$B$5</f>
        <v>0</v>
      </c>
      <c r="L192" s="37">
        <v>73592.366054400016</v>
      </c>
      <c r="M192" s="36">
        <f>[1]!Table32[[#This Row],[C&amp;I CLM $ Collected]]/'[1]1.) CLM Reference'!$B$4</f>
        <v>6.528850944834912E-4</v>
      </c>
      <c r="N192" s="41">
        <v>9342.7900000000009</v>
      </c>
      <c r="O192" s="39">
        <f>[1]!Table32[[#This Row],[C&amp;I Incentive Disbursements]]/'[1]1.) CLM Reference'!$B$5</f>
        <v>1.1430578514674613E-4</v>
      </c>
      <c r="P192">
        <f>VLOOKUP(Table32[[#This Row],[Census Tract]],'Population and Diversity Data'!$B$2:$K$823,10,FALSE)</f>
        <v>2</v>
      </c>
      <c r="Q192" t="str">
        <f>VLOOKUP(Table32[[#This Row],[Census Tract]],'ES Energy Burden'!$B$2:$E$914,4,FALSE)</f>
        <v>No</v>
      </c>
    </row>
    <row r="193" spans="1:17" x14ac:dyDescent="0.2">
      <c r="A193" s="100">
        <v>9005310100</v>
      </c>
      <c r="B193" s="38" t="s">
        <v>2853</v>
      </c>
      <c r="C193" s="38" t="s">
        <v>944</v>
      </c>
      <c r="D193" s="40">
        <f>[1]!Table32[[#This Row],[Residential CLM $ Collected]]+[1]!Table32[[#This Row],[C&amp;I CLM $ Collected]]</f>
        <v>40.324780799999999</v>
      </c>
      <c r="E193" s="36">
        <f>[1]!Table32[[#This Row],[CLM $ Collected ]]/'[1]1.) CLM Reference'!$B$4</f>
        <v>3.5774700195360791E-7</v>
      </c>
      <c r="F193" s="37">
        <f>[1]!Table32[[#This Row],[Residential Incentive Disbursements]]+[1]!Table32[[#This Row],[C&amp;I Incentive Disbursements]]</f>
        <v>0</v>
      </c>
      <c r="G193" s="36">
        <f>[1]!Table32[[#This Row],[Incentive Disbursements]]/'[1]1.) CLM Reference'!$B$5</f>
        <v>0</v>
      </c>
      <c r="H193" s="37">
        <v>0</v>
      </c>
      <c r="I193" s="36">
        <f>[1]!Table32[[#This Row],[Residential CLM $ Collected]]/'[1]1.) CLM Reference'!$B$4</f>
        <v>0</v>
      </c>
      <c r="J193" s="41">
        <v>0</v>
      </c>
      <c r="K193" s="36">
        <f>[1]!Table32[[#This Row],[Residential Incentive Disbursements]]/'[1]1.) CLM Reference'!$B$5</f>
        <v>0</v>
      </c>
      <c r="L193" s="37">
        <v>40.324780799999999</v>
      </c>
      <c r="M193" s="36">
        <f>[1]!Table32[[#This Row],[C&amp;I CLM $ Collected]]/'[1]1.) CLM Reference'!$B$4</f>
        <v>3.5774700195360791E-7</v>
      </c>
      <c r="N193" s="41">
        <v>0</v>
      </c>
      <c r="O193" s="39">
        <f>[1]!Table32[[#This Row],[C&amp;I Incentive Disbursements]]/'[1]1.) CLM Reference'!$B$5</f>
        <v>0</v>
      </c>
      <c r="P193">
        <f>VLOOKUP(Table32[[#This Row],[Census Tract]],'Population and Diversity Data'!$B$2:$K$823,10,FALSE)</f>
        <v>3</v>
      </c>
      <c r="Q193" t="str">
        <f>VLOOKUP(Table32[[#This Row],[Census Tract]],'ES Energy Burden'!$B$2:$E$914,4,FALSE)</f>
        <v>No</v>
      </c>
    </row>
    <row r="194" spans="1:17" x14ac:dyDescent="0.2">
      <c r="A194" s="100">
        <v>9005310700</v>
      </c>
      <c r="B194" s="38" t="s">
        <v>2853</v>
      </c>
      <c r="C194" s="38" t="s">
        <v>944</v>
      </c>
      <c r="D194" s="40">
        <f>[1]!Table32[[#This Row],[Residential CLM $ Collected]]+[1]!Table32[[#This Row],[C&amp;I CLM $ Collected]]</f>
        <v>457654.47230592003</v>
      </c>
      <c r="E194" s="36">
        <f>[1]!Table32[[#This Row],[CLM $ Collected ]]/'[1]1.) CLM Reference'!$B$4</f>
        <v>4.0601464446919791E-3</v>
      </c>
      <c r="F194" s="37">
        <f>[1]!Table32[[#This Row],[Residential Incentive Disbursements]]+[1]!Table32[[#This Row],[C&amp;I Incentive Disbursements]]</f>
        <v>246888.66260000001</v>
      </c>
      <c r="G194" s="36">
        <f>[1]!Table32[[#This Row],[Incentive Disbursements]]/'[1]1.) CLM Reference'!$B$5</f>
        <v>3.0205968904709508E-3</v>
      </c>
      <c r="H194" s="37">
        <v>0</v>
      </c>
      <c r="I194" s="36">
        <f>[1]!Table32[[#This Row],[Residential CLM $ Collected]]/'[1]1.) CLM Reference'!$B$4</f>
        <v>0</v>
      </c>
      <c r="J194" s="41">
        <v>0</v>
      </c>
      <c r="K194" s="36">
        <f>[1]!Table32[[#This Row],[Residential Incentive Disbursements]]/'[1]1.) CLM Reference'!$B$5</f>
        <v>0</v>
      </c>
      <c r="L194" s="37">
        <v>457654.47230592003</v>
      </c>
      <c r="M194" s="36">
        <f>[1]!Table32[[#This Row],[C&amp;I CLM $ Collected]]/'[1]1.) CLM Reference'!$B$4</f>
        <v>4.0601464446919791E-3</v>
      </c>
      <c r="N194" s="41">
        <v>246888.66260000001</v>
      </c>
      <c r="O194" s="39">
        <f>[1]!Table32[[#This Row],[C&amp;I Incentive Disbursements]]/'[1]1.) CLM Reference'!$B$5</f>
        <v>3.0205968904709508E-3</v>
      </c>
      <c r="P194">
        <f>VLOOKUP(Table32[[#This Row],[Census Tract]],'Population and Diversity Data'!$B$2:$K$823,10,FALSE)</f>
        <v>1</v>
      </c>
      <c r="Q194" t="str">
        <f>VLOOKUP(Table32[[#This Row],[Census Tract]],'ES Energy Burden'!$B$2:$E$914,4,FALSE)</f>
        <v>No</v>
      </c>
    </row>
    <row r="195" spans="1:17" x14ac:dyDescent="0.2">
      <c r="A195" s="100">
        <v>9005310803</v>
      </c>
      <c r="B195" s="38" t="s">
        <v>2853</v>
      </c>
      <c r="C195" s="38" t="s">
        <v>944</v>
      </c>
      <c r="D195" s="40">
        <f>[1]!Table32[[#This Row],[Residential CLM $ Collected]]+[1]!Table32[[#This Row],[C&amp;I CLM $ Collected]]</f>
        <v>10609.57</v>
      </c>
      <c r="E195" s="166">
        <f>[1]!Table32[[#This Row],[CLM $ Collected ]]/'[1]1.) CLM Reference'!$B$4</f>
        <v>9.4124302332647519E-5</v>
      </c>
      <c r="F195" s="37">
        <f>[1]!Table32[[#This Row],[Residential Incentive Disbursements]]+[1]!Table32[[#This Row],[C&amp;I Incentive Disbursements]]</f>
        <v>0</v>
      </c>
      <c r="G195" s="166">
        <f>[1]!Table32[[#This Row],[Incentive Disbursements]]/'[1]1.) CLM Reference'!$B$5</f>
        <v>0</v>
      </c>
      <c r="H195" s="167">
        <v>10609.57</v>
      </c>
      <c r="I195" s="166">
        <f>[1]!Table32[[#This Row],[Residential CLM $ Collected]]/'[1]1.) CLM Reference'!$B$4</f>
        <v>9.4124302332647519E-5</v>
      </c>
      <c r="J195" s="167">
        <v>0</v>
      </c>
      <c r="K195" s="166">
        <f>[1]!Table32[[#This Row],[Residential Incentive Disbursements]]/'[1]1.) CLM Reference'!$B$5</f>
        <v>0</v>
      </c>
      <c r="L195" s="167">
        <v>0</v>
      </c>
      <c r="M195" s="166">
        <f>[1]!Table32[[#This Row],[C&amp;I CLM $ Collected]]/'[1]1.) CLM Reference'!$B$4</f>
        <v>0</v>
      </c>
      <c r="N195" s="167">
        <v>0</v>
      </c>
      <c r="O195" s="39">
        <f>[1]!Table32[[#This Row],[C&amp;I Incentive Disbursements]]/'[1]1.) CLM Reference'!$B$5</f>
        <v>0</v>
      </c>
      <c r="P195">
        <f>VLOOKUP(Table32[[#This Row],[Census Tract]],'Population and Diversity Data'!$B$2:$K$823,10,FALSE)</f>
        <v>4</v>
      </c>
      <c r="Q195" t="str">
        <f>VLOOKUP(Table32[[#This Row],[Census Tract]],'ES Energy Burden'!$B$2:$E$914,4,FALSE)</f>
        <v>Yes</v>
      </c>
    </row>
    <row r="196" spans="1:17" x14ac:dyDescent="0.2">
      <c r="A196" s="100">
        <v>9003496200</v>
      </c>
      <c r="B196" s="38" t="s">
        <v>2854</v>
      </c>
      <c r="C196" s="38" t="s">
        <v>944</v>
      </c>
      <c r="D196" s="40">
        <f>[1]!Table32[[#This Row],[Residential CLM $ Collected]]+[1]!Table32[[#This Row],[C&amp;I CLM $ Collected]]</f>
        <v>80.999784000000005</v>
      </c>
      <c r="E196" s="36">
        <f>[1]!Table32[[#This Row],[CLM $ Collected ]]/'[1]1.) CLM Reference'!$B$4</f>
        <v>7.1860105151246901E-7</v>
      </c>
      <c r="F196" s="37">
        <f>[1]!Table32[[#This Row],[Residential Incentive Disbursements]]+[1]!Table32[[#This Row],[C&amp;I Incentive Disbursements]]</f>
        <v>0</v>
      </c>
      <c r="G196" s="36">
        <f>[1]!Table32[[#This Row],[Incentive Disbursements]]/'[1]1.) CLM Reference'!$B$5</f>
        <v>0</v>
      </c>
      <c r="H196" s="37">
        <v>0</v>
      </c>
      <c r="I196" s="36">
        <f>[1]!Table32[[#This Row],[Residential CLM $ Collected]]/'[1]1.) CLM Reference'!$B$4</f>
        <v>0</v>
      </c>
      <c r="J196" s="41">
        <v>0</v>
      </c>
      <c r="K196" s="36">
        <f>[1]!Table32[[#This Row],[Residential Incentive Disbursements]]/'[1]1.) CLM Reference'!$B$5</f>
        <v>0</v>
      </c>
      <c r="L196" s="37">
        <v>80.999784000000005</v>
      </c>
      <c r="M196" s="36">
        <f>[1]!Table32[[#This Row],[C&amp;I CLM $ Collected]]/'[1]1.) CLM Reference'!$B$4</f>
        <v>7.1860105151246901E-7</v>
      </c>
      <c r="N196" s="41">
        <v>0</v>
      </c>
      <c r="O196" s="39">
        <f>[1]!Table32[[#This Row],[C&amp;I Incentive Disbursements]]/'[1]1.) CLM Reference'!$B$5</f>
        <v>0</v>
      </c>
      <c r="P196">
        <f>VLOOKUP(Table32[[#This Row],[Census Tract]],'Population and Diversity Data'!$B$2:$K$823,10,FALSE)</f>
        <v>5</v>
      </c>
      <c r="Q196" t="str">
        <f>VLOOKUP(Table32[[#This Row],[Census Tract]],'ES Energy Burden'!$B$2:$E$914,4,FALSE)</f>
        <v>No</v>
      </c>
    </row>
    <row r="197" spans="1:17" x14ac:dyDescent="0.2">
      <c r="A197" s="100">
        <v>9013890201</v>
      </c>
      <c r="B197" s="38" t="s">
        <v>2854</v>
      </c>
      <c r="C197" s="38" t="s">
        <v>944</v>
      </c>
      <c r="D197" s="40">
        <f>[1]!Table32[[#This Row],[Residential CLM $ Collected]]+[1]!Table32[[#This Row],[C&amp;I CLM $ Collected]]</f>
        <v>789.63168384000005</v>
      </c>
      <c r="E197" s="36">
        <f>[1]!Table32[[#This Row],[CLM $ Collected ]]/'[1]1.) CLM Reference'!$B$4</f>
        <v>7.0053292773593756E-6</v>
      </c>
      <c r="F197" s="37">
        <f>[1]!Table32[[#This Row],[Residential Incentive Disbursements]]+[1]!Table32[[#This Row],[C&amp;I Incentive Disbursements]]</f>
        <v>50</v>
      </c>
      <c r="G197" s="36">
        <f>[1]!Table32[[#This Row],[Incentive Disbursements]]/'[1]1.) CLM Reference'!$B$5</f>
        <v>6.1173260421536883E-7</v>
      </c>
      <c r="H197" s="37">
        <v>0</v>
      </c>
      <c r="I197" s="36">
        <f>[1]!Table32[[#This Row],[Residential CLM $ Collected]]/'[1]1.) CLM Reference'!$B$4</f>
        <v>0</v>
      </c>
      <c r="J197" s="41">
        <v>0</v>
      </c>
      <c r="K197" s="36">
        <f>[1]!Table32[[#This Row],[Residential Incentive Disbursements]]/'[1]1.) CLM Reference'!$B$5</f>
        <v>0</v>
      </c>
      <c r="L197" s="37">
        <v>789.63168384000005</v>
      </c>
      <c r="M197" s="36">
        <f>[1]!Table32[[#This Row],[C&amp;I CLM $ Collected]]/'[1]1.) CLM Reference'!$B$4</f>
        <v>7.0053292773593756E-6</v>
      </c>
      <c r="N197" s="41">
        <v>50</v>
      </c>
      <c r="O197" s="39">
        <f>[1]!Table32[[#This Row],[C&amp;I Incentive Disbursements]]/'[1]1.) CLM Reference'!$B$5</f>
        <v>6.1173260421536883E-7</v>
      </c>
      <c r="P197">
        <f>VLOOKUP(Table32[[#This Row],[Census Tract]],'Population and Diversity Data'!$B$2:$K$823,10,FALSE)</f>
        <v>4</v>
      </c>
      <c r="Q197" t="str">
        <f>VLOOKUP(Table32[[#This Row],[Census Tract]],'ES Energy Burden'!$B$2:$E$914,4,FALSE)</f>
        <v>No</v>
      </c>
    </row>
    <row r="198" spans="1:17" x14ac:dyDescent="0.2">
      <c r="A198" s="100">
        <v>9013530200</v>
      </c>
      <c r="B198" s="38" t="s">
        <v>2855</v>
      </c>
      <c r="C198" s="38" t="s">
        <v>944</v>
      </c>
      <c r="D198" s="40">
        <f>[1]!Table32[[#This Row],[Residential CLM $ Collected]]+[1]!Table32[[#This Row],[C&amp;I CLM $ Collected]]</f>
        <v>1253.85813216</v>
      </c>
      <c r="E198" s="36">
        <f>[1]!Table32[[#This Row],[CLM $ Collected ]]/'[1]1.) CLM Reference'!$B$4</f>
        <v>1.1123779937704974E-5</v>
      </c>
      <c r="F198" s="37">
        <f>[1]!Table32[[#This Row],[Residential Incentive Disbursements]]+[1]!Table32[[#This Row],[C&amp;I Incentive Disbursements]]</f>
        <v>0</v>
      </c>
      <c r="G198" s="36">
        <f>[1]!Table32[[#This Row],[Incentive Disbursements]]/'[1]1.) CLM Reference'!$B$5</f>
        <v>0</v>
      </c>
      <c r="H198" s="37">
        <v>0</v>
      </c>
      <c r="I198" s="36">
        <f>[1]!Table32[[#This Row],[Residential CLM $ Collected]]/'[1]1.) CLM Reference'!$B$4</f>
        <v>0</v>
      </c>
      <c r="J198" s="41">
        <v>0</v>
      </c>
      <c r="K198" s="36">
        <f>[1]!Table32[[#This Row],[Residential Incentive Disbursements]]/'[1]1.) CLM Reference'!$B$5</f>
        <v>0</v>
      </c>
      <c r="L198" s="37">
        <v>1253.85813216</v>
      </c>
      <c r="M198" s="36">
        <f>[1]!Table32[[#This Row],[C&amp;I CLM $ Collected]]/'[1]1.) CLM Reference'!$B$4</f>
        <v>1.1123779937704974E-5</v>
      </c>
      <c r="N198" s="41">
        <v>0</v>
      </c>
      <c r="O198" s="39">
        <f>[1]!Table32[[#This Row],[C&amp;I Incentive Disbursements]]/'[1]1.) CLM Reference'!$B$5</f>
        <v>0</v>
      </c>
      <c r="P198">
        <f>VLOOKUP(Table32[[#This Row],[Census Tract]],'Population and Diversity Data'!$B$2:$K$823,10,FALSE)</f>
        <v>4</v>
      </c>
      <c r="Q198" t="str">
        <f>VLOOKUP(Table32[[#This Row],[Census Tract]],'ES Energy Burden'!$B$2:$E$914,4,FALSE)</f>
        <v>No</v>
      </c>
    </row>
    <row r="199" spans="1:17" x14ac:dyDescent="0.2">
      <c r="A199" s="100">
        <v>9013530302</v>
      </c>
      <c r="B199" s="38" t="s">
        <v>2855</v>
      </c>
      <c r="C199" s="38" t="s">
        <v>944</v>
      </c>
      <c r="D199" s="40">
        <f>[1]!Table32[[#This Row],[Residential CLM $ Collected]]+[1]!Table32[[#This Row],[C&amp;I CLM $ Collected]]</f>
        <v>200822.44579776001</v>
      </c>
      <c r="E199" s="36">
        <f>[1]!Table32[[#This Row],[CLM $ Collected ]]/'[1]1.) CLM Reference'!$B$4</f>
        <v>1.7816247598583246E-3</v>
      </c>
      <c r="F199" s="37">
        <f>[1]!Table32[[#This Row],[Residential Incentive Disbursements]]+[1]!Table32[[#This Row],[C&amp;I Incentive Disbursements]]</f>
        <v>11393.35</v>
      </c>
      <c r="G199" s="36">
        <f>[1]!Table32[[#This Row],[Incentive Disbursements]]/'[1]1.) CLM Reference'!$B$5</f>
        <v>1.3939367332474345E-4</v>
      </c>
      <c r="H199" s="37">
        <v>0</v>
      </c>
      <c r="I199" s="36">
        <f>[1]!Table32[[#This Row],[Residential CLM $ Collected]]/'[1]1.) CLM Reference'!$B$4</f>
        <v>0</v>
      </c>
      <c r="J199" s="41">
        <v>0</v>
      </c>
      <c r="K199" s="36">
        <f>[1]!Table32[[#This Row],[Residential Incentive Disbursements]]/'[1]1.) CLM Reference'!$B$5</f>
        <v>0</v>
      </c>
      <c r="L199" s="37">
        <v>200822.44579776001</v>
      </c>
      <c r="M199" s="36">
        <f>[1]!Table32[[#This Row],[C&amp;I CLM $ Collected]]/'[1]1.) CLM Reference'!$B$4</f>
        <v>1.7816247598583246E-3</v>
      </c>
      <c r="N199" s="41">
        <v>11393.35</v>
      </c>
      <c r="O199" s="39">
        <f>[1]!Table32[[#This Row],[C&amp;I Incentive Disbursements]]/'[1]1.) CLM Reference'!$B$5</f>
        <v>1.3939367332474345E-4</v>
      </c>
      <c r="P199">
        <f>VLOOKUP(Table32[[#This Row],[Census Tract]],'Population and Diversity Data'!$B$2:$K$823,10,FALSE)</f>
        <v>5</v>
      </c>
      <c r="Q199" t="str">
        <f>VLOOKUP(Table32[[#This Row],[Census Tract]],'ES Energy Burden'!$B$2:$E$914,4,FALSE)</f>
        <v>No</v>
      </c>
    </row>
    <row r="200" spans="1:17" x14ac:dyDescent="0.2">
      <c r="A200" s="100">
        <v>9013535100</v>
      </c>
      <c r="B200" s="38" t="s">
        <v>2855</v>
      </c>
      <c r="C200" s="38" t="s">
        <v>944</v>
      </c>
      <c r="D200" s="40">
        <f>[1]!Table32[[#This Row],[Residential CLM $ Collected]]+[1]!Table32[[#This Row],[C&amp;I CLM $ Collected]]</f>
        <v>0.57772223999999994</v>
      </c>
      <c r="E200" s="36">
        <f>[1]!Table32[[#This Row],[CLM $ Collected ]]/'[1]1.) CLM Reference'!$B$4</f>
        <v>5.1253446446985459E-9</v>
      </c>
      <c r="F200" s="37">
        <f>[1]!Table32[[#This Row],[Residential Incentive Disbursements]]+[1]!Table32[[#This Row],[C&amp;I Incentive Disbursements]]</f>
        <v>0</v>
      </c>
      <c r="G200" s="36">
        <f>[1]!Table32[[#This Row],[Incentive Disbursements]]/'[1]1.) CLM Reference'!$B$5</f>
        <v>0</v>
      </c>
      <c r="H200" s="37">
        <v>0</v>
      </c>
      <c r="I200" s="36">
        <f>[1]!Table32[[#This Row],[Residential CLM $ Collected]]/'[1]1.) CLM Reference'!$B$4</f>
        <v>0</v>
      </c>
      <c r="J200" s="41">
        <v>0</v>
      </c>
      <c r="K200" s="36">
        <f>[1]!Table32[[#This Row],[Residential Incentive Disbursements]]/'[1]1.) CLM Reference'!$B$5</f>
        <v>0</v>
      </c>
      <c r="L200" s="37">
        <v>0.57772223999999994</v>
      </c>
      <c r="M200" s="36">
        <f>[1]!Table32[[#This Row],[C&amp;I CLM $ Collected]]/'[1]1.) CLM Reference'!$B$4</f>
        <v>5.1253446446985459E-9</v>
      </c>
      <c r="N200" s="41">
        <v>0</v>
      </c>
      <c r="O200" s="39">
        <f>[1]!Table32[[#This Row],[C&amp;I Incentive Disbursements]]/'[1]1.) CLM Reference'!$B$5</f>
        <v>0</v>
      </c>
      <c r="P200">
        <f>VLOOKUP(Table32[[#This Row],[Census Tract]],'Population and Diversity Data'!$B$2:$K$823,10,FALSE)</f>
        <v>4</v>
      </c>
      <c r="Q200" t="str">
        <f>VLOOKUP(Table32[[#This Row],[Census Tract]],'ES Energy Burden'!$B$2:$E$914,4,FALSE)</f>
        <v>No</v>
      </c>
    </row>
    <row r="201" spans="1:17" x14ac:dyDescent="0.2">
      <c r="A201" s="100">
        <v>9011708100</v>
      </c>
      <c r="B201" s="38" t="s">
        <v>2856</v>
      </c>
      <c r="C201" s="38" t="s">
        <v>944</v>
      </c>
      <c r="D201" s="40">
        <f>[1]!Table32[[#This Row],[Residential CLM $ Collected]]+[1]!Table32[[#This Row],[C&amp;I CLM $ Collected]]</f>
        <v>1506.0333110400002</v>
      </c>
      <c r="E201" s="36">
        <f>[1]!Table32[[#This Row],[CLM $ Collected ]]/'[1]1.) CLM Reference'!$B$4</f>
        <v>1.3360987739500015E-5</v>
      </c>
      <c r="F201" s="37">
        <f>[1]!Table32[[#This Row],[Residential Incentive Disbursements]]+[1]!Table32[[#This Row],[C&amp;I Incentive Disbursements]]</f>
        <v>52362.8</v>
      </c>
      <c r="G201" s="36">
        <f>[1]!Table32[[#This Row],[Incentive Disbursements]]/'[1]1.) CLM Reference'!$B$5</f>
        <v>6.4064064016017036E-4</v>
      </c>
      <c r="H201" s="37">
        <v>0</v>
      </c>
      <c r="I201" s="36">
        <f>[1]!Table32[[#This Row],[Residential CLM $ Collected]]/'[1]1.) CLM Reference'!$B$4</f>
        <v>0</v>
      </c>
      <c r="J201" s="41">
        <v>0</v>
      </c>
      <c r="K201" s="36">
        <f>[1]!Table32[[#This Row],[Residential Incentive Disbursements]]/'[1]1.) CLM Reference'!$B$5</f>
        <v>0</v>
      </c>
      <c r="L201" s="37">
        <v>1506.0333110400002</v>
      </c>
      <c r="M201" s="36">
        <f>[1]!Table32[[#This Row],[C&amp;I CLM $ Collected]]/'[1]1.) CLM Reference'!$B$4</f>
        <v>1.3360987739500015E-5</v>
      </c>
      <c r="N201" s="41">
        <v>52362.8</v>
      </c>
      <c r="O201" s="39">
        <f>[1]!Table32[[#This Row],[C&amp;I Incentive Disbursements]]/'[1]1.) CLM Reference'!$B$5</f>
        <v>6.4064064016017036E-4</v>
      </c>
      <c r="P201">
        <f>VLOOKUP(Table32[[#This Row],[Census Tract]],'Population and Diversity Data'!$B$2:$K$823,10,FALSE)</f>
        <v>2</v>
      </c>
      <c r="Q201" t="str">
        <f>VLOOKUP(Table32[[#This Row],[Census Tract]],'ES Energy Burden'!$B$2:$E$914,4,FALSE)</f>
        <v>No</v>
      </c>
    </row>
    <row r="202" spans="1:17" x14ac:dyDescent="0.2">
      <c r="A202" s="100">
        <v>9003496200</v>
      </c>
      <c r="B202" s="38" t="s">
        <v>2857</v>
      </c>
      <c r="C202" s="38" t="s">
        <v>944</v>
      </c>
      <c r="D202" s="40">
        <f>[1]!Table32[[#This Row],[Residential CLM $ Collected]]+[1]!Table32[[#This Row],[C&amp;I CLM $ Collected]]</f>
        <v>145.21031136000002</v>
      </c>
      <c r="E202" s="36">
        <f>[1]!Table32[[#This Row],[CLM $ Collected ]]/'[1]1.) CLM Reference'!$B$4</f>
        <v>1.2882538357602169E-6</v>
      </c>
      <c r="F202" s="37">
        <f>[1]!Table32[[#This Row],[Residential Incentive Disbursements]]+[1]!Table32[[#This Row],[C&amp;I Incentive Disbursements]]</f>
        <v>0</v>
      </c>
      <c r="G202" s="36">
        <f>[1]!Table32[[#This Row],[Incentive Disbursements]]/'[1]1.) CLM Reference'!$B$5</f>
        <v>0</v>
      </c>
      <c r="H202" s="37">
        <v>0</v>
      </c>
      <c r="I202" s="36">
        <f>[1]!Table32[[#This Row],[Residential CLM $ Collected]]/'[1]1.) CLM Reference'!$B$4</f>
        <v>0</v>
      </c>
      <c r="J202" s="41">
        <v>0</v>
      </c>
      <c r="K202" s="36">
        <f>[1]!Table32[[#This Row],[Residential Incentive Disbursements]]/'[1]1.) CLM Reference'!$B$5</f>
        <v>0</v>
      </c>
      <c r="L202" s="37">
        <v>145.21031136000002</v>
      </c>
      <c r="M202" s="36">
        <f>[1]!Table32[[#This Row],[C&amp;I CLM $ Collected]]/'[1]1.) CLM Reference'!$B$4</f>
        <v>1.2882538357602169E-6</v>
      </c>
      <c r="N202" s="41">
        <v>0</v>
      </c>
      <c r="O202" s="39">
        <f>[1]!Table32[[#This Row],[C&amp;I Incentive Disbursements]]/'[1]1.) CLM Reference'!$B$5</f>
        <v>0</v>
      </c>
      <c r="P202">
        <f>VLOOKUP(Table32[[#This Row],[Census Tract]],'Population and Diversity Data'!$B$2:$K$823,10,FALSE)</f>
        <v>5</v>
      </c>
      <c r="Q202" t="str">
        <f>VLOOKUP(Table32[[#This Row],[Census Tract]],'ES Energy Burden'!$B$2:$E$914,4,FALSE)</f>
        <v>No</v>
      </c>
    </row>
    <row r="203" spans="1:17" x14ac:dyDescent="0.2">
      <c r="A203" s="100">
        <v>9005265100</v>
      </c>
      <c r="B203" s="38" t="s">
        <v>2857</v>
      </c>
      <c r="C203" s="38" t="s">
        <v>944</v>
      </c>
      <c r="D203" s="40">
        <f>[1]!Table32[[#This Row],[Residential CLM $ Collected]]+[1]!Table32[[#This Row],[C&amp;I CLM $ Collected]]</f>
        <v>41.616840959999998</v>
      </c>
      <c r="E203" s="36">
        <f>[1]!Table32[[#This Row],[CLM $ Collected ]]/'[1]1.) CLM Reference'!$B$4</f>
        <v>3.6920969658984756E-7</v>
      </c>
      <c r="F203" s="37">
        <f>[1]!Table32[[#This Row],[Residential Incentive Disbursements]]+[1]!Table32[[#This Row],[C&amp;I Incentive Disbursements]]</f>
        <v>0</v>
      </c>
      <c r="G203" s="36">
        <f>[1]!Table32[[#This Row],[Incentive Disbursements]]/'[1]1.) CLM Reference'!$B$5</f>
        <v>0</v>
      </c>
      <c r="H203" s="37">
        <v>0</v>
      </c>
      <c r="I203" s="36">
        <f>[1]!Table32[[#This Row],[Residential CLM $ Collected]]/'[1]1.) CLM Reference'!$B$4</f>
        <v>0</v>
      </c>
      <c r="J203" s="41">
        <v>0</v>
      </c>
      <c r="K203" s="36">
        <f>[1]!Table32[[#This Row],[Residential Incentive Disbursements]]/'[1]1.) CLM Reference'!$B$5</f>
        <v>0</v>
      </c>
      <c r="L203" s="37">
        <v>41.616840959999998</v>
      </c>
      <c r="M203" s="36">
        <f>[1]!Table32[[#This Row],[C&amp;I CLM $ Collected]]/'[1]1.) CLM Reference'!$B$4</f>
        <v>3.6920969658984756E-7</v>
      </c>
      <c r="N203" s="41">
        <v>0</v>
      </c>
      <c r="O203" s="39">
        <f>[1]!Table32[[#This Row],[C&amp;I Incentive Disbursements]]/'[1]1.) CLM Reference'!$B$5</f>
        <v>0</v>
      </c>
      <c r="P203">
        <f>VLOOKUP(Table32[[#This Row],[Census Tract]],'Population and Diversity Data'!$B$2:$K$823,10,FALSE)</f>
        <v>1</v>
      </c>
      <c r="Q203" t="str">
        <f>VLOOKUP(Table32[[#This Row],[Census Tract]],'ES Energy Burden'!$B$2:$E$914,4,FALSE)</f>
        <v>No</v>
      </c>
    </row>
    <row r="204" spans="1:17" x14ac:dyDescent="0.2">
      <c r="A204" s="100">
        <v>9005267100</v>
      </c>
      <c r="B204" s="38" t="s">
        <v>2858</v>
      </c>
      <c r="C204" s="38" t="s">
        <v>944</v>
      </c>
      <c r="D204" s="40">
        <f>[1]!Table32[[#This Row],[Residential CLM $ Collected]]+[1]!Table32[[#This Row],[C&amp;I CLM $ Collected]]</f>
        <v>20984.215916160003</v>
      </c>
      <c r="E204" s="36">
        <f>[1]!Table32[[#This Row],[CLM $ Collected ]]/'[1]1.) CLM Reference'!$B$4</f>
        <v>1.8616444239551635E-4</v>
      </c>
      <c r="F204" s="37">
        <f>[1]!Table32[[#This Row],[Residential Incentive Disbursements]]+[1]!Table32[[#This Row],[C&amp;I Incentive Disbursements]]</f>
        <v>6312.81</v>
      </c>
      <c r="G204" s="36">
        <f>[1]!Table32[[#This Row],[Incentive Disbursements]]/'[1]1.) CLM Reference'!$B$5</f>
        <v>7.7235034024336464E-5</v>
      </c>
      <c r="H204" s="37">
        <v>0</v>
      </c>
      <c r="I204" s="36">
        <f>[1]!Table32[[#This Row],[Residential CLM $ Collected]]/'[1]1.) CLM Reference'!$B$4</f>
        <v>0</v>
      </c>
      <c r="J204" s="41">
        <v>0</v>
      </c>
      <c r="K204" s="36">
        <f>[1]!Table32[[#This Row],[Residential Incentive Disbursements]]/'[1]1.) CLM Reference'!$B$5</f>
        <v>0</v>
      </c>
      <c r="L204" s="37">
        <v>20984.215916160003</v>
      </c>
      <c r="M204" s="36">
        <f>[1]!Table32[[#This Row],[C&amp;I CLM $ Collected]]/'[1]1.) CLM Reference'!$B$4</f>
        <v>1.8616444239551635E-4</v>
      </c>
      <c r="N204" s="41">
        <v>6312.81</v>
      </c>
      <c r="O204" s="39">
        <f>[1]!Table32[[#This Row],[C&amp;I Incentive Disbursements]]/'[1]1.) CLM Reference'!$B$5</f>
        <v>7.7235034024336464E-5</v>
      </c>
      <c r="P204">
        <f>VLOOKUP(Table32[[#This Row],[Census Tract]],'Population and Diversity Data'!$B$2:$K$823,10,FALSE)</f>
        <v>3</v>
      </c>
      <c r="Q204" t="str">
        <f>VLOOKUP(Table32[[#This Row],[Census Tract]],'ES Energy Burden'!$B$2:$E$914,4,FALSE)</f>
        <v>No</v>
      </c>
    </row>
    <row r="205" spans="1:17" x14ac:dyDescent="0.2">
      <c r="A205" s="100">
        <v>9009350100</v>
      </c>
      <c r="B205" s="38" t="s">
        <v>982</v>
      </c>
      <c r="C205" s="38" t="s">
        <v>936</v>
      </c>
      <c r="D205" s="40">
        <f>[1]!Table32[[#This Row],[Residential CLM $ Collected]]+[1]!Table32[[#This Row],[C&amp;I CLM $ Collected]]</f>
        <v>10.75732704</v>
      </c>
      <c r="E205" s="36">
        <f>[1]!Table32[[#This Row],[CLM $ Collected ]]/'[1]1.) CLM Reference'!$B$4</f>
        <v>9.5435149832097273E-8</v>
      </c>
      <c r="F205" s="37">
        <f>[1]!Table32[[#This Row],[Residential Incentive Disbursements]]+[1]!Table32[[#This Row],[C&amp;I Incentive Disbursements]]</f>
        <v>0</v>
      </c>
      <c r="G205" s="36">
        <f>[1]!Table32[[#This Row],[Incentive Disbursements]]/'[1]1.) CLM Reference'!$B$5</f>
        <v>0</v>
      </c>
      <c r="H205" s="37">
        <v>0</v>
      </c>
      <c r="I205" s="36">
        <f>[1]!Table32[[#This Row],[Residential CLM $ Collected]]/'[1]1.) CLM Reference'!$B$4</f>
        <v>0</v>
      </c>
      <c r="J205" s="41">
        <v>0</v>
      </c>
      <c r="K205" s="36">
        <f>[1]!Table32[[#This Row],[Residential Incentive Disbursements]]/'[1]1.) CLM Reference'!$B$5</f>
        <v>0</v>
      </c>
      <c r="L205" s="37">
        <v>10.75732704</v>
      </c>
      <c r="M205" s="36">
        <f>[1]!Table32[[#This Row],[C&amp;I CLM $ Collected]]/'[1]1.) CLM Reference'!$B$4</f>
        <v>9.5435149832097273E-8</v>
      </c>
      <c r="N205" s="41">
        <v>0</v>
      </c>
      <c r="O205" s="39">
        <f>[1]!Table32[[#This Row],[C&amp;I Incentive Disbursements]]/'[1]1.) CLM Reference'!$B$5</f>
        <v>0</v>
      </c>
      <c r="P205">
        <f>VLOOKUP(Table32[[#This Row],[Census Tract]],'Population and Diversity Data'!$B$2:$K$823,10,FALSE)</f>
        <v>5</v>
      </c>
      <c r="Q205" t="e">
        <f>VLOOKUP(Table32[[#This Row],[Census Tract]],'ES Energy Burden'!$B$2:$E$914,4,FALSE)</f>
        <v>#N/A</v>
      </c>
    </row>
    <row r="206" spans="1:17" x14ac:dyDescent="0.2">
      <c r="A206" s="100">
        <v>9009351000</v>
      </c>
      <c r="B206" s="38" t="s">
        <v>982</v>
      </c>
      <c r="C206" s="38" t="s">
        <v>944</v>
      </c>
      <c r="D206" s="40">
        <f>[1]!Table32[[#This Row],[Residential CLM $ Collected]]+[1]!Table32[[#This Row],[C&amp;I CLM $ Collected]]</f>
        <v>1.9861372800000003</v>
      </c>
      <c r="E206" s="36">
        <f>[1]!Table32[[#This Row],[CLM $ Collected ]]/'[1]1.) CLM Reference'!$B$4</f>
        <v>1.7620298072104924E-8</v>
      </c>
      <c r="F206" s="37">
        <f>[1]!Table32[[#This Row],[Residential Incentive Disbursements]]+[1]!Table32[[#This Row],[C&amp;I Incentive Disbursements]]</f>
        <v>0</v>
      </c>
      <c r="G206" s="36">
        <f>[1]!Table32[[#This Row],[Incentive Disbursements]]/'[1]1.) CLM Reference'!$B$5</f>
        <v>0</v>
      </c>
      <c r="H206" s="37">
        <v>0</v>
      </c>
      <c r="I206" s="36">
        <f>[1]!Table32[[#This Row],[Residential CLM $ Collected]]/'[1]1.) CLM Reference'!$B$4</f>
        <v>0</v>
      </c>
      <c r="J206" s="41">
        <v>0</v>
      </c>
      <c r="K206" s="36">
        <f>[1]!Table32[[#This Row],[Residential Incentive Disbursements]]/'[1]1.) CLM Reference'!$B$5</f>
        <v>0</v>
      </c>
      <c r="L206" s="37">
        <v>1.9861372800000003</v>
      </c>
      <c r="M206" s="36">
        <f>[1]!Table32[[#This Row],[C&amp;I CLM $ Collected]]/'[1]1.) CLM Reference'!$B$4</f>
        <v>1.7620298072104924E-8</v>
      </c>
      <c r="N206" s="41">
        <v>0</v>
      </c>
      <c r="O206" s="39">
        <f>[1]!Table32[[#This Row],[C&amp;I Incentive Disbursements]]/'[1]1.) CLM Reference'!$B$5</f>
        <v>0</v>
      </c>
      <c r="P206">
        <f>VLOOKUP(Table32[[#This Row],[Census Tract]],'Population and Diversity Data'!$B$2:$K$823,10,FALSE)</f>
        <v>4</v>
      </c>
      <c r="Q206" t="str">
        <f>VLOOKUP(Table32[[#This Row],[Census Tract]],'ES Energy Burden'!$B$2:$E$914,4,FALSE)</f>
        <v>No</v>
      </c>
    </row>
    <row r="207" spans="1:17" x14ac:dyDescent="0.2">
      <c r="A207" s="100">
        <v>9009351602</v>
      </c>
      <c r="B207" s="38" t="s">
        <v>982</v>
      </c>
      <c r="C207" s="38" t="s">
        <v>944</v>
      </c>
      <c r="D207" s="40">
        <f>[1]!Table32[[#This Row],[Residential CLM $ Collected]]+[1]!Table32[[#This Row],[C&amp;I CLM $ Collected]]</f>
        <v>1393691.6966716801</v>
      </c>
      <c r="E207" s="36">
        <f>[1]!Table32[[#This Row],[CLM $ Collected ]]/'[1]1.) CLM Reference'!$B$4</f>
        <v>1.2364333202573309E-2</v>
      </c>
      <c r="F207" s="37">
        <f>[1]!Table32[[#This Row],[Residential Incentive Disbursements]]+[1]!Table32[[#This Row],[C&amp;I Incentive Disbursements]]</f>
        <v>1450077.0042000001</v>
      </c>
      <c r="G207" s="36">
        <f>[1]!Table32[[#This Row],[Incentive Disbursements]]/'[1]1.) CLM Reference'!$B$5</f>
        <v>1.7741187641841728E-2</v>
      </c>
      <c r="H207" s="37">
        <v>0</v>
      </c>
      <c r="I207" s="36">
        <f>[1]!Table32[[#This Row],[Residential CLM $ Collected]]/'[1]1.) CLM Reference'!$B$4</f>
        <v>0</v>
      </c>
      <c r="J207" s="41">
        <v>0</v>
      </c>
      <c r="K207" s="36">
        <f>[1]!Table32[[#This Row],[Residential Incentive Disbursements]]/'[1]1.) CLM Reference'!$B$5</f>
        <v>0</v>
      </c>
      <c r="L207" s="37">
        <v>1393691.6966716801</v>
      </c>
      <c r="M207" s="36">
        <f>[1]!Table32[[#This Row],[C&amp;I CLM $ Collected]]/'[1]1.) CLM Reference'!$B$4</f>
        <v>1.2364333202573309E-2</v>
      </c>
      <c r="N207" s="41">
        <v>1450077.0042000001</v>
      </c>
      <c r="O207" s="39">
        <f>[1]!Table32[[#This Row],[C&amp;I Incentive Disbursements]]/'[1]1.) CLM Reference'!$B$5</f>
        <v>1.7741187641841728E-2</v>
      </c>
      <c r="P207">
        <f>VLOOKUP(Table32[[#This Row],[Census Tract]],'Population and Diversity Data'!$B$2:$K$823,10,FALSE)</f>
        <v>1</v>
      </c>
      <c r="Q207" t="str">
        <f>VLOOKUP(Table32[[#This Row],[Census Tract]],'ES Energy Burden'!$B$2:$E$914,4,FALSE)</f>
        <v>No</v>
      </c>
    </row>
    <row r="208" spans="1:17" x14ac:dyDescent="0.2">
      <c r="A208" s="100">
        <v>9009351700</v>
      </c>
      <c r="B208" s="38" t="s">
        <v>982</v>
      </c>
      <c r="C208" s="38" t="s">
        <v>944</v>
      </c>
      <c r="D208" s="40">
        <f>[1]!Table32[[#This Row],[Residential CLM $ Collected]]+[1]!Table32[[#This Row],[C&amp;I CLM $ Collected]]</f>
        <v>4.5835718399999994</v>
      </c>
      <c r="E208" s="36">
        <f>[1]!Table32[[#This Row],[CLM $ Collected ]]/'[1]1.) CLM Reference'!$B$4</f>
        <v>4.0663806509742565E-8</v>
      </c>
      <c r="F208" s="37">
        <f>[1]!Table32[[#This Row],[Residential Incentive Disbursements]]+[1]!Table32[[#This Row],[C&amp;I Incentive Disbursements]]</f>
        <v>0</v>
      </c>
      <c r="G208" s="36">
        <f>[1]!Table32[[#This Row],[Incentive Disbursements]]/'[1]1.) CLM Reference'!$B$5</f>
        <v>0</v>
      </c>
      <c r="H208" s="37">
        <v>0</v>
      </c>
      <c r="I208" s="36">
        <f>[1]!Table32[[#This Row],[Residential CLM $ Collected]]/'[1]1.) CLM Reference'!$B$4</f>
        <v>0</v>
      </c>
      <c r="J208" s="41">
        <v>0</v>
      </c>
      <c r="K208" s="36">
        <f>[1]!Table32[[#This Row],[Residential Incentive Disbursements]]/'[1]1.) CLM Reference'!$B$5</f>
        <v>0</v>
      </c>
      <c r="L208" s="37">
        <v>4.5835718399999994</v>
      </c>
      <c r="M208" s="36">
        <f>[1]!Table32[[#This Row],[C&amp;I CLM $ Collected]]/'[1]1.) CLM Reference'!$B$4</f>
        <v>4.0663806509742565E-8</v>
      </c>
      <c r="N208" s="41">
        <v>0</v>
      </c>
      <c r="O208" s="39">
        <f>[1]!Table32[[#This Row],[C&amp;I Incentive Disbursements]]/'[1]1.) CLM Reference'!$B$5</f>
        <v>0</v>
      </c>
      <c r="P208">
        <f>VLOOKUP(Table32[[#This Row],[Census Tract]],'Population and Diversity Data'!$B$2:$K$823,10,FALSE)</f>
        <v>3</v>
      </c>
      <c r="Q208" t="str">
        <f>VLOOKUP(Table32[[#This Row],[Census Tract]],'ES Energy Burden'!$B$2:$E$914,4,FALSE)</f>
        <v>Yes</v>
      </c>
    </row>
    <row r="209" spans="1:17" x14ac:dyDescent="0.2">
      <c r="A209" s="100">
        <v>9009352100</v>
      </c>
      <c r="B209" s="38" t="s">
        <v>982</v>
      </c>
      <c r="C209" s="38" t="s">
        <v>944</v>
      </c>
      <c r="D209" s="40">
        <f>[1]!Table32[[#This Row],[Residential CLM $ Collected]]+[1]!Table32[[#This Row],[C&amp;I CLM $ Collected]]</f>
        <v>2.28310272</v>
      </c>
      <c r="E209" s="36">
        <f>[1]!Table32[[#This Row],[CLM $ Collected ]]/'[1]1.) CLM Reference'!$B$4</f>
        <v>2.0254869016724516E-8</v>
      </c>
      <c r="F209" s="37">
        <f>[1]!Table32[[#This Row],[Residential Incentive Disbursements]]+[1]!Table32[[#This Row],[C&amp;I Incentive Disbursements]]</f>
        <v>0</v>
      </c>
      <c r="G209" s="36">
        <f>[1]!Table32[[#This Row],[Incentive Disbursements]]/'[1]1.) CLM Reference'!$B$5</f>
        <v>0</v>
      </c>
      <c r="H209" s="37">
        <v>0</v>
      </c>
      <c r="I209" s="36">
        <f>[1]!Table32[[#This Row],[Residential CLM $ Collected]]/'[1]1.) CLM Reference'!$B$4</f>
        <v>0</v>
      </c>
      <c r="J209" s="41">
        <v>0</v>
      </c>
      <c r="K209" s="36">
        <f>[1]!Table32[[#This Row],[Residential Incentive Disbursements]]/'[1]1.) CLM Reference'!$B$5</f>
        <v>0</v>
      </c>
      <c r="L209" s="37">
        <v>2.28310272</v>
      </c>
      <c r="M209" s="36">
        <f>[1]!Table32[[#This Row],[C&amp;I CLM $ Collected]]/'[1]1.) CLM Reference'!$B$4</f>
        <v>2.0254869016724516E-8</v>
      </c>
      <c r="N209" s="41">
        <v>0</v>
      </c>
      <c r="O209" s="39">
        <f>[1]!Table32[[#This Row],[C&amp;I Incentive Disbursements]]/'[1]1.) CLM Reference'!$B$5</f>
        <v>0</v>
      </c>
      <c r="P209">
        <f>VLOOKUP(Table32[[#This Row],[Census Tract]],'Population and Diversity Data'!$B$2:$K$823,10,FALSE)</f>
        <v>2</v>
      </c>
      <c r="Q209" t="str">
        <f>VLOOKUP(Table32[[#This Row],[Census Tract]],'ES Energy Burden'!$B$2:$E$914,4,FALSE)</f>
        <v>No</v>
      </c>
    </row>
    <row r="210" spans="1:17" x14ac:dyDescent="0.2">
      <c r="A210" s="100">
        <v>9009352702</v>
      </c>
      <c r="B210" s="38" t="s">
        <v>982</v>
      </c>
      <c r="C210" s="38" t="s">
        <v>944</v>
      </c>
      <c r="D210" s="40">
        <f>[1]!Table32[[#This Row],[Residential CLM $ Collected]]+[1]!Table32[[#This Row],[C&amp;I CLM $ Collected]]</f>
        <v>2.2877337600000001</v>
      </c>
      <c r="E210" s="36">
        <f>[1]!Table32[[#This Row],[CLM $ Collected ]]/'[1]1.) CLM Reference'!$B$4</f>
        <v>2.0295953943736128E-8</v>
      </c>
      <c r="F210" s="37">
        <f>[1]!Table32[[#This Row],[Residential Incentive Disbursements]]+[1]!Table32[[#This Row],[C&amp;I Incentive Disbursements]]</f>
        <v>0</v>
      </c>
      <c r="G210" s="36">
        <f>[1]!Table32[[#This Row],[Incentive Disbursements]]/'[1]1.) CLM Reference'!$B$5</f>
        <v>0</v>
      </c>
      <c r="H210" s="37">
        <v>0</v>
      </c>
      <c r="I210" s="36">
        <f>[1]!Table32[[#This Row],[Residential CLM $ Collected]]/'[1]1.) CLM Reference'!$B$4</f>
        <v>0</v>
      </c>
      <c r="J210" s="41">
        <v>0</v>
      </c>
      <c r="K210" s="36">
        <f>[1]!Table32[[#This Row],[Residential Incentive Disbursements]]/'[1]1.) CLM Reference'!$B$5</f>
        <v>0</v>
      </c>
      <c r="L210" s="37">
        <v>2.2877337600000001</v>
      </c>
      <c r="M210" s="36">
        <f>[1]!Table32[[#This Row],[C&amp;I CLM $ Collected]]/'[1]1.) CLM Reference'!$B$4</f>
        <v>2.0295953943736128E-8</v>
      </c>
      <c r="N210" s="41">
        <v>0</v>
      </c>
      <c r="O210" s="39">
        <f>[1]!Table32[[#This Row],[C&amp;I Incentive Disbursements]]/'[1]1.) CLM Reference'!$B$5</f>
        <v>0</v>
      </c>
      <c r="P210">
        <f>VLOOKUP(Table32[[#This Row],[Census Tract]],'Population and Diversity Data'!$B$2:$K$823,10,FALSE)</f>
        <v>4</v>
      </c>
      <c r="Q210" t="str">
        <f>VLOOKUP(Table32[[#This Row],[Census Tract]],'ES Energy Burden'!$B$2:$E$914,4,FALSE)</f>
        <v>No</v>
      </c>
    </row>
    <row r="211" spans="1:17" x14ac:dyDescent="0.2">
      <c r="A211" s="100">
        <v>9011693300</v>
      </c>
      <c r="B211" s="38" t="s">
        <v>2859</v>
      </c>
      <c r="C211" s="38" t="s">
        <v>944</v>
      </c>
      <c r="D211" s="40">
        <f>[1]!Table32[[#This Row],[Residential CLM $ Collected]]+[1]!Table32[[#This Row],[C&amp;I CLM $ Collected]]</f>
        <v>373265.05472928006</v>
      </c>
      <c r="E211" s="36">
        <f>[1]!Table32[[#This Row],[CLM $ Collected ]]/'[1]1.) CLM Reference'!$B$4</f>
        <v>3.3114737790081012E-3</v>
      </c>
      <c r="F211" s="37">
        <f>[1]!Table32[[#This Row],[Residential Incentive Disbursements]]+[1]!Table32[[#This Row],[C&amp;I Incentive Disbursements]]</f>
        <v>277036.25559999997</v>
      </c>
      <c r="G211" s="36">
        <f>[1]!Table32[[#This Row],[Incentive Disbursements]]/'[1]1.) CLM Reference'!$B$5</f>
        <v>3.389442202005251E-3</v>
      </c>
      <c r="H211" s="37">
        <v>0</v>
      </c>
      <c r="I211" s="36">
        <f>[1]!Table32[[#This Row],[Residential CLM $ Collected]]/'[1]1.) CLM Reference'!$B$4</f>
        <v>0</v>
      </c>
      <c r="J211" s="41">
        <v>0</v>
      </c>
      <c r="K211" s="36">
        <f>[1]!Table32[[#This Row],[Residential Incentive Disbursements]]/'[1]1.) CLM Reference'!$B$5</f>
        <v>0</v>
      </c>
      <c r="L211" s="37">
        <v>373265.05472928006</v>
      </c>
      <c r="M211" s="36">
        <f>[1]!Table32[[#This Row],[C&amp;I CLM $ Collected]]/'[1]1.) CLM Reference'!$B$4</f>
        <v>3.3114737790081012E-3</v>
      </c>
      <c r="N211" s="41">
        <v>277036.25559999997</v>
      </c>
      <c r="O211" s="39">
        <f>[1]!Table32[[#This Row],[C&amp;I Incentive Disbursements]]/'[1]1.) CLM Reference'!$B$5</f>
        <v>3.389442202005251E-3</v>
      </c>
      <c r="P211">
        <f>VLOOKUP(Table32[[#This Row],[Census Tract]],'Population and Diversity Data'!$B$2:$K$823,10,FALSE)</f>
        <v>4</v>
      </c>
      <c r="Q211" t="str">
        <f>VLOOKUP(Table32[[#This Row],[Census Tract]],'ES Energy Burden'!$B$2:$E$914,4,FALSE)</f>
        <v>No</v>
      </c>
    </row>
    <row r="212" spans="1:17" x14ac:dyDescent="0.2">
      <c r="A212" s="100">
        <v>9005360200</v>
      </c>
      <c r="B212" s="38" t="s">
        <v>2860</v>
      </c>
      <c r="C212" s="38" t="s">
        <v>944</v>
      </c>
      <c r="D212" s="40">
        <f>[1]!Table32[[#This Row],[Residential CLM $ Collected]]+[1]!Table32[[#This Row],[C&amp;I CLM $ Collected]]</f>
        <v>442554.78577536007</v>
      </c>
      <c r="E212" s="36">
        <f>[1]!Table32[[#This Row],[CLM $ Collected ]]/'[1]1.) CLM Reference'!$B$4</f>
        <v>3.9261874378584668E-3</v>
      </c>
      <c r="F212" s="37">
        <f>[1]!Table32[[#This Row],[Residential Incentive Disbursements]]+[1]!Table32[[#This Row],[C&amp;I Incentive Disbursements]]</f>
        <v>97957.106100000005</v>
      </c>
      <c r="G212" s="36">
        <f>[1]!Table32[[#This Row],[Incentive Disbursements]]/'[1]1.) CLM Reference'!$B$5</f>
        <v>1.1984711123190839E-3</v>
      </c>
      <c r="H212" s="37">
        <v>0</v>
      </c>
      <c r="I212" s="36">
        <f>[1]!Table32[[#This Row],[Residential CLM $ Collected]]/'[1]1.) CLM Reference'!$B$4</f>
        <v>0</v>
      </c>
      <c r="J212" s="41">
        <v>0</v>
      </c>
      <c r="K212" s="36">
        <f>[1]!Table32[[#This Row],[Residential Incentive Disbursements]]/'[1]1.) CLM Reference'!$B$5</f>
        <v>0</v>
      </c>
      <c r="L212" s="37">
        <v>442554.78577536007</v>
      </c>
      <c r="M212" s="36">
        <f>[1]!Table32[[#This Row],[C&amp;I CLM $ Collected]]/'[1]1.) CLM Reference'!$B$4</f>
        <v>3.9261874378584668E-3</v>
      </c>
      <c r="N212" s="41">
        <v>97957.106100000005</v>
      </c>
      <c r="O212" s="39">
        <f>[1]!Table32[[#This Row],[C&amp;I Incentive Disbursements]]/'[1]1.) CLM Reference'!$B$5</f>
        <v>1.1984711123190839E-3</v>
      </c>
      <c r="P212">
        <f>VLOOKUP(Table32[[#This Row],[Census Tract]],'Population and Diversity Data'!$B$2:$K$823,10,FALSE)</f>
        <v>2</v>
      </c>
      <c r="Q212" t="str">
        <f>VLOOKUP(Table32[[#This Row],[Census Tract]],'ES Energy Burden'!$B$2:$E$914,4,FALSE)</f>
        <v>No</v>
      </c>
    </row>
    <row r="213" spans="1:17" x14ac:dyDescent="0.2">
      <c r="A213" s="100">
        <v>9005360300</v>
      </c>
      <c r="B213" s="38" t="s">
        <v>2860</v>
      </c>
      <c r="C213" s="38" t="s">
        <v>944</v>
      </c>
      <c r="D213" s="40">
        <f>[1]!Table32[[#This Row],[Residential CLM $ Collected]]+[1]!Table32[[#This Row],[C&amp;I CLM $ Collected]]</f>
        <v>2.7849916800000001</v>
      </c>
      <c r="E213" s="36">
        <f>[1]!Table32[[#This Row],[CLM $ Collected ]]/'[1]1.) CLM Reference'!$B$4</f>
        <v>2.4707447981607922E-8</v>
      </c>
      <c r="F213" s="37">
        <f>[1]!Table32[[#This Row],[Residential Incentive Disbursements]]+[1]!Table32[[#This Row],[C&amp;I Incentive Disbursements]]</f>
        <v>0</v>
      </c>
      <c r="G213" s="36">
        <f>[1]!Table32[[#This Row],[Incentive Disbursements]]/'[1]1.) CLM Reference'!$B$5</f>
        <v>0</v>
      </c>
      <c r="H213" s="37">
        <v>0</v>
      </c>
      <c r="I213" s="36">
        <f>[1]!Table32[[#This Row],[Residential CLM $ Collected]]/'[1]1.) CLM Reference'!$B$4</f>
        <v>0</v>
      </c>
      <c r="J213" s="41">
        <v>0</v>
      </c>
      <c r="K213" s="36">
        <f>[1]!Table32[[#This Row],[Residential Incentive Disbursements]]/'[1]1.) CLM Reference'!$B$5</f>
        <v>0</v>
      </c>
      <c r="L213" s="37">
        <v>2.7849916800000001</v>
      </c>
      <c r="M213" s="36">
        <f>[1]!Table32[[#This Row],[C&amp;I CLM $ Collected]]/'[1]1.) CLM Reference'!$B$4</f>
        <v>2.4707447981607922E-8</v>
      </c>
      <c r="N213" s="41">
        <v>0</v>
      </c>
      <c r="O213" s="39">
        <f>[1]!Table32[[#This Row],[C&amp;I Incentive Disbursements]]/'[1]1.) CLM Reference'!$B$5</f>
        <v>0</v>
      </c>
      <c r="P213">
        <f>VLOOKUP(Table32[[#This Row],[Census Tract]],'Population and Diversity Data'!$B$2:$K$823,10,FALSE)</f>
        <v>2</v>
      </c>
      <c r="Q213" t="str">
        <f>VLOOKUP(Table32[[#This Row],[Census Tract]],'ES Energy Burden'!$B$2:$E$914,4,FALSE)</f>
        <v>No</v>
      </c>
    </row>
    <row r="214" spans="1:17" x14ac:dyDescent="0.2">
      <c r="A214" s="100">
        <v>9003496200</v>
      </c>
      <c r="B214" s="38" t="s">
        <v>2861</v>
      </c>
      <c r="C214" s="38" t="s">
        <v>944</v>
      </c>
      <c r="D214" s="40">
        <f>[1]!Table32[[#This Row],[Residential CLM $ Collected]]+[1]!Table32[[#This Row],[C&amp;I CLM $ Collected]]</f>
        <v>442975.54643999995</v>
      </c>
      <c r="E214" s="36">
        <f>[1]!Table32[[#This Row],[CLM $ Collected ]]/'[1]1.) CLM Reference'!$B$4</f>
        <v>3.9299202756651113E-3</v>
      </c>
      <c r="F214" s="37">
        <f>[1]!Table32[[#This Row],[Residential Incentive Disbursements]]+[1]!Table32[[#This Row],[C&amp;I Incentive Disbursements]]</f>
        <v>0</v>
      </c>
      <c r="G214" s="36">
        <f>[1]!Table32[[#This Row],[Incentive Disbursements]]/'[1]1.) CLM Reference'!$B$5</f>
        <v>0</v>
      </c>
      <c r="H214" s="37">
        <v>0</v>
      </c>
      <c r="I214" s="36">
        <f>[1]!Table32[[#This Row],[Residential CLM $ Collected]]/'[1]1.) CLM Reference'!$B$4</f>
        <v>0</v>
      </c>
      <c r="J214" s="41">
        <v>0</v>
      </c>
      <c r="K214" s="36">
        <f>[1]!Table32[[#This Row],[Residential Incentive Disbursements]]/'[1]1.) CLM Reference'!$B$5</f>
        <v>0</v>
      </c>
      <c r="L214" s="37">
        <v>442975.54643999995</v>
      </c>
      <c r="M214" s="36">
        <f>[1]!Table32[[#This Row],[C&amp;I CLM $ Collected]]/'[1]1.) CLM Reference'!$B$4</f>
        <v>3.9299202756651113E-3</v>
      </c>
      <c r="N214" s="41">
        <v>0</v>
      </c>
      <c r="O214" s="39">
        <f>[1]!Table32[[#This Row],[C&amp;I Incentive Disbursements]]/'[1]1.) CLM Reference'!$B$5</f>
        <v>0</v>
      </c>
      <c r="P214">
        <f>VLOOKUP(Table32[[#This Row],[Census Tract]],'Population and Diversity Data'!$B$2:$K$823,10,FALSE)</f>
        <v>5</v>
      </c>
      <c r="Q214" t="str">
        <f>VLOOKUP(Table32[[#This Row],[Census Tract]],'ES Energy Burden'!$B$2:$E$914,4,FALSE)</f>
        <v>No</v>
      </c>
    </row>
    <row r="215" spans="1:17" x14ac:dyDescent="0.2">
      <c r="A215" s="100">
        <v>9003497700</v>
      </c>
      <c r="B215" s="38" t="s">
        <v>2861</v>
      </c>
      <c r="C215" s="38" t="s">
        <v>944</v>
      </c>
      <c r="D215" s="40">
        <f>[1]!Table32[[#This Row],[Residential CLM $ Collected]]+[1]!Table32[[#This Row],[C&amp;I CLM $ Collected]]</f>
        <v>244790.50455072001</v>
      </c>
      <c r="E215" s="36">
        <f>[1]!Table32[[#This Row],[CLM $ Collected ]]/'[1]1.) CLM Reference'!$B$4</f>
        <v>2.1716936179782312E-3</v>
      </c>
      <c r="F215" s="37">
        <f>[1]!Table32[[#This Row],[Residential Incentive Disbursements]]+[1]!Table32[[#This Row],[C&amp;I Incentive Disbursements]]</f>
        <v>451336.68729999999</v>
      </c>
      <c r="G215" s="36">
        <f>[1]!Table32[[#This Row],[Incentive Disbursements]]/'[1]1.) CLM Reference'!$B$5</f>
        <v>5.5219473419993318E-3</v>
      </c>
      <c r="H215" s="37">
        <v>0</v>
      </c>
      <c r="I215" s="36">
        <f>[1]!Table32[[#This Row],[Residential CLM $ Collected]]/'[1]1.) CLM Reference'!$B$4</f>
        <v>0</v>
      </c>
      <c r="J215" s="41">
        <v>0</v>
      </c>
      <c r="K215" s="36">
        <f>[1]!Table32[[#This Row],[Residential Incentive Disbursements]]/'[1]1.) CLM Reference'!$B$5</f>
        <v>0</v>
      </c>
      <c r="L215" s="37">
        <v>244790.50455072001</v>
      </c>
      <c r="M215" s="36">
        <f>[1]!Table32[[#This Row],[C&amp;I CLM $ Collected]]/'[1]1.) CLM Reference'!$B$4</f>
        <v>2.1716936179782312E-3</v>
      </c>
      <c r="N215" s="41">
        <v>451336.68729999999</v>
      </c>
      <c r="O215" s="39">
        <f>[1]!Table32[[#This Row],[C&amp;I Incentive Disbursements]]/'[1]1.) CLM Reference'!$B$5</f>
        <v>5.5219473419993318E-3</v>
      </c>
      <c r="P215">
        <f>VLOOKUP(Table32[[#This Row],[Census Tract]],'Population and Diversity Data'!$B$2:$K$823,10,FALSE)</f>
        <v>3</v>
      </c>
      <c r="Q215" t="str">
        <f>VLOOKUP(Table32[[#This Row],[Census Tract]],'ES Energy Burden'!$B$2:$E$914,4,FALSE)</f>
        <v>No</v>
      </c>
    </row>
    <row r="216" spans="1:17" x14ac:dyDescent="0.2">
      <c r="A216" s="100">
        <v>9007680100</v>
      </c>
      <c r="B216" s="38" t="s">
        <v>2862</v>
      </c>
      <c r="C216" s="38" t="s">
        <v>944</v>
      </c>
      <c r="D216" s="40">
        <f>[1]!Table32[[#This Row],[Residential CLM $ Collected]]+[1]!Table32[[#This Row],[C&amp;I CLM $ Collected]]</f>
        <v>160285.18825151998</v>
      </c>
      <c r="E216" s="36">
        <f>[1]!Table32[[#This Row],[CLM $ Collected ]]/'[1]1.) CLM Reference'!$B$4</f>
        <v>1.4219927403684965E-3</v>
      </c>
      <c r="F216" s="37">
        <f>[1]!Table32[[#This Row],[Residential Incentive Disbursements]]+[1]!Table32[[#This Row],[C&amp;I Incentive Disbursements]]</f>
        <v>118236.8425</v>
      </c>
      <c r="G216" s="36">
        <f>[1]!Table32[[#This Row],[Incentive Disbursements]]/'[1]1.) CLM Reference'!$B$5</f>
        <v>1.4465866315345481E-3</v>
      </c>
      <c r="H216" s="37">
        <v>0</v>
      </c>
      <c r="I216" s="36">
        <f>[1]!Table32[[#This Row],[Residential CLM $ Collected]]/'[1]1.) CLM Reference'!$B$4</f>
        <v>0</v>
      </c>
      <c r="J216" s="41">
        <v>0</v>
      </c>
      <c r="K216" s="36">
        <f>[1]!Table32[[#This Row],[Residential Incentive Disbursements]]/'[1]1.) CLM Reference'!$B$5</f>
        <v>0</v>
      </c>
      <c r="L216" s="37">
        <v>160285.18825151998</v>
      </c>
      <c r="M216" s="36">
        <f>[1]!Table32[[#This Row],[C&amp;I CLM $ Collected]]/'[1]1.) CLM Reference'!$B$4</f>
        <v>1.4219927403684965E-3</v>
      </c>
      <c r="N216" s="41">
        <v>118236.8425</v>
      </c>
      <c r="O216" s="39">
        <f>[1]!Table32[[#This Row],[C&amp;I Incentive Disbursements]]/'[1]1.) CLM Reference'!$B$5</f>
        <v>1.4465866315345481E-3</v>
      </c>
      <c r="P216">
        <f>VLOOKUP(Table32[[#This Row],[Census Tract]],'Population and Diversity Data'!$B$2:$K$823,10,FALSE)</f>
        <v>2</v>
      </c>
      <c r="Q216" t="str">
        <f>VLOOKUP(Table32[[#This Row],[Census Tract]],'ES Energy Burden'!$B$2:$E$914,4,FALSE)</f>
        <v>No</v>
      </c>
    </row>
    <row r="217" spans="1:17" x14ac:dyDescent="0.2">
      <c r="A217" s="100">
        <v>9001055100</v>
      </c>
      <c r="B217" s="38" t="s">
        <v>2863</v>
      </c>
      <c r="C217" s="38" t="s">
        <v>944</v>
      </c>
      <c r="D217" s="40">
        <f>[1]!Table32[[#This Row],[Residential CLM $ Collected]]+[1]!Table32[[#This Row],[C&amp;I CLM $ Collected]]</f>
        <v>31027.42501056</v>
      </c>
      <c r="E217" s="36">
        <f>[1]!Table32[[#This Row],[CLM $ Collected ]]/'[1]1.) CLM Reference'!$B$4</f>
        <v>2.7526419377010554E-4</v>
      </c>
      <c r="F217" s="37">
        <f>[1]!Table32[[#This Row],[Residential Incentive Disbursements]]+[1]!Table32[[#This Row],[C&amp;I Incentive Disbursements]]</f>
        <v>0</v>
      </c>
      <c r="G217" s="36">
        <f>[1]!Table32[[#This Row],[Incentive Disbursements]]/'[1]1.) CLM Reference'!$B$5</f>
        <v>0</v>
      </c>
      <c r="H217" s="37">
        <v>0</v>
      </c>
      <c r="I217" s="36">
        <f>[1]!Table32[[#This Row],[Residential CLM $ Collected]]/'[1]1.) CLM Reference'!$B$4</f>
        <v>0</v>
      </c>
      <c r="J217" s="41">
        <v>0</v>
      </c>
      <c r="K217" s="36">
        <f>[1]!Table32[[#This Row],[Residential Incentive Disbursements]]/'[1]1.) CLM Reference'!$B$5</f>
        <v>0</v>
      </c>
      <c r="L217" s="37">
        <v>31027.42501056</v>
      </c>
      <c r="M217" s="36">
        <f>[1]!Table32[[#This Row],[C&amp;I CLM $ Collected]]/'[1]1.) CLM Reference'!$B$4</f>
        <v>2.7526419377010554E-4</v>
      </c>
      <c r="N217" s="41">
        <v>0</v>
      </c>
      <c r="O217" s="39">
        <f>[1]!Table32[[#This Row],[C&amp;I Incentive Disbursements]]/'[1]1.) CLM Reference'!$B$5</f>
        <v>0</v>
      </c>
      <c r="P217">
        <f>VLOOKUP(Table32[[#This Row],[Census Tract]],'Population and Diversity Data'!$B$2:$K$823,10,FALSE)</f>
        <v>4</v>
      </c>
      <c r="Q217" t="str">
        <f>VLOOKUP(Table32[[#This Row],[Census Tract]],'ES Energy Burden'!$B$2:$E$914,4,FALSE)</f>
        <v>No</v>
      </c>
    </row>
    <row r="218" spans="1:17" x14ac:dyDescent="0.2">
      <c r="A218" s="100">
        <v>9001050200</v>
      </c>
      <c r="B218" s="38" t="s">
        <v>2864</v>
      </c>
      <c r="C218" s="38" t="s">
        <v>944</v>
      </c>
      <c r="D218" s="40">
        <f>[1]!Table32[[#This Row],[Residential CLM $ Collected]]+[1]!Table32[[#This Row],[C&amp;I CLM $ Collected]]</f>
        <v>22.29787872</v>
      </c>
      <c r="E218" s="36">
        <f>[1]!Table32[[#This Row],[CLM $ Collected ]]/'[1]1.) CLM Reference'!$B$4</f>
        <v>1.9781878794503336E-7</v>
      </c>
      <c r="F218" s="37">
        <f>[1]!Table32[[#This Row],[Residential Incentive Disbursements]]+[1]!Table32[[#This Row],[C&amp;I Incentive Disbursements]]</f>
        <v>0</v>
      </c>
      <c r="G218" s="36">
        <f>[1]!Table32[[#This Row],[Incentive Disbursements]]/'[1]1.) CLM Reference'!$B$5</f>
        <v>0</v>
      </c>
      <c r="H218" s="37">
        <v>0</v>
      </c>
      <c r="I218" s="36">
        <f>[1]!Table32[[#This Row],[Residential CLM $ Collected]]/'[1]1.) CLM Reference'!$B$4</f>
        <v>0</v>
      </c>
      <c r="J218" s="41">
        <v>0</v>
      </c>
      <c r="K218" s="36">
        <f>[1]!Table32[[#This Row],[Residential Incentive Disbursements]]/'[1]1.) CLM Reference'!$B$5</f>
        <v>0</v>
      </c>
      <c r="L218" s="37">
        <v>22.29787872</v>
      </c>
      <c r="M218" s="36">
        <f>[1]!Table32[[#This Row],[C&amp;I CLM $ Collected]]/'[1]1.) CLM Reference'!$B$4</f>
        <v>1.9781878794503336E-7</v>
      </c>
      <c r="N218" s="41">
        <v>0</v>
      </c>
      <c r="O218" s="39">
        <f>[1]!Table32[[#This Row],[C&amp;I Incentive Disbursements]]/'[1]1.) CLM Reference'!$B$5</f>
        <v>0</v>
      </c>
      <c r="P218">
        <f>VLOOKUP(Table32[[#This Row],[Census Tract]],'Population and Diversity Data'!$B$2:$K$823,10,FALSE)</f>
        <v>4</v>
      </c>
      <c r="Q218" t="str">
        <f>VLOOKUP(Table32[[#This Row],[Census Tract]],'ES Energy Burden'!$B$2:$E$914,4,FALSE)</f>
        <v>No</v>
      </c>
    </row>
    <row r="219" spans="1:17" x14ac:dyDescent="0.2">
      <c r="A219" s="100">
        <v>9001050300</v>
      </c>
      <c r="B219" s="38" t="s">
        <v>2864</v>
      </c>
      <c r="C219" s="38" t="s">
        <v>944</v>
      </c>
      <c r="D219" s="40">
        <f>[1]!Table32[[#This Row],[Residential CLM $ Collected]]+[1]!Table32[[#This Row],[C&amp;I CLM $ Collected]]</f>
        <v>335490.99576768005</v>
      </c>
      <c r="E219" s="36">
        <f>[1]!Table32[[#This Row],[CLM $ Collected ]]/'[1]1.) CLM Reference'!$B$4</f>
        <v>2.976355866968981E-3</v>
      </c>
      <c r="F219" s="37">
        <f>[1]!Table32[[#This Row],[Residential Incentive Disbursements]]+[1]!Table32[[#This Row],[C&amp;I Incentive Disbursements]]</f>
        <v>52834.282299999999</v>
      </c>
      <c r="G219" s="36">
        <f>[1]!Table32[[#This Row],[Incentive Disbursements]]/'[1]1.) CLM Reference'!$B$5</f>
        <v>6.4640906206457941E-4</v>
      </c>
      <c r="H219" s="37">
        <v>3812.2721280000001</v>
      </c>
      <c r="I219" s="36">
        <f>[1]!Table32[[#This Row],[Residential CLM $ Collected]]/'[1]1.) CLM Reference'!$B$4</f>
        <v>3.3821111915958665E-5</v>
      </c>
      <c r="J219" s="41">
        <v>0</v>
      </c>
      <c r="K219" s="36">
        <f>[1]!Table32[[#This Row],[Residential Incentive Disbursements]]/'[1]1.) CLM Reference'!$B$5</f>
        <v>0</v>
      </c>
      <c r="L219" s="37">
        <v>331678.72363968007</v>
      </c>
      <c r="M219" s="36">
        <f>[1]!Table32[[#This Row],[C&amp;I CLM $ Collected]]/'[1]1.) CLM Reference'!$B$4</f>
        <v>2.9425347550530224E-3</v>
      </c>
      <c r="N219" s="41">
        <v>52834.282299999999</v>
      </c>
      <c r="O219" s="39">
        <f>[1]!Table32[[#This Row],[C&amp;I Incentive Disbursements]]/'[1]1.) CLM Reference'!$B$5</f>
        <v>6.4640906206457941E-4</v>
      </c>
      <c r="P219">
        <f>VLOOKUP(Table32[[#This Row],[Census Tract]],'Population and Diversity Data'!$B$2:$K$823,10,FALSE)</f>
        <v>3</v>
      </c>
      <c r="Q219" t="str">
        <f>VLOOKUP(Table32[[#This Row],[Census Tract]],'ES Energy Burden'!$B$2:$E$914,4,FALSE)</f>
        <v>No</v>
      </c>
    </row>
    <row r="220" spans="1:17" x14ac:dyDescent="0.2">
      <c r="A220" s="100">
        <v>9003492600</v>
      </c>
      <c r="B220" s="38" t="s">
        <v>2865</v>
      </c>
      <c r="C220" s="38" t="s">
        <v>944</v>
      </c>
      <c r="D220" s="40">
        <f>[1]!Table32[[#This Row],[Residential CLM $ Collected]]+[1]!Table32[[#This Row],[C&amp;I CLM $ Collected]]</f>
        <v>181696.36290048002</v>
      </c>
      <c r="E220" s="36">
        <f>[1]!Table32[[#This Row],[CLM $ Collected ]]/'[1]1.) CLM Reference'!$B$4</f>
        <v>1.6119450076098488E-3</v>
      </c>
      <c r="F220" s="37">
        <f>[1]!Table32[[#This Row],[Residential Incentive Disbursements]]+[1]!Table32[[#This Row],[C&amp;I Incentive Disbursements]]</f>
        <v>231768.41800000001</v>
      </c>
      <c r="G220" s="36">
        <f>[1]!Table32[[#This Row],[Incentive Disbursements]]/'[1]1.) CLM Reference'!$B$5</f>
        <v>2.8356059583603235E-3</v>
      </c>
      <c r="H220" s="37">
        <v>0</v>
      </c>
      <c r="I220" s="36">
        <f>[1]!Table32[[#This Row],[Residential CLM $ Collected]]/'[1]1.) CLM Reference'!$B$4</f>
        <v>0</v>
      </c>
      <c r="J220" s="41">
        <v>0</v>
      </c>
      <c r="K220" s="36">
        <f>[1]!Table32[[#This Row],[Residential Incentive Disbursements]]/'[1]1.) CLM Reference'!$B$5</f>
        <v>0</v>
      </c>
      <c r="L220" s="37">
        <v>181696.36290048002</v>
      </c>
      <c r="M220" s="36">
        <f>[1]!Table32[[#This Row],[C&amp;I CLM $ Collected]]/'[1]1.) CLM Reference'!$B$4</f>
        <v>1.6119450076098488E-3</v>
      </c>
      <c r="N220" s="41">
        <v>231768.41800000001</v>
      </c>
      <c r="O220" s="39">
        <f>[1]!Table32[[#This Row],[C&amp;I Incentive Disbursements]]/'[1]1.) CLM Reference'!$B$5</f>
        <v>2.8356059583603235E-3</v>
      </c>
      <c r="P220">
        <f>VLOOKUP(Table32[[#This Row],[Census Tract]],'Population and Diversity Data'!$B$2:$K$823,10,FALSE)</f>
        <v>1</v>
      </c>
      <c r="Q220" t="str">
        <f>VLOOKUP(Table32[[#This Row],[Census Tract]],'ES Energy Burden'!$B$2:$E$914,4,FALSE)</f>
        <v>No</v>
      </c>
    </row>
    <row r="221" spans="1:17" x14ac:dyDescent="0.2">
      <c r="A221" s="100">
        <v>9013840100</v>
      </c>
      <c r="B221" s="38" t="s">
        <v>2866</v>
      </c>
      <c r="C221" s="38" t="s">
        <v>944</v>
      </c>
      <c r="D221" s="40">
        <f>[1]!Table32[[#This Row],[Residential CLM $ Collected]]+[1]!Table32[[#This Row],[C&amp;I CLM $ Collected]]</f>
        <v>38797.500856320003</v>
      </c>
      <c r="E221" s="36">
        <f>[1]!Table32[[#This Row],[CLM $ Collected ]]/'[1]1.) CLM Reference'!$B$4</f>
        <v>3.4419752170459453E-4</v>
      </c>
      <c r="F221" s="37">
        <f>[1]!Table32[[#This Row],[Residential Incentive Disbursements]]+[1]!Table32[[#This Row],[C&amp;I Incentive Disbursements]]</f>
        <v>950</v>
      </c>
      <c r="G221" s="36">
        <f>[1]!Table32[[#This Row],[Incentive Disbursements]]/'[1]1.) CLM Reference'!$B$5</f>
        <v>1.1622919480092009E-5</v>
      </c>
      <c r="H221" s="37">
        <v>0</v>
      </c>
      <c r="I221" s="36">
        <f>[1]!Table32[[#This Row],[Residential CLM $ Collected]]/'[1]1.) CLM Reference'!$B$4</f>
        <v>0</v>
      </c>
      <c r="J221" s="41">
        <v>0</v>
      </c>
      <c r="K221" s="36">
        <f>[1]!Table32[[#This Row],[Residential Incentive Disbursements]]/'[1]1.) CLM Reference'!$B$5</f>
        <v>0</v>
      </c>
      <c r="L221" s="37">
        <v>38797.500856320003</v>
      </c>
      <c r="M221" s="36">
        <f>[1]!Table32[[#This Row],[C&amp;I CLM $ Collected]]/'[1]1.) CLM Reference'!$B$4</f>
        <v>3.4419752170459453E-4</v>
      </c>
      <c r="N221" s="41">
        <v>950</v>
      </c>
      <c r="O221" s="39">
        <f>[1]!Table32[[#This Row],[C&amp;I Incentive Disbursements]]/'[1]1.) CLM Reference'!$B$5</f>
        <v>1.1622919480092009E-5</v>
      </c>
      <c r="P221">
        <f>VLOOKUP(Table32[[#This Row],[Census Tract]],'Population and Diversity Data'!$B$2:$K$823,10,FALSE)</f>
        <v>4</v>
      </c>
      <c r="Q221" t="str">
        <f>VLOOKUP(Table32[[#This Row],[Census Tract]],'ES Energy Burden'!$B$2:$E$914,4,FALSE)</f>
        <v>No</v>
      </c>
    </row>
    <row r="222" spans="1:17" x14ac:dyDescent="0.2">
      <c r="A222" s="100">
        <v>9001045102</v>
      </c>
      <c r="B222" s="38" t="s">
        <v>2867</v>
      </c>
      <c r="C222" s="38" t="s">
        <v>944</v>
      </c>
      <c r="D222" s="40">
        <f>[1]!Table32[[#This Row],[Residential CLM $ Collected]]+[1]!Table32[[#This Row],[C&amp;I CLM $ Collected]]</f>
        <v>437759.3024624</v>
      </c>
      <c r="E222" s="36">
        <f>[1]!Table32[[#This Row],[CLM $ Collected ]]/'[1]1.) CLM Reference'!$B$4</f>
        <v>3.8836436287144373E-3</v>
      </c>
      <c r="F222" s="37">
        <f>[1]!Table32[[#This Row],[Residential Incentive Disbursements]]+[1]!Table32[[#This Row],[C&amp;I Incentive Disbursements]]</f>
        <v>143649.93919999999</v>
      </c>
      <c r="G222" s="36">
        <f>[1]!Table32[[#This Row],[Incentive Disbursements]]/'[1]1.) CLM Reference'!$B$5</f>
        <v>1.7575070280439079E-3</v>
      </c>
      <c r="H222" s="37">
        <v>0</v>
      </c>
      <c r="I222" s="36">
        <f>[1]!Table32[[#This Row],[Residential CLM $ Collected]]/'[1]1.) CLM Reference'!$B$4</f>
        <v>0</v>
      </c>
      <c r="J222" s="41">
        <v>0</v>
      </c>
      <c r="K222" s="36">
        <f>[1]!Table32[[#This Row],[Residential Incentive Disbursements]]/'[1]1.) CLM Reference'!$B$5</f>
        <v>0</v>
      </c>
      <c r="L222" s="37">
        <v>437759.3024624</v>
      </c>
      <c r="M222" s="36">
        <f>[1]!Table32[[#This Row],[C&amp;I CLM $ Collected]]/'[1]1.) CLM Reference'!$B$4</f>
        <v>3.8836436287144373E-3</v>
      </c>
      <c r="N222" s="41">
        <v>143649.93919999999</v>
      </c>
      <c r="O222" s="39">
        <f>[1]!Table32[[#This Row],[C&amp;I Incentive Disbursements]]/'[1]1.) CLM Reference'!$B$5</f>
        <v>1.7575070280439079E-3</v>
      </c>
      <c r="P222">
        <f>VLOOKUP(Table32[[#This Row],[Census Tract]],'Population and Diversity Data'!$B$2:$K$823,10,FALSE)</f>
        <v>3</v>
      </c>
      <c r="Q222" t="str">
        <f>VLOOKUP(Table32[[#This Row],[Census Tract]],'ES Energy Burden'!$B$2:$E$914,4,FALSE)</f>
        <v>No</v>
      </c>
    </row>
    <row r="223" spans="1:17" x14ac:dyDescent="0.2">
      <c r="A223" s="100">
        <v>9005320100</v>
      </c>
      <c r="B223" s="38" t="s">
        <v>2868</v>
      </c>
      <c r="C223" s="38" t="s">
        <v>944</v>
      </c>
      <c r="D223" s="40">
        <f>[1]!Table32[[#This Row],[Residential CLM $ Collected]]+[1]!Table32[[#This Row],[C&amp;I CLM $ Collected]]</f>
        <v>146276.36301504</v>
      </c>
      <c r="E223" s="36">
        <f>[1]!Table32[[#This Row],[CLM $ Collected ]]/'[1]1.) CLM Reference'!$B$4</f>
        <v>1.2977114639469579E-3</v>
      </c>
      <c r="F223" s="37">
        <f>[1]!Table32[[#This Row],[Residential Incentive Disbursements]]+[1]!Table32[[#This Row],[C&amp;I Incentive Disbursements]]</f>
        <v>489190.40850000002</v>
      </c>
      <c r="G223" s="36">
        <f>[1]!Table32[[#This Row],[Incentive Disbursements]]/'[1]1.) CLM Reference'!$B$5</f>
        <v>5.985074450977703E-3</v>
      </c>
      <c r="H223" s="37">
        <v>0</v>
      </c>
      <c r="I223" s="36">
        <f>[1]!Table32[[#This Row],[Residential CLM $ Collected]]/'[1]1.) CLM Reference'!$B$4</f>
        <v>0</v>
      </c>
      <c r="J223" s="41">
        <v>0</v>
      </c>
      <c r="K223" s="36">
        <f>[1]!Table32[[#This Row],[Residential Incentive Disbursements]]/'[1]1.) CLM Reference'!$B$5</f>
        <v>0</v>
      </c>
      <c r="L223" s="37">
        <v>146276.36301504</v>
      </c>
      <c r="M223" s="36">
        <f>[1]!Table32[[#This Row],[C&amp;I CLM $ Collected]]/'[1]1.) CLM Reference'!$B$4</f>
        <v>1.2977114639469579E-3</v>
      </c>
      <c r="N223" s="41">
        <v>489190.40850000002</v>
      </c>
      <c r="O223" s="39">
        <f>[1]!Table32[[#This Row],[C&amp;I Incentive Disbursements]]/'[1]1.) CLM Reference'!$B$5</f>
        <v>5.985074450977703E-3</v>
      </c>
      <c r="P223">
        <f>VLOOKUP(Table32[[#This Row],[Census Tract]],'Population and Diversity Data'!$B$2:$K$823,10,FALSE)</f>
        <v>1</v>
      </c>
      <c r="Q223" t="str">
        <f>VLOOKUP(Table32[[#This Row],[Census Tract]],'ES Energy Burden'!$B$2:$E$914,4,FALSE)</f>
        <v>No</v>
      </c>
    </row>
    <row r="224" spans="1:17" x14ac:dyDescent="0.2">
      <c r="A224" s="100">
        <v>9005320200</v>
      </c>
      <c r="B224" s="38" t="s">
        <v>2868</v>
      </c>
      <c r="C224" s="38" t="s">
        <v>944</v>
      </c>
      <c r="D224" s="40">
        <f>[1]!Table32[[#This Row],[Residential CLM $ Collected]]+[1]!Table32[[#This Row],[C&amp;I CLM $ Collected]]</f>
        <v>7.4177683200000004</v>
      </c>
      <c r="E224" s="36">
        <f>[1]!Table32[[#This Row],[CLM $ Collected ]]/'[1]1.) CLM Reference'!$B$4</f>
        <v>6.5807781840848868E-8</v>
      </c>
      <c r="F224" s="37">
        <f>[1]!Table32[[#This Row],[Residential Incentive Disbursements]]+[1]!Table32[[#This Row],[C&amp;I Incentive Disbursements]]</f>
        <v>0</v>
      </c>
      <c r="G224" s="36">
        <f>[1]!Table32[[#This Row],[Incentive Disbursements]]/'[1]1.) CLM Reference'!$B$5</f>
        <v>0</v>
      </c>
      <c r="H224" s="37">
        <v>0</v>
      </c>
      <c r="I224" s="36">
        <f>[1]!Table32[[#This Row],[Residential CLM $ Collected]]/'[1]1.) CLM Reference'!$B$4</f>
        <v>0</v>
      </c>
      <c r="J224" s="41">
        <v>0</v>
      </c>
      <c r="K224" s="36">
        <f>[1]!Table32[[#This Row],[Residential Incentive Disbursements]]/'[1]1.) CLM Reference'!$B$5</f>
        <v>0</v>
      </c>
      <c r="L224" s="37">
        <v>7.4177683200000004</v>
      </c>
      <c r="M224" s="36">
        <f>[1]!Table32[[#This Row],[C&amp;I CLM $ Collected]]/'[1]1.) CLM Reference'!$B$4</f>
        <v>6.5807781840848868E-8</v>
      </c>
      <c r="N224" s="41">
        <v>0</v>
      </c>
      <c r="O224" s="39">
        <f>[1]!Table32[[#This Row],[C&amp;I Incentive Disbursements]]/'[1]1.) CLM Reference'!$B$5</f>
        <v>0</v>
      </c>
      <c r="P224">
        <f>VLOOKUP(Table32[[#This Row],[Census Tract]],'Population and Diversity Data'!$B$2:$K$823,10,FALSE)</f>
        <v>3</v>
      </c>
      <c r="Q224" t="str">
        <f>VLOOKUP(Table32[[#This Row],[Census Tract]],'ES Energy Burden'!$B$2:$E$914,4,FALSE)</f>
        <v>No</v>
      </c>
    </row>
    <row r="225" spans="1:17" x14ac:dyDescent="0.2">
      <c r="A225" s="100">
        <v>9015800500</v>
      </c>
      <c r="B225" s="38" t="s">
        <v>2869</v>
      </c>
      <c r="C225" s="38" t="s">
        <v>944</v>
      </c>
      <c r="D225" s="40">
        <f>[1]!Table32[[#This Row],[Residential CLM $ Collected]]+[1]!Table32[[#This Row],[C&amp;I CLM $ Collected]]</f>
        <v>350363.89563839999</v>
      </c>
      <c r="E225" s="36">
        <f>[1]!Table32[[#This Row],[CLM $ Collected ]]/'[1]1.) CLM Reference'!$B$4</f>
        <v>3.1083029038418077E-3</v>
      </c>
      <c r="F225" s="37">
        <f>[1]!Table32[[#This Row],[Residential Incentive Disbursements]]+[1]!Table32[[#This Row],[C&amp;I Incentive Disbursements]]</f>
        <v>690303.40599999996</v>
      </c>
      <c r="G225" s="36">
        <f>[1]!Table32[[#This Row],[Incentive Disbursements]]/'[1]1.) CLM Reference'!$B$5</f>
        <v>8.4456220050223817E-3</v>
      </c>
      <c r="H225" s="37">
        <v>0</v>
      </c>
      <c r="I225" s="36">
        <f>[1]!Table32[[#This Row],[Residential CLM $ Collected]]/'[1]1.) CLM Reference'!$B$4</f>
        <v>0</v>
      </c>
      <c r="J225" s="41">
        <v>0</v>
      </c>
      <c r="K225" s="36">
        <f>[1]!Table32[[#This Row],[Residential Incentive Disbursements]]/'[1]1.) CLM Reference'!$B$5</f>
        <v>0</v>
      </c>
      <c r="L225" s="37">
        <v>350363.89563839999</v>
      </c>
      <c r="M225" s="36">
        <f>[1]!Table32[[#This Row],[C&amp;I CLM $ Collected]]/'[1]1.) CLM Reference'!$B$4</f>
        <v>3.1083029038418077E-3</v>
      </c>
      <c r="N225" s="41">
        <v>690303.40599999996</v>
      </c>
      <c r="O225" s="39">
        <f>[1]!Table32[[#This Row],[C&amp;I Incentive Disbursements]]/'[1]1.) CLM Reference'!$B$5</f>
        <v>8.4456220050223817E-3</v>
      </c>
      <c r="P225">
        <f>VLOOKUP(Table32[[#This Row],[Census Tract]],'Population and Diversity Data'!$B$2:$K$823,10,FALSE)</f>
        <v>5</v>
      </c>
      <c r="Q225" t="str">
        <f>VLOOKUP(Table32[[#This Row],[Census Tract]],'ES Energy Burden'!$B$2:$E$914,4,FALSE)</f>
        <v>No</v>
      </c>
    </row>
    <row r="226" spans="1:17" x14ac:dyDescent="0.2">
      <c r="A226" s="100">
        <v>9003473100</v>
      </c>
      <c r="B226" s="38" t="s">
        <v>2870</v>
      </c>
      <c r="C226" s="38" t="s">
        <v>944</v>
      </c>
      <c r="D226" s="40">
        <f>[1]!Table32[[#This Row],[Residential CLM $ Collected]]+[1]!Table32[[#This Row],[C&amp;I CLM $ Collected]]</f>
        <v>2186362.3667903999</v>
      </c>
      <c r="E226" s="36">
        <f>[1]!Table32[[#This Row],[CLM $ Collected ]]/'[1]1.) CLM Reference'!$B$4</f>
        <v>1.9396623276956786E-2</v>
      </c>
      <c r="F226" s="37">
        <f>[1]!Table32[[#This Row],[Residential Incentive Disbursements]]+[1]!Table32[[#This Row],[C&amp;I Incentive Disbursements]]</f>
        <v>445016.20199999999</v>
      </c>
      <c r="G226" s="36">
        <f>[1]!Table32[[#This Row],[Incentive Disbursements]]/'[1]1.) CLM Reference'!$B$5</f>
        <v>5.4446184033498527E-3</v>
      </c>
      <c r="H226" s="37">
        <v>0</v>
      </c>
      <c r="I226" s="36">
        <f>[1]!Table32[[#This Row],[Residential CLM $ Collected]]/'[1]1.) CLM Reference'!$B$4</f>
        <v>0</v>
      </c>
      <c r="J226" s="41">
        <v>0</v>
      </c>
      <c r="K226" s="36">
        <f>[1]!Table32[[#This Row],[Residential Incentive Disbursements]]/'[1]1.) CLM Reference'!$B$5</f>
        <v>0</v>
      </c>
      <c r="L226" s="37">
        <v>2186362.3667903999</v>
      </c>
      <c r="M226" s="36">
        <f>[1]!Table32[[#This Row],[C&amp;I CLM $ Collected]]/'[1]1.) CLM Reference'!$B$4</f>
        <v>1.9396623276956786E-2</v>
      </c>
      <c r="N226" s="41">
        <v>445016.20199999999</v>
      </c>
      <c r="O226" s="39">
        <f>[1]!Table32[[#This Row],[C&amp;I Incentive Disbursements]]/'[1]1.) CLM Reference'!$B$5</f>
        <v>5.4446184033498527E-3</v>
      </c>
      <c r="P226">
        <f>VLOOKUP(Table32[[#This Row],[Census Tract]],'Population and Diversity Data'!$B$2:$K$823,10,FALSE)</f>
        <v>1</v>
      </c>
      <c r="Q226" t="str">
        <f>VLOOKUP(Table32[[#This Row],[Census Tract]],'ES Energy Burden'!$B$2:$E$914,4,FALSE)</f>
        <v>No</v>
      </c>
    </row>
    <row r="227" spans="1:17" x14ac:dyDescent="0.2">
      <c r="A227" s="100">
        <v>9003473501</v>
      </c>
      <c r="B227" s="38" t="s">
        <v>2870</v>
      </c>
      <c r="C227" s="38" t="s">
        <v>944</v>
      </c>
      <c r="D227" s="40">
        <f>[1]!Table32[[#This Row],[Residential CLM $ Collected]]+[1]!Table32[[#This Row],[C&amp;I CLM $ Collected]]</f>
        <v>6.9506121600000004</v>
      </c>
      <c r="E227" s="36">
        <f>[1]!Table32[[#This Row],[CLM $ Collected ]]/'[1]1.) CLM Reference'!$B$4</f>
        <v>6.1663339828552554E-8</v>
      </c>
      <c r="F227" s="37">
        <f>[1]!Table32[[#This Row],[Residential Incentive Disbursements]]+[1]!Table32[[#This Row],[C&amp;I Incentive Disbursements]]</f>
        <v>0</v>
      </c>
      <c r="G227" s="36">
        <f>[1]!Table32[[#This Row],[Incentive Disbursements]]/'[1]1.) CLM Reference'!$B$5</f>
        <v>0</v>
      </c>
      <c r="H227" s="37">
        <v>0</v>
      </c>
      <c r="I227" s="36">
        <f>[1]!Table32[[#This Row],[Residential CLM $ Collected]]/'[1]1.) CLM Reference'!$B$4</f>
        <v>0</v>
      </c>
      <c r="J227" s="41">
        <v>0</v>
      </c>
      <c r="K227" s="36">
        <f>[1]!Table32[[#This Row],[Residential Incentive Disbursements]]/'[1]1.) CLM Reference'!$B$5</f>
        <v>0</v>
      </c>
      <c r="L227" s="37">
        <v>6.9506121600000004</v>
      </c>
      <c r="M227" s="36">
        <f>[1]!Table32[[#This Row],[C&amp;I CLM $ Collected]]/'[1]1.) CLM Reference'!$B$4</f>
        <v>6.1663339828552554E-8</v>
      </c>
      <c r="N227" s="41">
        <v>0</v>
      </c>
      <c r="O227" s="39">
        <f>[1]!Table32[[#This Row],[C&amp;I Incentive Disbursements]]/'[1]1.) CLM Reference'!$B$5</f>
        <v>0</v>
      </c>
      <c r="P227">
        <f>VLOOKUP(Table32[[#This Row],[Census Tract]],'Population and Diversity Data'!$B$2:$K$823,10,FALSE)</f>
        <v>3</v>
      </c>
      <c r="Q227" t="str">
        <f>VLOOKUP(Table32[[#This Row],[Census Tract]],'ES Energy Burden'!$B$2:$E$914,4,FALSE)</f>
        <v>No</v>
      </c>
    </row>
    <row r="228" spans="1:17" x14ac:dyDescent="0.2">
      <c r="A228" s="100">
        <v>9003476300</v>
      </c>
      <c r="B228" s="38" t="s">
        <v>2871</v>
      </c>
      <c r="C228" s="38" t="s">
        <v>944</v>
      </c>
      <c r="D228" s="40">
        <f>[1]!Table32[[#This Row],[Residential CLM $ Collected]]+[1]!Table32[[#This Row],[C&amp;I CLM $ Collected]]</f>
        <v>381746.91158208001</v>
      </c>
      <c r="E228" s="36">
        <f>[1]!Table32[[#This Row],[CLM $ Collected ]]/'[1]1.) CLM Reference'!$B$4</f>
        <v>3.3867217729188046E-3</v>
      </c>
      <c r="F228" s="37">
        <f>[1]!Table32[[#This Row],[Residential Incentive Disbursements]]+[1]!Table32[[#This Row],[C&amp;I Incentive Disbursements]]</f>
        <v>694090.22160000005</v>
      </c>
      <c r="G228" s="36">
        <f>[1]!Table32[[#This Row],[Incentive Disbursements]]/'[1]1.) CLM Reference'!$B$5</f>
        <v>8.4919523763958109E-3</v>
      </c>
      <c r="H228" s="37">
        <v>0</v>
      </c>
      <c r="I228" s="36">
        <f>[1]!Table32[[#This Row],[Residential CLM $ Collected]]/'[1]1.) CLM Reference'!$B$4</f>
        <v>0</v>
      </c>
      <c r="J228" s="41">
        <v>0</v>
      </c>
      <c r="K228" s="36">
        <f>[1]!Table32[[#This Row],[Residential Incentive Disbursements]]/'[1]1.) CLM Reference'!$B$5</f>
        <v>0</v>
      </c>
      <c r="L228" s="37">
        <v>381746.91158208001</v>
      </c>
      <c r="M228" s="36">
        <f>[1]!Table32[[#This Row],[C&amp;I CLM $ Collected]]/'[1]1.) CLM Reference'!$B$4</f>
        <v>3.3867217729188046E-3</v>
      </c>
      <c r="N228" s="41">
        <v>694090.22160000005</v>
      </c>
      <c r="O228" s="39">
        <f>[1]!Table32[[#This Row],[C&amp;I Incentive Disbursements]]/'[1]1.) CLM Reference'!$B$5</f>
        <v>8.4919523763958109E-3</v>
      </c>
      <c r="P228">
        <f>VLOOKUP(Table32[[#This Row],[Census Tract]],'Population and Diversity Data'!$B$2:$K$823,10,FALSE)</f>
        <v>4</v>
      </c>
      <c r="Q228" t="str">
        <f>VLOOKUP(Table32[[#This Row],[Census Tract]],'ES Energy Burden'!$B$2:$E$914,4,FALSE)</f>
        <v>No</v>
      </c>
    </row>
    <row r="229" spans="1:17" x14ac:dyDescent="0.2">
      <c r="A229" s="100">
        <v>9009361100</v>
      </c>
      <c r="B229" s="38" t="s">
        <v>2872</v>
      </c>
      <c r="C229" s="38" t="s">
        <v>944</v>
      </c>
      <c r="D229" s="40">
        <f>[1]!Table32[[#This Row],[Residential CLM $ Collected]]+[1]!Table32[[#This Row],[C&amp;I CLM $ Collected]]</f>
        <v>45604.595350079995</v>
      </c>
      <c r="E229" s="36">
        <f>[1]!Table32[[#This Row],[CLM $ Collected ]]/'[1]1.) CLM Reference'!$B$4</f>
        <v>4.0458762423820955E-4</v>
      </c>
      <c r="F229" s="37">
        <f>[1]!Table32[[#This Row],[Residential Incentive Disbursements]]+[1]!Table32[[#This Row],[C&amp;I Incentive Disbursements]]</f>
        <v>5417.29</v>
      </c>
      <c r="G229" s="36">
        <f>[1]!Table32[[#This Row],[Incentive Disbursements]]/'[1]1.) CLM Reference'!$B$5</f>
        <v>6.6278658389797506E-5</v>
      </c>
      <c r="H229" s="37">
        <v>0</v>
      </c>
      <c r="I229" s="36">
        <f>[1]!Table32[[#This Row],[Residential CLM $ Collected]]/'[1]1.) CLM Reference'!$B$4</f>
        <v>0</v>
      </c>
      <c r="J229" s="41">
        <v>0</v>
      </c>
      <c r="K229" s="36">
        <f>[1]!Table32[[#This Row],[Residential Incentive Disbursements]]/'[1]1.) CLM Reference'!$B$5</f>
        <v>0</v>
      </c>
      <c r="L229" s="37">
        <v>45604.595350079995</v>
      </c>
      <c r="M229" s="36">
        <f>[1]!Table32[[#This Row],[C&amp;I CLM $ Collected]]/'[1]1.) CLM Reference'!$B$4</f>
        <v>4.0458762423820955E-4</v>
      </c>
      <c r="N229" s="41">
        <v>5417.29</v>
      </c>
      <c r="O229" s="39">
        <f>[1]!Table32[[#This Row],[C&amp;I Incentive Disbursements]]/'[1]1.) CLM Reference'!$B$5</f>
        <v>6.6278658389797506E-5</v>
      </c>
      <c r="P229">
        <f>VLOOKUP(Table32[[#This Row],[Census Tract]],'Population and Diversity Data'!$B$2:$K$823,10,FALSE)</f>
        <v>2</v>
      </c>
      <c r="Q229" t="str">
        <f>VLOOKUP(Table32[[#This Row],[Census Tract]],'ES Energy Burden'!$B$2:$E$914,4,FALSE)</f>
        <v>No</v>
      </c>
    </row>
    <row r="230" spans="1:17" x14ac:dyDescent="0.2">
      <c r="A230" s="100">
        <v>9005362102</v>
      </c>
      <c r="B230" s="38" t="s">
        <v>2873</v>
      </c>
      <c r="C230" s="38" t="s">
        <v>944</v>
      </c>
      <c r="D230" s="40">
        <f>[1]!Table32[[#This Row],[Residential CLM $ Collected]]+[1]!Table32[[#This Row],[C&amp;I CLM $ Collected]]</f>
        <v>21664.331894719999</v>
      </c>
      <c r="E230" s="36">
        <f>[1]!Table32[[#This Row],[CLM $ Collected ]]/'[1]1.) CLM Reference'!$B$4</f>
        <v>1.9219818758851149E-4</v>
      </c>
      <c r="F230" s="37">
        <f>[1]!Table32[[#This Row],[Residential Incentive Disbursements]]+[1]!Table32[[#This Row],[C&amp;I Incentive Disbursements]]</f>
        <v>1897.64</v>
      </c>
      <c r="G230" s="36">
        <f>[1]!Table32[[#This Row],[Incentive Disbursements]]/'[1]1.) CLM Reference'!$B$5</f>
        <v>2.3216965181265053E-5</v>
      </c>
      <c r="H230" s="37">
        <v>0</v>
      </c>
      <c r="I230" s="36">
        <f>[1]!Table32[[#This Row],[Residential CLM $ Collected]]/'[1]1.) CLM Reference'!$B$4</f>
        <v>0</v>
      </c>
      <c r="J230" s="41">
        <v>0</v>
      </c>
      <c r="K230" s="36">
        <f>[1]!Table32[[#This Row],[Residential Incentive Disbursements]]/'[1]1.) CLM Reference'!$B$5</f>
        <v>0</v>
      </c>
      <c r="L230" s="37">
        <v>21664.331894719999</v>
      </c>
      <c r="M230" s="36">
        <f>[1]!Table32[[#This Row],[C&amp;I CLM $ Collected]]/'[1]1.) CLM Reference'!$B$4</f>
        <v>1.9219818758851149E-4</v>
      </c>
      <c r="N230" s="41">
        <v>1897.64</v>
      </c>
      <c r="O230" s="39">
        <f>[1]!Table32[[#This Row],[C&amp;I Incentive Disbursements]]/'[1]1.) CLM Reference'!$B$5</f>
        <v>2.3216965181265053E-5</v>
      </c>
      <c r="P230">
        <f>VLOOKUP(Table32[[#This Row],[Census Tract]],'Population and Diversity Data'!$B$2:$K$823,10,FALSE)</f>
        <v>1</v>
      </c>
      <c r="Q230" t="str">
        <f>VLOOKUP(Table32[[#This Row],[Census Tract]],'ES Energy Burden'!$B$2:$E$914,4,FALSE)</f>
        <v>No</v>
      </c>
    </row>
    <row r="231" spans="1:17" x14ac:dyDescent="0.2">
      <c r="A231" s="100">
        <v>9015901100</v>
      </c>
      <c r="B231" s="38" t="s">
        <v>2874</v>
      </c>
      <c r="C231" s="38" t="s">
        <v>944</v>
      </c>
      <c r="D231" s="40">
        <f>[1]!Table32[[#This Row],[Residential CLM $ Collected]]+[1]!Table32[[#This Row],[C&amp;I CLM $ Collected]]</f>
        <v>49092.056173440011</v>
      </c>
      <c r="E231" s="36">
        <f>[1]!Table32[[#This Row],[CLM $ Collected ]]/'[1]1.) CLM Reference'!$B$4</f>
        <v>4.3552712667904383E-4</v>
      </c>
      <c r="F231" s="37">
        <f>[1]!Table32[[#This Row],[Residential Incentive Disbursements]]+[1]!Table32[[#This Row],[C&amp;I Incentive Disbursements]]</f>
        <v>10892.31</v>
      </c>
      <c r="G231" s="36">
        <f>[1]!Table32[[#This Row],[Incentive Disbursements]]/'[1]1.) CLM Reference'!$B$5</f>
        <v>1.3326362324442208E-4</v>
      </c>
      <c r="H231" s="37">
        <v>0</v>
      </c>
      <c r="I231" s="36">
        <f>[1]!Table32[[#This Row],[Residential CLM $ Collected]]/'[1]1.) CLM Reference'!$B$4</f>
        <v>0</v>
      </c>
      <c r="J231" s="41">
        <v>0</v>
      </c>
      <c r="K231" s="36">
        <f>[1]!Table32[[#This Row],[Residential Incentive Disbursements]]/'[1]1.) CLM Reference'!$B$5</f>
        <v>0</v>
      </c>
      <c r="L231" s="37">
        <v>49092.056173440011</v>
      </c>
      <c r="M231" s="36">
        <f>[1]!Table32[[#This Row],[C&amp;I CLM $ Collected]]/'[1]1.) CLM Reference'!$B$4</f>
        <v>4.3552712667904383E-4</v>
      </c>
      <c r="N231" s="41">
        <v>10892.31</v>
      </c>
      <c r="O231" s="39">
        <f>[1]!Table32[[#This Row],[C&amp;I Incentive Disbursements]]/'[1]1.) CLM Reference'!$B$5</f>
        <v>1.3326362324442208E-4</v>
      </c>
      <c r="P231">
        <f>VLOOKUP(Table32[[#This Row],[Census Tract]],'Population and Diversity Data'!$B$2:$K$823,10,FALSE)</f>
        <v>1</v>
      </c>
      <c r="Q231" t="str">
        <f>VLOOKUP(Table32[[#This Row],[Census Tract]],'ES Energy Burden'!$B$2:$E$914,4,FALSE)</f>
        <v>No</v>
      </c>
    </row>
    <row r="232" spans="1:17" x14ac:dyDescent="0.2">
      <c r="A232" s="174"/>
      <c r="B232" s="175"/>
      <c r="C232" s="171"/>
      <c r="D232" s="176"/>
      <c r="E232" s="166">
        <f>[1]!Table32[[#This Row],[CLM $ Collected ]]/'[1]1.) CLM Reference'!$B$4</f>
        <v>0</v>
      </c>
      <c r="F232" s="167"/>
      <c r="G232" s="166">
        <f>[1]!Table32[[#This Row],[Incentive Disbursements]]/'[1]1.) CLM Reference'!$B$5</f>
        <v>0</v>
      </c>
      <c r="H232" s="167"/>
      <c r="I232" s="166">
        <f>[1]!Table32[[#This Row],[Residential CLM $ Collected]]/'[1]1.) CLM Reference'!$B$4</f>
        <v>0</v>
      </c>
      <c r="J232" s="167"/>
      <c r="K232" s="166">
        <f>[1]!Table32[[#This Row],[Residential Incentive Disbursements]]/'[1]1.) CLM Reference'!$B$5</f>
        <v>0</v>
      </c>
      <c r="L232" s="167"/>
      <c r="M232" s="166">
        <f>[1]!Table32[[#This Row],[C&amp;I CLM $ Collected]]/'[1]1.) CLM Reference'!$B$4</f>
        <v>0</v>
      </c>
      <c r="N232" s="167"/>
      <c r="O232" s="39">
        <f>[1]!Table32[[#This Row],[C&amp;I Incentive Disbursements]]/'[1]1.) CLM Reference'!$B$5</f>
        <v>0</v>
      </c>
      <c r="P232" t="e">
        <f>VLOOKUP(Table32[[#This Row],[Census Tract]],'Population and Diversity Data'!$B$2:$K$823,10,FALSE)</f>
        <v>#N/A</v>
      </c>
      <c r="Q232" t="e">
        <f>VLOOKUP(Table32[[#This Row],[Census Tract]],'ES Energy Burden'!$B$2:$E$914,4,FALSE)</f>
        <v>#N/A</v>
      </c>
    </row>
    <row r="233" spans="1:17" x14ac:dyDescent="0.2">
      <c r="A233" s="58"/>
      <c r="B233" s="57"/>
      <c r="C233" s="56" t="s">
        <v>2696</v>
      </c>
      <c r="D233" s="55">
        <f>SUBTOTAL(109,D6:D231)</f>
        <v>42059561.725860156</v>
      </c>
      <c r="E233" s="54">
        <f>[1]!Table32[[#This Row],[CLM $ Collected ]]/'[1]1.) CLM Reference'!$B$4</f>
        <v>0.37313735654352737</v>
      </c>
      <c r="F233" s="53">
        <f>SUBTOTAL(109,F6:F231)</f>
        <v>37329757.104799993</v>
      </c>
      <c r="G233" s="54">
        <f>[1]!Table32[[#This Row],[Incentive Disbursements]]/'[1]1.) CLM Reference'!$B$5</f>
        <v>0.45671659056892938</v>
      </c>
      <c r="H233" s="53">
        <f>SUBTOTAL(109,H6:H231)</f>
        <v>52735.964530559999</v>
      </c>
      <c r="I233" s="54">
        <f>[1]!Table32[[#This Row],[Residential CLM $ Collected]]/'[1]1.) CLM Reference'!$B$4</f>
        <v>4.6785457556509886E-4</v>
      </c>
      <c r="J233" s="53">
        <f>SUBTOTAL(109,J6:J231)</f>
        <v>0</v>
      </c>
      <c r="K233" s="54">
        <f>[1]!Table32[[#This Row],[Residential Incentive Disbursements]]/'[1]1.) CLM Reference'!$B$5</f>
        <v>0</v>
      </c>
      <c r="L233" s="53">
        <f>SUBTOTAL(109,L6:L231)</f>
        <v>42006825.761329599</v>
      </c>
      <c r="M233" s="54">
        <f>[1]!Table32[[#This Row],[C&amp;I CLM $ Collected]]/'[1]1.) CLM Reference'!$B$4</f>
        <v>0.37266950196796228</v>
      </c>
      <c r="N233" s="53">
        <f>SUBTOTAL(109,N6:N231)</f>
        <v>37329757.104799993</v>
      </c>
      <c r="O233" s="52">
        <f>[1]!Table32[[#This Row],[C&amp;I Incentive Disbursements]]/'[1]1.) CLM Reference'!$B$5</f>
        <v>0.45671659056892938</v>
      </c>
      <c r="P233" t="e">
        <f>VLOOKUP(Table32[[#This Row],[Census Tract]],'Population and Diversity Data'!$B$2:$K$823,10,FALSE)</f>
        <v>#N/A</v>
      </c>
      <c r="Q233" t="e">
        <f>VLOOKUP(Table32[[#This Row],[Census Tract]],'ES Energy Burden'!$B$2:$E$914,4,FALSE)</f>
        <v>#N/A</v>
      </c>
    </row>
    <row r="235" spans="1:17" s="30" customFormat="1" x14ac:dyDescent="0.2">
      <c r="A235" s="29" t="s">
        <v>2707</v>
      </c>
      <c r="C235" s="31"/>
      <c r="D235" s="31"/>
      <c r="E235" s="32"/>
      <c r="F235" s="32"/>
      <c r="G235" s="32"/>
      <c r="H235" s="32"/>
      <c r="I235" s="32"/>
      <c r="J235" s="32"/>
      <c r="K235" s="32"/>
      <c r="L235" s="32"/>
      <c r="M235" s="32"/>
      <c r="N235" s="32"/>
      <c r="O235" s="32"/>
      <c r="P235" s="32"/>
    </row>
    <row r="236" spans="1:17" s="30" customFormat="1" x14ac:dyDescent="0.2">
      <c r="A236" s="29" t="s">
        <v>3879</v>
      </c>
      <c r="C236" s="31"/>
      <c r="D236" s="31"/>
      <c r="E236" s="32"/>
      <c r="F236" s="32"/>
      <c r="G236" s="32"/>
      <c r="H236" s="32"/>
      <c r="I236" s="32"/>
      <c r="J236" s="32"/>
      <c r="K236" s="32"/>
      <c r="L236" s="32"/>
      <c r="M236" s="32"/>
      <c r="N236" s="32"/>
      <c r="O236" s="32"/>
      <c r="P236" s="32"/>
    </row>
    <row r="237" spans="1:17" x14ac:dyDescent="0.2">
      <c r="A237" t="s">
        <v>3878</v>
      </c>
      <c r="D237"/>
      <c r="E237"/>
      <c r="F237"/>
      <c r="G237"/>
      <c r="H237"/>
      <c r="I237"/>
      <c r="J237"/>
      <c r="K237"/>
      <c r="L237"/>
      <c r="M237"/>
      <c r="N237"/>
      <c r="O237"/>
    </row>
  </sheetData>
  <mergeCells count="7">
    <mergeCell ref="A1:O2"/>
    <mergeCell ref="A3:C3"/>
    <mergeCell ref="D3:O3"/>
    <mergeCell ref="A4:C4"/>
    <mergeCell ref="D4:G4"/>
    <mergeCell ref="H4:K4"/>
    <mergeCell ref="L4:O4"/>
  </mergeCells>
  <pageMargins left="0.7" right="0.7" top="0.75" bottom="0.75" header="0.3" footer="0.3"/>
  <pageSetup paperSize="5" scale="52" fitToHeight="25"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FAC7A-95B8-4913-A1D2-4F4E1448984A}">
  <sheetPr>
    <tabColor theme="6" tint="0.59999389629810485"/>
    <pageSetUpPr fitToPage="1"/>
  </sheetPr>
  <dimension ref="A1:Q943"/>
  <sheetViews>
    <sheetView zoomScale="80" zoomScaleNormal="80" workbookViewId="0">
      <pane ySplit="5" topLeftCell="A6" activePane="bottomLeft" state="frozen"/>
      <selection pane="bottomLeft" activeCell="H5" sqref="H5"/>
    </sheetView>
  </sheetViews>
  <sheetFormatPr baseColWidth="10" defaultColWidth="8.6640625" defaultRowHeight="15" x14ac:dyDescent="0.2"/>
  <cols>
    <col min="1" max="1" width="15.6640625" customWidth="1"/>
    <col min="2" max="2" width="24" customWidth="1"/>
    <col min="3" max="3" width="15.6640625" customWidth="1"/>
    <col min="4" max="5" width="15.6640625" style="35" customWidth="1"/>
    <col min="6" max="16" width="15.6640625" customWidth="1"/>
    <col min="17" max="17" width="14.1640625" customWidth="1"/>
    <col min="18" max="18" width="20.5" customWidth="1"/>
    <col min="19" max="19" width="14.1640625" customWidth="1"/>
  </cols>
  <sheetData>
    <row r="1" spans="1:17" ht="18.75" customHeight="1" x14ac:dyDescent="0.2">
      <c r="A1" s="284" t="s">
        <v>2711</v>
      </c>
      <c r="B1" s="285"/>
      <c r="C1" s="285"/>
      <c r="D1" s="285"/>
      <c r="E1" s="285"/>
      <c r="F1" s="285"/>
      <c r="G1" s="285"/>
      <c r="H1" s="285"/>
      <c r="I1" s="285"/>
      <c r="J1" s="285"/>
      <c r="K1" s="285"/>
      <c r="L1" s="285"/>
      <c r="M1" s="285"/>
      <c r="N1" s="285"/>
      <c r="O1" s="286"/>
    </row>
    <row r="2" spans="1:17" ht="15.75" customHeight="1" thickBot="1" x14ac:dyDescent="0.25">
      <c r="A2" s="287"/>
      <c r="B2" s="288"/>
      <c r="C2" s="288"/>
      <c r="D2" s="288"/>
      <c r="E2" s="288"/>
      <c r="F2" s="288"/>
      <c r="G2" s="288"/>
      <c r="H2" s="288"/>
      <c r="I2" s="288"/>
      <c r="J2" s="288"/>
      <c r="K2" s="288"/>
      <c r="L2" s="288"/>
      <c r="M2" s="288"/>
      <c r="N2" s="288"/>
      <c r="O2" s="289"/>
    </row>
    <row r="3" spans="1:17" ht="17" thickBot="1" x14ac:dyDescent="0.25">
      <c r="A3" s="299" t="s">
        <v>2695</v>
      </c>
      <c r="B3" s="300"/>
      <c r="C3" s="300"/>
      <c r="D3" s="281"/>
      <c r="E3" s="282"/>
      <c r="F3" s="305"/>
      <c r="G3" s="305"/>
      <c r="H3" s="305"/>
      <c r="I3" s="305"/>
      <c r="J3" s="305"/>
      <c r="K3" s="282"/>
      <c r="L3" s="282"/>
      <c r="M3" s="282"/>
      <c r="N3" s="282"/>
      <c r="O3" s="283"/>
    </row>
    <row r="4" spans="1:17" ht="16" thickBot="1" x14ac:dyDescent="0.25">
      <c r="A4" s="315"/>
      <c r="B4" s="316"/>
      <c r="C4" s="316"/>
      <c r="D4" s="317" t="s">
        <v>2876</v>
      </c>
      <c r="E4" s="318"/>
      <c r="F4" s="321" t="s">
        <v>968</v>
      </c>
      <c r="G4" s="322"/>
      <c r="H4" s="322"/>
      <c r="I4" s="322"/>
      <c r="J4" s="323"/>
      <c r="K4" s="319" t="s">
        <v>969</v>
      </c>
      <c r="L4" s="319"/>
      <c r="M4" s="319"/>
      <c r="N4" s="319"/>
      <c r="O4" s="320"/>
    </row>
    <row r="5" spans="1:17" ht="35" thickBot="1" x14ac:dyDescent="0.25">
      <c r="A5" s="78" t="s">
        <v>2712</v>
      </c>
      <c r="B5" s="77" t="s">
        <v>2713</v>
      </c>
      <c r="C5" s="76" t="s">
        <v>2714</v>
      </c>
      <c r="D5" s="75" t="s">
        <v>2715</v>
      </c>
      <c r="E5" s="74" t="s">
        <v>2717</v>
      </c>
      <c r="F5" s="73" t="s">
        <v>970</v>
      </c>
      <c r="G5" s="70" t="s">
        <v>2877</v>
      </c>
      <c r="H5" s="71" t="s">
        <v>2878</v>
      </c>
      <c r="I5" s="71" t="s">
        <v>2879</v>
      </c>
      <c r="J5" s="72" t="s">
        <v>959</v>
      </c>
      <c r="K5" s="71" t="s">
        <v>2880</v>
      </c>
      <c r="L5" s="71" t="s">
        <v>2881</v>
      </c>
      <c r="M5" s="71" t="s">
        <v>2882</v>
      </c>
      <c r="N5" s="71" t="s">
        <v>2883</v>
      </c>
      <c r="O5" s="70" t="s">
        <v>2884</v>
      </c>
      <c r="P5" s="95" t="s">
        <v>2728</v>
      </c>
      <c r="Q5" s="95" t="s">
        <v>2729</v>
      </c>
    </row>
    <row r="6" spans="1:17" x14ac:dyDescent="0.2">
      <c r="A6" s="101">
        <v>9013528100</v>
      </c>
      <c r="B6" s="102" t="s">
        <v>2731</v>
      </c>
      <c r="C6" s="103" t="s">
        <v>944</v>
      </c>
      <c r="D6" s="69">
        <v>66033.272865599996</v>
      </c>
      <c r="E6" s="69">
        <v>14369.65</v>
      </c>
      <c r="F6" s="13">
        <f>[1]!Table323[[#This Row],[Single Family]]+[1]!Table323[[#This Row],[2-4 Units]]+[1]!Table323[[#This Row],[&gt;4 Units]]</f>
        <v>9</v>
      </c>
      <c r="G6" s="13">
        <v>9</v>
      </c>
      <c r="H6" s="13">
        <v>0</v>
      </c>
      <c r="I6" s="13">
        <v>0</v>
      </c>
      <c r="J6" s="68">
        <v>7547.15</v>
      </c>
      <c r="K6">
        <f t="shared" ref="K6:K69" si="0">L6+M6+N6</f>
        <v>1</v>
      </c>
      <c r="L6" s="13">
        <v>1</v>
      </c>
      <c r="M6" s="13">
        <v>0</v>
      </c>
      <c r="N6" s="13">
        <v>0</v>
      </c>
      <c r="O6" s="68">
        <v>647.05999999999995</v>
      </c>
      <c r="P6" s="155">
        <f>VLOOKUP(Table323[[#This Row],[Census Tract]],'Population and Diversity Data'!$B$2:$K$823,10,FALSE)</f>
        <v>1</v>
      </c>
      <c r="Q6" s="155" t="str">
        <f>VLOOKUP(Table323[[#This Row],[Census Tract]],'ES Energy Burden'!$B$2:$E$914,4,FALSE)</f>
        <v>No</v>
      </c>
    </row>
    <row r="7" spans="1:17" x14ac:dyDescent="0.2">
      <c r="A7" s="101">
        <v>9013529100</v>
      </c>
      <c r="B7" s="102" t="s">
        <v>2731</v>
      </c>
      <c r="C7" s="104" t="s">
        <v>944</v>
      </c>
      <c r="D7" s="69">
        <v>992.09612159999995</v>
      </c>
      <c r="E7" s="69">
        <v>0</v>
      </c>
      <c r="F7" s="13">
        <f>[1]!Table323[[#This Row],[Single Family]]+[1]!Table323[[#This Row],[2-4 Units]]+[1]!Table323[[#This Row],[&gt;4 Units]]</f>
        <v>0</v>
      </c>
      <c r="G7" s="13">
        <v>0</v>
      </c>
      <c r="H7" s="13">
        <v>0</v>
      </c>
      <c r="I7" s="13">
        <v>0</v>
      </c>
      <c r="J7" s="68">
        <v>0</v>
      </c>
      <c r="K7">
        <f t="shared" si="0"/>
        <v>0</v>
      </c>
      <c r="L7" s="13">
        <v>0</v>
      </c>
      <c r="M7" s="13">
        <v>0</v>
      </c>
      <c r="N7" s="13">
        <v>0</v>
      </c>
      <c r="O7" s="68">
        <v>0</v>
      </c>
      <c r="P7" s="155">
        <f>VLOOKUP(Table323[[#This Row],[Census Tract]],'Population and Diversity Data'!$B$2:$K$823,10,FALSE)</f>
        <v>2</v>
      </c>
      <c r="Q7" s="155" t="str">
        <f>VLOOKUP(Table323[[#This Row],[Census Tract]],'ES Energy Burden'!$B$2:$E$914,4,FALSE)</f>
        <v>No</v>
      </c>
    </row>
    <row r="8" spans="1:17" x14ac:dyDescent="0.2">
      <c r="A8" s="101">
        <v>9013850100</v>
      </c>
      <c r="B8" s="102" t="s">
        <v>2731</v>
      </c>
      <c r="C8" s="104" t="s">
        <v>944</v>
      </c>
      <c r="D8" s="69">
        <v>209.21302080000001</v>
      </c>
      <c r="E8" s="69">
        <v>0</v>
      </c>
      <c r="F8" s="13">
        <f>[1]!Table323[[#This Row],[Single Family]]+[1]!Table323[[#This Row],[2-4 Units]]+[1]!Table323[[#This Row],[&gt;4 Units]]</f>
        <v>0</v>
      </c>
      <c r="G8" s="13">
        <v>0</v>
      </c>
      <c r="H8" s="13">
        <v>0</v>
      </c>
      <c r="I8" s="13">
        <v>0</v>
      </c>
      <c r="J8" s="68">
        <v>0</v>
      </c>
      <c r="K8">
        <f t="shared" si="0"/>
        <v>0</v>
      </c>
      <c r="L8" s="13">
        <v>0</v>
      </c>
      <c r="M8" s="13">
        <v>0</v>
      </c>
      <c r="N8" s="13">
        <v>0</v>
      </c>
      <c r="O8" s="68">
        <v>0</v>
      </c>
      <c r="P8" s="155">
        <f>VLOOKUP(Table323[[#This Row],[Census Tract]],'Population and Diversity Data'!$B$2:$K$823,10,FALSE)</f>
        <v>3</v>
      </c>
      <c r="Q8" s="155" t="str">
        <f>VLOOKUP(Table323[[#This Row],[Census Tract]],'ES Energy Burden'!$B$2:$E$914,4,FALSE)</f>
        <v>No</v>
      </c>
    </row>
    <row r="9" spans="1:17" x14ac:dyDescent="0.2">
      <c r="A9" s="101">
        <v>9015830100</v>
      </c>
      <c r="B9" s="102" t="s">
        <v>2732</v>
      </c>
      <c r="C9" s="104" t="s">
        <v>944</v>
      </c>
      <c r="D9" s="69">
        <v>88003.867884480002</v>
      </c>
      <c r="E9" s="69">
        <v>106590.4568</v>
      </c>
      <c r="F9" s="13">
        <f>[1]!Table323[[#This Row],[Single Family]]+[1]!Table323[[#This Row],[2-4 Units]]+[1]!Table323[[#This Row],[&gt;4 Units]]</f>
        <v>10</v>
      </c>
      <c r="G9" s="13">
        <v>10</v>
      </c>
      <c r="H9" s="13">
        <v>0</v>
      </c>
      <c r="I9" s="13">
        <v>0</v>
      </c>
      <c r="J9" s="68">
        <v>6719.45</v>
      </c>
      <c r="K9">
        <f t="shared" si="0"/>
        <v>7</v>
      </c>
      <c r="L9" s="13">
        <v>7</v>
      </c>
      <c r="M9" s="13">
        <v>0</v>
      </c>
      <c r="N9" s="13">
        <v>0</v>
      </c>
      <c r="O9" s="105">
        <v>78390.7</v>
      </c>
      <c r="P9" s="155">
        <f>VLOOKUP(Table323[[#This Row],[Census Tract]],'Population and Diversity Data'!$B$2:$K$823,10,FALSE)</f>
        <v>4</v>
      </c>
      <c r="Q9" s="155" t="str">
        <f>VLOOKUP(Table323[[#This Row],[Census Tract]],'ES Energy Burden'!$B$2:$E$914,4,FALSE)</f>
        <v>No</v>
      </c>
    </row>
    <row r="10" spans="1:17" x14ac:dyDescent="0.2">
      <c r="A10" s="101">
        <v>9015902200</v>
      </c>
      <c r="B10" s="102" t="s">
        <v>2732</v>
      </c>
      <c r="C10" s="104" t="s">
        <v>944</v>
      </c>
      <c r="D10" s="69">
        <v>1561.7371968000002</v>
      </c>
      <c r="E10" s="69">
        <v>2802.3708999999999</v>
      </c>
      <c r="F10" s="13">
        <f>[1]!Table323[[#This Row],[Single Family]]+[1]!Table323[[#This Row],[2-4 Units]]+[1]!Table323[[#This Row],[&gt;4 Units]]</f>
        <v>2</v>
      </c>
      <c r="G10" s="13">
        <v>2</v>
      </c>
      <c r="H10" s="13">
        <v>0</v>
      </c>
      <c r="I10" s="13">
        <v>0</v>
      </c>
      <c r="J10" s="68">
        <v>2801.6509000000001</v>
      </c>
      <c r="K10">
        <f t="shared" si="0"/>
        <v>0</v>
      </c>
      <c r="L10" s="13">
        <v>0</v>
      </c>
      <c r="M10" s="13">
        <v>0</v>
      </c>
      <c r="N10" s="13">
        <v>0</v>
      </c>
      <c r="O10" s="105">
        <v>0</v>
      </c>
      <c r="P10" s="155">
        <f>VLOOKUP(Table323[[#This Row],[Census Tract]],'Population and Diversity Data'!$B$2:$K$823,10,FALSE)</f>
        <v>2</v>
      </c>
      <c r="Q10" s="155" t="str">
        <f>VLOOKUP(Table323[[#This Row],[Census Tract]],'ES Energy Burden'!$B$2:$E$914,4,FALSE)</f>
        <v>No</v>
      </c>
    </row>
    <row r="11" spans="1:17" x14ac:dyDescent="0.2">
      <c r="A11" s="101">
        <v>9003460301</v>
      </c>
      <c r="B11" s="102" t="s">
        <v>2733</v>
      </c>
      <c r="C11" s="104" t="s">
        <v>944</v>
      </c>
      <c r="D11" s="69">
        <v>456.74789760000004</v>
      </c>
      <c r="E11" s="69">
        <v>0</v>
      </c>
      <c r="F11" s="13">
        <f>[1]!Table323[[#This Row],[Single Family]]+[1]!Table323[[#This Row],[2-4 Units]]+[1]!Table323[[#This Row],[&gt;4 Units]]</f>
        <v>0</v>
      </c>
      <c r="G11" s="13">
        <v>0</v>
      </c>
      <c r="H11" s="13">
        <v>0</v>
      </c>
      <c r="I11" s="13">
        <v>0</v>
      </c>
      <c r="J11" s="68">
        <v>0</v>
      </c>
      <c r="K11">
        <f t="shared" si="0"/>
        <v>0</v>
      </c>
      <c r="L11" s="13">
        <v>0</v>
      </c>
      <c r="M11" s="13">
        <v>0</v>
      </c>
      <c r="N11" s="13">
        <v>0</v>
      </c>
      <c r="O11" s="105">
        <v>0</v>
      </c>
      <c r="P11" s="155">
        <f>VLOOKUP(Table323[[#This Row],[Census Tract]],'Population and Diversity Data'!$B$2:$K$823,10,FALSE)</f>
        <v>3</v>
      </c>
      <c r="Q11" s="155" t="str">
        <f>VLOOKUP(Table323[[#This Row],[Census Tract]],'ES Energy Burden'!$B$2:$E$914,4,FALSE)</f>
        <v>No</v>
      </c>
    </row>
    <row r="12" spans="1:17" x14ac:dyDescent="0.2">
      <c r="A12" s="101">
        <v>9003460302</v>
      </c>
      <c r="B12" s="102" t="s">
        <v>2733</v>
      </c>
      <c r="C12" s="104" t="s">
        <v>944</v>
      </c>
      <c r="D12" s="69">
        <v>1956.2149727999999</v>
      </c>
      <c r="E12" s="69">
        <v>0</v>
      </c>
      <c r="F12" s="13">
        <f>[1]!Table323[[#This Row],[Single Family]]+[1]!Table323[[#This Row],[2-4 Units]]+[1]!Table323[[#This Row],[&gt;4 Units]]</f>
        <v>0</v>
      </c>
      <c r="G12" s="13">
        <v>0</v>
      </c>
      <c r="H12" s="13">
        <v>0</v>
      </c>
      <c r="I12" s="13">
        <v>0</v>
      </c>
      <c r="J12" s="68">
        <v>0</v>
      </c>
      <c r="K12">
        <f t="shared" si="0"/>
        <v>0</v>
      </c>
      <c r="L12" s="13">
        <v>0</v>
      </c>
      <c r="M12" s="13">
        <v>0</v>
      </c>
      <c r="N12" s="13">
        <v>0</v>
      </c>
      <c r="O12" s="105">
        <v>0</v>
      </c>
      <c r="P12" s="155">
        <f>VLOOKUP(Table323[[#This Row],[Census Tract]],'Population and Diversity Data'!$B$2:$K$823,10,FALSE)</f>
        <v>3</v>
      </c>
      <c r="Q12" s="155" t="str">
        <f>VLOOKUP(Table323[[#This Row],[Census Tract]],'ES Energy Burden'!$B$2:$E$914,4,FALSE)</f>
        <v>No</v>
      </c>
    </row>
    <row r="13" spans="1:17" x14ac:dyDescent="0.2">
      <c r="A13" s="101">
        <v>9003462101</v>
      </c>
      <c r="B13" s="102" t="s">
        <v>2733</v>
      </c>
      <c r="C13" s="104" t="s">
        <v>944</v>
      </c>
      <c r="D13" s="69">
        <v>138431.24449920002</v>
      </c>
      <c r="E13" s="69">
        <v>186175.93520000001</v>
      </c>
      <c r="F13" s="13">
        <f>[1]!Table323[[#This Row],[Single Family]]+[1]!Table323[[#This Row],[2-4 Units]]+[1]!Table323[[#This Row],[&gt;4 Units]]</f>
        <v>211</v>
      </c>
      <c r="G13" s="13">
        <v>41</v>
      </c>
      <c r="H13" s="13">
        <v>1</v>
      </c>
      <c r="I13" s="13">
        <v>169</v>
      </c>
      <c r="J13" s="68">
        <v>85613.28</v>
      </c>
      <c r="K13">
        <f t="shared" si="0"/>
        <v>14</v>
      </c>
      <c r="L13" s="13">
        <v>14</v>
      </c>
      <c r="M13" s="13">
        <v>0</v>
      </c>
      <c r="N13" s="13">
        <v>0</v>
      </c>
      <c r="O13" s="68">
        <v>46831.199999999997</v>
      </c>
      <c r="P13" s="155">
        <f>VLOOKUP(Table323[[#This Row],[Census Tract]],'Population and Diversity Data'!$B$2:$K$823,10,FALSE)</f>
        <v>4</v>
      </c>
      <c r="Q13" s="155" t="str">
        <f>VLOOKUP(Table323[[#This Row],[Census Tract]],'ES Energy Burden'!$B$2:$E$914,4,FALSE)</f>
        <v>No</v>
      </c>
    </row>
    <row r="14" spans="1:17" x14ac:dyDescent="0.2">
      <c r="A14" s="101">
        <v>9003462102</v>
      </c>
      <c r="B14" s="102" t="s">
        <v>2733</v>
      </c>
      <c r="C14" s="104" t="s">
        <v>944</v>
      </c>
      <c r="D14" s="69">
        <v>95029.398115199991</v>
      </c>
      <c r="E14" s="69">
        <v>14426.35</v>
      </c>
      <c r="F14" s="13">
        <f>[1]!Table323[[#This Row],[Single Family]]+[1]!Table323[[#This Row],[2-4 Units]]+[1]!Table323[[#This Row],[&gt;4 Units]]</f>
        <v>23</v>
      </c>
      <c r="G14" s="13">
        <v>23</v>
      </c>
      <c r="H14" s="13">
        <v>0</v>
      </c>
      <c r="I14" s="13">
        <v>0</v>
      </c>
      <c r="J14" s="68">
        <v>13603.22</v>
      </c>
      <c r="K14">
        <f t="shared" si="0"/>
        <v>0</v>
      </c>
      <c r="L14" s="13">
        <v>0</v>
      </c>
      <c r="M14" s="13">
        <v>0</v>
      </c>
      <c r="N14" s="13">
        <v>0</v>
      </c>
      <c r="O14" s="68">
        <v>0</v>
      </c>
      <c r="P14" s="155">
        <f>VLOOKUP(Table323[[#This Row],[Census Tract]],'Population and Diversity Data'!$B$2:$K$823,10,FALSE)</f>
        <v>4</v>
      </c>
      <c r="Q14" s="155" t="str">
        <f>VLOOKUP(Table323[[#This Row],[Census Tract]],'ES Energy Burden'!$B$2:$E$914,4,FALSE)</f>
        <v>No</v>
      </c>
    </row>
    <row r="15" spans="1:17" x14ac:dyDescent="0.2">
      <c r="A15" s="101">
        <v>9003462201</v>
      </c>
      <c r="B15" s="102" t="s">
        <v>2733</v>
      </c>
      <c r="C15" s="104" t="s">
        <v>944</v>
      </c>
      <c r="D15" s="69">
        <v>111899.55728735999</v>
      </c>
      <c r="E15" s="69">
        <v>68021.914199999999</v>
      </c>
      <c r="F15" s="13">
        <f>[1]!Table323[[#This Row],[Single Family]]+[1]!Table323[[#This Row],[2-4 Units]]+[1]!Table323[[#This Row],[&gt;4 Units]]</f>
        <v>28</v>
      </c>
      <c r="G15" s="13">
        <v>28</v>
      </c>
      <c r="H15" s="13">
        <v>0</v>
      </c>
      <c r="I15" s="13">
        <v>0</v>
      </c>
      <c r="J15" s="68">
        <v>23212.9516</v>
      </c>
      <c r="K15">
        <f t="shared" si="0"/>
        <v>0</v>
      </c>
      <c r="L15" s="13">
        <v>0</v>
      </c>
      <c r="M15" s="13">
        <v>0</v>
      </c>
      <c r="N15" s="13">
        <v>0</v>
      </c>
      <c r="O15" s="68">
        <v>0</v>
      </c>
      <c r="P15" s="155">
        <f>VLOOKUP(Table323[[#This Row],[Census Tract]],'Population and Diversity Data'!$B$2:$K$823,10,FALSE)</f>
        <v>4</v>
      </c>
      <c r="Q15" s="155" t="str">
        <f>VLOOKUP(Table323[[#This Row],[Census Tract]],'ES Energy Burden'!$B$2:$E$914,4,FALSE)</f>
        <v>No</v>
      </c>
    </row>
    <row r="16" spans="1:17" x14ac:dyDescent="0.2">
      <c r="A16" s="101">
        <v>9003462202</v>
      </c>
      <c r="B16" s="102" t="s">
        <v>2733</v>
      </c>
      <c r="C16" s="104" t="s">
        <v>944</v>
      </c>
      <c r="D16" s="69">
        <v>83246.663882880006</v>
      </c>
      <c r="E16" s="69">
        <v>17796.78</v>
      </c>
      <c r="F16" s="13">
        <f>[1]!Table323[[#This Row],[Single Family]]+[1]!Table323[[#This Row],[2-4 Units]]+[1]!Table323[[#This Row],[&gt;4 Units]]</f>
        <v>14</v>
      </c>
      <c r="G16" s="13">
        <v>14</v>
      </c>
      <c r="H16" s="13">
        <v>0</v>
      </c>
      <c r="I16" s="13">
        <v>0</v>
      </c>
      <c r="J16" s="68">
        <v>14517.45</v>
      </c>
      <c r="K16">
        <f t="shared" si="0"/>
        <v>0</v>
      </c>
      <c r="L16" s="13">
        <v>0</v>
      </c>
      <c r="M16" s="13">
        <v>0</v>
      </c>
      <c r="N16" s="13">
        <v>0</v>
      </c>
      <c r="O16" s="68">
        <v>0</v>
      </c>
      <c r="P16" s="155">
        <f>VLOOKUP(Table323[[#This Row],[Census Tract]],'Population and Diversity Data'!$B$2:$K$823,10,FALSE)</f>
        <v>5</v>
      </c>
      <c r="Q16" s="155" t="str">
        <f>VLOOKUP(Table323[[#This Row],[Census Tract]],'ES Energy Burden'!$B$2:$E$914,4,FALSE)</f>
        <v>No</v>
      </c>
    </row>
    <row r="17" spans="1:17" x14ac:dyDescent="0.2">
      <c r="A17" s="101">
        <v>9003330100</v>
      </c>
      <c r="B17" s="102" t="s">
        <v>2734</v>
      </c>
      <c r="C17" s="104" t="s">
        <v>944</v>
      </c>
      <c r="D17" s="69">
        <v>3140.5924540799997</v>
      </c>
      <c r="E17" s="69">
        <v>0</v>
      </c>
      <c r="F17" s="13">
        <f>[1]!Table323[[#This Row],[Single Family]]+[1]!Table323[[#This Row],[2-4 Units]]+[1]!Table323[[#This Row],[&gt;4 Units]]</f>
        <v>0</v>
      </c>
      <c r="G17" s="13">
        <v>0</v>
      </c>
      <c r="H17" s="13">
        <v>0</v>
      </c>
      <c r="I17" s="13">
        <v>0</v>
      </c>
      <c r="J17" s="68">
        <v>0</v>
      </c>
      <c r="K17">
        <f t="shared" si="0"/>
        <v>0</v>
      </c>
      <c r="L17" s="13">
        <v>0</v>
      </c>
      <c r="M17" s="13">
        <v>0</v>
      </c>
      <c r="N17" s="13">
        <v>0</v>
      </c>
      <c r="O17" s="68">
        <v>0</v>
      </c>
      <c r="P17" s="155">
        <f>VLOOKUP(Table323[[#This Row],[Census Tract]],'Population and Diversity Data'!$B$2:$K$823,10,FALSE)</f>
        <v>3</v>
      </c>
      <c r="Q17" s="155" t="str">
        <f>VLOOKUP(Table323[[#This Row],[Census Tract]],'ES Energy Burden'!$B$2:$E$914,4,FALSE)</f>
        <v>No</v>
      </c>
    </row>
    <row r="18" spans="1:17" x14ac:dyDescent="0.2">
      <c r="A18" s="101">
        <v>9005290100</v>
      </c>
      <c r="B18" s="102" t="s">
        <v>2734</v>
      </c>
      <c r="C18" s="104" t="s">
        <v>944</v>
      </c>
      <c r="D18" s="69">
        <v>72807.389144640008</v>
      </c>
      <c r="E18" s="69">
        <v>47244.700100000002</v>
      </c>
      <c r="F18" s="13">
        <f>[1]!Table323[[#This Row],[Single Family]]+[1]!Table323[[#This Row],[2-4 Units]]+[1]!Table323[[#This Row],[&gt;4 Units]]</f>
        <v>17</v>
      </c>
      <c r="G18" s="13">
        <v>17</v>
      </c>
      <c r="H18" s="13">
        <v>0</v>
      </c>
      <c r="I18" s="13">
        <v>0</v>
      </c>
      <c r="J18" s="68">
        <v>15483.91</v>
      </c>
      <c r="K18">
        <f t="shared" si="0"/>
        <v>23</v>
      </c>
      <c r="L18" s="13">
        <v>3</v>
      </c>
      <c r="M18" s="13">
        <v>0</v>
      </c>
      <c r="N18" s="13">
        <v>20</v>
      </c>
      <c r="O18" s="68">
        <v>11522.5</v>
      </c>
      <c r="P18" s="155">
        <f>VLOOKUP(Table323[[#This Row],[Census Tract]],'Population and Diversity Data'!$B$2:$K$823,10,FALSE)</f>
        <v>2</v>
      </c>
      <c r="Q18" s="155" t="str">
        <f>VLOOKUP(Table323[[#This Row],[Census Tract]],'ES Energy Burden'!$B$2:$E$914,4,FALSE)</f>
        <v>No</v>
      </c>
    </row>
    <row r="19" spans="1:17" x14ac:dyDescent="0.2">
      <c r="A19" s="101">
        <v>9005320100</v>
      </c>
      <c r="B19" s="102" t="s">
        <v>2734</v>
      </c>
      <c r="C19" s="104" t="s">
        <v>944</v>
      </c>
      <c r="D19" s="69">
        <v>168.22252800000001</v>
      </c>
      <c r="E19" s="69">
        <v>0</v>
      </c>
      <c r="F19" s="13">
        <f>[1]!Table323[[#This Row],[Single Family]]+[1]!Table323[[#This Row],[2-4 Units]]+[1]!Table323[[#This Row],[&gt;4 Units]]</f>
        <v>0</v>
      </c>
      <c r="G19" s="13">
        <v>0</v>
      </c>
      <c r="H19" s="13">
        <v>0</v>
      </c>
      <c r="I19" s="13">
        <v>0</v>
      </c>
      <c r="J19" s="68">
        <v>0</v>
      </c>
      <c r="K19">
        <f t="shared" si="0"/>
        <v>0</v>
      </c>
      <c r="L19" s="13">
        <v>0</v>
      </c>
      <c r="M19" s="13">
        <v>0</v>
      </c>
      <c r="N19" s="13">
        <v>0</v>
      </c>
      <c r="O19" s="68">
        <v>0</v>
      </c>
      <c r="P19" s="155">
        <f>VLOOKUP(Table323[[#This Row],[Census Tract]],'Population and Diversity Data'!$B$2:$K$823,10,FALSE)</f>
        <v>1</v>
      </c>
      <c r="Q19" s="155" t="str">
        <f>VLOOKUP(Table323[[#This Row],[Census Tract]],'ES Energy Burden'!$B$2:$E$914,4,FALSE)</f>
        <v>No</v>
      </c>
    </row>
    <row r="20" spans="1:17" x14ac:dyDescent="0.2">
      <c r="A20" s="101">
        <v>9009130101</v>
      </c>
      <c r="B20" s="102" t="s">
        <v>2735</v>
      </c>
      <c r="C20" s="104" t="s">
        <v>944</v>
      </c>
      <c r="D20" s="69">
        <v>639.00826559999996</v>
      </c>
      <c r="E20" s="69">
        <v>0</v>
      </c>
      <c r="F20" s="13">
        <f>[1]!Table323[[#This Row],[Single Family]]+[1]!Table323[[#This Row],[2-4 Units]]+[1]!Table323[[#This Row],[&gt;4 Units]]</f>
        <v>0</v>
      </c>
      <c r="G20" s="13">
        <v>0</v>
      </c>
      <c r="H20" s="13">
        <v>0</v>
      </c>
      <c r="I20" s="13">
        <v>0</v>
      </c>
      <c r="J20" s="68">
        <v>0</v>
      </c>
      <c r="K20">
        <f t="shared" si="0"/>
        <v>0</v>
      </c>
      <c r="L20" s="13">
        <v>0</v>
      </c>
      <c r="M20" s="13">
        <v>0</v>
      </c>
      <c r="N20" s="13">
        <v>0</v>
      </c>
      <c r="O20" s="68">
        <v>0</v>
      </c>
      <c r="P20" s="155">
        <f>VLOOKUP(Table323[[#This Row],[Census Tract]],'Population and Diversity Data'!$B$2:$K$823,10,FALSE)</f>
        <v>2</v>
      </c>
      <c r="Q20" s="155" t="str">
        <f>VLOOKUP(Table323[[#This Row],[Census Tract]],'ES Energy Burden'!$B$2:$E$914,4,FALSE)</f>
        <v>No</v>
      </c>
    </row>
    <row r="21" spans="1:17" x14ac:dyDescent="0.2">
      <c r="A21" s="101">
        <v>9009341100</v>
      </c>
      <c r="B21" s="102" t="s">
        <v>2735</v>
      </c>
      <c r="C21" s="104" t="s">
        <v>944</v>
      </c>
      <c r="D21" s="69">
        <v>113902.65690912001</v>
      </c>
      <c r="E21" s="69">
        <v>123113.15</v>
      </c>
      <c r="F21" s="13">
        <f>[1]!Table323[[#This Row],[Single Family]]+[1]!Table323[[#This Row],[2-4 Units]]+[1]!Table323[[#This Row],[&gt;4 Units]]</f>
        <v>211</v>
      </c>
      <c r="G21" s="13">
        <v>25</v>
      </c>
      <c r="H21" s="13">
        <v>0</v>
      </c>
      <c r="I21" s="13">
        <v>186</v>
      </c>
      <c r="J21" s="68">
        <v>82008.5</v>
      </c>
      <c r="K21">
        <f t="shared" si="0"/>
        <v>11</v>
      </c>
      <c r="L21" s="13">
        <v>11</v>
      </c>
      <c r="M21" s="13">
        <v>0</v>
      </c>
      <c r="N21" s="13">
        <v>0</v>
      </c>
      <c r="O21" s="68">
        <v>19382.099999999999</v>
      </c>
      <c r="P21" s="155">
        <f>VLOOKUP(Table323[[#This Row],[Census Tract]],'Population and Diversity Data'!$B$2:$K$823,10,FALSE)</f>
        <v>1</v>
      </c>
      <c r="Q21" s="155" t="str">
        <f>VLOOKUP(Table323[[#This Row],[Census Tract]],'ES Energy Burden'!$B$2:$E$914,4,FALSE)</f>
        <v>No</v>
      </c>
    </row>
    <row r="22" spans="1:17" x14ac:dyDescent="0.2">
      <c r="A22" s="101">
        <v>9003400100</v>
      </c>
      <c r="B22" s="102" t="s">
        <v>2736</v>
      </c>
      <c r="C22" s="104" t="s">
        <v>944</v>
      </c>
      <c r="D22" s="69">
        <v>134773.82682336</v>
      </c>
      <c r="E22" s="69">
        <v>362603.68420000002</v>
      </c>
      <c r="F22" s="13">
        <f>[1]!Table323[[#This Row],[Single Family]]+[1]!Table323[[#This Row],[2-4 Units]]+[1]!Table323[[#This Row],[&gt;4 Units]]</f>
        <v>68</v>
      </c>
      <c r="G22" s="13">
        <v>51</v>
      </c>
      <c r="H22" s="13">
        <v>2</v>
      </c>
      <c r="I22" s="13">
        <v>15</v>
      </c>
      <c r="J22" s="68">
        <v>154389.4319</v>
      </c>
      <c r="K22">
        <f t="shared" si="0"/>
        <v>19</v>
      </c>
      <c r="L22" s="13">
        <v>19</v>
      </c>
      <c r="M22" s="13">
        <v>0</v>
      </c>
      <c r="N22" s="13">
        <v>0</v>
      </c>
      <c r="O22" s="68">
        <v>12929.8</v>
      </c>
      <c r="P22" s="155">
        <f>VLOOKUP(Table323[[#This Row],[Census Tract]],'Population and Diversity Data'!$B$2:$K$823,10,FALSE)</f>
        <v>2</v>
      </c>
      <c r="Q22" s="155" t="str">
        <f>VLOOKUP(Table323[[#This Row],[Census Tract]],'ES Energy Burden'!$B$2:$E$914,4,FALSE)</f>
        <v>No</v>
      </c>
    </row>
    <row r="23" spans="1:17" x14ac:dyDescent="0.2">
      <c r="A23" s="101">
        <v>9003400200</v>
      </c>
      <c r="B23" s="102" t="s">
        <v>2736</v>
      </c>
      <c r="C23" s="104" t="s">
        <v>944</v>
      </c>
      <c r="D23" s="69">
        <v>119228.18040288001</v>
      </c>
      <c r="E23" s="69">
        <v>19579.490000000002</v>
      </c>
      <c r="F23" s="13">
        <f>[1]!Table323[[#This Row],[Single Family]]+[1]!Table323[[#This Row],[2-4 Units]]+[1]!Table323[[#This Row],[&gt;4 Units]]</f>
        <v>31</v>
      </c>
      <c r="G23" s="13">
        <v>31</v>
      </c>
      <c r="H23" s="13">
        <v>0</v>
      </c>
      <c r="I23" s="13">
        <v>0</v>
      </c>
      <c r="J23" s="68">
        <v>19579.490000000002</v>
      </c>
      <c r="K23">
        <f t="shared" si="0"/>
        <v>0</v>
      </c>
      <c r="L23" s="13">
        <v>0</v>
      </c>
      <c r="M23" s="13">
        <v>0</v>
      </c>
      <c r="N23" s="13">
        <v>0</v>
      </c>
      <c r="O23" s="68">
        <v>0</v>
      </c>
      <c r="P23" s="155">
        <f>VLOOKUP(Table323[[#This Row],[Census Tract]],'Population and Diversity Data'!$B$2:$K$823,10,FALSE)</f>
        <v>2</v>
      </c>
      <c r="Q23" s="155" t="str">
        <f>VLOOKUP(Table323[[#This Row],[Census Tract]],'ES Energy Burden'!$B$2:$E$914,4,FALSE)</f>
        <v>No</v>
      </c>
    </row>
    <row r="24" spans="1:17" x14ac:dyDescent="0.2">
      <c r="A24" s="101">
        <v>9003400300</v>
      </c>
      <c r="B24" s="102" t="s">
        <v>2736</v>
      </c>
      <c r="C24" s="104" t="s">
        <v>944</v>
      </c>
      <c r="D24" s="69">
        <v>118629.3053088</v>
      </c>
      <c r="E24" s="69">
        <v>26337.480200000002</v>
      </c>
      <c r="F24" s="13">
        <f>[1]!Table323[[#This Row],[Single Family]]+[1]!Table323[[#This Row],[2-4 Units]]+[1]!Table323[[#This Row],[&gt;4 Units]]</f>
        <v>34</v>
      </c>
      <c r="G24" s="13">
        <v>33</v>
      </c>
      <c r="H24" s="13">
        <v>1</v>
      </c>
      <c r="I24" s="13">
        <v>0</v>
      </c>
      <c r="J24" s="68">
        <v>20846.2402</v>
      </c>
      <c r="K24">
        <f t="shared" si="0"/>
        <v>0</v>
      </c>
      <c r="L24" s="13">
        <v>0</v>
      </c>
      <c r="M24" s="13">
        <v>0</v>
      </c>
      <c r="N24" s="13">
        <v>0</v>
      </c>
      <c r="O24" s="68">
        <v>0</v>
      </c>
      <c r="P24" s="155">
        <f>VLOOKUP(Table323[[#This Row],[Census Tract]],'Population and Diversity Data'!$B$2:$K$823,10,FALSE)</f>
        <v>2</v>
      </c>
      <c r="Q24" s="155" t="str">
        <f>VLOOKUP(Table323[[#This Row],[Census Tract]],'ES Energy Burden'!$B$2:$E$914,4,FALSE)</f>
        <v>No</v>
      </c>
    </row>
    <row r="25" spans="1:17" x14ac:dyDescent="0.2">
      <c r="A25" s="101">
        <v>9003490302</v>
      </c>
      <c r="B25" s="102" t="s">
        <v>2736</v>
      </c>
      <c r="C25" s="104" t="s">
        <v>944</v>
      </c>
      <c r="D25" s="69">
        <v>76.724755200000004</v>
      </c>
      <c r="E25" s="69">
        <v>0</v>
      </c>
      <c r="F25" s="13">
        <f>[1]!Table323[[#This Row],[Single Family]]+[1]!Table323[[#This Row],[2-4 Units]]+[1]!Table323[[#This Row],[&gt;4 Units]]</f>
        <v>0</v>
      </c>
      <c r="G25" s="13">
        <v>0</v>
      </c>
      <c r="H25" s="13">
        <v>0</v>
      </c>
      <c r="I25" s="13">
        <v>0</v>
      </c>
      <c r="J25" s="68">
        <v>0</v>
      </c>
      <c r="K25">
        <f t="shared" si="0"/>
        <v>0</v>
      </c>
      <c r="L25" s="13">
        <v>0</v>
      </c>
      <c r="M25" s="13">
        <v>0</v>
      </c>
      <c r="N25" s="13">
        <v>0</v>
      </c>
      <c r="O25" s="68">
        <v>0</v>
      </c>
      <c r="P25" s="155">
        <f>VLOOKUP(Table323[[#This Row],[Census Tract]],'Population and Diversity Data'!$B$2:$K$823,10,FALSE)</f>
        <v>5</v>
      </c>
      <c r="Q25" s="155" t="str">
        <f>VLOOKUP(Table323[[#This Row],[Census Tract]],'ES Energy Burden'!$B$2:$E$914,4,FALSE)</f>
        <v>No</v>
      </c>
    </row>
    <row r="26" spans="1:17" x14ac:dyDescent="0.2">
      <c r="A26" s="101">
        <v>9009171600</v>
      </c>
      <c r="B26" s="102" t="s">
        <v>2736</v>
      </c>
      <c r="C26" s="104" t="s">
        <v>944</v>
      </c>
      <c r="D26" s="69">
        <v>154.1210112</v>
      </c>
      <c r="E26" s="69">
        <v>228.35</v>
      </c>
      <c r="F26" s="13">
        <f>[1]!Table323[[#This Row],[Single Family]]+[1]!Table323[[#This Row],[2-4 Units]]+[1]!Table323[[#This Row],[&gt;4 Units]]</f>
        <v>1</v>
      </c>
      <c r="G26" s="13">
        <v>1</v>
      </c>
      <c r="H26" s="13">
        <v>0</v>
      </c>
      <c r="I26" s="13">
        <v>0</v>
      </c>
      <c r="J26" s="68">
        <v>227.08999999999997</v>
      </c>
      <c r="K26">
        <f t="shared" si="0"/>
        <v>0</v>
      </c>
      <c r="L26" s="13">
        <v>0</v>
      </c>
      <c r="M26" s="13">
        <v>0</v>
      </c>
      <c r="N26" s="13">
        <v>0</v>
      </c>
      <c r="O26" s="68">
        <v>0</v>
      </c>
      <c r="P26" s="155">
        <f>VLOOKUP(Table323[[#This Row],[Census Tract]],'Population and Diversity Data'!$B$2:$K$823,10,FALSE)</f>
        <v>3</v>
      </c>
      <c r="Q26" s="155" t="str">
        <f>VLOOKUP(Table323[[#This Row],[Census Tract]],'ES Energy Burden'!$B$2:$E$914,4,FALSE)</f>
        <v>No</v>
      </c>
    </row>
    <row r="27" spans="1:17" x14ac:dyDescent="0.2">
      <c r="A27" s="101">
        <v>9009161100</v>
      </c>
      <c r="B27" s="102" t="s">
        <v>2737</v>
      </c>
      <c r="C27" s="104" t="s">
        <v>944</v>
      </c>
      <c r="D27" s="69">
        <v>119240.17653311999</v>
      </c>
      <c r="E27" s="69">
        <v>37333.951699999998</v>
      </c>
      <c r="F27" s="13">
        <f>[1]!Table323[[#This Row],[Single Family]]+[1]!Table323[[#This Row],[2-4 Units]]+[1]!Table323[[#This Row],[&gt;4 Units]]</f>
        <v>18</v>
      </c>
      <c r="G27" s="13">
        <v>18</v>
      </c>
      <c r="H27" s="13">
        <v>0</v>
      </c>
      <c r="I27" s="13">
        <v>0</v>
      </c>
      <c r="J27" s="68">
        <v>19062.6417</v>
      </c>
      <c r="K27">
        <f t="shared" si="0"/>
        <v>7</v>
      </c>
      <c r="L27" s="13">
        <v>7</v>
      </c>
      <c r="M27" s="13">
        <v>0</v>
      </c>
      <c r="N27" s="13">
        <v>0</v>
      </c>
      <c r="O27" s="68">
        <v>11959.4</v>
      </c>
      <c r="P27" s="155">
        <f>VLOOKUP(Table323[[#This Row],[Census Tract]],'Population and Diversity Data'!$B$2:$K$823,10,FALSE)</f>
        <v>4</v>
      </c>
      <c r="Q27" s="155" t="str">
        <f>VLOOKUP(Table323[[#This Row],[Census Tract]],'ES Energy Burden'!$B$2:$E$914,4,FALSE)</f>
        <v>No</v>
      </c>
    </row>
    <row r="28" spans="1:17" x14ac:dyDescent="0.2">
      <c r="A28" s="101">
        <v>9001200100</v>
      </c>
      <c r="B28" s="102" t="s">
        <v>2738</v>
      </c>
      <c r="C28" s="104" t="s">
        <v>944</v>
      </c>
      <c r="D28" s="69">
        <v>67101.224843520002</v>
      </c>
      <c r="E28" s="69">
        <v>10371.963599999999</v>
      </c>
      <c r="F28" s="13">
        <f>[1]!Table323[[#This Row],[Single Family]]+[1]!Table323[[#This Row],[2-4 Units]]+[1]!Table323[[#This Row],[&gt;4 Units]]</f>
        <v>11</v>
      </c>
      <c r="G28" s="13">
        <v>11</v>
      </c>
      <c r="H28" s="13">
        <v>0</v>
      </c>
      <c r="I28" s="13">
        <v>0</v>
      </c>
      <c r="J28" s="68">
        <v>9941.4035999999996</v>
      </c>
      <c r="K28">
        <f t="shared" si="0"/>
        <v>0</v>
      </c>
      <c r="L28" s="13">
        <v>0</v>
      </c>
      <c r="M28" s="13">
        <v>0</v>
      </c>
      <c r="N28" s="13">
        <v>0</v>
      </c>
      <c r="O28" s="68">
        <v>0</v>
      </c>
      <c r="P28" s="155">
        <f>VLOOKUP(Table323[[#This Row],[Census Tract]],'Population and Diversity Data'!$B$2:$K$823,10,FALSE)</f>
        <v>4</v>
      </c>
      <c r="Q28" s="155" t="str">
        <f>VLOOKUP(Table323[[#This Row],[Census Tract]],'ES Energy Burden'!$B$2:$E$914,4,FALSE)</f>
        <v>No</v>
      </c>
    </row>
    <row r="29" spans="1:17" x14ac:dyDescent="0.2">
      <c r="A29" s="101">
        <v>9001200200</v>
      </c>
      <c r="B29" s="102" t="s">
        <v>2738</v>
      </c>
      <c r="C29" s="104" t="s">
        <v>944</v>
      </c>
      <c r="D29" s="69">
        <v>130171.54616064001</v>
      </c>
      <c r="E29" s="69">
        <v>103523.648</v>
      </c>
      <c r="F29" s="13">
        <f>[1]!Table323[[#This Row],[Single Family]]+[1]!Table323[[#This Row],[2-4 Units]]+[1]!Table323[[#This Row],[&gt;4 Units]]</f>
        <v>14</v>
      </c>
      <c r="G29" s="13">
        <v>14</v>
      </c>
      <c r="H29" s="13">
        <v>0</v>
      </c>
      <c r="I29" s="13">
        <v>0</v>
      </c>
      <c r="J29" s="68">
        <v>9642.84</v>
      </c>
      <c r="K29">
        <f t="shared" si="0"/>
        <v>23</v>
      </c>
      <c r="L29" s="13">
        <v>15</v>
      </c>
      <c r="M29" s="13">
        <v>0</v>
      </c>
      <c r="N29" s="13">
        <v>8</v>
      </c>
      <c r="O29" s="68">
        <v>31365</v>
      </c>
      <c r="P29" s="155">
        <f>VLOOKUP(Table323[[#This Row],[Census Tract]],'Population and Diversity Data'!$B$2:$K$823,10,FALSE)</f>
        <v>4</v>
      </c>
      <c r="Q29" s="155" t="str">
        <f>VLOOKUP(Table323[[#This Row],[Census Tract]],'ES Energy Burden'!$B$2:$E$914,4,FALSE)</f>
        <v>No</v>
      </c>
    </row>
    <row r="30" spans="1:17" x14ac:dyDescent="0.2">
      <c r="A30" s="101">
        <v>9001200301</v>
      </c>
      <c r="B30" s="102" t="s">
        <v>2738</v>
      </c>
      <c r="C30" s="104" t="s">
        <v>944</v>
      </c>
      <c r="D30" s="69">
        <v>95432.935363199998</v>
      </c>
      <c r="E30" s="69">
        <v>16100.537899999999</v>
      </c>
      <c r="F30" s="13">
        <f>[1]!Table323[[#This Row],[Single Family]]+[1]!Table323[[#This Row],[2-4 Units]]+[1]!Table323[[#This Row],[&gt;4 Units]]</f>
        <v>13</v>
      </c>
      <c r="G30" s="13">
        <v>13</v>
      </c>
      <c r="H30" s="13">
        <v>0</v>
      </c>
      <c r="I30" s="13">
        <v>0</v>
      </c>
      <c r="J30" s="68">
        <v>9601.2178999999996</v>
      </c>
      <c r="K30">
        <f t="shared" si="0"/>
        <v>0</v>
      </c>
      <c r="L30" s="13">
        <v>0</v>
      </c>
      <c r="M30" s="13">
        <v>0</v>
      </c>
      <c r="N30" s="13">
        <v>0</v>
      </c>
      <c r="O30" s="68">
        <v>0</v>
      </c>
      <c r="P30" s="155">
        <f>VLOOKUP(Table323[[#This Row],[Census Tract]],'Population and Diversity Data'!$B$2:$K$823,10,FALSE)</f>
        <v>4</v>
      </c>
      <c r="Q30" s="155" t="str">
        <f>VLOOKUP(Table323[[#This Row],[Census Tract]],'ES Energy Burden'!$B$2:$E$914,4,FALSE)</f>
        <v>No</v>
      </c>
    </row>
    <row r="31" spans="1:17" x14ac:dyDescent="0.2">
      <c r="A31" s="101">
        <v>9001200302</v>
      </c>
      <c r="B31" s="102" t="s">
        <v>2738</v>
      </c>
      <c r="C31" s="104" t="s">
        <v>944</v>
      </c>
      <c r="D31" s="69">
        <v>112578.35429088002</v>
      </c>
      <c r="E31" s="69">
        <v>17053.723399999999</v>
      </c>
      <c r="F31" s="13">
        <f>[1]!Table323[[#This Row],[Single Family]]+[1]!Table323[[#This Row],[2-4 Units]]+[1]!Table323[[#This Row],[&gt;4 Units]]</f>
        <v>16</v>
      </c>
      <c r="G31" s="13">
        <v>16</v>
      </c>
      <c r="H31" s="13">
        <v>0</v>
      </c>
      <c r="I31" s="13">
        <v>0</v>
      </c>
      <c r="J31" s="68">
        <v>14819.7634</v>
      </c>
      <c r="K31">
        <f t="shared" si="0"/>
        <v>0</v>
      </c>
      <c r="L31" s="13">
        <v>0</v>
      </c>
      <c r="M31" s="13">
        <v>0</v>
      </c>
      <c r="N31" s="13">
        <v>0</v>
      </c>
      <c r="O31" s="68">
        <v>0</v>
      </c>
      <c r="P31" s="155">
        <f>VLOOKUP(Table323[[#This Row],[Census Tract]],'Population and Diversity Data'!$B$2:$K$823,10,FALSE)</f>
        <v>1</v>
      </c>
      <c r="Q31" s="155" t="str">
        <f>VLOOKUP(Table323[[#This Row],[Census Tract]],'ES Energy Burden'!$B$2:$E$914,4,FALSE)</f>
        <v>No</v>
      </c>
    </row>
    <row r="32" spans="1:17" x14ac:dyDescent="0.2">
      <c r="A32" s="101">
        <v>9001205300</v>
      </c>
      <c r="B32" s="102" t="s">
        <v>2738</v>
      </c>
      <c r="C32" s="104" t="s">
        <v>944</v>
      </c>
      <c r="D32" s="69">
        <v>227.8298016</v>
      </c>
      <c r="E32" s="69">
        <v>0</v>
      </c>
      <c r="F32" s="13">
        <f>[1]!Table323[[#This Row],[Single Family]]+[1]!Table323[[#This Row],[2-4 Units]]+[1]!Table323[[#This Row],[&gt;4 Units]]</f>
        <v>0</v>
      </c>
      <c r="G32" s="13">
        <v>0</v>
      </c>
      <c r="H32" s="13">
        <v>0</v>
      </c>
      <c r="I32" s="13">
        <v>0</v>
      </c>
      <c r="J32" s="68">
        <v>0</v>
      </c>
      <c r="K32">
        <f t="shared" si="0"/>
        <v>0</v>
      </c>
      <c r="L32" s="13">
        <v>0</v>
      </c>
      <c r="M32" s="13">
        <v>0</v>
      </c>
      <c r="N32" s="13">
        <v>0</v>
      </c>
      <c r="O32" s="68">
        <v>0</v>
      </c>
      <c r="P32" s="155">
        <f>VLOOKUP(Table323[[#This Row],[Census Tract]],'Population and Diversity Data'!$B$2:$K$823,10,FALSE)</f>
        <v>4</v>
      </c>
      <c r="Q32" s="155" t="str">
        <f>VLOOKUP(Table323[[#This Row],[Census Tract]],'ES Energy Burden'!$B$2:$E$914,4,FALSE)</f>
        <v>No</v>
      </c>
    </row>
    <row r="33" spans="1:17" x14ac:dyDescent="0.2">
      <c r="A33" s="101">
        <v>9001210400</v>
      </c>
      <c r="B33" s="102" t="s">
        <v>2738</v>
      </c>
      <c r="C33" s="104" t="s">
        <v>944</v>
      </c>
      <c r="D33" s="69">
        <v>2053.6578431999997</v>
      </c>
      <c r="E33" s="69">
        <v>0</v>
      </c>
      <c r="F33" s="13">
        <f>[1]!Table323[[#This Row],[Single Family]]+[1]!Table323[[#This Row],[2-4 Units]]+[1]!Table323[[#This Row],[&gt;4 Units]]</f>
        <v>0</v>
      </c>
      <c r="G33" s="13">
        <v>0</v>
      </c>
      <c r="H33" s="13">
        <v>0</v>
      </c>
      <c r="I33" s="13">
        <v>0</v>
      </c>
      <c r="J33" s="68">
        <v>0</v>
      </c>
      <c r="K33">
        <f t="shared" si="0"/>
        <v>0</v>
      </c>
      <c r="L33" s="13">
        <v>0</v>
      </c>
      <c r="M33" s="13">
        <v>0</v>
      </c>
      <c r="N33" s="13">
        <v>0</v>
      </c>
      <c r="O33" s="68">
        <v>0</v>
      </c>
      <c r="P33" s="155">
        <f>VLOOKUP(Table323[[#This Row],[Census Tract]],'Population and Diversity Data'!$B$2:$K$823,10,FALSE)</f>
        <v>5</v>
      </c>
      <c r="Q33" s="155" t="str">
        <f>VLOOKUP(Table323[[#This Row],[Census Tract]],'ES Energy Burden'!$B$2:$E$914,4,FALSE)</f>
        <v>No</v>
      </c>
    </row>
    <row r="34" spans="1:17" x14ac:dyDescent="0.2">
      <c r="A34" s="101">
        <v>9001210500</v>
      </c>
      <c r="B34" s="102" t="s">
        <v>2738</v>
      </c>
      <c r="C34" s="104" t="s">
        <v>944</v>
      </c>
      <c r="D34" s="69">
        <v>232.81395839999999</v>
      </c>
      <c r="E34" s="69">
        <v>0</v>
      </c>
      <c r="F34" s="13">
        <f>[1]!Table323[[#This Row],[Single Family]]+[1]!Table323[[#This Row],[2-4 Units]]+[1]!Table323[[#This Row],[&gt;4 Units]]</f>
        <v>0</v>
      </c>
      <c r="G34" s="13">
        <v>0</v>
      </c>
      <c r="H34" s="13">
        <v>0</v>
      </c>
      <c r="I34" s="13">
        <v>0</v>
      </c>
      <c r="J34" s="68">
        <v>0</v>
      </c>
      <c r="K34">
        <f t="shared" si="0"/>
        <v>0</v>
      </c>
      <c r="L34" s="13">
        <v>0</v>
      </c>
      <c r="M34" s="13">
        <v>0</v>
      </c>
      <c r="N34" s="13">
        <v>0</v>
      </c>
      <c r="O34" s="68">
        <v>0</v>
      </c>
      <c r="P34" s="155">
        <f>VLOOKUP(Table323[[#This Row],[Census Tract]],'Population and Diversity Data'!$B$2:$K$823,10,FALSE)</f>
        <v>4</v>
      </c>
      <c r="Q34" s="155" t="str">
        <f>VLOOKUP(Table323[[#This Row],[Census Tract]],'ES Energy Burden'!$B$2:$E$914,4,FALSE)</f>
        <v>No</v>
      </c>
    </row>
    <row r="35" spans="1:17" x14ac:dyDescent="0.2">
      <c r="A35" s="101">
        <v>9001230400</v>
      </c>
      <c r="B35" s="102" t="s">
        <v>2738</v>
      </c>
      <c r="C35" s="104" t="s">
        <v>944</v>
      </c>
      <c r="D35" s="69">
        <v>1151.9191007999998</v>
      </c>
      <c r="E35" s="69">
        <v>1429.53</v>
      </c>
      <c r="F35" s="13">
        <f>[1]!Table323[[#This Row],[Single Family]]+[1]!Table323[[#This Row],[2-4 Units]]+[1]!Table323[[#This Row],[&gt;4 Units]]</f>
        <v>1</v>
      </c>
      <c r="G35" s="13">
        <v>1</v>
      </c>
      <c r="H35" s="13">
        <v>0</v>
      </c>
      <c r="I35" s="13">
        <v>0</v>
      </c>
      <c r="J35" s="68">
        <v>497.7</v>
      </c>
      <c r="K35">
        <f t="shared" si="0"/>
        <v>0</v>
      </c>
      <c r="L35" s="13">
        <v>0</v>
      </c>
      <c r="M35" s="13">
        <v>0</v>
      </c>
      <c r="N35" s="13">
        <v>0</v>
      </c>
      <c r="O35" s="68">
        <v>0</v>
      </c>
      <c r="P35" s="155">
        <f>VLOOKUP(Table323[[#This Row],[Census Tract]],'Population and Diversity Data'!$B$2:$K$823,10,FALSE)</f>
        <v>2</v>
      </c>
      <c r="Q35" s="155" t="str">
        <f>VLOOKUP(Table323[[#This Row],[Census Tract]],'ES Energy Burden'!$B$2:$E$914,4,FALSE)</f>
        <v>No</v>
      </c>
    </row>
    <row r="36" spans="1:17" x14ac:dyDescent="0.2">
      <c r="A36" s="101">
        <v>9005303100</v>
      </c>
      <c r="B36" s="102" t="s">
        <v>2739</v>
      </c>
      <c r="C36" s="104" t="s">
        <v>944</v>
      </c>
      <c r="D36" s="69">
        <v>164.1356352</v>
      </c>
      <c r="E36" s="69">
        <v>0</v>
      </c>
      <c r="F36" s="13">
        <f>[1]!Table323[[#This Row],[Single Family]]+[1]!Table323[[#This Row],[2-4 Units]]+[1]!Table323[[#This Row],[&gt;4 Units]]</f>
        <v>0</v>
      </c>
      <c r="G36" s="13">
        <v>0</v>
      </c>
      <c r="H36" s="13">
        <v>0</v>
      </c>
      <c r="I36" s="13">
        <v>0</v>
      </c>
      <c r="J36" s="68">
        <v>0</v>
      </c>
      <c r="K36">
        <f t="shared" si="0"/>
        <v>0</v>
      </c>
      <c r="L36" s="13">
        <v>0</v>
      </c>
      <c r="M36" s="13">
        <v>0</v>
      </c>
      <c r="N36" s="13">
        <v>0</v>
      </c>
      <c r="O36" s="68">
        <v>0</v>
      </c>
      <c r="P36" s="155">
        <f>VLOOKUP(Table323[[#This Row],[Census Tract]],'Population and Diversity Data'!$B$2:$K$823,10,FALSE)</f>
        <v>1</v>
      </c>
      <c r="Q36" s="155" t="str">
        <f>VLOOKUP(Table323[[#This Row],[Census Tract]],'ES Energy Burden'!$B$2:$E$914,4,FALSE)</f>
        <v>No</v>
      </c>
    </row>
    <row r="37" spans="1:17" x14ac:dyDescent="0.2">
      <c r="A37" s="101">
        <v>9005342100</v>
      </c>
      <c r="B37" s="102" t="s">
        <v>2739</v>
      </c>
      <c r="C37" s="104" t="s">
        <v>944</v>
      </c>
      <c r="D37" s="69">
        <v>86632.990318080003</v>
      </c>
      <c r="E37" s="69">
        <v>35443.029300000002</v>
      </c>
      <c r="F37" s="13">
        <f>[1]!Table323[[#This Row],[Single Family]]+[1]!Table323[[#This Row],[2-4 Units]]+[1]!Table323[[#This Row],[&gt;4 Units]]</f>
        <v>17</v>
      </c>
      <c r="G37" s="13">
        <v>17</v>
      </c>
      <c r="H37" s="13">
        <v>0</v>
      </c>
      <c r="I37" s="13">
        <v>0</v>
      </c>
      <c r="J37" s="68">
        <v>21860.927299999999</v>
      </c>
      <c r="K37">
        <f t="shared" si="0"/>
        <v>2</v>
      </c>
      <c r="L37" s="13">
        <v>2</v>
      </c>
      <c r="M37" s="13">
        <v>0</v>
      </c>
      <c r="N37" s="13">
        <v>0</v>
      </c>
      <c r="O37" s="68">
        <v>1791.74</v>
      </c>
      <c r="P37" s="155">
        <f>VLOOKUP(Table323[[#This Row],[Census Tract]],'Population and Diversity Data'!$B$2:$K$823,10,FALSE)</f>
        <v>2</v>
      </c>
      <c r="Q37" s="155" t="str">
        <f>VLOOKUP(Table323[[#This Row],[Census Tract]],'ES Energy Burden'!$B$2:$E$914,4,FALSE)</f>
        <v>No</v>
      </c>
    </row>
    <row r="38" spans="1:17" x14ac:dyDescent="0.2">
      <c r="A38" s="101">
        <v>9005362102</v>
      </c>
      <c r="B38" s="102" t="s">
        <v>2739</v>
      </c>
      <c r="C38" s="104" t="s">
        <v>944</v>
      </c>
      <c r="D38" s="69">
        <v>203.81785919999999</v>
      </c>
      <c r="E38" s="69">
        <v>0</v>
      </c>
      <c r="F38" s="13">
        <f>[1]!Table323[[#This Row],[Single Family]]+[1]!Table323[[#This Row],[2-4 Units]]+[1]!Table323[[#This Row],[&gt;4 Units]]</f>
        <v>0</v>
      </c>
      <c r="G38" s="13">
        <v>0</v>
      </c>
      <c r="H38" s="13">
        <v>0</v>
      </c>
      <c r="I38" s="13">
        <v>0</v>
      </c>
      <c r="J38" s="68">
        <v>0</v>
      </c>
      <c r="K38">
        <f t="shared" si="0"/>
        <v>0</v>
      </c>
      <c r="L38" s="13">
        <v>0</v>
      </c>
      <c r="M38" s="13">
        <v>0</v>
      </c>
      <c r="N38" s="13">
        <v>0</v>
      </c>
      <c r="O38" s="68">
        <v>0</v>
      </c>
      <c r="P38" s="155">
        <f>VLOOKUP(Table323[[#This Row],[Census Tract]],'Population and Diversity Data'!$B$2:$K$823,10,FALSE)</f>
        <v>1</v>
      </c>
      <c r="Q38" s="155" t="str">
        <f>VLOOKUP(Table323[[#This Row],[Census Tract]],'ES Energy Burden'!$B$2:$E$914,4,FALSE)</f>
        <v>No</v>
      </c>
    </row>
    <row r="39" spans="1:17" x14ac:dyDescent="0.2">
      <c r="A39" s="101">
        <v>9003471100</v>
      </c>
      <c r="B39" s="102" t="s">
        <v>2740</v>
      </c>
      <c r="C39" s="104" t="s">
        <v>944</v>
      </c>
      <c r="D39" s="69">
        <v>47323.947098880002</v>
      </c>
      <c r="E39" s="69">
        <v>41951.821199999998</v>
      </c>
      <c r="F39" s="13">
        <f>[1]!Table323[[#This Row],[Single Family]]+[1]!Table323[[#This Row],[2-4 Units]]+[1]!Table323[[#This Row],[&gt;4 Units]]</f>
        <v>21</v>
      </c>
      <c r="G39" s="13">
        <v>21</v>
      </c>
      <c r="H39" s="13">
        <v>0</v>
      </c>
      <c r="I39" s="13">
        <v>0</v>
      </c>
      <c r="J39" s="68">
        <v>10186.111199999999</v>
      </c>
      <c r="K39">
        <f t="shared" si="0"/>
        <v>0</v>
      </c>
      <c r="L39" s="13">
        <v>0</v>
      </c>
      <c r="M39" s="13">
        <v>0</v>
      </c>
      <c r="N39" s="13">
        <v>0</v>
      </c>
      <c r="O39" s="68">
        <v>0</v>
      </c>
      <c r="P39" s="155">
        <f>VLOOKUP(Table323[[#This Row],[Census Tract]],'Population and Diversity Data'!$B$2:$K$823,10,FALSE)</f>
        <v>3</v>
      </c>
      <c r="Q39" s="155" t="str">
        <f>VLOOKUP(Table323[[#This Row],[Census Tract]],'ES Energy Burden'!$B$2:$E$914,4,FALSE)</f>
        <v>No</v>
      </c>
    </row>
    <row r="40" spans="1:17" x14ac:dyDescent="0.2">
      <c r="A40" s="101">
        <v>9003471200</v>
      </c>
      <c r="B40" s="102" t="s">
        <v>2740</v>
      </c>
      <c r="C40" s="104" t="s">
        <v>944</v>
      </c>
      <c r="D40" s="69">
        <v>39966.161745599995</v>
      </c>
      <c r="E40" s="69">
        <v>17709.740000000002</v>
      </c>
      <c r="F40" s="13">
        <f>[1]!Table323[[#This Row],[Single Family]]+[1]!Table323[[#This Row],[2-4 Units]]+[1]!Table323[[#This Row],[&gt;4 Units]]</f>
        <v>10</v>
      </c>
      <c r="G40" s="13">
        <v>10</v>
      </c>
      <c r="H40" s="13">
        <v>0</v>
      </c>
      <c r="I40" s="13">
        <v>0</v>
      </c>
      <c r="J40" s="68">
        <v>6896.3</v>
      </c>
      <c r="K40">
        <f t="shared" si="0"/>
        <v>0</v>
      </c>
      <c r="L40" s="13">
        <v>0</v>
      </c>
      <c r="M40" s="13">
        <v>0</v>
      </c>
      <c r="N40" s="13">
        <v>0</v>
      </c>
      <c r="O40" s="68">
        <v>0</v>
      </c>
      <c r="P40" s="155">
        <f>VLOOKUP(Table323[[#This Row],[Census Tract]],'Population and Diversity Data'!$B$2:$K$823,10,FALSE)</f>
        <v>1</v>
      </c>
      <c r="Q40" s="155" t="str">
        <f>VLOOKUP(Table323[[#This Row],[Census Tract]],'ES Energy Burden'!$B$2:$E$914,4,FALSE)</f>
        <v>No</v>
      </c>
    </row>
    <row r="41" spans="1:17" x14ac:dyDescent="0.2">
      <c r="A41" s="101">
        <v>9003471300</v>
      </c>
      <c r="B41" s="102" t="s">
        <v>2740</v>
      </c>
      <c r="C41" s="104" t="s">
        <v>944</v>
      </c>
      <c r="D41" s="69">
        <v>96587.341911359996</v>
      </c>
      <c r="E41" s="69">
        <v>52661.58</v>
      </c>
      <c r="F41" s="13">
        <f>[1]!Table323[[#This Row],[Single Family]]+[1]!Table323[[#This Row],[2-4 Units]]+[1]!Table323[[#This Row],[&gt;4 Units]]</f>
        <v>26</v>
      </c>
      <c r="G41" s="13">
        <v>26</v>
      </c>
      <c r="H41" s="13">
        <v>0</v>
      </c>
      <c r="I41" s="13">
        <v>0</v>
      </c>
      <c r="J41" s="68">
        <v>16402.37</v>
      </c>
      <c r="K41">
        <f t="shared" si="0"/>
        <v>0</v>
      </c>
      <c r="L41" s="13">
        <v>0</v>
      </c>
      <c r="M41" s="13">
        <v>0</v>
      </c>
      <c r="N41" s="13">
        <v>0</v>
      </c>
      <c r="O41" s="68">
        <v>0</v>
      </c>
      <c r="P41" s="155">
        <f>VLOOKUP(Table323[[#This Row],[Census Tract]],'Population and Diversity Data'!$B$2:$K$823,10,FALSE)</f>
        <v>1</v>
      </c>
      <c r="Q41" s="155" t="str">
        <f>VLOOKUP(Table323[[#This Row],[Census Tract]],'ES Energy Burden'!$B$2:$E$914,4,FALSE)</f>
        <v>No</v>
      </c>
    </row>
    <row r="42" spans="1:17" x14ac:dyDescent="0.2">
      <c r="A42" s="101">
        <v>9003471400</v>
      </c>
      <c r="B42" s="102" t="s">
        <v>2740</v>
      </c>
      <c r="C42" s="104" t="s">
        <v>944</v>
      </c>
      <c r="D42" s="69">
        <v>142783.01947295998</v>
      </c>
      <c r="E42" s="69">
        <v>440854.14079999999</v>
      </c>
      <c r="F42" s="13">
        <f>[1]!Table323[[#This Row],[Single Family]]+[1]!Table323[[#This Row],[2-4 Units]]+[1]!Table323[[#This Row],[&gt;4 Units]]</f>
        <v>183</v>
      </c>
      <c r="G42" s="13">
        <v>69</v>
      </c>
      <c r="H42" s="13">
        <v>2</v>
      </c>
      <c r="I42" s="13">
        <v>112</v>
      </c>
      <c r="J42" s="68">
        <v>80487.369000000006</v>
      </c>
      <c r="K42">
        <f t="shared" si="0"/>
        <v>146</v>
      </c>
      <c r="L42" s="13">
        <v>146</v>
      </c>
      <c r="M42" s="13">
        <v>0</v>
      </c>
      <c r="N42" s="13">
        <v>0</v>
      </c>
      <c r="O42" s="68">
        <v>158008</v>
      </c>
      <c r="P42" s="155">
        <f>VLOOKUP(Table323[[#This Row],[Census Tract]],'Population and Diversity Data'!$B$2:$K$823,10,FALSE)</f>
        <v>2</v>
      </c>
      <c r="Q42" s="155" t="str">
        <f>VLOOKUP(Table323[[#This Row],[Census Tract]],'ES Energy Burden'!$B$2:$E$914,4,FALSE)</f>
        <v>No</v>
      </c>
    </row>
    <row r="43" spans="1:17" x14ac:dyDescent="0.2">
      <c r="A43" s="101">
        <v>9003471500</v>
      </c>
      <c r="B43" s="102" t="s">
        <v>2740</v>
      </c>
      <c r="C43" s="104" t="s">
        <v>944</v>
      </c>
      <c r="D43" s="69">
        <v>49318.771052159995</v>
      </c>
      <c r="E43" s="69">
        <v>38345.180200000003</v>
      </c>
      <c r="F43" s="13">
        <f>[1]!Table323[[#This Row],[Single Family]]+[1]!Table323[[#This Row],[2-4 Units]]+[1]!Table323[[#This Row],[&gt;4 Units]]</f>
        <v>16</v>
      </c>
      <c r="G43" s="13">
        <v>15</v>
      </c>
      <c r="H43" s="13">
        <v>1</v>
      </c>
      <c r="I43" s="13">
        <v>0</v>
      </c>
      <c r="J43" s="68">
        <v>6756.1602000000003</v>
      </c>
      <c r="K43">
        <f t="shared" si="0"/>
        <v>0</v>
      </c>
      <c r="L43" s="13">
        <v>0</v>
      </c>
      <c r="M43" s="13">
        <v>0</v>
      </c>
      <c r="N43" s="13">
        <v>0</v>
      </c>
      <c r="O43" s="68">
        <v>0</v>
      </c>
      <c r="P43" s="155">
        <f>VLOOKUP(Table323[[#This Row],[Census Tract]],'Population and Diversity Data'!$B$2:$K$823,10,FALSE)</f>
        <v>3</v>
      </c>
      <c r="Q43" s="155" t="str">
        <f>VLOOKUP(Table323[[#This Row],[Census Tract]],'ES Energy Burden'!$B$2:$E$914,4,FALSE)</f>
        <v>No</v>
      </c>
    </row>
    <row r="44" spans="1:17" x14ac:dyDescent="0.2">
      <c r="A44" s="101">
        <v>9003473100</v>
      </c>
      <c r="B44" s="102" t="s">
        <v>2740</v>
      </c>
      <c r="C44" s="104" t="s">
        <v>944</v>
      </c>
      <c r="D44" s="69">
        <v>1546.3737216000002</v>
      </c>
      <c r="E44" s="69">
        <v>6947.03</v>
      </c>
      <c r="F44" s="13">
        <f>[1]!Table323[[#This Row],[Single Family]]+[1]!Table323[[#This Row],[2-4 Units]]+[1]!Table323[[#This Row],[&gt;4 Units]]</f>
        <v>0</v>
      </c>
      <c r="G44" s="13">
        <v>0</v>
      </c>
      <c r="H44" s="13">
        <v>0</v>
      </c>
      <c r="I44" s="13">
        <v>0</v>
      </c>
      <c r="J44" s="68">
        <v>0</v>
      </c>
      <c r="K44">
        <f t="shared" si="0"/>
        <v>0</v>
      </c>
      <c r="L44" s="13">
        <v>0</v>
      </c>
      <c r="M44" s="13">
        <v>0</v>
      </c>
      <c r="N44" s="13">
        <v>0</v>
      </c>
      <c r="O44" s="68">
        <v>0</v>
      </c>
      <c r="P44" s="155">
        <f>VLOOKUP(Table323[[#This Row],[Census Tract]],'Population and Diversity Data'!$B$2:$K$823,10,FALSE)</f>
        <v>1</v>
      </c>
      <c r="Q44" s="155" t="str">
        <f>VLOOKUP(Table323[[#This Row],[Census Tract]],'ES Energy Burden'!$B$2:$E$914,4,FALSE)</f>
        <v>No</v>
      </c>
    </row>
    <row r="45" spans="1:17" x14ac:dyDescent="0.2">
      <c r="A45" s="101">
        <v>9003473501</v>
      </c>
      <c r="B45" s="102" t="s">
        <v>2740</v>
      </c>
      <c r="C45" s="104" t="s">
        <v>944</v>
      </c>
      <c r="D45" s="69">
        <v>287.77282560000003</v>
      </c>
      <c r="E45" s="69">
        <v>0</v>
      </c>
      <c r="F45" s="13">
        <f>[1]!Table323[[#This Row],[Single Family]]+[1]!Table323[[#This Row],[2-4 Units]]+[1]!Table323[[#This Row],[&gt;4 Units]]</f>
        <v>0</v>
      </c>
      <c r="G45" s="13">
        <v>0</v>
      </c>
      <c r="H45" s="13">
        <v>0</v>
      </c>
      <c r="I45" s="13">
        <v>0</v>
      </c>
      <c r="J45" s="68">
        <v>0</v>
      </c>
      <c r="K45">
        <f t="shared" si="0"/>
        <v>0</v>
      </c>
      <c r="L45" s="13">
        <v>0</v>
      </c>
      <c r="M45" s="13">
        <v>0</v>
      </c>
      <c r="N45" s="13">
        <v>0</v>
      </c>
      <c r="O45" s="68">
        <v>0</v>
      </c>
      <c r="P45" s="155">
        <f>VLOOKUP(Table323[[#This Row],[Census Tract]],'Population and Diversity Data'!$B$2:$K$823,10,FALSE)</f>
        <v>3</v>
      </c>
      <c r="Q45" s="155" t="str">
        <f>VLOOKUP(Table323[[#This Row],[Census Tract]],'ES Energy Burden'!$B$2:$E$914,4,FALSE)</f>
        <v>No</v>
      </c>
    </row>
    <row r="46" spans="1:17" x14ac:dyDescent="0.2">
      <c r="A46" s="101">
        <v>9003503900</v>
      </c>
      <c r="B46" s="102" t="s">
        <v>2740</v>
      </c>
      <c r="C46" s="104" t="s">
        <v>944</v>
      </c>
      <c r="D46" s="69">
        <v>201.31130880000001</v>
      </c>
      <c r="E46" s="69">
        <v>0</v>
      </c>
      <c r="F46" s="13">
        <f>[1]!Table323[[#This Row],[Single Family]]+[1]!Table323[[#This Row],[2-4 Units]]+[1]!Table323[[#This Row],[&gt;4 Units]]</f>
        <v>0</v>
      </c>
      <c r="G46" s="13">
        <v>0</v>
      </c>
      <c r="H46" s="13">
        <v>0</v>
      </c>
      <c r="I46" s="13">
        <v>0</v>
      </c>
      <c r="J46" s="68">
        <v>0</v>
      </c>
      <c r="K46">
        <f t="shared" si="0"/>
        <v>0</v>
      </c>
      <c r="L46" s="13">
        <v>0</v>
      </c>
      <c r="M46" s="13">
        <v>0</v>
      </c>
      <c r="N46" s="13">
        <v>0</v>
      </c>
      <c r="O46" s="68">
        <v>0</v>
      </c>
      <c r="P46" s="155">
        <f>VLOOKUP(Table323[[#This Row],[Census Tract]],'Population and Diversity Data'!$B$2:$K$823,10,FALSE)</f>
        <v>2</v>
      </c>
      <c r="Q46" s="155" t="str">
        <f>VLOOKUP(Table323[[#This Row],[Census Tract]],'ES Energy Burden'!$B$2:$E$914,4,FALSE)</f>
        <v>No</v>
      </c>
    </row>
    <row r="47" spans="1:17" x14ac:dyDescent="0.2">
      <c r="A47" s="101">
        <v>9003514900</v>
      </c>
      <c r="B47" s="102" t="s">
        <v>2741</v>
      </c>
      <c r="C47" s="104" t="s">
        <v>944</v>
      </c>
      <c r="D47" s="69">
        <v>157.35695040000002</v>
      </c>
      <c r="E47" s="69">
        <v>0</v>
      </c>
      <c r="F47" s="13">
        <f>[1]!Table323[[#This Row],[Single Family]]+[1]!Table323[[#This Row],[2-4 Units]]+[1]!Table323[[#This Row],[&gt;4 Units]]</f>
        <v>0</v>
      </c>
      <c r="G47" s="13">
        <v>0</v>
      </c>
      <c r="H47" s="13">
        <v>0</v>
      </c>
      <c r="I47" s="13">
        <v>0</v>
      </c>
      <c r="J47" s="68">
        <v>0</v>
      </c>
      <c r="K47">
        <f t="shared" si="0"/>
        <v>0</v>
      </c>
      <c r="L47" s="13">
        <v>0</v>
      </c>
      <c r="M47" s="13">
        <v>0</v>
      </c>
      <c r="N47" s="13">
        <v>0</v>
      </c>
      <c r="O47" s="68">
        <v>0</v>
      </c>
      <c r="P47" s="155">
        <f>VLOOKUP(Table323[[#This Row],[Census Tract]],'Population and Diversity Data'!$B$2:$K$823,10,FALSE)</f>
        <v>3</v>
      </c>
      <c r="Q47" s="155" t="str">
        <f>VLOOKUP(Table323[[#This Row],[Census Tract]],'ES Energy Burden'!$B$2:$E$914,4,FALSE)</f>
        <v>No</v>
      </c>
    </row>
    <row r="48" spans="1:17" x14ac:dyDescent="0.2">
      <c r="A48" s="101">
        <v>9013526102</v>
      </c>
      <c r="B48" s="102" t="s">
        <v>2741</v>
      </c>
      <c r="C48" s="104" t="s">
        <v>944</v>
      </c>
      <c r="D48" s="69">
        <v>146.4682176</v>
      </c>
      <c r="E48" s="69">
        <v>0</v>
      </c>
      <c r="F48" s="13">
        <f>[1]!Table323[[#This Row],[Single Family]]+[1]!Table323[[#This Row],[2-4 Units]]+[1]!Table323[[#This Row],[&gt;4 Units]]</f>
        <v>0</v>
      </c>
      <c r="G48" s="13">
        <v>0</v>
      </c>
      <c r="H48" s="13">
        <v>0</v>
      </c>
      <c r="I48" s="13">
        <v>0</v>
      </c>
      <c r="J48" s="68">
        <v>0</v>
      </c>
      <c r="K48">
        <f t="shared" si="0"/>
        <v>0</v>
      </c>
      <c r="L48" s="13">
        <v>0</v>
      </c>
      <c r="M48" s="13">
        <v>0</v>
      </c>
      <c r="N48" s="13">
        <v>0</v>
      </c>
      <c r="O48" s="68">
        <v>0</v>
      </c>
      <c r="P48" s="155">
        <f>VLOOKUP(Table323[[#This Row],[Census Tract]],'Population and Diversity Data'!$B$2:$K$823,10,FALSE)</f>
        <v>1</v>
      </c>
      <c r="Q48" s="155" t="str">
        <f>VLOOKUP(Table323[[#This Row],[Census Tract]],'ES Energy Burden'!$B$2:$E$914,4,FALSE)</f>
        <v>No</v>
      </c>
    </row>
    <row r="49" spans="1:17" x14ac:dyDescent="0.2">
      <c r="A49" s="101">
        <v>9013528100</v>
      </c>
      <c r="B49" s="102" t="s">
        <v>2741</v>
      </c>
      <c r="C49" s="104" t="s">
        <v>944</v>
      </c>
      <c r="D49" s="69">
        <v>230.72420160000001</v>
      </c>
      <c r="E49" s="69">
        <v>0</v>
      </c>
      <c r="F49" s="13">
        <f>[1]!Table323[[#This Row],[Single Family]]+[1]!Table323[[#This Row],[2-4 Units]]+[1]!Table323[[#This Row],[&gt;4 Units]]</f>
        <v>0</v>
      </c>
      <c r="G49" s="13">
        <v>0</v>
      </c>
      <c r="H49" s="13">
        <v>0</v>
      </c>
      <c r="I49" s="13">
        <v>0</v>
      </c>
      <c r="J49" s="68">
        <v>0</v>
      </c>
      <c r="K49">
        <f t="shared" si="0"/>
        <v>0</v>
      </c>
      <c r="L49" s="13">
        <v>0</v>
      </c>
      <c r="M49" s="13">
        <v>0</v>
      </c>
      <c r="N49" s="13">
        <v>0</v>
      </c>
      <c r="O49" s="68">
        <v>0</v>
      </c>
      <c r="P49" s="155">
        <f>VLOOKUP(Table323[[#This Row],[Census Tract]],'Population and Diversity Data'!$B$2:$K$823,10,FALSE)</f>
        <v>1</v>
      </c>
      <c r="Q49" s="155" t="str">
        <f>VLOOKUP(Table323[[#This Row],[Census Tract]],'ES Energy Burden'!$B$2:$E$914,4,FALSE)</f>
        <v>No</v>
      </c>
    </row>
    <row r="50" spans="1:17" x14ac:dyDescent="0.2">
      <c r="A50" s="101">
        <v>9013529100</v>
      </c>
      <c r="B50" s="102" t="s">
        <v>2741</v>
      </c>
      <c r="C50" s="104" t="s">
        <v>944</v>
      </c>
      <c r="D50" s="69">
        <v>101516.74534656</v>
      </c>
      <c r="E50" s="69">
        <v>75181.872099999993</v>
      </c>
      <c r="F50" s="13">
        <f>[1]!Table323[[#This Row],[Single Family]]+[1]!Table323[[#This Row],[2-4 Units]]+[1]!Table323[[#This Row],[&gt;4 Units]]</f>
        <v>29</v>
      </c>
      <c r="G50" s="13">
        <v>29</v>
      </c>
      <c r="H50" s="13">
        <v>0</v>
      </c>
      <c r="I50" s="13">
        <v>0</v>
      </c>
      <c r="J50" s="68">
        <v>24067.168099999999</v>
      </c>
      <c r="K50">
        <f t="shared" si="0"/>
        <v>4</v>
      </c>
      <c r="L50" s="13">
        <v>4</v>
      </c>
      <c r="M50" s="13">
        <v>0</v>
      </c>
      <c r="N50" s="13">
        <v>0</v>
      </c>
      <c r="O50" s="68">
        <v>20179.3</v>
      </c>
      <c r="P50" s="155">
        <f>VLOOKUP(Table323[[#This Row],[Census Tract]],'Population and Diversity Data'!$B$2:$K$823,10,FALSE)</f>
        <v>2</v>
      </c>
      <c r="Q50" s="155" t="str">
        <f>VLOOKUP(Table323[[#This Row],[Census Tract]],'ES Energy Burden'!$B$2:$E$914,4,FALSE)</f>
        <v>No</v>
      </c>
    </row>
    <row r="51" spans="1:17" x14ac:dyDescent="0.2">
      <c r="A51" s="101">
        <v>9013530600</v>
      </c>
      <c r="B51" s="102" t="s">
        <v>2741</v>
      </c>
      <c r="C51" s="104" t="s">
        <v>944</v>
      </c>
      <c r="D51" s="69">
        <v>388.26639360000001</v>
      </c>
      <c r="E51" s="69">
        <v>0</v>
      </c>
      <c r="F51" s="13">
        <f>[1]!Table323[[#This Row],[Single Family]]+[1]!Table323[[#This Row],[2-4 Units]]+[1]!Table323[[#This Row],[&gt;4 Units]]</f>
        <v>0</v>
      </c>
      <c r="G51" s="13">
        <v>0</v>
      </c>
      <c r="H51" s="13">
        <v>0</v>
      </c>
      <c r="I51" s="13">
        <v>0</v>
      </c>
      <c r="J51" s="68">
        <v>0</v>
      </c>
      <c r="K51">
        <f t="shared" si="0"/>
        <v>0</v>
      </c>
      <c r="L51" s="13">
        <v>0</v>
      </c>
      <c r="M51" s="13">
        <v>0</v>
      </c>
      <c r="N51" s="13">
        <v>0</v>
      </c>
      <c r="O51" s="68">
        <v>0</v>
      </c>
      <c r="P51" s="155">
        <f>VLOOKUP(Table323[[#This Row],[Census Tract]],'Population and Diversity Data'!$B$2:$K$823,10,FALSE)</f>
        <v>4</v>
      </c>
      <c r="Q51" s="155" t="str">
        <f>VLOOKUP(Table323[[#This Row],[Census Tract]],'ES Energy Burden'!$B$2:$E$914,4,FALSE)</f>
        <v>No</v>
      </c>
    </row>
    <row r="52" spans="1:17" x14ac:dyDescent="0.2">
      <c r="A52" s="101">
        <v>9009184100</v>
      </c>
      <c r="B52" s="102" t="s">
        <v>2742</v>
      </c>
      <c r="C52" s="104" t="s">
        <v>944</v>
      </c>
      <c r="D52" s="69">
        <v>98810.04429215999</v>
      </c>
      <c r="E52" s="69">
        <v>14180.251700000001</v>
      </c>
      <c r="F52" s="13">
        <f>[1]!Table323[[#This Row],[Single Family]]+[1]!Table323[[#This Row],[2-4 Units]]+[1]!Table323[[#This Row],[&gt;4 Units]]</f>
        <v>18</v>
      </c>
      <c r="G52" s="13">
        <v>18</v>
      </c>
      <c r="H52" s="13">
        <v>0</v>
      </c>
      <c r="I52" s="13">
        <v>0</v>
      </c>
      <c r="J52" s="68">
        <v>10098.931699999999</v>
      </c>
      <c r="K52">
        <f t="shared" si="0"/>
        <v>0</v>
      </c>
      <c r="L52" s="13">
        <v>0</v>
      </c>
      <c r="M52" s="13">
        <v>0</v>
      </c>
      <c r="N52" s="13">
        <v>0</v>
      </c>
      <c r="O52" s="68">
        <v>0</v>
      </c>
      <c r="P52" s="155">
        <f>VLOOKUP(Table323[[#This Row],[Census Tract]],'Population and Diversity Data'!$B$2:$K$823,10,FALSE)</f>
        <v>3</v>
      </c>
      <c r="Q52" s="155" t="str">
        <f>VLOOKUP(Table323[[#This Row],[Census Tract]],'ES Energy Burden'!$B$2:$E$914,4,FALSE)</f>
        <v>No</v>
      </c>
    </row>
    <row r="53" spans="1:17" x14ac:dyDescent="0.2">
      <c r="A53" s="101">
        <v>9009184200</v>
      </c>
      <c r="B53" s="102" t="s">
        <v>2742</v>
      </c>
      <c r="C53" s="104" t="s">
        <v>944</v>
      </c>
      <c r="D53" s="69">
        <v>64502.505169920005</v>
      </c>
      <c r="E53" s="69">
        <v>10900.4157</v>
      </c>
      <c r="F53" s="13">
        <f>[1]!Table323[[#This Row],[Single Family]]+[1]!Table323[[#This Row],[2-4 Units]]+[1]!Table323[[#This Row],[&gt;4 Units]]</f>
        <v>13</v>
      </c>
      <c r="G53" s="13">
        <v>12</v>
      </c>
      <c r="H53" s="13">
        <v>1</v>
      </c>
      <c r="I53" s="13">
        <v>0</v>
      </c>
      <c r="J53" s="68">
        <v>5971.5541000000003</v>
      </c>
      <c r="K53">
        <f t="shared" si="0"/>
        <v>0</v>
      </c>
      <c r="L53" s="13">
        <v>0</v>
      </c>
      <c r="M53" s="13">
        <v>0</v>
      </c>
      <c r="N53" s="13">
        <v>0</v>
      </c>
      <c r="O53" s="68">
        <v>0</v>
      </c>
      <c r="P53" s="155">
        <f>VLOOKUP(Table323[[#This Row],[Census Tract]],'Population and Diversity Data'!$B$2:$K$823,10,FALSE)</f>
        <v>5</v>
      </c>
      <c r="Q53" s="155" t="str">
        <f>VLOOKUP(Table323[[#This Row],[Census Tract]],'ES Energy Burden'!$B$2:$E$914,4,FALSE)</f>
        <v>No</v>
      </c>
    </row>
    <row r="54" spans="1:17" x14ac:dyDescent="0.2">
      <c r="A54" s="101">
        <v>9009184300</v>
      </c>
      <c r="B54" s="102" t="s">
        <v>2742</v>
      </c>
      <c r="C54" s="104" t="s">
        <v>944</v>
      </c>
      <c r="D54" s="69">
        <v>83683.552723200002</v>
      </c>
      <c r="E54" s="69">
        <v>11085.186100000001</v>
      </c>
      <c r="F54" s="13">
        <f>[1]!Table323[[#This Row],[Single Family]]+[1]!Table323[[#This Row],[2-4 Units]]+[1]!Table323[[#This Row],[&gt;4 Units]]</f>
        <v>22</v>
      </c>
      <c r="G54" s="13">
        <v>22</v>
      </c>
      <c r="H54" s="13">
        <v>0</v>
      </c>
      <c r="I54" s="13">
        <v>0</v>
      </c>
      <c r="J54" s="68">
        <v>10567.856100000001</v>
      </c>
      <c r="K54">
        <f t="shared" si="0"/>
        <v>0</v>
      </c>
      <c r="L54" s="13">
        <v>0</v>
      </c>
      <c r="M54" s="13">
        <v>0</v>
      </c>
      <c r="N54" s="13">
        <v>0</v>
      </c>
      <c r="O54" s="68">
        <v>0</v>
      </c>
      <c r="P54" s="155">
        <f>VLOOKUP(Table323[[#This Row],[Census Tract]],'Population and Diversity Data'!$B$2:$K$823,10,FALSE)</f>
        <v>2</v>
      </c>
      <c r="Q54" s="155" t="str">
        <f>VLOOKUP(Table323[[#This Row],[Census Tract]],'ES Energy Burden'!$B$2:$E$914,4,FALSE)</f>
        <v>No</v>
      </c>
    </row>
    <row r="55" spans="1:17" x14ac:dyDescent="0.2">
      <c r="A55" s="101">
        <v>9009184400</v>
      </c>
      <c r="B55" s="102" t="s">
        <v>2742</v>
      </c>
      <c r="C55" s="104" t="s">
        <v>944</v>
      </c>
      <c r="D55" s="69">
        <v>71578.025161919999</v>
      </c>
      <c r="E55" s="69">
        <v>22676.038700000001</v>
      </c>
      <c r="F55" s="13">
        <f>[1]!Table323[[#This Row],[Single Family]]+[1]!Table323[[#This Row],[2-4 Units]]+[1]!Table323[[#This Row],[&gt;4 Units]]</f>
        <v>19</v>
      </c>
      <c r="G55" s="13">
        <v>19</v>
      </c>
      <c r="H55" s="13">
        <v>0</v>
      </c>
      <c r="I55" s="13">
        <v>0</v>
      </c>
      <c r="J55" s="68">
        <v>13316.8087</v>
      </c>
      <c r="K55">
        <f t="shared" si="0"/>
        <v>0</v>
      </c>
      <c r="L55" s="13">
        <v>0</v>
      </c>
      <c r="M55" s="13">
        <v>0</v>
      </c>
      <c r="N55" s="13">
        <v>0</v>
      </c>
      <c r="O55" s="68">
        <v>0</v>
      </c>
      <c r="P55" s="155">
        <f>VLOOKUP(Table323[[#This Row],[Census Tract]],'Population and Diversity Data'!$B$2:$K$823,10,FALSE)</f>
        <v>1</v>
      </c>
      <c r="Q55" s="155" t="str">
        <f>VLOOKUP(Table323[[#This Row],[Census Tract]],'ES Energy Burden'!$B$2:$E$914,4,FALSE)</f>
        <v>No</v>
      </c>
    </row>
    <row r="56" spans="1:17" x14ac:dyDescent="0.2">
      <c r="A56" s="101">
        <v>9009184500</v>
      </c>
      <c r="B56" s="102" t="s">
        <v>2742</v>
      </c>
      <c r="C56" s="104" t="s">
        <v>944</v>
      </c>
      <c r="D56" s="69">
        <v>51159.279490560002</v>
      </c>
      <c r="E56" s="69">
        <v>16216.5388</v>
      </c>
      <c r="F56" s="13">
        <f>[1]!Table323[[#This Row],[Single Family]]+[1]!Table323[[#This Row],[2-4 Units]]+[1]!Table323[[#This Row],[&gt;4 Units]]</f>
        <v>19</v>
      </c>
      <c r="G56" s="13">
        <v>19</v>
      </c>
      <c r="H56" s="13">
        <v>0</v>
      </c>
      <c r="I56" s="13">
        <v>0</v>
      </c>
      <c r="J56" s="68">
        <v>16214.728800000001</v>
      </c>
      <c r="K56">
        <f t="shared" si="0"/>
        <v>0</v>
      </c>
      <c r="L56" s="13">
        <v>0</v>
      </c>
      <c r="M56" s="13">
        <v>0</v>
      </c>
      <c r="N56" s="13">
        <v>0</v>
      </c>
      <c r="O56" s="68">
        <v>0</v>
      </c>
      <c r="P56" s="155">
        <f>VLOOKUP(Table323[[#This Row],[Census Tract]],'Population and Diversity Data'!$B$2:$K$823,10,FALSE)</f>
        <v>1</v>
      </c>
      <c r="Q56" s="155" t="str">
        <f>VLOOKUP(Table323[[#This Row],[Census Tract]],'ES Energy Burden'!$B$2:$E$914,4,FALSE)</f>
        <v>No</v>
      </c>
    </row>
    <row r="57" spans="1:17" x14ac:dyDescent="0.2">
      <c r="A57" s="101">
        <v>9009184600</v>
      </c>
      <c r="B57" s="102" t="s">
        <v>2742</v>
      </c>
      <c r="C57" s="104" t="s">
        <v>944</v>
      </c>
      <c r="D57" s="69">
        <v>71746.751315519999</v>
      </c>
      <c r="E57" s="69">
        <v>19083.82</v>
      </c>
      <c r="F57" s="13">
        <f>[1]!Table323[[#This Row],[Single Family]]+[1]!Table323[[#This Row],[2-4 Units]]+[1]!Table323[[#This Row],[&gt;4 Units]]</f>
        <v>17</v>
      </c>
      <c r="G57" s="13">
        <v>17</v>
      </c>
      <c r="H57" s="13">
        <v>0</v>
      </c>
      <c r="I57" s="13">
        <v>0</v>
      </c>
      <c r="J57" s="68">
        <v>19082.939999999999</v>
      </c>
      <c r="K57">
        <f t="shared" si="0"/>
        <v>0</v>
      </c>
      <c r="L57" s="13">
        <v>0</v>
      </c>
      <c r="M57" s="13">
        <v>0</v>
      </c>
      <c r="N57" s="13">
        <v>0</v>
      </c>
      <c r="O57" s="68">
        <v>0</v>
      </c>
      <c r="P57" s="155">
        <f>VLOOKUP(Table323[[#This Row],[Census Tract]],'Population and Diversity Data'!$B$2:$K$823,10,FALSE)</f>
        <v>1</v>
      </c>
      <c r="Q57" s="155" t="str">
        <f>VLOOKUP(Table323[[#This Row],[Census Tract]],'ES Energy Burden'!$B$2:$E$914,4,FALSE)</f>
        <v>No</v>
      </c>
    </row>
    <row r="58" spans="1:17" x14ac:dyDescent="0.2">
      <c r="A58" s="101">
        <v>9009184700</v>
      </c>
      <c r="B58" s="102" t="s">
        <v>2742</v>
      </c>
      <c r="C58" s="104" t="s">
        <v>944</v>
      </c>
      <c r="D58" s="69">
        <v>127510.82554464001</v>
      </c>
      <c r="E58" s="69">
        <v>184133.80179999999</v>
      </c>
      <c r="F58" s="13">
        <f>[1]!Table323[[#This Row],[Single Family]]+[1]!Table323[[#This Row],[2-4 Units]]+[1]!Table323[[#This Row],[&gt;4 Units]]</f>
        <v>482</v>
      </c>
      <c r="G58" s="13">
        <v>22</v>
      </c>
      <c r="H58" s="13">
        <v>6</v>
      </c>
      <c r="I58" s="13">
        <v>454</v>
      </c>
      <c r="J58" s="68">
        <v>42665.887000000002</v>
      </c>
      <c r="K58">
        <f t="shared" si="0"/>
        <v>29</v>
      </c>
      <c r="L58" s="13">
        <v>11</v>
      </c>
      <c r="M58" s="13">
        <v>0</v>
      </c>
      <c r="N58" s="13">
        <v>18</v>
      </c>
      <c r="O58" s="68">
        <v>21735.200000000001</v>
      </c>
      <c r="P58" s="155">
        <f>VLOOKUP(Table323[[#This Row],[Census Tract]],'Population and Diversity Data'!$B$2:$K$823,10,FALSE)</f>
        <v>4</v>
      </c>
      <c r="Q58" s="155" t="str">
        <f>VLOOKUP(Table323[[#This Row],[Census Tract]],'ES Energy Burden'!$B$2:$E$914,4,FALSE)</f>
        <v>No</v>
      </c>
    </row>
    <row r="59" spans="1:17" x14ac:dyDescent="0.2">
      <c r="A59" s="101">
        <v>9005250100</v>
      </c>
      <c r="B59" s="102" t="s">
        <v>2743</v>
      </c>
      <c r="C59" s="104" t="s">
        <v>944</v>
      </c>
      <c r="D59" s="69">
        <v>63737.97777504001</v>
      </c>
      <c r="E59" s="69">
        <v>14188.062400000001</v>
      </c>
      <c r="F59" s="13">
        <f>[1]!Table323[[#This Row],[Single Family]]+[1]!Table323[[#This Row],[2-4 Units]]+[1]!Table323[[#This Row],[&gt;4 Units]]</f>
        <v>8</v>
      </c>
      <c r="G59" s="13">
        <v>8</v>
      </c>
      <c r="H59" s="13">
        <v>0</v>
      </c>
      <c r="I59" s="13">
        <v>0</v>
      </c>
      <c r="J59" s="68">
        <v>8160.7623999999996</v>
      </c>
      <c r="K59">
        <f t="shared" si="0"/>
        <v>0</v>
      </c>
      <c r="L59" s="13">
        <v>0</v>
      </c>
      <c r="M59" s="13">
        <v>0</v>
      </c>
      <c r="N59" s="13">
        <v>0</v>
      </c>
      <c r="O59" s="68">
        <v>0</v>
      </c>
      <c r="P59" s="155">
        <f>VLOOKUP(Table323[[#This Row],[Census Tract]],'Population and Diversity Data'!$B$2:$K$823,10,FALSE)</f>
        <v>2</v>
      </c>
      <c r="Q59" s="155" t="str">
        <f>VLOOKUP(Table323[[#This Row],[Census Tract]],'ES Energy Burden'!$B$2:$E$914,4,FALSE)</f>
        <v>No</v>
      </c>
    </row>
    <row r="60" spans="1:17" x14ac:dyDescent="0.2">
      <c r="A60" s="101">
        <v>9005268100</v>
      </c>
      <c r="B60" s="102" t="s">
        <v>2743</v>
      </c>
      <c r="C60" s="104" t="s">
        <v>944</v>
      </c>
      <c r="D60" s="69">
        <v>1019.2745376</v>
      </c>
      <c r="E60" s="69">
        <v>0</v>
      </c>
      <c r="F60" s="13">
        <f>[1]!Table323[[#This Row],[Single Family]]+[1]!Table323[[#This Row],[2-4 Units]]+[1]!Table323[[#This Row],[&gt;4 Units]]</f>
        <v>0</v>
      </c>
      <c r="G60" s="13">
        <v>0</v>
      </c>
      <c r="H60" s="13">
        <v>0</v>
      </c>
      <c r="I60" s="13">
        <v>0</v>
      </c>
      <c r="J60" s="68">
        <v>0</v>
      </c>
      <c r="K60">
        <f t="shared" si="0"/>
        <v>0</v>
      </c>
      <c r="L60" s="13">
        <v>0</v>
      </c>
      <c r="M60" s="13">
        <v>0</v>
      </c>
      <c r="N60" s="13">
        <v>0</v>
      </c>
      <c r="O60" s="68">
        <v>0</v>
      </c>
      <c r="P60" s="155">
        <f>VLOOKUP(Table323[[#This Row],[Census Tract]],'Population and Diversity Data'!$B$2:$K$823,10,FALSE)</f>
        <v>1</v>
      </c>
      <c r="Q60" s="155" t="str">
        <f>VLOOKUP(Table323[[#This Row],[Census Tract]],'ES Energy Burden'!$B$2:$E$914,4,FALSE)</f>
        <v>No</v>
      </c>
    </row>
    <row r="61" spans="1:17" x14ac:dyDescent="0.2">
      <c r="A61" s="101">
        <v>9003405100</v>
      </c>
      <c r="B61" s="102" t="s">
        <v>2744</v>
      </c>
      <c r="C61" s="104" t="s">
        <v>944</v>
      </c>
      <c r="D61" s="69">
        <v>73591.994413439999</v>
      </c>
      <c r="E61" s="69">
        <v>30053.519799999998</v>
      </c>
      <c r="F61" s="13">
        <f>[1]!Table323[[#This Row],[Single Family]]+[1]!Table323[[#This Row],[2-4 Units]]+[1]!Table323[[#This Row],[&gt;4 Units]]</f>
        <v>12</v>
      </c>
      <c r="G61" s="13">
        <v>11</v>
      </c>
      <c r="H61" s="13">
        <v>1</v>
      </c>
      <c r="I61" s="13">
        <v>0</v>
      </c>
      <c r="J61" s="68">
        <v>7586.4898000000003</v>
      </c>
      <c r="K61">
        <f t="shared" si="0"/>
        <v>0</v>
      </c>
      <c r="L61" s="13">
        <v>0</v>
      </c>
      <c r="M61" s="13">
        <v>0</v>
      </c>
      <c r="N61" s="13">
        <v>0</v>
      </c>
      <c r="O61" s="68">
        <v>0</v>
      </c>
      <c r="P61" s="155">
        <f>VLOOKUP(Table323[[#This Row],[Census Tract]],'Population and Diversity Data'!$B$2:$K$823,10,FALSE)</f>
        <v>4</v>
      </c>
      <c r="Q61" s="155" t="str">
        <f>VLOOKUP(Table323[[#This Row],[Census Tract]],'ES Energy Burden'!$B$2:$E$914,4,FALSE)</f>
        <v>No</v>
      </c>
    </row>
    <row r="62" spans="1:17" x14ac:dyDescent="0.2">
      <c r="A62" s="101">
        <v>9003405200</v>
      </c>
      <c r="B62" s="102" t="s">
        <v>2744</v>
      </c>
      <c r="C62" s="104" t="s">
        <v>944</v>
      </c>
      <c r="D62" s="69">
        <v>78441.760748159999</v>
      </c>
      <c r="E62" s="69">
        <v>42995.71</v>
      </c>
      <c r="F62" s="13">
        <f>[1]!Table323[[#This Row],[Single Family]]+[1]!Table323[[#This Row],[2-4 Units]]+[1]!Table323[[#This Row],[&gt;4 Units]]</f>
        <v>12</v>
      </c>
      <c r="G62" s="13">
        <v>12</v>
      </c>
      <c r="H62" s="13">
        <v>0</v>
      </c>
      <c r="I62" s="13">
        <v>0</v>
      </c>
      <c r="J62" s="68">
        <v>9637.33</v>
      </c>
      <c r="K62">
        <f t="shared" si="0"/>
        <v>0</v>
      </c>
      <c r="L62" s="13">
        <v>0</v>
      </c>
      <c r="M62" s="13">
        <v>0</v>
      </c>
      <c r="N62" s="13">
        <v>0</v>
      </c>
      <c r="O62" s="68">
        <v>0</v>
      </c>
      <c r="P62" s="155">
        <f>VLOOKUP(Table323[[#This Row],[Census Tract]],'Population and Diversity Data'!$B$2:$K$823,10,FALSE)</f>
        <v>2</v>
      </c>
      <c r="Q62" s="155" t="str">
        <f>VLOOKUP(Table323[[#This Row],[Census Tract]],'ES Energy Burden'!$B$2:$E$914,4,FALSE)</f>
        <v>No</v>
      </c>
    </row>
    <row r="63" spans="1:17" x14ac:dyDescent="0.2">
      <c r="A63" s="101">
        <v>9003405300</v>
      </c>
      <c r="B63" s="102" t="s">
        <v>2744</v>
      </c>
      <c r="C63" s="104" t="s">
        <v>944</v>
      </c>
      <c r="D63" s="69">
        <v>104034.2122656</v>
      </c>
      <c r="E63" s="69">
        <v>85654.017500000002</v>
      </c>
      <c r="F63" s="13">
        <f>[1]!Table323[[#This Row],[Single Family]]+[1]!Table323[[#This Row],[2-4 Units]]+[1]!Table323[[#This Row],[&gt;4 Units]]</f>
        <v>19</v>
      </c>
      <c r="G63" s="13">
        <v>19</v>
      </c>
      <c r="H63" s="13">
        <v>0</v>
      </c>
      <c r="I63" s="13">
        <v>0</v>
      </c>
      <c r="J63" s="68">
        <v>12935.5175</v>
      </c>
      <c r="K63">
        <f t="shared" si="0"/>
        <v>0</v>
      </c>
      <c r="L63" s="13">
        <v>0</v>
      </c>
      <c r="M63" s="13">
        <v>0</v>
      </c>
      <c r="N63" s="13">
        <v>0</v>
      </c>
      <c r="O63" s="68">
        <v>0</v>
      </c>
      <c r="P63" s="155">
        <f>VLOOKUP(Table323[[#This Row],[Census Tract]],'Population and Diversity Data'!$B$2:$K$823,10,FALSE)</f>
        <v>3</v>
      </c>
      <c r="Q63" s="155" t="str">
        <f>VLOOKUP(Table323[[#This Row],[Census Tract]],'ES Energy Burden'!$B$2:$E$914,4,FALSE)</f>
        <v>No</v>
      </c>
    </row>
    <row r="64" spans="1:17" x14ac:dyDescent="0.2">
      <c r="A64" s="101">
        <v>9003405401</v>
      </c>
      <c r="B64" s="102" t="s">
        <v>2744</v>
      </c>
      <c r="C64" s="104" t="s">
        <v>944</v>
      </c>
      <c r="D64" s="69">
        <v>70101.589985280007</v>
      </c>
      <c r="E64" s="69">
        <v>9810.9004999999997</v>
      </c>
      <c r="F64" s="13">
        <f>[1]!Table323[[#This Row],[Single Family]]+[1]!Table323[[#This Row],[2-4 Units]]+[1]!Table323[[#This Row],[&gt;4 Units]]</f>
        <v>12</v>
      </c>
      <c r="G64" s="13">
        <v>12</v>
      </c>
      <c r="H64" s="13">
        <v>0</v>
      </c>
      <c r="I64" s="13">
        <v>0</v>
      </c>
      <c r="J64" s="68">
        <v>7935.4904999999999</v>
      </c>
      <c r="K64">
        <f t="shared" si="0"/>
        <v>0</v>
      </c>
      <c r="L64" s="13">
        <v>0</v>
      </c>
      <c r="M64" s="13">
        <v>0</v>
      </c>
      <c r="N64" s="13">
        <v>0</v>
      </c>
      <c r="O64" s="68">
        <v>0</v>
      </c>
      <c r="P64" s="155">
        <f>VLOOKUP(Table323[[#This Row],[Census Tract]],'Population and Diversity Data'!$B$2:$K$823,10,FALSE)</f>
        <v>4</v>
      </c>
      <c r="Q64" s="155" t="str">
        <f>VLOOKUP(Table323[[#This Row],[Census Tract]],'ES Energy Burden'!$B$2:$E$914,4,FALSE)</f>
        <v>No</v>
      </c>
    </row>
    <row r="65" spans="1:17" x14ac:dyDescent="0.2">
      <c r="A65" s="101">
        <v>9003405402</v>
      </c>
      <c r="B65" s="102" t="s">
        <v>2744</v>
      </c>
      <c r="C65" s="104" t="s">
        <v>944</v>
      </c>
      <c r="D65" s="69">
        <v>84617.753319359996</v>
      </c>
      <c r="E65" s="69">
        <v>14170.022000000001</v>
      </c>
      <c r="F65" s="13">
        <f>[1]!Table323[[#This Row],[Single Family]]+[1]!Table323[[#This Row],[2-4 Units]]+[1]!Table323[[#This Row],[&gt;4 Units]]</f>
        <v>8</v>
      </c>
      <c r="G65" s="13">
        <v>8</v>
      </c>
      <c r="H65" s="13">
        <v>0</v>
      </c>
      <c r="I65" s="13">
        <v>0</v>
      </c>
      <c r="J65" s="68">
        <v>7597.11</v>
      </c>
      <c r="K65">
        <f t="shared" si="0"/>
        <v>0</v>
      </c>
      <c r="L65" s="13">
        <v>0</v>
      </c>
      <c r="M65" s="13">
        <v>0</v>
      </c>
      <c r="N65" s="13">
        <v>0</v>
      </c>
      <c r="O65" s="68">
        <v>0</v>
      </c>
      <c r="P65" s="155">
        <f>VLOOKUP(Table323[[#This Row],[Census Tract]],'Population and Diversity Data'!$B$2:$K$823,10,FALSE)</f>
        <v>5</v>
      </c>
      <c r="Q65" s="155" t="str">
        <f>VLOOKUP(Table323[[#This Row],[Census Tract]],'ES Energy Burden'!$B$2:$E$914,4,FALSE)</f>
        <v>No</v>
      </c>
    </row>
    <row r="66" spans="1:17" x14ac:dyDescent="0.2">
      <c r="A66" s="101">
        <v>9003405500</v>
      </c>
      <c r="B66" s="102" t="s">
        <v>2744</v>
      </c>
      <c r="C66" s="104" t="s">
        <v>944</v>
      </c>
      <c r="D66" s="69">
        <v>95029.491893759987</v>
      </c>
      <c r="E66" s="69">
        <v>79289.1728</v>
      </c>
      <c r="F66" s="13">
        <f>[1]!Table323[[#This Row],[Single Family]]+[1]!Table323[[#This Row],[2-4 Units]]+[1]!Table323[[#This Row],[&gt;4 Units]]</f>
        <v>17</v>
      </c>
      <c r="G66" s="13">
        <v>17</v>
      </c>
      <c r="H66" s="13">
        <v>0</v>
      </c>
      <c r="I66" s="13">
        <v>0</v>
      </c>
      <c r="J66" s="68">
        <v>18773.5416</v>
      </c>
      <c r="K66">
        <f t="shared" si="0"/>
        <v>0</v>
      </c>
      <c r="L66" s="13">
        <v>0</v>
      </c>
      <c r="M66" s="13">
        <v>0</v>
      </c>
      <c r="N66" s="13">
        <v>0</v>
      </c>
      <c r="O66" s="68">
        <v>0</v>
      </c>
      <c r="P66" s="155">
        <f>VLOOKUP(Table323[[#This Row],[Census Tract]],'Population and Diversity Data'!$B$2:$K$823,10,FALSE)</f>
        <v>2</v>
      </c>
      <c r="Q66" s="155" t="str">
        <f>VLOOKUP(Table323[[#This Row],[Census Tract]],'ES Energy Burden'!$B$2:$E$914,4,FALSE)</f>
        <v>No</v>
      </c>
    </row>
    <row r="67" spans="1:17" x14ac:dyDescent="0.2">
      <c r="A67" s="101">
        <v>9003405600</v>
      </c>
      <c r="B67" s="102" t="s">
        <v>2744</v>
      </c>
      <c r="C67" s="104" t="s">
        <v>944</v>
      </c>
      <c r="D67" s="69">
        <v>125510.08948992001</v>
      </c>
      <c r="E67" s="69">
        <v>64317.655200000001</v>
      </c>
      <c r="F67" s="13">
        <f>[1]!Table323[[#This Row],[Single Family]]+[1]!Table323[[#This Row],[2-4 Units]]+[1]!Table323[[#This Row],[&gt;4 Units]]</f>
        <v>20</v>
      </c>
      <c r="G67" s="13">
        <v>19</v>
      </c>
      <c r="H67" s="13">
        <v>1</v>
      </c>
      <c r="I67" s="13">
        <v>0</v>
      </c>
      <c r="J67" s="68">
        <v>14697.3652</v>
      </c>
      <c r="K67">
        <f t="shared" si="0"/>
        <v>0</v>
      </c>
      <c r="L67" s="13">
        <v>0</v>
      </c>
      <c r="M67" s="13">
        <v>0</v>
      </c>
      <c r="N67" s="13">
        <v>0</v>
      </c>
      <c r="O67" s="68">
        <v>0</v>
      </c>
      <c r="P67" s="155">
        <f>VLOOKUP(Table323[[#This Row],[Census Tract]],'Population and Diversity Data'!$B$2:$K$823,10,FALSE)</f>
        <v>3</v>
      </c>
      <c r="Q67" s="155" t="str">
        <f>VLOOKUP(Table323[[#This Row],[Census Tract]],'ES Energy Burden'!$B$2:$E$914,4,FALSE)</f>
        <v>No</v>
      </c>
    </row>
    <row r="68" spans="1:17" x14ac:dyDescent="0.2">
      <c r="A68" s="101">
        <v>9003405700</v>
      </c>
      <c r="B68" s="102" t="s">
        <v>2744</v>
      </c>
      <c r="C68" s="104" t="s">
        <v>944</v>
      </c>
      <c r="D68" s="69">
        <v>33239.069625599994</v>
      </c>
      <c r="E68" s="69">
        <v>28576.05</v>
      </c>
      <c r="F68" s="13">
        <f>[1]!Table323[[#This Row],[Single Family]]+[1]!Table323[[#This Row],[2-4 Units]]+[1]!Table323[[#This Row],[&gt;4 Units]]</f>
        <v>1</v>
      </c>
      <c r="G68" s="13">
        <v>1</v>
      </c>
      <c r="H68" s="13">
        <v>0</v>
      </c>
      <c r="I68" s="13">
        <v>0</v>
      </c>
      <c r="J68" s="68">
        <v>429.27</v>
      </c>
      <c r="K68">
        <f t="shared" si="0"/>
        <v>0</v>
      </c>
      <c r="L68" s="13">
        <v>0</v>
      </c>
      <c r="M68" s="13">
        <v>0</v>
      </c>
      <c r="N68" s="13">
        <v>0</v>
      </c>
      <c r="O68" s="68">
        <v>0</v>
      </c>
      <c r="P68" s="155">
        <f>VLOOKUP(Table323[[#This Row],[Census Tract]],'Population and Diversity Data'!$B$2:$K$823,10,FALSE)</f>
        <v>3</v>
      </c>
      <c r="Q68" s="155" t="str">
        <f>VLOOKUP(Table323[[#This Row],[Census Tract]],'ES Energy Burden'!$B$2:$E$914,4,FALSE)</f>
        <v>Yes</v>
      </c>
    </row>
    <row r="69" spans="1:17" x14ac:dyDescent="0.2">
      <c r="A69" s="101">
        <v>9003405800</v>
      </c>
      <c r="B69" s="102" t="s">
        <v>2744</v>
      </c>
      <c r="C69" s="104" t="s">
        <v>944</v>
      </c>
      <c r="D69" s="69">
        <v>199806.47782272001</v>
      </c>
      <c r="E69" s="69">
        <v>450736.245</v>
      </c>
      <c r="F69" s="13">
        <f>[1]!Table323[[#This Row],[Single Family]]+[1]!Table323[[#This Row],[2-4 Units]]+[1]!Table323[[#This Row],[&gt;4 Units]]</f>
        <v>85</v>
      </c>
      <c r="G69" s="13">
        <v>37</v>
      </c>
      <c r="H69" s="13">
        <v>0</v>
      </c>
      <c r="I69" s="13">
        <v>48</v>
      </c>
      <c r="J69" s="68">
        <v>36006.22</v>
      </c>
      <c r="K69">
        <f t="shared" si="0"/>
        <v>665</v>
      </c>
      <c r="L69" s="13">
        <v>136</v>
      </c>
      <c r="M69" s="13">
        <v>5</v>
      </c>
      <c r="N69" s="13">
        <v>524</v>
      </c>
      <c r="O69" s="68">
        <v>414727</v>
      </c>
      <c r="P69" s="155">
        <f>VLOOKUP(Table323[[#This Row],[Census Tract]],'Population and Diversity Data'!$B$2:$K$823,10,FALSE)</f>
        <v>2</v>
      </c>
      <c r="Q69" s="155" t="str">
        <f>VLOOKUP(Table323[[#This Row],[Census Tract]],'ES Energy Burden'!$B$2:$E$914,4,FALSE)</f>
        <v>No</v>
      </c>
    </row>
    <row r="70" spans="1:17" x14ac:dyDescent="0.2">
      <c r="A70" s="101">
        <v>9003405900</v>
      </c>
      <c r="B70" s="102" t="s">
        <v>2744</v>
      </c>
      <c r="C70" s="104" t="s">
        <v>944</v>
      </c>
      <c r="D70" s="69">
        <v>95207.098066559993</v>
      </c>
      <c r="E70" s="69">
        <v>47858.912400000001</v>
      </c>
      <c r="F70" s="13">
        <f>[1]!Table323[[#This Row],[Single Family]]+[1]!Table323[[#This Row],[2-4 Units]]+[1]!Table323[[#This Row],[&gt;4 Units]]</f>
        <v>32</v>
      </c>
      <c r="G70" s="13">
        <v>32</v>
      </c>
      <c r="H70" s="13">
        <v>0</v>
      </c>
      <c r="I70" s="13">
        <v>0</v>
      </c>
      <c r="J70" s="68">
        <v>31612.222399999999</v>
      </c>
      <c r="K70">
        <f t="shared" ref="K70:K133" si="1">L70+M70+N70</f>
        <v>0</v>
      </c>
      <c r="L70" s="13">
        <v>0</v>
      </c>
      <c r="M70" s="13">
        <v>0</v>
      </c>
      <c r="N70" s="13">
        <v>0</v>
      </c>
      <c r="O70" s="68">
        <v>0</v>
      </c>
      <c r="P70" s="155">
        <f>VLOOKUP(Table323[[#This Row],[Census Tract]],'Population and Diversity Data'!$B$2:$K$823,10,FALSE)</f>
        <v>1</v>
      </c>
      <c r="Q70" s="155" t="str">
        <f>VLOOKUP(Table323[[#This Row],[Census Tract]],'ES Energy Burden'!$B$2:$E$914,4,FALSE)</f>
        <v>No</v>
      </c>
    </row>
    <row r="71" spans="1:17" x14ac:dyDescent="0.2">
      <c r="A71" s="101">
        <v>9003406001</v>
      </c>
      <c r="B71" s="102" t="s">
        <v>2744</v>
      </c>
      <c r="C71" s="104" t="s">
        <v>944</v>
      </c>
      <c r="D71" s="69">
        <v>65823.076327679999</v>
      </c>
      <c r="E71" s="69">
        <v>61190</v>
      </c>
      <c r="F71" s="13">
        <f>[1]!Table323[[#This Row],[Single Family]]+[1]!Table323[[#This Row],[2-4 Units]]+[1]!Table323[[#This Row],[&gt;4 Units]]</f>
        <v>9</v>
      </c>
      <c r="G71" s="13">
        <v>9</v>
      </c>
      <c r="H71" s="13">
        <v>0</v>
      </c>
      <c r="I71" s="13">
        <v>0</v>
      </c>
      <c r="J71" s="68">
        <v>7726.18</v>
      </c>
      <c r="K71">
        <f t="shared" si="1"/>
        <v>0</v>
      </c>
      <c r="L71" s="13">
        <v>0</v>
      </c>
      <c r="M71" s="13">
        <v>0</v>
      </c>
      <c r="N71" s="13">
        <v>0</v>
      </c>
      <c r="O71" s="68">
        <v>0</v>
      </c>
      <c r="P71" s="155">
        <f>VLOOKUP(Table323[[#This Row],[Census Tract]],'Population and Diversity Data'!$B$2:$K$823,10,FALSE)</f>
        <v>4</v>
      </c>
      <c r="Q71" s="155" t="str">
        <f>VLOOKUP(Table323[[#This Row],[Census Tract]],'ES Energy Burden'!$B$2:$E$914,4,FALSE)</f>
        <v>No</v>
      </c>
    </row>
    <row r="72" spans="1:17" x14ac:dyDescent="0.2">
      <c r="A72" s="101">
        <v>9003406002</v>
      </c>
      <c r="B72" s="102" t="s">
        <v>2744</v>
      </c>
      <c r="C72" s="104" t="s">
        <v>944</v>
      </c>
      <c r="D72" s="69">
        <v>98369.128762559994</v>
      </c>
      <c r="E72" s="69">
        <v>88476.909499999994</v>
      </c>
      <c r="F72" s="13">
        <f>[1]!Table323[[#This Row],[Single Family]]+[1]!Table323[[#This Row],[2-4 Units]]+[1]!Table323[[#This Row],[&gt;4 Units]]</f>
        <v>19</v>
      </c>
      <c r="G72" s="13">
        <v>19</v>
      </c>
      <c r="H72" s="13">
        <v>0</v>
      </c>
      <c r="I72" s="13">
        <v>0</v>
      </c>
      <c r="J72" s="68">
        <v>15851.619500000001</v>
      </c>
      <c r="K72">
        <f t="shared" si="1"/>
        <v>0</v>
      </c>
      <c r="L72" s="13">
        <v>0</v>
      </c>
      <c r="M72" s="13">
        <v>0</v>
      </c>
      <c r="N72" s="13">
        <v>0</v>
      </c>
      <c r="O72" s="68">
        <v>0</v>
      </c>
      <c r="P72" s="155">
        <f>VLOOKUP(Table323[[#This Row],[Census Tract]],'Population and Diversity Data'!$B$2:$K$823,10,FALSE)</f>
        <v>2</v>
      </c>
      <c r="Q72" s="155" t="str">
        <f>VLOOKUP(Table323[[#This Row],[Census Tract]],'ES Energy Burden'!$B$2:$E$914,4,FALSE)</f>
        <v>No</v>
      </c>
    </row>
    <row r="73" spans="1:17" x14ac:dyDescent="0.2">
      <c r="A73" s="101">
        <v>9003406100</v>
      </c>
      <c r="B73" s="102" t="s">
        <v>2744</v>
      </c>
      <c r="C73" s="104" t="s">
        <v>944</v>
      </c>
      <c r="D73" s="69">
        <v>52048.524265920001</v>
      </c>
      <c r="E73" s="69">
        <v>10335.120000000001</v>
      </c>
      <c r="F73" s="13">
        <f>[1]!Table323[[#This Row],[Single Family]]+[1]!Table323[[#This Row],[2-4 Units]]+[1]!Table323[[#This Row],[&gt;4 Units]]</f>
        <v>4</v>
      </c>
      <c r="G73" s="13">
        <v>4</v>
      </c>
      <c r="H73" s="13">
        <v>0</v>
      </c>
      <c r="I73" s="13">
        <v>0</v>
      </c>
      <c r="J73" s="68">
        <v>2746.96</v>
      </c>
      <c r="K73">
        <f t="shared" si="1"/>
        <v>0</v>
      </c>
      <c r="L73" s="13">
        <v>0</v>
      </c>
      <c r="M73" s="13">
        <v>0</v>
      </c>
      <c r="N73" s="13">
        <v>0</v>
      </c>
      <c r="O73" s="68">
        <v>0</v>
      </c>
      <c r="P73" s="155">
        <f>VLOOKUP(Table323[[#This Row],[Census Tract]],'Population and Diversity Data'!$B$2:$K$823,10,FALSE)</f>
        <v>4</v>
      </c>
      <c r="Q73" s="155" t="str">
        <f>VLOOKUP(Table323[[#This Row],[Census Tract]],'ES Energy Burden'!$B$2:$E$914,4,FALSE)</f>
        <v>No</v>
      </c>
    </row>
    <row r="74" spans="1:17" x14ac:dyDescent="0.2">
      <c r="A74" s="101">
        <v>9003410101</v>
      </c>
      <c r="B74" s="102" t="s">
        <v>2744</v>
      </c>
      <c r="C74" s="104" t="s">
        <v>944</v>
      </c>
      <c r="D74" s="69">
        <v>392.66588160000003</v>
      </c>
      <c r="E74" s="69">
        <v>0</v>
      </c>
      <c r="F74" s="13">
        <f>[1]!Table323[[#This Row],[Single Family]]+[1]!Table323[[#This Row],[2-4 Units]]+[1]!Table323[[#This Row],[&gt;4 Units]]</f>
        <v>0</v>
      </c>
      <c r="G74" s="13">
        <v>0</v>
      </c>
      <c r="H74" s="13">
        <v>0</v>
      </c>
      <c r="I74" s="13">
        <v>0</v>
      </c>
      <c r="J74" s="68">
        <v>0</v>
      </c>
      <c r="K74">
        <f t="shared" si="1"/>
        <v>0</v>
      </c>
      <c r="L74" s="13">
        <v>0</v>
      </c>
      <c r="M74" s="13">
        <v>0</v>
      </c>
      <c r="N74" s="13">
        <v>0</v>
      </c>
      <c r="O74" s="68">
        <v>0</v>
      </c>
      <c r="P74" s="155">
        <f>VLOOKUP(Table323[[#This Row],[Census Tract]],'Population and Diversity Data'!$B$2:$K$823,10,FALSE)</f>
        <v>1</v>
      </c>
      <c r="Q74" s="155" t="str">
        <f>VLOOKUP(Table323[[#This Row],[Census Tract]],'ES Energy Burden'!$B$2:$E$914,4,FALSE)</f>
        <v>No</v>
      </c>
    </row>
    <row r="75" spans="1:17" x14ac:dyDescent="0.2">
      <c r="A75" s="101">
        <v>9003420500</v>
      </c>
      <c r="B75" s="102" t="s">
        <v>2744</v>
      </c>
      <c r="C75" s="104" t="s">
        <v>944</v>
      </c>
      <c r="D75" s="69">
        <v>546.64217280000003</v>
      </c>
      <c r="E75" s="69">
        <v>894.67</v>
      </c>
      <c r="F75" s="13">
        <f>[1]!Table323[[#This Row],[Single Family]]+[1]!Table323[[#This Row],[2-4 Units]]+[1]!Table323[[#This Row],[&gt;4 Units]]</f>
        <v>0</v>
      </c>
      <c r="G75" s="13">
        <v>0</v>
      </c>
      <c r="H75" s="13">
        <v>0</v>
      </c>
      <c r="I75" s="13">
        <v>0</v>
      </c>
      <c r="J75" s="68">
        <v>0</v>
      </c>
      <c r="K75">
        <f t="shared" si="1"/>
        <v>0</v>
      </c>
      <c r="L75" s="13">
        <v>0</v>
      </c>
      <c r="M75" s="13">
        <v>0</v>
      </c>
      <c r="N75" s="13">
        <v>0</v>
      </c>
      <c r="O75" s="68">
        <v>0</v>
      </c>
      <c r="P75" s="155">
        <f>VLOOKUP(Table323[[#This Row],[Census Tract]],'Population and Diversity Data'!$B$2:$K$823,10,FALSE)</f>
        <v>4</v>
      </c>
      <c r="Q75" s="155" t="str">
        <f>VLOOKUP(Table323[[#This Row],[Census Tract]],'ES Energy Burden'!$B$2:$E$914,4,FALSE)</f>
        <v>No</v>
      </c>
    </row>
    <row r="76" spans="1:17" x14ac:dyDescent="0.2">
      <c r="A76" s="101">
        <v>9003430601</v>
      </c>
      <c r="B76" s="102" t="s">
        <v>2744</v>
      </c>
      <c r="C76" s="104" t="s">
        <v>944</v>
      </c>
      <c r="D76" s="69">
        <v>1476.5607936000001</v>
      </c>
      <c r="E76" s="69">
        <v>0</v>
      </c>
      <c r="F76" s="13">
        <f>[1]!Table323[[#This Row],[Single Family]]+[1]!Table323[[#This Row],[2-4 Units]]+[1]!Table323[[#This Row],[&gt;4 Units]]</f>
        <v>0</v>
      </c>
      <c r="G76" s="13">
        <v>0</v>
      </c>
      <c r="H76" s="13">
        <v>0</v>
      </c>
      <c r="I76" s="13">
        <v>0</v>
      </c>
      <c r="J76" s="68">
        <v>0</v>
      </c>
      <c r="K76">
        <f t="shared" si="1"/>
        <v>0</v>
      </c>
      <c r="L76" s="13">
        <v>0</v>
      </c>
      <c r="M76" s="13">
        <v>0</v>
      </c>
      <c r="N76" s="13">
        <v>0</v>
      </c>
      <c r="O76" s="68">
        <v>0</v>
      </c>
      <c r="P76" s="155">
        <f>VLOOKUP(Table323[[#This Row],[Census Tract]],'Population and Diversity Data'!$B$2:$K$823,10,FALSE)</f>
        <v>2</v>
      </c>
      <c r="Q76" s="155" t="str">
        <f>VLOOKUP(Table323[[#This Row],[Census Tract]],'ES Energy Burden'!$B$2:$E$914,4,FALSE)</f>
        <v>No</v>
      </c>
    </row>
    <row r="77" spans="1:17" x14ac:dyDescent="0.2">
      <c r="A77" s="101">
        <v>9005425400</v>
      </c>
      <c r="B77" s="102" t="s">
        <v>2744</v>
      </c>
      <c r="C77" s="104" t="s">
        <v>944</v>
      </c>
      <c r="D77" s="69">
        <v>559.63802880000003</v>
      </c>
      <c r="E77" s="69">
        <v>0</v>
      </c>
      <c r="F77" s="13">
        <f>[1]!Table323[[#This Row],[Single Family]]+[1]!Table323[[#This Row],[2-4 Units]]+[1]!Table323[[#This Row],[&gt;4 Units]]</f>
        <v>0</v>
      </c>
      <c r="G77" s="13">
        <v>0</v>
      </c>
      <c r="H77" s="13">
        <v>0</v>
      </c>
      <c r="I77" s="13">
        <v>0</v>
      </c>
      <c r="J77" s="68">
        <v>0</v>
      </c>
      <c r="K77">
        <f t="shared" si="1"/>
        <v>0</v>
      </c>
      <c r="L77" s="13">
        <v>0</v>
      </c>
      <c r="M77" s="13">
        <v>0</v>
      </c>
      <c r="N77" s="13">
        <v>0</v>
      </c>
      <c r="O77" s="68">
        <v>0</v>
      </c>
      <c r="P77" s="155">
        <f>VLOOKUP(Table323[[#This Row],[Census Tract]],'Population and Diversity Data'!$B$2:$K$823,10,FALSE)</f>
        <v>2</v>
      </c>
      <c r="Q77" s="155" t="str">
        <f>VLOOKUP(Table323[[#This Row],[Census Tract]],'ES Energy Burden'!$B$2:$E$914,4,FALSE)</f>
        <v>No</v>
      </c>
    </row>
    <row r="78" spans="1:17" x14ac:dyDescent="0.2">
      <c r="A78" s="101">
        <v>9001205100</v>
      </c>
      <c r="B78" s="102" t="s">
        <v>2745</v>
      </c>
      <c r="C78" s="104" t="s">
        <v>944</v>
      </c>
      <c r="D78" s="69">
        <v>93675.313857600006</v>
      </c>
      <c r="E78" s="69">
        <v>12836.5</v>
      </c>
      <c r="F78" s="13">
        <f>[1]!Table323[[#This Row],[Single Family]]+[1]!Table323[[#This Row],[2-4 Units]]+[1]!Table323[[#This Row],[&gt;4 Units]]</f>
        <v>11</v>
      </c>
      <c r="G78" s="13">
        <v>11</v>
      </c>
      <c r="H78" s="13">
        <v>0</v>
      </c>
      <c r="I78" s="13">
        <v>0</v>
      </c>
      <c r="J78" s="68">
        <v>9777.44</v>
      </c>
      <c r="K78">
        <f t="shared" si="1"/>
        <v>0</v>
      </c>
      <c r="L78" s="13">
        <v>0</v>
      </c>
      <c r="M78" s="13">
        <v>0</v>
      </c>
      <c r="N78" s="13">
        <v>0</v>
      </c>
      <c r="O78" s="68">
        <v>0</v>
      </c>
      <c r="P78" s="155">
        <f>VLOOKUP(Table323[[#This Row],[Census Tract]],'Population and Diversity Data'!$B$2:$K$823,10,FALSE)</f>
        <v>3</v>
      </c>
      <c r="Q78" s="155" t="str">
        <f>VLOOKUP(Table323[[#This Row],[Census Tract]],'ES Energy Burden'!$B$2:$E$914,4,FALSE)</f>
        <v>No</v>
      </c>
    </row>
    <row r="79" spans="1:17" x14ac:dyDescent="0.2">
      <c r="A79" s="101">
        <v>9001205200</v>
      </c>
      <c r="B79" s="102" t="s">
        <v>2745</v>
      </c>
      <c r="C79" s="104" t="s">
        <v>944</v>
      </c>
      <c r="D79" s="69">
        <v>173065.61753280001</v>
      </c>
      <c r="E79" s="69">
        <v>346329.2622</v>
      </c>
      <c r="F79" s="13">
        <f>[1]!Table323[[#This Row],[Single Family]]+[1]!Table323[[#This Row],[2-4 Units]]+[1]!Table323[[#This Row],[&gt;4 Units]]</f>
        <v>38</v>
      </c>
      <c r="G79" s="13">
        <v>38</v>
      </c>
      <c r="H79" s="13">
        <v>0</v>
      </c>
      <c r="I79" s="13">
        <v>0</v>
      </c>
      <c r="J79" s="68">
        <v>46134.372199999998</v>
      </c>
      <c r="K79">
        <f t="shared" si="1"/>
        <v>19</v>
      </c>
      <c r="L79" s="13">
        <v>19</v>
      </c>
      <c r="M79" s="13">
        <v>0</v>
      </c>
      <c r="N79" s="13">
        <v>0</v>
      </c>
      <c r="O79" s="68">
        <v>26771.9</v>
      </c>
      <c r="P79" s="155">
        <f>VLOOKUP(Table323[[#This Row],[Census Tract]],'Population and Diversity Data'!$B$2:$K$823,10,FALSE)</f>
        <v>1</v>
      </c>
      <c r="Q79" s="155" t="str">
        <f>VLOOKUP(Table323[[#This Row],[Census Tract]],'ES Energy Burden'!$B$2:$E$914,4,FALSE)</f>
        <v>No</v>
      </c>
    </row>
    <row r="80" spans="1:17" x14ac:dyDescent="0.2">
      <c r="A80" s="101">
        <v>9001205300</v>
      </c>
      <c r="B80" s="102" t="s">
        <v>2745</v>
      </c>
      <c r="C80" s="104" t="s">
        <v>944</v>
      </c>
      <c r="D80" s="69">
        <v>134676.70291584003</v>
      </c>
      <c r="E80" s="69">
        <v>17564.3</v>
      </c>
      <c r="F80" s="13">
        <f>[1]!Table323[[#This Row],[Single Family]]+[1]!Table323[[#This Row],[2-4 Units]]+[1]!Table323[[#This Row],[&gt;4 Units]]</f>
        <v>12</v>
      </c>
      <c r="G80" s="13">
        <v>11</v>
      </c>
      <c r="H80" s="13">
        <v>1</v>
      </c>
      <c r="I80" s="13">
        <v>0</v>
      </c>
      <c r="J80" s="68">
        <v>12015.26</v>
      </c>
      <c r="K80">
        <f t="shared" si="1"/>
        <v>0</v>
      </c>
      <c r="L80" s="13">
        <v>0</v>
      </c>
      <c r="M80" s="13">
        <v>0</v>
      </c>
      <c r="N80" s="13">
        <v>0</v>
      </c>
      <c r="O80" s="68">
        <v>0</v>
      </c>
      <c r="P80" s="155">
        <f>VLOOKUP(Table323[[#This Row],[Census Tract]],'Population and Diversity Data'!$B$2:$K$823,10,FALSE)</f>
        <v>4</v>
      </c>
      <c r="Q80" s="155" t="str">
        <f>VLOOKUP(Table323[[#This Row],[Census Tract]],'ES Energy Burden'!$B$2:$E$914,4,FALSE)</f>
        <v>No</v>
      </c>
    </row>
    <row r="81" spans="1:17" x14ac:dyDescent="0.2">
      <c r="A81" s="101">
        <v>9001211400</v>
      </c>
      <c r="B81" s="102" t="s">
        <v>2745</v>
      </c>
      <c r="C81" s="104" t="s">
        <v>944</v>
      </c>
      <c r="D81" s="69">
        <v>1156.7643264000001</v>
      </c>
      <c r="E81" s="69">
        <v>0</v>
      </c>
      <c r="F81" s="13">
        <f>[1]!Table323[[#This Row],[Single Family]]+[1]!Table323[[#This Row],[2-4 Units]]+[1]!Table323[[#This Row],[&gt;4 Units]]</f>
        <v>0</v>
      </c>
      <c r="G81" s="13">
        <v>0</v>
      </c>
      <c r="H81" s="13">
        <v>0</v>
      </c>
      <c r="I81" s="13">
        <v>0</v>
      </c>
      <c r="J81" s="68">
        <v>0</v>
      </c>
      <c r="K81">
        <f t="shared" si="1"/>
        <v>0</v>
      </c>
      <c r="L81" s="13">
        <v>0</v>
      </c>
      <c r="M81" s="13">
        <v>0</v>
      </c>
      <c r="N81" s="13">
        <v>0</v>
      </c>
      <c r="O81" s="68">
        <v>0</v>
      </c>
      <c r="P81" s="155">
        <f>VLOOKUP(Table323[[#This Row],[Census Tract]],'Population and Diversity Data'!$B$2:$K$823,10,FALSE)</f>
        <v>4</v>
      </c>
      <c r="Q81" s="155" t="str">
        <f>VLOOKUP(Table323[[#This Row],[Census Tract]],'ES Energy Burden'!$B$2:$E$914,4,FALSE)</f>
        <v>No</v>
      </c>
    </row>
    <row r="82" spans="1:17" x14ac:dyDescent="0.2">
      <c r="A82" s="101">
        <v>9005253400</v>
      </c>
      <c r="B82" s="102" t="s">
        <v>2745</v>
      </c>
      <c r="C82" s="104" t="s">
        <v>944</v>
      </c>
      <c r="D82" s="69">
        <v>1729.7165952</v>
      </c>
      <c r="E82" s="69">
        <v>888.71</v>
      </c>
      <c r="F82" s="13">
        <f>[1]!Table323[[#This Row],[Single Family]]+[1]!Table323[[#This Row],[2-4 Units]]+[1]!Table323[[#This Row],[&gt;4 Units]]</f>
        <v>1</v>
      </c>
      <c r="G82" s="13">
        <v>1</v>
      </c>
      <c r="H82" s="13">
        <v>0</v>
      </c>
      <c r="I82" s="13">
        <v>0</v>
      </c>
      <c r="J82" s="68">
        <v>886.18</v>
      </c>
      <c r="K82">
        <f t="shared" si="1"/>
        <v>0</v>
      </c>
      <c r="L82" s="13">
        <v>0</v>
      </c>
      <c r="M82" s="13">
        <v>0</v>
      </c>
      <c r="N82" s="13">
        <v>0</v>
      </c>
      <c r="O82" s="68">
        <v>0</v>
      </c>
      <c r="P82" s="155">
        <f>VLOOKUP(Table323[[#This Row],[Census Tract]],'Population and Diversity Data'!$B$2:$K$823,10,FALSE)</f>
        <v>2</v>
      </c>
      <c r="Q82" s="155" t="str">
        <f>VLOOKUP(Table323[[#This Row],[Census Tract]],'ES Energy Burden'!$B$2:$E$914,4,FALSE)</f>
        <v>No</v>
      </c>
    </row>
    <row r="83" spans="1:17" x14ac:dyDescent="0.2">
      <c r="A83" s="101">
        <v>9015902500</v>
      </c>
      <c r="B83" s="102" t="s">
        <v>2746</v>
      </c>
      <c r="C83" s="104" t="s">
        <v>944</v>
      </c>
      <c r="D83" s="69">
        <v>40.784411519999999</v>
      </c>
      <c r="E83" s="69">
        <v>0</v>
      </c>
      <c r="F83" s="13">
        <f>[1]!Table323[[#This Row],[Single Family]]+[1]!Table323[[#This Row],[2-4 Units]]+[1]!Table323[[#This Row],[&gt;4 Units]]</f>
        <v>0</v>
      </c>
      <c r="G83" s="13">
        <v>0</v>
      </c>
      <c r="H83" s="13">
        <v>0</v>
      </c>
      <c r="I83" s="13">
        <v>0</v>
      </c>
      <c r="J83" s="68">
        <v>0</v>
      </c>
      <c r="K83">
        <f t="shared" si="1"/>
        <v>0</v>
      </c>
      <c r="L83" s="13">
        <v>0</v>
      </c>
      <c r="M83" s="13">
        <v>0</v>
      </c>
      <c r="N83" s="13">
        <v>0</v>
      </c>
      <c r="O83" s="68">
        <v>0</v>
      </c>
      <c r="P83" s="155">
        <f>VLOOKUP(Table323[[#This Row],[Census Tract]],'Population and Diversity Data'!$B$2:$K$823,10,FALSE)</f>
        <v>2</v>
      </c>
      <c r="Q83" s="155" t="str">
        <f>VLOOKUP(Table323[[#This Row],[Census Tract]],'ES Energy Burden'!$B$2:$E$914,4,FALSE)</f>
        <v>No</v>
      </c>
    </row>
    <row r="84" spans="1:17" x14ac:dyDescent="0.2">
      <c r="A84" s="101">
        <v>9015905100</v>
      </c>
      <c r="B84" s="102" t="s">
        <v>2746</v>
      </c>
      <c r="C84" s="104" t="s">
        <v>944</v>
      </c>
      <c r="D84" s="69">
        <v>149299.51099680003</v>
      </c>
      <c r="E84" s="69">
        <v>89586.357199999999</v>
      </c>
      <c r="F84" s="13">
        <f>[1]!Table323[[#This Row],[Single Family]]+[1]!Table323[[#This Row],[2-4 Units]]+[1]!Table323[[#This Row],[&gt;4 Units]]</f>
        <v>17</v>
      </c>
      <c r="G84" s="13">
        <v>17</v>
      </c>
      <c r="H84" s="13">
        <v>0</v>
      </c>
      <c r="I84" s="13">
        <v>0</v>
      </c>
      <c r="J84" s="68">
        <v>11573.31</v>
      </c>
      <c r="K84">
        <f t="shared" si="1"/>
        <v>11</v>
      </c>
      <c r="L84" s="13">
        <v>10</v>
      </c>
      <c r="M84" s="13">
        <v>1</v>
      </c>
      <c r="N84" s="13">
        <v>0</v>
      </c>
      <c r="O84" s="68">
        <v>39248.1</v>
      </c>
      <c r="P84" s="155">
        <f>VLOOKUP(Table323[[#This Row],[Census Tract]],'Population and Diversity Data'!$B$2:$K$823,10,FALSE)</f>
        <v>4</v>
      </c>
      <c r="Q84" s="155" t="str">
        <f>VLOOKUP(Table323[[#This Row],[Census Tract]],'ES Energy Burden'!$B$2:$E$914,4,FALSE)</f>
        <v>No</v>
      </c>
    </row>
    <row r="85" spans="1:17" x14ac:dyDescent="0.2">
      <c r="A85" s="101">
        <v>9003406001</v>
      </c>
      <c r="B85" s="102" t="s">
        <v>2747</v>
      </c>
      <c r="C85" s="104" t="s">
        <v>944</v>
      </c>
      <c r="D85" s="69">
        <v>70.362864000000002</v>
      </c>
      <c r="E85" s="69">
        <v>0</v>
      </c>
      <c r="F85" s="13">
        <f>[1]!Table323[[#This Row],[Single Family]]+[1]!Table323[[#This Row],[2-4 Units]]+[1]!Table323[[#This Row],[&gt;4 Units]]</f>
        <v>0</v>
      </c>
      <c r="G85" s="13">
        <v>0</v>
      </c>
      <c r="H85" s="13">
        <v>0</v>
      </c>
      <c r="I85" s="13">
        <v>0</v>
      </c>
      <c r="J85" s="68">
        <v>0</v>
      </c>
      <c r="K85">
        <f t="shared" si="1"/>
        <v>0</v>
      </c>
      <c r="L85" s="13">
        <v>0</v>
      </c>
      <c r="M85" s="13">
        <v>0</v>
      </c>
      <c r="N85" s="13">
        <v>0</v>
      </c>
      <c r="O85" s="68">
        <v>0</v>
      </c>
      <c r="P85" s="155">
        <f>VLOOKUP(Table323[[#This Row],[Census Tract]],'Population and Diversity Data'!$B$2:$K$823,10,FALSE)</f>
        <v>4</v>
      </c>
      <c r="Q85" s="155" t="str">
        <f>VLOOKUP(Table323[[#This Row],[Census Tract]],'ES Energy Burden'!$B$2:$E$914,4,FALSE)</f>
        <v>No</v>
      </c>
    </row>
    <row r="86" spans="1:17" x14ac:dyDescent="0.2">
      <c r="A86" s="101">
        <v>9003410101</v>
      </c>
      <c r="B86" s="102" t="s">
        <v>2747</v>
      </c>
      <c r="C86" s="104" t="s">
        <v>944</v>
      </c>
      <c r="D86" s="69">
        <v>121175.56514015999</v>
      </c>
      <c r="E86" s="69">
        <v>88803.831399999995</v>
      </c>
      <c r="F86" s="13">
        <f>[1]!Table323[[#This Row],[Single Family]]+[1]!Table323[[#This Row],[2-4 Units]]+[1]!Table323[[#This Row],[&gt;4 Units]]</f>
        <v>24</v>
      </c>
      <c r="G86" s="13">
        <v>24</v>
      </c>
      <c r="H86" s="13">
        <v>0</v>
      </c>
      <c r="I86" s="13">
        <v>0</v>
      </c>
      <c r="J86" s="68">
        <v>20876.07</v>
      </c>
      <c r="K86">
        <f t="shared" si="1"/>
        <v>8</v>
      </c>
      <c r="L86" s="13">
        <v>8</v>
      </c>
      <c r="M86" s="13">
        <v>0</v>
      </c>
      <c r="N86" s="13">
        <v>0</v>
      </c>
      <c r="O86" s="68">
        <v>36086</v>
      </c>
      <c r="P86" s="155">
        <f>VLOOKUP(Table323[[#This Row],[Census Tract]],'Population and Diversity Data'!$B$2:$K$823,10,FALSE)</f>
        <v>1</v>
      </c>
      <c r="Q86" s="155" t="str">
        <f>VLOOKUP(Table323[[#This Row],[Census Tract]],'ES Energy Burden'!$B$2:$E$914,4,FALSE)</f>
        <v>No</v>
      </c>
    </row>
    <row r="87" spans="1:17" x14ac:dyDescent="0.2">
      <c r="A87" s="101">
        <v>9003410102</v>
      </c>
      <c r="B87" s="102" t="s">
        <v>2747</v>
      </c>
      <c r="C87" s="104" t="s">
        <v>944</v>
      </c>
      <c r="D87" s="69">
        <v>91578.06808704001</v>
      </c>
      <c r="E87" s="69">
        <v>36952.3531</v>
      </c>
      <c r="F87" s="13">
        <f>[1]!Table323[[#This Row],[Single Family]]+[1]!Table323[[#This Row],[2-4 Units]]+[1]!Table323[[#This Row],[&gt;4 Units]]</f>
        <v>18</v>
      </c>
      <c r="G87" s="13">
        <v>18</v>
      </c>
      <c r="H87" s="13">
        <v>0</v>
      </c>
      <c r="I87" s="13">
        <v>0</v>
      </c>
      <c r="J87" s="68">
        <v>16328.463100000001</v>
      </c>
      <c r="K87">
        <f t="shared" si="1"/>
        <v>0</v>
      </c>
      <c r="L87" s="13">
        <v>0</v>
      </c>
      <c r="M87" s="13">
        <v>0</v>
      </c>
      <c r="N87" s="13">
        <v>0</v>
      </c>
      <c r="O87" s="68">
        <v>0</v>
      </c>
      <c r="P87" s="155">
        <f>VLOOKUP(Table323[[#This Row],[Census Tract]],'Population and Diversity Data'!$B$2:$K$823,10,FALSE)</f>
        <v>2</v>
      </c>
      <c r="Q87" s="155" t="str">
        <f>VLOOKUP(Table323[[#This Row],[Census Tract]],'ES Energy Burden'!$B$2:$E$914,4,FALSE)</f>
        <v>No</v>
      </c>
    </row>
    <row r="88" spans="1:17" x14ac:dyDescent="0.2">
      <c r="A88" s="101">
        <v>9003460302</v>
      </c>
      <c r="B88" s="102" t="s">
        <v>2747</v>
      </c>
      <c r="C88" s="104" t="s">
        <v>944</v>
      </c>
      <c r="D88" s="69">
        <v>255.88232640000001</v>
      </c>
      <c r="E88" s="69">
        <v>0</v>
      </c>
      <c r="F88" s="13">
        <f>[1]!Table323[[#This Row],[Single Family]]+[1]!Table323[[#This Row],[2-4 Units]]+[1]!Table323[[#This Row],[&gt;4 Units]]</f>
        <v>0</v>
      </c>
      <c r="G88" s="13">
        <v>0</v>
      </c>
      <c r="H88" s="13">
        <v>0</v>
      </c>
      <c r="I88" s="13">
        <v>0</v>
      </c>
      <c r="J88" s="68">
        <v>0</v>
      </c>
      <c r="K88">
        <f t="shared" si="1"/>
        <v>0</v>
      </c>
      <c r="L88" s="13">
        <v>0</v>
      </c>
      <c r="M88" s="13">
        <v>0</v>
      </c>
      <c r="N88" s="13">
        <v>0</v>
      </c>
      <c r="O88" s="68">
        <v>0</v>
      </c>
      <c r="P88" s="155">
        <f>VLOOKUP(Table323[[#This Row],[Census Tract]],'Population and Diversity Data'!$B$2:$K$823,10,FALSE)</f>
        <v>3</v>
      </c>
      <c r="Q88" s="155" t="str">
        <f>VLOOKUP(Table323[[#This Row],[Census Tract]],'ES Energy Burden'!$B$2:$E$914,4,FALSE)</f>
        <v>No</v>
      </c>
    </row>
    <row r="89" spans="1:17" x14ac:dyDescent="0.2">
      <c r="A89" s="101">
        <v>9005260200</v>
      </c>
      <c r="B89" s="102" t="s">
        <v>2748</v>
      </c>
      <c r="C89" s="104" t="s">
        <v>944</v>
      </c>
      <c r="D89" s="69">
        <v>19721.679793920001</v>
      </c>
      <c r="E89" s="69">
        <v>14058.66</v>
      </c>
      <c r="F89" s="13">
        <f>[1]!Table323[[#This Row],[Single Family]]+[1]!Table323[[#This Row],[2-4 Units]]+[1]!Table323[[#This Row],[&gt;4 Units]]</f>
        <v>1</v>
      </c>
      <c r="G89" s="13">
        <v>1</v>
      </c>
      <c r="H89" s="13">
        <v>0</v>
      </c>
      <c r="I89" s="13">
        <v>0</v>
      </c>
      <c r="J89" s="68">
        <v>596.62</v>
      </c>
      <c r="K89">
        <f t="shared" si="1"/>
        <v>0</v>
      </c>
      <c r="L89" s="13">
        <v>0</v>
      </c>
      <c r="M89" s="13">
        <v>0</v>
      </c>
      <c r="N89" s="13">
        <v>0</v>
      </c>
      <c r="O89" s="68">
        <v>0</v>
      </c>
      <c r="P89" s="155">
        <f>VLOOKUP(Table323[[#This Row],[Census Tract]],'Population and Diversity Data'!$B$2:$K$823,10,FALSE)</f>
        <v>1</v>
      </c>
      <c r="Q89" s="155" t="str">
        <f>VLOOKUP(Table323[[#This Row],[Census Tract]],'ES Energy Burden'!$B$2:$E$914,4,FALSE)</f>
        <v>No</v>
      </c>
    </row>
    <row r="90" spans="1:17" x14ac:dyDescent="0.2">
      <c r="A90" s="101">
        <v>9005261100</v>
      </c>
      <c r="B90" s="102" t="s">
        <v>2748</v>
      </c>
      <c r="C90" s="104" t="s">
        <v>944</v>
      </c>
      <c r="D90" s="69">
        <v>51.971846400000004</v>
      </c>
      <c r="E90" s="69">
        <v>0</v>
      </c>
      <c r="F90" s="13">
        <f>[1]!Table323[[#This Row],[Single Family]]+[1]!Table323[[#This Row],[2-4 Units]]+[1]!Table323[[#This Row],[&gt;4 Units]]</f>
        <v>0</v>
      </c>
      <c r="G90" s="13">
        <v>0</v>
      </c>
      <c r="H90" s="13">
        <v>0</v>
      </c>
      <c r="I90" s="13">
        <v>0</v>
      </c>
      <c r="J90" s="68">
        <v>0</v>
      </c>
      <c r="K90">
        <f t="shared" si="1"/>
        <v>0</v>
      </c>
      <c r="L90" s="13">
        <v>0</v>
      </c>
      <c r="M90" s="13">
        <v>0</v>
      </c>
      <c r="N90" s="13">
        <v>0</v>
      </c>
      <c r="O90" s="68">
        <v>0</v>
      </c>
      <c r="P90" s="155">
        <f>VLOOKUP(Table323[[#This Row],[Census Tract]],'Population and Diversity Data'!$B$2:$K$823,10,FALSE)</f>
        <v>1</v>
      </c>
      <c r="Q90" s="155" t="str">
        <f>VLOOKUP(Table323[[#This Row],[Census Tract]],'ES Energy Burden'!$B$2:$E$914,4,FALSE)</f>
        <v>No</v>
      </c>
    </row>
    <row r="91" spans="1:17" x14ac:dyDescent="0.2">
      <c r="A91" s="101">
        <v>9005263200</v>
      </c>
      <c r="B91" s="102" t="s">
        <v>2748</v>
      </c>
      <c r="C91" s="104" t="s">
        <v>944</v>
      </c>
      <c r="D91" s="69">
        <v>63.364204800000003</v>
      </c>
      <c r="E91" s="69">
        <v>0</v>
      </c>
      <c r="F91" s="13">
        <f>[1]!Table323[[#This Row],[Single Family]]+[1]!Table323[[#This Row],[2-4 Units]]+[1]!Table323[[#This Row],[&gt;4 Units]]</f>
        <v>0</v>
      </c>
      <c r="G91" s="13">
        <v>0</v>
      </c>
      <c r="H91" s="13">
        <v>0</v>
      </c>
      <c r="I91" s="13">
        <v>0</v>
      </c>
      <c r="J91" s="68">
        <v>0</v>
      </c>
      <c r="K91">
        <f t="shared" si="1"/>
        <v>0</v>
      </c>
      <c r="L91" s="13">
        <v>0</v>
      </c>
      <c r="M91" s="13">
        <v>0</v>
      </c>
      <c r="N91" s="13">
        <v>0</v>
      </c>
      <c r="O91" s="68">
        <v>0</v>
      </c>
      <c r="P91" s="155">
        <f>VLOOKUP(Table323[[#This Row],[Census Tract]],'Population and Diversity Data'!$B$2:$K$823,10,FALSE)</f>
        <v>3</v>
      </c>
      <c r="Q91" s="155" t="str">
        <f>VLOOKUP(Table323[[#This Row],[Census Tract]],'ES Energy Burden'!$B$2:$E$914,4,FALSE)</f>
        <v>No</v>
      </c>
    </row>
    <row r="92" spans="1:17" x14ac:dyDescent="0.2">
      <c r="A92" s="101">
        <v>9005425600</v>
      </c>
      <c r="B92" s="102" t="s">
        <v>2748</v>
      </c>
      <c r="C92" s="104" t="s">
        <v>944</v>
      </c>
      <c r="D92" s="69">
        <v>29049.917094720004</v>
      </c>
      <c r="E92" s="69">
        <v>18845.7088</v>
      </c>
      <c r="F92" s="13">
        <f>[1]!Table323[[#This Row],[Single Family]]+[1]!Table323[[#This Row],[2-4 Units]]+[1]!Table323[[#This Row],[&gt;4 Units]]</f>
        <v>3</v>
      </c>
      <c r="G92" s="13">
        <v>3</v>
      </c>
      <c r="H92" s="13">
        <v>0</v>
      </c>
      <c r="I92" s="13">
        <v>0</v>
      </c>
      <c r="J92" s="68">
        <v>3951.23</v>
      </c>
      <c r="K92">
        <f t="shared" si="1"/>
        <v>2</v>
      </c>
      <c r="L92" s="13">
        <v>2</v>
      </c>
      <c r="M92" s="13">
        <v>0</v>
      </c>
      <c r="N92" s="13">
        <v>0</v>
      </c>
      <c r="O92" s="68">
        <v>14271.5</v>
      </c>
      <c r="P92" s="155">
        <f>VLOOKUP(Table323[[#This Row],[Census Tract]],'Population and Diversity Data'!$B$2:$K$823,10,FALSE)</f>
        <v>1</v>
      </c>
      <c r="Q92" s="155" t="str">
        <f>VLOOKUP(Table323[[#This Row],[Census Tract]],'ES Energy Burden'!$B$2:$E$914,4,FALSE)</f>
        <v>No</v>
      </c>
    </row>
    <row r="93" spans="1:17" x14ac:dyDescent="0.2">
      <c r="A93" s="101">
        <v>9015825000</v>
      </c>
      <c r="B93" s="102" t="s">
        <v>2749</v>
      </c>
      <c r="C93" s="104" t="s">
        <v>944</v>
      </c>
      <c r="D93" s="69">
        <v>1158.3620352</v>
      </c>
      <c r="E93" s="69">
        <v>1214.33</v>
      </c>
      <c r="F93" s="13">
        <f>[1]!Table323[[#This Row],[Single Family]]+[1]!Table323[[#This Row],[2-4 Units]]+[1]!Table323[[#This Row],[&gt;4 Units]]</f>
        <v>0</v>
      </c>
      <c r="G93" s="13">
        <v>0</v>
      </c>
      <c r="H93" s="13">
        <v>0</v>
      </c>
      <c r="I93" s="13">
        <v>0</v>
      </c>
      <c r="J93" s="68">
        <v>0</v>
      </c>
      <c r="K93">
        <f t="shared" si="1"/>
        <v>0</v>
      </c>
      <c r="L93" s="13">
        <v>0</v>
      </c>
      <c r="M93" s="13">
        <v>0</v>
      </c>
      <c r="N93" s="13">
        <v>0</v>
      </c>
      <c r="O93" s="68">
        <v>0</v>
      </c>
      <c r="P93" s="155">
        <f>VLOOKUP(Table323[[#This Row],[Census Tract]],'Population and Diversity Data'!$B$2:$K$823,10,FALSE)</f>
        <v>2</v>
      </c>
      <c r="Q93" s="155" t="str">
        <f>VLOOKUP(Table323[[#This Row],[Census Tract]],'ES Energy Burden'!$B$2:$E$914,4,FALSE)</f>
        <v>No</v>
      </c>
    </row>
    <row r="94" spans="1:17" x14ac:dyDescent="0.2">
      <c r="A94" s="101">
        <v>9015906100</v>
      </c>
      <c r="B94" s="102" t="s">
        <v>2749</v>
      </c>
      <c r="C94" s="104" t="s">
        <v>944</v>
      </c>
      <c r="D94" s="69">
        <v>101396.99359871999</v>
      </c>
      <c r="E94" s="69">
        <v>34497.020799999998</v>
      </c>
      <c r="F94" s="13">
        <f>[1]!Table323[[#This Row],[Single Family]]+[1]!Table323[[#This Row],[2-4 Units]]+[1]!Table323[[#This Row],[&gt;4 Units]]</f>
        <v>9</v>
      </c>
      <c r="G94" s="13">
        <v>9</v>
      </c>
      <c r="H94" s="13">
        <v>0</v>
      </c>
      <c r="I94" s="13">
        <v>0</v>
      </c>
      <c r="J94" s="68">
        <v>6393.39</v>
      </c>
      <c r="K94">
        <f t="shared" si="1"/>
        <v>3</v>
      </c>
      <c r="L94" s="13">
        <v>3</v>
      </c>
      <c r="M94" s="13">
        <v>0</v>
      </c>
      <c r="N94" s="13">
        <v>0</v>
      </c>
      <c r="O94" s="68">
        <v>1709.28</v>
      </c>
      <c r="P94" s="155">
        <f>VLOOKUP(Table323[[#This Row],[Census Tract]],'Population and Diversity Data'!$B$2:$K$823,10,FALSE)</f>
        <v>1</v>
      </c>
      <c r="Q94" s="155" t="str">
        <f>VLOOKUP(Table323[[#This Row],[Census Tract]],'ES Energy Burden'!$B$2:$E$914,4,FALSE)</f>
        <v>No</v>
      </c>
    </row>
    <row r="95" spans="1:17" x14ac:dyDescent="0.2">
      <c r="A95" s="101">
        <v>9003464101</v>
      </c>
      <c r="B95" s="102" t="s">
        <v>2750</v>
      </c>
      <c r="C95" s="104" t="s">
        <v>944</v>
      </c>
      <c r="D95" s="69">
        <v>118631.9710512</v>
      </c>
      <c r="E95" s="69">
        <v>275715.35590000002</v>
      </c>
      <c r="F95" s="13">
        <f>[1]!Table323[[#This Row],[Single Family]]+[1]!Table323[[#This Row],[2-4 Units]]+[1]!Table323[[#This Row],[&gt;4 Units]]</f>
        <v>34</v>
      </c>
      <c r="G95" s="13">
        <v>34</v>
      </c>
      <c r="H95" s="13">
        <v>0</v>
      </c>
      <c r="I95" s="13">
        <v>0</v>
      </c>
      <c r="J95" s="68">
        <v>38311.015299999999</v>
      </c>
      <c r="K95">
        <f t="shared" si="1"/>
        <v>14</v>
      </c>
      <c r="L95" s="13">
        <v>14</v>
      </c>
      <c r="M95" s="13">
        <v>0</v>
      </c>
      <c r="N95" s="13">
        <v>0</v>
      </c>
      <c r="O95" s="68">
        <v>60141.5</v>
      </c>
      <c r="P95" s="155">
        <f>VLOOKUP(Table323[[#This Row],[Census Tract]],'Population and Diversity Data'!$B$2:$K$823,10,FALSE)</f>
        <v>1</v>
      </c>
      <c r="Q95" s="155" t="str">
        <f>VLOOKUP(Table323[[#This Row],[Census Tract]],'ES Energy Burden'!$B$2:$E$914,4,FALSE)</f>
        <v>No</v>
      </c>
    </row>
    <row r="96" spans="1:17" x14ac:dyDescent="0.2">
      <c r="A96" s="101">
        <v>9003464102</v>
      </c>
      <c r="B96" s="102" t="s">
        <v>2750</v>
      </c>
      <c r="C96" s="104" t="s">
        <v>944</v>
      </c>
      <c r="D96" s="69">
        <v>92435.087191679995</v>
      </c>
      <c r="E96" s="69">
        <v>43294.517699999997</v>
      </c>
      <c r="F96" s="13">
        <f>[1]!Table323[[#This Row],[Single Family]]+[1]!Table323[[#This Row],[2-4 Units]]+[1]!Table323[[#This Row],[&gt;4 Units]]</f>
        <v>17</v>
      </c>
      <c r="G96" s="13">
        <v>17</v>
      </c>
      <c r="H96" s="13">
        <v>0</v>
      </c>
      <c r="I96" s="13">
        <v>0</v>
      </c>
      <c r="J96" s="68">
        <v>12683.197700000001</v>
      </c>
      <c r="K96">
        <f t="shared" si="1"/>
        <v>0</v>
      </c>
      <c r="L96" s="13">
        <v>0</v>
      </c>
      <c r="M96" s="13">
        <v>0</v>
      </c>
      <c r="N96" s="13">
        <v>0</v>
      </c>
      <c r="O96" s="68">
        <v>0</v>
      </c>
      <c r="P96" s="155">
        <f>VLOOKUP(Table323[[#This Row],[Census Tract]],'Population and Diversity Data'!$B$2:$K$823,10,FALSE)</f>
        <v>3</v>
      </c>
      <c r="Q96" s="155" t="str">
        <f>VLOOKUP(Table323[[#This Row],[Census Tract]],'ES Energy Burden'!$B$2:$E$914,4,FALSE)</f>
        <v>No</v>
      </c>
    </row>
    <row r="97" spans="1:17" x14ac:dyDescent="0.2">
      <c r="A97" s="101">
        <v>9003466102</v>
      </c>
      <c r="B97" s="102" t="s">
        <v>2750</v>
      </c>
      <c r="C97" s="104" t="s">
        <v>944</v>
      </c>
      <c r="D97" s="69">
        <v>243.67374719999998</v>
      </c>
      <c r="E97" s="69">
        <v>0</v>
      </c>
      <c r="F97" s="13">
        <f>[1]!Table323[[#This Row],[Single Family]]+[1]!Table323[[#This Row],[2-4 Units]]+[1]!Table323[[#This Row],[&gt;4 Units]]</f>
        <v>0</v>
      </c>
      <c r="G97" s="13">
        <v>0</v>
      </c>
      <c r="H97" s="13">
        <v>0</v>
      </c>
      <c r="I97" s="13">
        <v>0</v>
      </c>
      <c r="J97" s="68">
        <v>0</v>
      </c>
      <c r="K97">
        <f t="shared" si="1"/>
        <v>0</v>
      </c>
      <c r="L97" s="13">
        <v>0</v>
      </c>
      <c r="M97" s="13">
        <v>0</v>
      </c>
      <c r="N97" s="13">
        <v>0</v>
      </c>
      <c r="O97" s="68">
        <v>0</v>
      </c>
      <c r="P97" s="155">
        <f>VLOOKUP(Table323[[#This Row],[Census Tract]],'Population and Diversity Data'!$B$2:$K$823,10,FALSE)</f>
        <v>2</v>
      </c>
      <c r="Q97" s="155" t="str">
        <f>VLOOKUP(Table323[[#This Row],[Census Tract]],'ES Energy Burden'!$B$2:$E$914,4,FALSE)</f>
        <v>No</v>
      </c>
    </row>
    <row r="98" spans="1:17" x14ac:dyDescent="0.2">
      <c r="A98" s="101">
        <v>9003466202</v>
      </c>
      <c r="B98" s="102" t="s">
        <v>2750</v>
      </c>
      <c r="C98" s="104" t="s">
        <v>944</v>
      </c>
      <c r="D98" s="69">
        <v>466.21258560000001</v>
      </c>
      <c r="E98" s="69">
        <v>0</v>
      </c>
      <c r="F98" s="13">
        <f>[1]!Table323[[#This Row],[Single Family]]+[1]!Table323[[#This Row],[2-4 Units]]+[1]!Table323[[#This Row],[&gt;4 Units]]</f>
        <v>0</v>
      </c>
      <c r="G98" s="13">
        <v>0</v>
      </c>
      <c r="H98" s="13">
        <v>0</v>
      </c>
      <c r="I98" s="13">
        <v>0</v>
      </c>
      <c r="J98" s="68">
        <v>0</v>
      </c>
      <c r="K98">
        <f t="shared" si="1"/>
        <v>0</v>
      </c>
      <c r="L98" s="13">
        <v>0</v>
      </c>
      <c r="M98" s="13">
        <v>0</v>
      </c>
      <c r="N98" s="13">
        <v>0</v>
      </c>
      <c r="O98" s="68">
        <v>0</v>
      </c>
      <c r="P98" s="155">
        <f>VLOOKUP(Table323[[#This Row],[Census Tract]],'Population and Diversity Data'!$B$2:$K$823,10,FALSE)</f>
        <v>2</v>
      </c>
      <c r="Q98" s="155" t="str">
        <f>VLOOKUP(Table323[[#This Row],[Census Tract]],'ES Energy Burden'!$B$2:$E$914,4,FALSE)</f>
        <v>No</v>
      </c>
    </row>
    <row r="99" spans="1:17" x14ac:dyDescent="0.2">
      <c r="A99" s="101">
        <v>9013881100</v>
      </c>
      <c r="B99" s="102" t="s">
        <v>2751</v>
      </c>
      <c r="C99" s="104" t="s">
        <v>944</v>
      </c>
      <c r="D99" s="69">
        <v>94.999996800000005</v>
      </c>
      <c r="E99" s="69">
        <v>0</v>
      </c>
      <c r="F99" s="13">
        <f>[1]!Table323[[#This Row],[Single Family]]+[1]!Table323[[#This Row],[2-4 Units]]+[1]!Table323[[#This Row],[&gt;4 Units]]</f>
        <v>0</v>
      </c>
      <c r="G99" s="13">
        <v>0</v>
      </c>
      <c r="H99" s="13">
        <v>0</v>
      </c>
      <c r="I99" s="13">
        <v>0</v>
      </c>
      <c r="J99" s="68">
        <v>0</v>
      </c>
      <c r="K99">
        <f t="shared" si="1"/>
        <v>0</v>
      </c>
      <c r="L99" s="13">
        <v>0</v>
      </c>
      <c r="M99" s="13">
        <v>0</v>
      </c>
      <c r="N99" s="13">
        <v>0</v>
      </c>
      <c r="O99" s="68">
        <v>0</v>
      </c>
      <c r="P99" s="155">
        <f>VLOOKUP(Table323[[#This Row],[Census Tract]],'Population and Diversity Data'!$B$2:$K$823,10,FALSE)</f>
        <v>4</v>
      </c>
      <c r="Q99" s="155" t="str">
        <f>VLOOKUP(Table323[[#This Row],[Census Tract]],'ES Energy Burden'!$B$2:$E$914,4,FALSE)</f>
        <v>No</v>
      </c>
    </row>
    <row r="100" spans="1:17" x14ac:dyDescent="0.2">
      <c r="A100" s="101">
        <v>9015815000</v>
      </c>
      <c r="B100" s="102" t="s">
        <v>2751</v>
      </c>
      <c r="C100" s="104" t="s">
        <v>944</v>
      </c>
      <c r="D100" s="69">
        <v>47722.246640640005</v>
      </c>
      <c r="E100" s="69">
        <v>36685.682000000001</v>
      </c>
      <c r="F100" s="13">
        <f>[1]!Table323[[#This Row],[Single Family]]+[1]!Table323[[#This Row],[2-4 Units]]+[1]!Table323[[#This Row],[&gt;4 Units]]</f>
        <v>11</v>
      </c>
      <c r="G100" s="13">
        <v>11</v>
      </c>
      <c r="H100" s="13">
        <v>0</v>
      </c>
      <c r="I100" s="13">
        <v>0</v>
      </c>
      <c r="J100" s="68">
        <v>7846.27</v>
      </c>
      <c r="K100">
        <f t="shared" si="1"/>
        <v>8</v>
      </c>
      <c r="L100" s="13">
        <v>8</v>
      </c>
      <c r="M100" s="13">
        <v>0</v>
      </c>
      <c r="N100" s="13">
        <v>0</v>
      </c>
      <c r="O100" s="68">
        <v>14910.3</v>
      </c>
      <c r="P100" s="155">
        <f>VLOOKUP(Table323[[#This Row],[Census Tract]],'Population and Diversity Data'!$B$2:$K$823,10,FALSE)</f>
        <v>5</v>
      </c>
      <c r="Q100" s="155" t="str">
        <f>VLOOKUP(Table323[[#This Row],[Census Tract]],'ES Energy Burden'!$B$2:$E$914,4,FALSE)</f>
        <v>No</v>
      </c>
    </row>
    <row r="101" spans="1:17" x14ac:dyDescent="0.2">
      <c r="A101" s="101">
        <v>9009166002</v>
      </c>
      <c r="B101" s="102" t="s">
        <v>2752</v>
      </c>
      <c r="C101" s="104" t="s">
        <v>944</v>
      </c>
      <c r="D101" s="69">
        <v>481.21136640000003</v>
      </c>
      <c r="E101" s="69">
        <v>0</v>
      </c>
      <c r="F101" s="13">
        <f>[1]!Table323[[#This Row],[Single Family]]+[1]!Table323[[#This Row],[2-4 Units]]+[1]!Table323[[#This Row],[&gt;4 Units]]</f>
        <v>0</v>
      </c>
      <c r="G101" s="13">
        <v>0</v>
      </c>
      <c r="H101" s="13">
        <v>0</v>
      </c>
      <c r="I101" s="13">
        <v>0</v>
      </c>
      <c r="J101" s="68">
        <v>0</v>
      </c>
      <c r="K101">
        <f t="shared" si="1"/>
        <v>0</v>
      </c>
      <c r="L101" s="13">
        <v>0</v>
      </c>
      <c r="M101" s="13">
        <v>0</v>
      </c>
      <c r="N101" s="13">
        <v>0</v>
      </c>
      <c r="O101" s="68">
        <v>0</v>
      </c>
      <c r="P101" s="155">
        <f>VLOOKUP(Table323[[#This Row],[Census Tract]],'Population and Diversity Data'!$B$2:$K$823,10,FALSE)</f>
        <v>3</v>
      </c>
      <c r="Q101" s="155" t="str">
        <f>VLOOKUP(Table323[[#This Row],[Census Tract]],'ES Energy Burden'!$B$2:$E$914,4,FALSE)</f>
        <v>No</v>
      </c>
    </row>
    <row r="102" spans="1:17" x14ac:dyDescent="0.2">
      <c r="A102" s="101">
        <v>9009343101</v>
      </c>
      <c r="B102" s="102" t="s">
        <v>2752</v>
      </c>
      <c r="C102" s="104" t="s">
        <v>944</v>
      </c>
      <c r="D102" s="69">
        <v>82328.833434240019</v>
      </c>
      <c r="E102" s="69">
        <v>39982.78</v>
      </c>
      <c r="F102" s="13">
        <f>[1]!Table323[[#This Row],[Single Family]]+[1]!Table323[[#This Row],[2-4 Units]]+[1]!Table323[[#This Row],[&gt;4 Units]]</f>
        <v>17</v>
      </c>
      <c r="G102" s="13">
        <v>17</v>
      </c>
      <c r="H102" s="13">
        <v>0</v>
      </c>
      <c r="I102" s="13">
        <v>0</v>
      </c>
      <c r="J102" s="68">
        <v>17651.66</v>
      </c>
      <c r="K102">
        <f t="shared" si="1"/>
        <v>0</v>
      </c>
      <c r="L102" s="13">
        <v>0</v>
      </c>
      <c r="M102" s="13">
        <v>0</v>
      </c>
      <c r="N102" s="13">
        <v>0</v>
      </c>
      <c r="O102" s="68">
        <v>0</v>
      </c>
      <c r="P102" s="155">
        <f>VLOOKUP(Table323[[#This Row],[Census Tract]],'Population and Diversity Data'!$B$2:$K$823,10,FALSE)</f>
        <v>4</v>
      </c>
      <c r="Q102" s="155" t="str">
        <f>VLOOKUP(Table323[[#This Row],[Census Tract]],'ES Energy Burden'!$B$2:$E$914,4,FALSE)</f>
        <v>No</v>
      </c>
    </row>
    <row r="103" spans="1:17" x14ac:dyDescent="0.2">
      <c r="A103" s="101">
        <v>9009343102</v>
      </c>
      <c r="B103" s="102" t="s">
        <v>2752</v>
      </c>
      <c r="C103" s="104" t="s">
        <v>944</v>
      </c>
      <c r="D103" s="69">
        <v>82879.846151039994</v>
      </c>
      <c r="E103" s="69">
        <v>29712.117900000001</v>
      </c>
      <c r="F103" s="13">
        <f>[1]!Table323[[#This Row],[Single Family]]+[1]!Table323[[#This Row],[2-4 Units]]+[1]!Table323[[#This Row],[&gt;4 Units]]</f>
        <v>18</v>
      </c>
      <c r="G103" s="13">
        <v>18</v>
      </c>
      <c r="H103" s="13">
        <v>0</v>
      </c>
      <c r="I103" s="13">
        <v>0</v>
      </c>
      <c r="J103" s="68">
        <v>18273.107899999999</v>
      </c>
      <c r="K103">
        <f t="shared" si="1"/>
        <v>0</v>
      </c>
      <c r="L103" s="13">
        <v>0</v>
      </c>
      <c r="M103" s="13">
        <v>0</v>
      </c>
      <c r="N103" s="13">
        <v>0</v>
      </c>
      <c r="O103" s="68">
        <v>0</v>
      </c>
      <c r="P103" s="155">
        <f>VLOOKUP(Table323[[#This Row],[Census Tract]],'Population and Diversity Data'!$B$2:$K$823,10,FALSE)</f>
        <v>3</v>
      </c>
      <c r="Q103" s="155" t="str">
        <f>VLOOKUP(Table323[[#This Row],[Census Tract]],'ES Energy Burden'!$B$2:$E$914,4,FALSE)</f>
        <v>No</v>
      </c>
    </row>
    <row r="104" spans="1:17" x14ac:dyDescent="0.2">
      <c r="A104" s="101">
        <v>9009343200</v>
      </c>
      <c r="B104" s="102" t="s">
        <v>2752</v>
      </c>
      <c r="C104" s="104" t="s">
        <v>944</v>
      </c>
      <c r="D104" s="69">
        <v>124500.06834911999</v>
      </c>
      <c r="E104" s="69">
        <v>63604.970600000001</v>
      </c>
      <c r="F104" s="13">
        <f>[1]!Table323[[#This Row],[Single Family]]+[1]!Table323[[#This Row],[2-4 Units]]+[1]!Table323[[#This Row],[&gt;4 Units]]</f>
        <v>32</v>
      </c>
      <c r="G104" s="13">
        <v>32</v>
      </c>
      <c r="H104" s="13">
        <v>0</v>
      </c>
      <c r="I104" s="13">
        <v>0</v>
      </c>
      <c r="J104" s="68">
        <v>36062.470600000001</v>
      </c>
      <c r="K104">
        <f t="shared" si="1"/>
        <v>0</v>
      </c>
      <c r="L104" s="13">
        <v>0</v>
      </c>
      <c r="M104" s="13">
        <v>0</v>
      </c>
      <c r="N104" s="13">
        <v>0</v>
      </c>
      <c r="O104" s="68">
        <v>0</v>
      </c>
      <c r="P104" s="155">
        <f>VLOOKUP(Table323[[#This Row],[Census Tract]],'Population and Diversity Data'!$B$2:$K$823,10,FALSE)</f>
        <v>3</v>
      </c>
      <c r="Q104" s="155" t="str">
        <f>VLOOKUP(Table323[[#This Row],[Census Tract]],'ES Energy Burden'!$B$2:$E$914,4,FALSE)</f>
        <v>No</v>
      </c>
    </row>
    <row r="105" spans="1:17" x14ac:dyDescent="0.2">
      <c r="A105" s="101">
        <v>9009343300</v>
      </c>
      <c r="B105" s="102" t="s">
        <v>2752</v>
      </c>
      <c r="C105" s="104" t="s">
        <v>944</v>
      </c>
      <c r="D105" s="69">
        <v>135596.24742815999</v>
      </c>
      <c r="E105" s="69">
        <v>35106.553699999997</v>
      </c>
      <c r="F105" s="13">
        <f>[1]!Table323[[#This Row],[Single Family]]+[1]!Table323[[#This Row],[2-4 Units]]+[1]!Table323[[#This Row],[&gt;4 Units]]</f>
        <v>34</v>
      </c>
      <c r="G105" s="13">
        <v>34</v>
      </c>
      <c r="H105" s="13">
        <v>0</v>
      </c>
      <c r="I105" s="13">
        <v>0</v>
      </c>
      <c r="J105" s="68">
        <v>28528.043699999998</v>
      </c>
      <c r="K105">
        <f t="shared" si="1"/>
        <v>0</v>
      </c>
      <c r="L105" s="13">
        <v>0</v>
      </c>
      <c r="M105" s="13">
        <v>0</v>
      </c>
      <c r="N105" s="13">
        <v>0</v>
      </c>
      <c r="O105" s="68">
        <v>0</v>
      </c>
      <c r="P105" s="155">
        <f>VLOOKUP(Table323[[#This Row],[Census Tract]],'Population and Diversity Data'!$B$2:$K$823,10,FALSE)</f>
        <v>3</v>
      </c>
      <c r="Q105" s="155" t="str">
        <f>VLOOKUP(Table323[[#This Row],[Census Tract]],'ES Energy Burden'!$B$2:$E$914,4,FALSE)</f>
        <v>No</v>
      </c>
    </row>
    <row r="106" spans="1:17" x14ac:dyDescent="0.2">
      <c r="A106" s="101">
        <v>9009343400</v>
      </c>
      <c r="B106" s="102" t="s">
        <v>2752</v>
      </c>
      <c r="C106" s="104" t="s">
        <v>944</v>
      </c>
      <c r="D106" s="69">
        <v>152085.30500448</v>
      </c>
      <c r="E106" s="69">
        <v>198425.37349999999</v>
      </c>
      <c r="F106" s="13">
        <f>[1]!Table323[[#This Row],[Single Family]]+[1]!Table323[[#This Row],[2-4 Units]]+[1]!Table323[[#This Row],[&gt;4 Units]]</f>
        <v>34</v>
      </c>
      <c r="G106" s="13">
        <v>34</v>
      </c>
      <c r="H106" s="13">
        <v>0</v>
      </c>
      <c r="I106" s="13">
        <v>0</v>
      </c>
      <c r="J106" s="68">
        <v>39343.881399999998</v>
      </c>
      <c r="K106">
        <f t="shared" si="1"/>
        <v>30</v>
      </c>
      <c r="L106" s="13">
        <v>30</v>
      </c>
      <c r="M106" s="13">
        <v>0</v>
      </c>
      <c r="N106" s="13">
        <v>0</v>
      </c>
      <c r="O106" s="68">
        <v>98615.5</v>
      </c>
      <c r="P106" s="155">
        <f>VLOOKUP(Table323[[#This Row],[Census Tract]],'Population and Diversity Data'!$B$2:$K$823,10,FALSE)</f>
        <v>4</v>
      </c>
      <c r="Q106" s="155" t="str">
        <f>VLOOKUP(Table323[[#This Row],[Census Tract]],'ES Energy Burden'!$B$2:$E$914,4,FALSE)</f>
        <v>No</v>
      </c>
    </row>
    <row r="107" spans="1:17" x14ac:dyDescent="0.2">
      <c r="A107" s="101">
        <v>9009347100</v>
      </c>
      <c r="B107" s="102" t="s">
        <v>2752</v>
      </c>
      <c r="C107" s="104" t="s">
        <v>944</v>
      </c>
      <c r="D107" s="69">
        <v>65.558160000000001</v>
      </c>
      <c r="E107" s="69">
        <v>0</v>
      </c>
      <c r="F107" s="13">
        <f>[1]!Table323[[#This Row],[Single Family]]+[1]!Table323[[#This Row],[2-4 Units]]+[1]!Table323[[#This Row],[&gt;4 Units]]</f>
        <v>0</v>
      </c>
      <c r="G107" s="13">
        <v>0</v>
      </c>
      <c r="H107" s="13">
        <v>0</v>
      </c>
      <c r="I107" s="13">
        <v>0</v>
      </c>
      <c r="J107" s="68">
        <v>0</v>
      </c>
      <c r="K107">
        <f t="shared" si="1"/>
        <v>0</v>
      </c>
      <c r="L107" s="13">
        <v>0</v>
      </c>
      <c r="M107" s="13">
        <v>0</v>
      </c>
      <c r="N107" s="13">
        <v>0</v>
      </c>
      <c r="O107" s="68">
        <v>0</v>
      </c>
      <c r="P107" s="155">
        <f>VLOOKUP(Table323[[#This Row],[Census Tract]],'Population and Diversity Data'!$B$2:$K$823,10,FALSE)</f>
        <v>1</v>
      </c>
      <c r="Q107" s="155" t="str">
        <f>VLOOKUP(Table323[[#This Row],[Census Tract]],'ES Energy Burden'!$B$2:$E$914,4,FALSE)</f>
        <v>No</v>
      </c>
    </row>
    <row r="108" spans="1:17" x14ac:dyDescent="0.2">
      <c r="A108" s="101">
        <v>9007600100</v>
      </c>
      <c r="B108" s="102" t="s">
        <v>2753</v>
      </c>
      <c r="C108" s="104" t="s">
        <v>944</v>
      </c>
      <c r="D108" s="69">
        <v>88488.774820799998</v>
      </c>
      <c r="E108" s="69">
        <v>28427.077499999999</v>
      </c>
      <c r="F108" s="13">
        <f>[1]!Table323[[#This Row],[Single Family]]+[1]!Table323[[#This Row],[2-4 Units]]+[1]!Table323[[#This Row],[&gt;4 Units]]</f>
        <v>20</v>
      </c>
      <c r="G108" s="13">
        <v>20</v>
      </c>
      <c r="H108" s="13">
        <v>0</v>
      </c>
      <c r="I108" s="13">
        <v>0</v>
      </c>
      <c r="J108" s="68">
        <v>17867.427599999999</v>
      </c>
      <c r="K108">
        <f t="shared" si="1"/>
        <v>1</v>
      </c>
      <c r="L108" s="13">
        <v>1</v>
      </c>
      <c r="M108" s="13">
        <v>0</v>
      </c>
      <c r="N108" s="13">
        <v>0</v>
      </c>
      <c r="O108" s="68">
        <v>1169.9000000000001</v>
      </c>
      <c r="P108" s="155">
        <f>VLOOKUP(Table323[[#This Row],[Census Tract]],'Population and Diversity Data'!$B$2:$K$823,10,FALSE)</f>
        <v>1</v>
      </c>
      <c r="Q108" s="155" t="str">
        <f>VLOOKUP(Table323[[#This Row],[Census Tract]],'ES Energy Burden'!$B$2:$E$914,4,FALSE)</f>
        <v>No</v>
      </c>
    </row>
    <row r="109" spans="1:17" x14ac:dyDescent="0.2">
      <c r="A109" s="101">
        <v>9007610100</v>
      </c>
      <c r="B109" s="102" t="s">
        <v>2754</v>
      </c>
      <c r="C109" s="104" t="s">
        <v>944</v>
      </c>
      <c r="D109" s="69">
        <v>49833.557458559997</v>
      </c>
      <c r="E109" s="69">
        <v>5070.47</v>
      </c>
      <c r="F109" s="13">
        <f>[1]!Table323[[#This Row],[Single Family]]+[1]!Table323[[#This Row],[2-4 Units]]+[1]!Table323[[#This Row],[&gt;4 Units]]</f>
        <v>7</v>
      </c>
      <c r="G109" s="13">
        <v>7</v>
      </c>
      <c r="H109" s="13">
        <v>0</v>
      </c>
      <c r="I109" s="13">
        <v>0</v>
      </c>
      <c r="J109" s="68">
        <v>5067.09</v>
      </c>
      <c r="K109">
        <f t="shared" si="1"/>
        <v>0</v>
      </c>
      <c r="L109" s="13">
        <v>0</v>
      </c>
      <c r="M109" s="13">
        <v>0</v>
      </c>
      <c r="N109" s="13">
        <v>0</v>
      </c>
      <c r="O109" s="68">
        <v>0</v>
      </c>
      <c r="P109" s="155">
        <f>VLOOKUP(Table323[[#This Row],[Census Tract]],'Population and Diversity Data'!$B$2:$K$823,10,FALSE)</f>
        <v>1</v>
      </c>
      <c r="Q109" s="155" t="str">
        <f>VLOOKUP(Table323[[#This Row],[Census Tract]],'ES Energy Burden'!$B$2:$E$914,4,FALSE)</f>
        <v>No</v>
      </c>
    </row>
    <row r="110" spans="1:17" x14ac:dyDescent="0.2">
      <c r="A110" s="101">
        <v>9007610200</v>
      </c>
      <c r="B110" s="102" t="s">
        <v>2754</v>
      </c>
      <c r="C110" s="104" t="s">
        <v>944</v>
      </c>
      <c r="D110" s="69">
        <v>82281.225185279996</v>
      </c>
      <c r="E110" s="69">
        <v>16245.14</v>
      </c>
      <c r="F110" s="13">
        <f>[1]!Table323[[#This Row],[Single Family]]+[1]!Table323[[#This Row],[2-4 Units]]+[1]!Table323[[#This Row],[&gt;4 Units]]</f>
        <v>13</v>
      </c>
      <c r="G110" s="13">
        <v>13</v>
      </c>
      <c r="H110" s="13">
        <v>0</v>
      </c>
      <c r="I110" s="13">
        <v>0</v>
      </c>
      <c r="J110" s="68">
        <v>13992.08</v>
      </c>
      <c r="K110">
        <f t="shared" si="1"/>
        <v>0</v>
      </c>
      <c r="L110" s="13">
        <v>0</v>
      </c>
      <c r="M110" s="13">
        <v>0</v>
      </c>
      <c r="N110" s="13">
        <v>0</v>
      </c>
      <c r="O110" s="68">
        <v>0</v>
      </c>
      <c r="P110" s="155">
        <f>VLOOKUP(Table323[[#This Row],[Census Tract]],'Population and Diversity Data'!$B$2:$K$823,10,FALSE)</f>
        <v>2</v>
      </c>
      <c r="Q110" s="155" t="str">
        <f>VLOOKUP(Table323[[#This Row],[Census Tract]],'ES Energy Burden'!$B$2:$E$914,4,FALSE)</f>
        <v>No</v>
      </c>
    </row>
    <row r="111" spans="1:17" x14ac:dyDescent="0.2">
      <c r="A111" s="101">
        <v>9007610300</v>
      </c>
      <c r="B111" s="102" t="s">
        <v>2754</v>
      </c>
      <c r="C111" s="104" t="s">
        <v>944</v>
      </c>
      <c r="D111" s="69">
        <v>89308.610147519998</v>
      </c>
      <c r="E111" s="69">
        <v>89279.610400000005</v>
      </c>
      <c r="F111" s="13">
        <f>[1]!Table323[[#This Row],[Single Family]]+[1]!Table323[[#This Row],[2-4 Units]]+[1]!Table323[[#This Row],[&gt;4 Units]]</f>
        <v>16</v>
      </c>
      <c r="G111" s="13">
        <v>16</v>
      </c>
      <c r="H111" s="13">
        <v>0</v>
      </c>
      <c r="I111" s="13">
        <v>0</v>
      </c>
      <c r="J111" s="68">
        <v>19707.68</v>
      </c>
      <c r="K111">
        <f t="shared" si="1"/>
        <v>7</v>
      </c>
      <c r="L111" s="13">
        <v>7</v>
      </c>
      <c r="M111" s="13">
        <v>0</v>
      </c>
      <c r="N111" s="13">
        <v>0</v>
      </c>
      <c r="O111" s="68">
        <v>5642.19</v>
      </c>
      <c r="P111" s="155">
        <f>VLOOKUP(Table323[[#This Row],[Census Tract]],'Population and Diversity Data'!$B$2:$K$823,10,FALSE)</f>
        <v>1</v>
      </c>
      <c r="Q111" s="155" t="str">
        <f>VLOOKUP(Table323[[#This Row],[Census Tract]],'ES Energy Burden'!$B$2:$E$914,4,FALSE)</f>
        <v>No</v>
      </c>
    </row>
    <row r="112" spans="1:17" x14ac:dyDescent="0.2">
      <c r="A112" s="101">
        <v>9007610400</v>
      </c>
      <c r="B112" s="102" t="s">
        <v>2754</v>
      </c>
      <c r="C112" s="104" t="s">
        <v>944</v>
      </c>
      <c r="D112" s="69">
        <v>67241.355482879997</v>
      </c>
      <c r="E112" s="69">
        <v>9962.2000000000007</v>
      </c>
      <c r="F112" s="13">
        <f>[1]!Table323[[#This Row],[Single Family]]+[1]!Table323[[#This Row],[2-4 Units]]+[1]!Table323[[#This Row],[&gt;4 Units]]</f>
        <v>10</v>
      </c>
      <c r="G112" s="13">
        <v>10</v>
      </c>
      <c r="H112" s="13">
        <v>0</v>
      </c>
      <c r="I112" s="13">
        <v>0</v>
      </c>
      <c r="J112" s="68">
        <v>9957.9599999999991</v>
      </c>
      <c r="K112">
        <f t="shared" si="1"/>
        <v>0</v>
      </c>
      <c r="L112" s="13">
        <v>0</v>
      </c>
      <c r="M112" s="13">
        <v>0</v>
      </c>
      <c r="N112" s="13">
        <v>0</v>
      </c>
      <c r="O112" s="68">
        <v>0</v>
      </c>
      <c r="P112" s="155">
        <f>VLOOKUP(Table323[[#This Row],[Census Tract]],'Population and Diversity Data'!$B$2:$K$823,10,FALSE)</f>
        <v>1</v>
      </c>
      <c r="Q112" s="155" t="str">
        <f>VLOOKUP(Table323[[#This Row],[Census Tract]],'ES Energy Burden'!$B$2:$E$914,4,FALSE)</f>
        <v>No</v>
      </c>
    </row>
    <row r="113" spans="1:17" x14ac:dyDescent="0.2">
      <c r="A113" s="101">
        <v>9007550201</v>
      </c>
      <c r="B113" s="102" t="s">
        <v>2755</v>
      </c>
      <c r="C113" s="104" t="s">
        <v>944</v>
      </c>
      <c r="D113" s="69">
        <v>472.47606719999999</v>
      </c>
      <c r="E113" s="69">
        <v>0</v>
      </c>
      <c r="F113" s="13">
        <f>[1]!Table323[[#This Row],[Single Family]]+[1]!Table323[[#This Row],[2-4 Units]]+[1]!Table323[[#This Row],[&gt;4 Units]]</f>
        <v>0</v>
      </c>
      <c r="G113" s="13">
        <v>0</v>
      </c>
      <c r="H113" s="13">
        <v>0</v>
      </c>
      <c r="I113" s="13">
        <v>0</v>
      </c>
      <c r="J113" s="68">
        <v>0</v>
      </c>
      <c r="K113">
        <f t="shared" si="1"/>
        <v>0</v>
      </c>
      <c r="L113" s="13">
        <v>0</v>
      </c>
      <c r="M113" s="13">
        <v>0</v>
      </c>
      <c r="N113" s="13">
        <v>0</v>
      </c>
      <c r="O113" s="68">
        <v>0</v>
      </c>
      <c r="P113" s="155">
        <f>VLOOKUP(Table323[[#This Row],[Census Tract]],'Population and Diversity Data'!$B$2:$K$823,10,FALSE)</f>
        <v>2</v>
      </c>
      <c r="Q113" s="155" t="str">
        <f>VLOOKUP(Table323[[#This Row],[Census Tract]],'ES Energy Burden'!$B$2:$E$914,4,FALSE)</f>
        <v>No</v>
      </c>
    </row>
    <row r="114" spans="1:17" x14ac:dyDescent="0.2">
      <c r="A114" s="101">
        <v>9007595101</v>
      </c>
      <c r="B114" s="102" t="s">
        <v>2755</v>
      </c>
      <c r="C114" s="104" t="s">
        <v>944</v>
      </c>
      <c r="D114" s="69">
        <v>1526.8828320000002</v>
      </c>
      <c r="E114" s="69">
        <v>0</v>
      </c>
      <c r="F114" s="13">
        <f>[1]!Table323[[#This Row],[Single Family]]+[1]!Table323[[#This Row],[2-4 Units]]+[1]!Table323[[#This Row],[&gt;4 Units]]</f>
        <v>0</v>
      </c>
      <c r="G114" s="13">
        <v>0</v>
      </c>
      <c r="H114" s="13">
        <v>0</v>
      </c>
      <c r="I114" s="13">
        <v>0</v>
      </c>
      <c r="J114" s="68">
        <v>0</v>
      </c>
      <c r="K114">
        <f t="shared" si="1"/>
        <v>0</v>
      </c>
      <c r="L114" s="13">
        <v>0</v>
      </c>
      <c r="M114" s="13">
        <v>0</v>
      </c>
      <c r="N114" s="13">
        <v>0</v>
      </c>
      <c r="O114" s="68">
        <v>0</v>
      </c>
      <c r="P114" s="155">
        <f>VLOOKUP(Table323[[#This Row],[Census Tract]],'Population and Diversity Data'!$B$2:$K$823,10,FALSE)</f>
        <v>1</v>
      </c>
      <c r="Q114" s="155" t="str">
        <f>VLOOKUP(Table323[[#This Row],[Census Tract]],'ES Energy Burden'!$B$2:$E$914,4,FALSE)</f>
        <v>No</v>
      </c>
    </row>
    <row r="115" spans="1:17" x14ac:dyDescent="0.2">
      <c r="A115" s="101">
        <v>9011714101</v>
      </c>
      <c r="B115" s="102" t="s">
        <v>2755</v>
      </c>
      <c r="C115" s="104" t="s">
        <v>944</v>
      </c>
      <c r="D115" s="69">
        <v>62835.427442879998</v>
      </c>
      <c r="E115" s="69">
        <v>68354.2</v>
      </c>
      <c r="F115" s="13">
        <f>[1]!Table323[[#This Row],[Single Family]]+[1]!Table323[[#This Row],[2-4 Units]]+[1]!Table323[[#This Row],[&gt;4 Units]]</f>
        <v>12</v>
      </c>
      <c r="G115" s="13">
        <v>12</v>
      </c>
      <c r="H115" s="13">
        <v>0</v>
      </c>
      <c r="I115" s="13">
        <v>0</v>
      </c>
      <c r="J115" s="68">
        <v>11207.25</v>
      </c>
      <c r="K115">
        <f t="shared" si="1"/>
        <v>0</v>
      </c>
      <c r="L115" s="13">
        <v>0</v>
      </c>
      <c r="M115" s="13">
        <v>0</v>
      </c>
      <c r="N115" s="13">
        <v>0</v>
      </c>
      <c r="O115" s="68">
        <v>0</v>
      </c>
      <c r="P115" s="155">
        <f>VLOOKUP(Table323[[#This Row],[Census Tract]],'Population and Diversity Data'!$B$2:$K$823,10,FALSE)</f>
        <v>1</v>
      </c>
      <c r="Q115" s="155" t="str">
        <f>VLOOKUP(Table323[[#This Row],[Census Tract]],'ES Energy Burden'!$B$2:$E$914,4,FALSE)</f>
        <v>No</v>
      </c>
    </row>
    <row r="116" spans="1:17" x14ac:dyDescent="0.2">
      <c r="A116" s="101">
        <v>9011714103</v>
      </c>
      <c r="B116" s="102" t="s">
        <v>2755</v>
      </c>
      <c r="C116" s="104" t="s">
        <v>944</v>
      </c>
      <c r="D116" s="69">
        <v>142560.62130239999</v>
      </c>
      <c r="E116" s="69">
        <v>273925.8946</v>
      </c>
      <c r="F116" s="13">
        <f>[1]!Table323[[#This Row],[Single Family]]+[1]!Table323[[#This Row],[2-4 Units]]+[1]!Table323[[#This Row],[&gt;4 Units]]</f>
        <v>48</v>
      </c>
      <c r="G116" s="13">
        <v>48</v>
      </c>
      <c r="H116" s="13">
        <v>0</v>
      </c>
      <c r="I116" s="13">
        <v>0</v>
      </c>
      <c r="J116" s="68">
        <v>42003.220600000001</v>
      </c>
      <c r="K116">
        <f t="shared" si="1"/>
        <v>35</v>
      </c>
      <c r="L116" s="13">
        <v>13</v>
      </c>
      <c r="M116" s="13">
        <v>0</v>
      </c>
      <c r="N116" s="13">
        <v>22</v>
      </c>
      <c r="O116" s="68">
        <v>216806</v>
      </c>
      <c r="P116" s="155">
        <f>VLOOKUP(Table323[[#This Row],[Census Tract]],'Population and Diversity Data'!$B$2:$K$823,10,FALSE)</f>
        <v>3</v>
      </c>
      <c r="Q116" s="155" t="str">
        <f>VLOOKUP(Table323[[#This Row],[Census Tract]],'ES Energy Burden'!$B$2:$E$914,4,FALSE)</f>
        <v>No</v>
      </c>
    </row>
    <row r="117" spans="1:17" x14ac:dyDescent="0.2">
      <c r="A117" s="101">
        <v>9011714104</v>
      </c>
      <c r="B117" s="102" t="s">
        <v>2755</v>
      </c>
      <c r="C117" s="104" t="s">
        <v>944</v>
      </c>
      <c r="D117" s="69">
        <v>98268.869062080004</v>
      </c>
      <c r="E117" s="69">
        <v>30020.496500000001</v>
      </c>
      <c r="F117" s="13">
        <f>[1]!Table323[[#This Row],[Single Family]]+[1]!Table323[[#This Row],[2-4 Units]]+[1]!Table323[[#This Row],[&gt;4 Units]]</f>
        <v>17</v>
      </c>
      <c r="G117" s="13">
        <v>17</v>
      </c>
      <c r="H117" s="13">
        <v>0</v>
      </c>
      <c r="I117" s="13">
        <v>0</v>
      </c>
      <c r="J117" s="68">
        <v>13613.336499999999</v>
      </c>
      <c r="K117">
        <f t="shared" si="1"/>
        <v>0</v>
      </c>
      <c r="L117" s="13">
        <v>0</v>
      </c>
      <c r="M117" s="13">
        <v>0</v>
      </c>
      <c r="N117" s="13">
        <v>0</v>
      </c>
      <c r="O117" s="68">
        <v>0</v>
      </c>
      <c r="P117" s="155">
        <f>VLOOKUP(Table323[[#This Row],[Census Tract]],'Population and Diversity Data'!$B$2:$K$823,10,FALSE)</f>
        <v>1</v>
      </c>
      <c r="Q117" s="155" t="str">
        <f>VLOOKUP(Table323[[#This Row],[Census Tract]],'ES Energy Burden'!$B$2:$E$914,4,FALSE)</f>
        <v>No</v>
      </c>
    </row>
    <row r="118" spans="1:17" x14ac:dyDescent="0.2">
      <c r="A118" s="101">
        <v>9011715100</v>
      </c>
      <c r="B118" s="102" t="s">
        <v>2755</v>
      </c>
      <c r="C118" s="104" t="s">
        <v>944</v>
      </c>
      <c r="D118" s="69">
        <v>428.2438464</v>
      </c>
      <c r="E118" s="69">
        <v>1963.71</v>
      </c>
      <c r="F118" s="13">
        <f>[1]!Table323[[#This Row],[Single Family]]+[1]!Table323[[#This Row],[2-4 Units]]+[1]!Table323[[#This Row],[&gt;4 Units]]</f>
        <v>1</v>
      </c>
      <c r="G118" s="13">
        <v>1</v>
      </c>
      <c r="H118" s="13">
        <v>0</v>
      </c>
      <c r="I118" s="13">
        <v>0</v>
      </c>
      <c r="J118" s="68">
        <v>1961.52</v>
      </c>
      <c r="K118">
        <f t="shared" si="1"/>
        <v>0</v>
      </c>
      <c r="L118" s="13">
        <v>0</v>
      </c>
      <c r="M118" s="13">
        <v>0</v>
      </c>
      <c r="N118" s="13">
        <v>0</v>
      </c>
      <c r="O118" s="68">
        <v>0</v>
      </c>
      <c r="P118" s="155">
        <f>VLOOKUP(Table323[[#This Row],[Census Tract]],'Population and Diversity Data'!$B$2:$K$823,10,FALSE)</f>
        <v>3</v>
      </c>
      <c r="Q118" s="155" t="str">
        <f>VLOOKUP(Table323[[#This Row],[Census Tract]],'ES Energy Burden'!$B$2:$E$914,4,FALSE)</f>
        <v>No</v>
      </c>
    </row>
    <row r="119" spans="1:17" x14ac:dyDescent="0.2">
      <c r="A119" s="101">
        <v>9011870100</v>
      </c>
      <c r="B119" s="102" t="s">
        <v>2755</v>
      </c>
      <c r="C119" s="104" t="s">
        <v>944</v>
      </c>
      <c r="D119" s="69">
        <v>1162.304208</v>
      </c>
      <c r="E119" s="69">
        <v>0</v>
      </c>
      <c r="F119" s="13">
        <f>[1]!Table323[[#This Row],[Single Family]]+[1]!Table323[[#This Row],[2-4 Units]]+[1]!Table323[[#This Row],[&gt;4 Units]]</f>
        <v>0</v>
      </c>
      <c r="G119" s="13">
        <v>0</v>
      </c>
      <c r="H119" s="13">
        <v>0</v>
      </c>
      <c r="I119" s="13">
        <v>0</v>
      </c>
      <c r="J119" s="68">
        <v>0</v>
      </c>
      <c r="K119">
        <f t="shared" si="1"/>
        <v>0</v>
      </c>
      <c r="L119" s="13">
        <v>0</v>
      </c>
      <c r="M119" s="13">
        <v>0</v>
      </c>
      <c r="N119" s="13">
        <v>0</v>
      </c>
      <c r="O119" s="68">
        <v>0</v>
      </c>
      <c r="P119" s="155">
        <f>VLOOKUP(Table323[[#This Row],[Census Tract]],'Population and Diversity Data'!$B$2:$K$823,10,FALSE)</f>
        <v>1</v>
      </c>
      <c r="Q119" s="155" t="str">
        <f>VLOOKUP(Table323[[#This Row],[Census Tract]],'ES Energy Burden'!$B$2:$E$914,4,FALSE)</f>
        <v>No</v>
      </c>
    </row>
    <row r="120" spans="1:17" x14ac:dyDescent="0.2">
      <c r="A120" s="101">
        <v>9013526101</v>
      </c>
      <c r="B120" s="102" t="s">
        <v>2755</v>
      </c>
      <c r="C120" s="104" t="s">
        <v>944</v>
      </c>
      <c r="D120" s="69">
        <v>787.97724479999999</v>
      </c>
      <c r="E120" s="69">
        <v>1107.58</v>
      </c>
      <c r="F120" s="13">
        <f>[1]!Table323[[#This Row],[Single Family]]+[1]!Table323[[#This Row],[2-4 Units]]+[1]!Table323[[#This Row],[&gt;4 Units]]</f>
        <v>0</v>
      </c>
      <c r="G120" s="13">
        <v>0</v>
      </c>
      <c r="H120" s="13">
        <v>0</v>
      </c>
      <c r="I120" s="13">
        <v>0</v>
      </c>
      <c r="J120" s="68">
        <v>0</v>
      </c>
      <c r="K120">
        <f t="shared" si="1"/>
        <v>0</v>
      </c>
      <c r="L120" s="13">
        <v>0</v>
      </c>
      <c r="M120" s="13">
        <v>0</v>
      </c>
      <c r="N120" s="13">
        <v>0</v>
      </c>
      <c r="O120" s="68">
        <v>0</v>
      </c>
      <c r="P120" s="155">
        <f>VLOOKUP(Table323[[#This Row],[Census Tract]],'Population and Diversity Data'!$B$2:$K$823,10,FALSE)</f>
        <v>2</v>
      </c>
      <c r="Q120" s="155" t="str">
        <f>VLOOKUP(Table323[[#This Row],[Census Tract]],'ES Energy Burden'!$B$2:$E$914,4,FALSE)</f>
        <v>No</v>
      </c>
    </row>
    <row r="121" spans="1:17" x14ac:dyDescent="0.2">
      <c r="A121" s="101">
        <v>9005293100</v>
      </c>
      <c r="B121" s="102" t="s">
        <v>2756</v>
      </c>
      <c r="C121" s="104" t="s">
        <v>944</v>
      </c>
      <c r="D121" s="69">
        <v>33902.455685759996</v>
      </c>
      <c r="E121" s="69">
        <v>31218.78</v>
      </c>
      <c r="F121" s="13">
        <f>[1]!Table323[[#This Row],[Single Family]]+[1]!Table323[[#This Row],[2-4 Units]]+[1]!Table323[[#This Row],[&gt;4 Units]]</f>
        <v>7</v>
      </c>
      <c r="G121" s="13">
        <v>7</v>
      </c>
      <c r="H121" s="13">
        <v>0</v>
      </c>
      <c r="I121" s="13">
        <v>0</v>
      </c>
      <c r="J121" s="68">
        <v>8861.4500000000007</v>
      </c>
      <c r="K121">
        <f t="shared" si="1"/>
        <v>3</v>
      </c>
      <c r="L121" s="13">
        <v>3</v>
      </c>
      <c r="M121" s="13">
        <v>0</v>
      </c>
      <c r="N121" s="13">
        <v>0</v>
      </c>
      <c r="O121" s="68">
        <v>20354</v>
      </c>
      <c r="P121" s="155">
        <f>VLOOKUP(Table323[[#This Row],[Census Tract]],'Population and Diversity Data'!$B$2:$K$823,10,FALSE)</f>
        <v>1</v>
      </c>
      <c r="Q121" s="155" t="str">
        <f>VLOOKUP(Table323[[#This Row],[Census Tract]],'ES Energy Burden'!$B$2:$E$914,4,FALSE)</f>
        <v>No</v>
      </c>
    </row>
    <row r="122" spans="1:17" x14ac:dyDescent="0.2">
      <c r="A122" s="101">
        <v>9005320100</v>
      </c>
      <c r="B122" s="102" t="s">
        <v>2756</v>
      </c>
      <c r="C122" s="104" t="s">
        <v>944</v>
      </c>
      <c r="D122" s="69">
        <v>236.81980800000002</v>
      </c>
      <c r="E122" s="69">
        <v>0</v>
      </c>
      <c r="F122" s="13">
        <f>[1]!Table323[[#This Row],[Single Family]]+[1]!Table323[[#This Row],[2-4 Units]]+[1]!Table323[[#This Row],[&gt;4 Units]]</f>
        <v>0</v>
      </c>
      <c r="G122" s="13">
        <v>0</v>
      </c>
      <c r="H122" s="13">
        <v>0</v>
      </c>
      <c r="I122" s="13">
        <v>0</v>
      </c>
      <c r="J122" s="68">
        <v>0</v>
      </c>
      <c r="K122">
        <f t="shared" si="1"/>
        <v>0</v>
      </c>
      <c r="L122" s="13">
        <v>0</v>
      </c>
      <c r="M122" s="13">
        <v>0</v>
      </c>
      <c r="N122" s="13">
        <v>0</v>
      </c>
      <c r="O122" s="68">
        <v>0</v>
      </c>
      <c r="P122" s="155">
        <f>VLOOKUP(Table323[[#This Row],[Census Tract]],'Population and Diversity Data'!$B$2:$K$823,10,FALSE)</f>
        <v>1</v>
      </c>
      <c r="Q122" s="155" t="str">
        <f>VLOOKUP(Table323[[#This Row],[Census Tract]],'ES Energy Burden'!$B$2:$E$914,4,FALSE)</f>
        <v>No</v>
      </c>
    </row>
    <row r="123" spans="1:17" x14ac:dyDescent="0.2">
      <c r="A123" s="101">
        <v>9013850200</v>
      </c>
      <c r="B123" s="102" t="s">
        <v>2757</v>
      </c>
      <c r="C123" s="104" t="s">
        <v>944</v>
      </c>
      <c r="D123" s="69">
        <v>384.0116256</v>
      </c>
      <c r="E123" s="69">
        <v>0</v>
      </c>
      <c r="F123" s="13">
        <f>[1]!Table323[[#This Row],[Single Family]]+[1]!Table323[[#This Row],[2-4 Units]]+[1]!Table323[[#This Row],[&gt;4 Units]]</f>
        <v>0</v>
      </c>
      <c r="G123" s="13">
        <v>0</v>
      </c>
      <c r="H123" s="13">
        <v>0</v>
      </c>
      <c r="I123" s="13">
        <v>0</v>
      </c>
      <c r="J123" s="68">
        <v>0</v>
      </c>
      <c r="K123">
        <f t="shared" si="1"/>
        <v>0</v>
      </c>
      <c r="L123" s="13">
        <v>0</v>
      </c>
      <c r="M123" s="13">
        <v>0</v>
      </c>
      <c r="N123" s="13">
        <v>0</v>
      </c>
      <c r="O123" s="68">
        <v>0</v>
      </c>
      <c r="P123" s="155">
        <f>VLOOKUP(Table323[[#This Row],[Census Tract]],'Population and Diversity Data'!$B$2:$K$823,10,FALSE)</f>
        <v>1</v>
      </c>
      <c r="Q123" s="155" t="str">
        <f>VLOOKUP(Table323[[#This Row],[Census Tract]],'ES Energy Burden'!$B$2:$E$914,4,FALSE)</f>
        <v>No</v>
      </c>
    </row>
    <row r="124" spans="1:17" x14ac:dyDescent="0.2">
      <c r="A124" s="101">
        <v>9013860100</v>
      </c>
      <c r="B124" s="102" t="s">
        <v>2757</v>
      </c>
      <c r="C124" s="104" t="s">
        <v>944</v>
      </c>
      <c r="D124" s="69">
        <v>114568.80654240001</v>
      </c>
      <c r="E124" s="69">
        <v>43500.86</v>
      </c>
      <c r="F124" s="13">
        <f>[1]!Table323[[#This Row],[Single Family]]+[1]!Table323[[#This Row],[2-4 Units]]+[1]!Table323[[#This Row],[&gt;4 Units]]</f>
        <v>28</v>
      </c>
      <c r="G124" s="13">
        <v>28</v>
      </c>
      <c r="H124" s="13">
        <v>0</v>
      </c>
      <c r="I124" s="13">
        <v>0</v>
      </c>
      <c r="J124" s="68">
        <v>21893.200000000001</v>
      </c>
      <c r="K124">
        <f t="shared" si="1"/>
        <v>5</v>
      </c>
      <c r="L124" s="13">
        <v>5</v>
      </c>
      <c r="M124" s="13">
        <v>0</v>
      </c>
      <c r="N124" s="13">
        <v>0</v>
      </c>
      <c r="O124" s="68">
        <v>5220.59</v>
      </c>
      <c r="P124" s="155">
        <f>VLOOKUP(Table323[[#This Row],[Census Tract]],'Population and Diversity Data'!$B$2:$K$823,10,FALSE)</f>
        <v>1</v>
      </c>
      <c r="Q124" s="155" t="str">
        <f>VLOOKUP(Table323[[#This Row],[Census Tract]],'ES Energy Burden'!$B$2:$E$914,4,FALSE)</f>
        <v>No</v>
      </c>
    </row>
    <row r="125" spans="1:17" x14ac:dyDescent="0.2">
      <c r="A125" s="101">
        <v>9005262100</v>
      </c>
      <c r="B125" s="102" t="s">
        <v>2758</v>
      </c>
      <c r="C125" s="104" t="s">
        <v>944</v>
      </c>
      <c r="D125" s="69">
        <v>207.17536319999999</v>
      </c>
      <c r="E125" s="69">
        <v>0</v>
      </c>
      <c r="F125" s="13">
        <f>[1]!Table323[[#This Row],[Single Family]]+[1]!Table323[[#This Row],[2-4 Units]]+[1]!Table323[[#This Row],[&gt;4 Units]]</f>
        <v>0</v>
      </c>
      <c r="G125" s="13">
        <v>0</v>
      </c>
      <c r="H125" s="13">
        <v>0</v>
      </c>
      <c r="I125" s="13">
        <v>0</v>
      </c>
      <c r="J125" s="68">
        <v>0</v>
      </c>
      <c r="K125">
        <f t="shared" si="1"/>
        <v>0</v>
      </c>
      <c r="L125" s="13">
        <v>0</v>
      </c>
      <c r="M125" s="13">
        <v>0</v>
      </c>
      <c r="N125" s="13">
        <v>0</v>
      </c>
      <c r="O125" s="68">
        <v>0</v>
      </c>
      <c r="P125" s="155">
        <f>VLOOKUP(Table323[[#This Row],[Census Tract]],'Population and Diversity Data'!$B$2:$K$823,10,FALSE)</f>
        <v>1</v>
      </c>
      <c r="Q125" s="155" t="str">
        <f>VLOOKUP(Table323[[#This Row],[Census Tract]],'ES Energy Burden'!$B$2:$E$914,4,FALSE)</f>
        <v>No</v>
      </c>
    </row>
    <row r="126" spans="1:17" x14ac:dyDescent="0.2">
      <c r="A126" s="101">
        <v>9005263200</v>
      </c>
      <c r="B126" s="102" t="s">
        <v>2758</v>
      </c>
      <c r="C126" s="104" t="s">
        <v>944</v>
      </c>
      <c r="D126" s="69">
        <v>48379.472259839997</v>
      </c>
      <c r="E126" s="69">
        <v>13559.24</v>
      </c>
      <c r="F126" s="13">
        <f>[1]!Table323[[#This Row],[Single Family]]+[1]!Table323[[#This Row],[2-4 Units]]+[1]!Table323[[#This Row],[&gt;4 Units]]</f>
        <v>8</v>
      </c>
      <c r="G126" s="13">
        <v>8</v>
      </c>
      <c r="H126" s="13">
        <v>0</v>
      </c>
      <c r="I126" s="13">
        <v>0</v>
      </c>
      <c r="J126" s="68">
        <v>7681.44</v>
      </c>
      <c r="K126">
        <f t="shared" si="1"/>
        <v>0</v>
      </c>
      <c r="L126" s="13">
        <v>0</v>
      </c>
      <c r="M126" s="13">
        <v>0</v>
      </c>
      <c r="N126" s="13">
        <v>0</v>
      </c>
      <c r="O126" s="68">
        <v>0</v>
      </c>
      <c r="P126" s="155">
        <f>VLOOKUP(Table323[[#This Row],[Census Tract]],'Population and Diversity Data'!$B$2:$K$823,10,FALSE)</f>
        <v>3</v>
      </c>
      <c r="Q126" s="155" t="str">
        <f>VLOOKUP(Table323[[#This Row],[Census Tract]],'ES Energy Burden'!$B$2:$E$914,4,FALSE)</f>
        <v>No</v>
      </c>
    </row>
    <row r="127" spans="1:17" x14ac:dyDescent="0.2">
      <c r="A127" s="101">
        <v>9005265100</v>
      </c>
      <c r="B127" s="102" t="s">
        <v>2758</v>
      </c>
      <c r="C127" s="104" t="s">
        <v>944</v>
      </c>
      <c r="D127" s="69">
        <v>381.16122048</v>
      </c>
      <c r="E127" s="69">
        <v>0</v>
      </c>
      <c r="F127" s="13">
        <f>[1]!Table323[[#This Row],[Single Family]]+[1]!Table323[[#This Row],[2-4 Units]]+[1]!Table323[[#This Row],[&gt;4 Units]]</f>
        <v>0</v>
      </c>
      <c r="G127" s="13">
        <v>0</v>
      </c>
      <c r="H127" s="13">
        <v>0</v>
      </c>
      <c r="I127" s="13">
        <v>0</v>
      </c>
      <c r="J127" s="68">
        <v>0</v>
      </c>
      <c r="K127">
        <f t="shared" si="1"/>
        <v>0</v>
      </c>
      <c r="L127" s="13">
        <v>0</v>
      </c>
      <c r="M127" s="13">
        <v>0</v>
      </c>
      <c r="N127" s="13">
        <v>0</v>
      </c>
      <c r="O127" s="68">
        <v>0</v>
      </c>
      <c r="P127" s="155">
        <f>VLOOKUP(Table323[[#This Row],[Census Tract]],'Population and Diversity Data'!$B$2:$K$823,10,FALSE)</f>
        <v>1</v>
      </c>
      <c r="Q127" s="155" t="str">
        <f>VLOOKUP(Table323[[#This Row],[Census Tract]],'ES Energy Burden'!$B$2:$E$914,4,FALSE)</f>
        <v>No</v>
      </c>
    </row>
    <row r="128" spans="1:17" x14ac:dyDescent="0.2">
      <c r="A128" s="101">
        <v>9005266100</v>
      </c>
      <c r="B128" s="102" t="s">
        <v>2758</v>
      </c>
      <c r="C128" s="104" t="s">
        <v>944</v>
      </c>
      <c r="D128" s="69">
        <v>40.9326048</v>
      </c>
      <c r="E128" s="69">
        <v>0</v>
      </c>
      <c r="F128" s="13">
        <f>[1]!Table323[[#This Row],[Single Family]]+[1]!Table323[[#This Row],[2-4 Units]]+[1]!Table323[[#This Row],[&gt;4 Units]]</f>
        <v>0</v>
      </c>
      <c r="G128" s="13">
        <v>0</v>
      </c>
      <c r="H128" s="13">
        <v>0</v>
      </c>
      <c r="I128" s="13">
        <v>0</v>
      </c>
      <c r="J128" s="68">
        <v>0</v>
      </c>
      <c r="K128">
        <f t="shared" si="1"/>
        <v>0</v>
      </c>
      <c r="L128" s="13">
        <v>0</v>
      </c>
      <c r="M128" s="13">
        <v>0</v>
      </c>
      <c r="N128" s="13">
        <v>0</v>
      </c>
      <c r="O128" s="68">
        <v>0</v>
      </c>
      <c r="P128" s="155">
        <f>VLOOKUP(Table323[[#This Row],[Census Tract]],'Population and Diversity Data'!$B$2:$K$823,10,FALSE)</f>
        <v>2</v>
      </c>
      <c r="Q128" s="155" t="str">
        <f>VLOOKUP(Table323[[#This Row],[Census Tract]],'ES Energy Burden'!$B$2:$E$914,4,FALSE)</f>
        <v>No</v>
      </c>
    </row>
    <row r="129" spans="1:17" x14ac:dyDescent="0.2">
      <c r="A129" s="101">
        <v>9013850100</v>
      </c>
      <c r="B129" s="102" t="s">
        <v>2759</v>
      </c>
      <c r="C129" s="104" t="s">
        <v>944</v>
      </c>
      <c r="D129" s="69">
        <v>114445.98788832</v>
      </c>
      <c r="E129" s="69">
        <v>26282.479299999999</v>
      </c>
      <c r="F129" s="13">
        <f>[1]!Table323[[#This Row],[Single Family]]+[1]!Table323[[#This Row],[2-4 Units]]+[1]!Table323[[#This Row],[&gt;4 Units]]</f>
        <v>30</v>
      </c>
      <c r="G129" s="13">
        <v>30</v>
      </c>
      <c r="H129" s="13">
        <v>0</v>
      </c>
      <c r="I129" s="13">
        <v>0</v>
      </c>
      <c r="J129" s="68">
        <v>26279.619299999998</v>
      </c>
      <c r="K129">
        <f t="shared" si="1"/>
        <v>0</v>
      </c>
      <c r="L129" s="13">
        <v>0</v>
      </c>
      <c r="M129" s="13">
        <v>0</v>
      </c>
      <c r="N129" s="13">
        <v>0</v>
      </c>
      <c r="O129" s="68">
        <v>0</v>
      </c>
      <c r="P129" s="155">
        <f>VLOOKUP(Table323[[#This Row],[Census Tract]],'Population and Diversity Data'!$B$2:$K$823,10,FALSE)</f>
        <v>3</v>
      </c>
      <c r="Q129" s="155" t="str">
        <f>VLOOKUP(Table323[[#This Row],[Census Tract]],'ES Energy Burden'!$B$2:$E$914,4,FALSE)</f>
        <v>No</v>
      </c>
    </row>
    <row r="130" spans="1:17" x14ac:dyDescent="0.2">
      <c r="A130" s="101">
        <v>9013850200</v>
      </c>
      <c r="B130" s="102" t="s">
        <v>2759</v>
      </c>
      <c r="C130" s="104" t="s">
        <v>944</v>
      </c>
      <c r="D130" s="69">
        <v>136588.91258880001</v>
      </c>
      <c r="E130" s="69">
        <v>52139.396099999998</v>
      </c>
      <c r="F130" s="13">
        <f>[1]!Table323[[#This Row],[Single Family]]+[1]!Table323[[#This Row],[2-4 Units]]+[1]!Table323[[#This Row],[&gt;4 Units]]</f>
        <v>18</v>
      </c>
      <c r="G130" s="13">
        <v>18</v>
      </c>
      <c r="H130" s="13">
        <v>0</v>
      </c>
      <c r="I130" s="13">
        <v>0</v>
      </c>
      <c r="J130" s="68">
        <v>12929.4161</v>
      </c>
      <c r="K130">
        <f t="shared" si="1"/>
        <v>11</v>
      </c>
      <c r="L130" s="13">
        <v>11</v>
      </c>
      <c r="M130" s="13">
        <v>0</v>
      </c>
      <c r="N130" s="13">
        <v>0</v>
      </c>
      <c r="O130" s="68">
        <v>11558.4</v>
      </c>
      <c r="P130" s="155">
        <f>VLOOKUP(Table323[[#This Row],[Census Tract]],'Population and Diversity Data'!$B$2:$K$823,10,FALSE)</f>
        <v>1</v>
      </c>
      <c r="Q130" s="155" t="str">
        <f>VLOOKUP(Table323[[#This Row],[Census Tract]],'ES Energy Burden'!$B$2:$E$914,4,FALSE)</f>
        <v>No</v>
      </c>
    </row>
    <row r="131" spans="1:17" x14ac:dyDescent="0.2">
      <c r="A131" s="101">
        <v>9007570100</v>
      </c>
      <c r="B131" s="102" t="s">
        <v>2760</v>
      </c>
      <c r="C131" s="104" t="s">
        <v>944</v>
      </c>
      <c r="D131" s="69">
        <v>105823.17838656</v>
      </c>
      <c r="E131" s="69">
        <v>12420.4566</v>
      </c>
      <c r="F131" s="13">
        <f>[1]!Table323[[#This Row],[Single Family]]+[1]!Table323[[#This Row],[2-4 Units]]+[1]!Table323[[#This Row],[&gt;4 Units]]</f>
        <v>19</v>
      </c>
      <c r="G131" s="13">
        <v>19</v>
      </c>
      <c r="H131" s="13">
        <v>0</v>
      </c>
      <c r="I131" s="13">
        <v>0</v>
      </c>
      <c r="J131" s="68">
        <v>10163.786599999999</v>
      </c>
      <c r="K131">
        <f t="shared" si="1"/>
        <v>0</v>
      </c>
      <c r="L131" s="13">
        <v>0</v>
      </c>
      <c r="M131" s="13">
        <v>0</v>
      </c>
      <c r="N131" s="13">
        <v>0</v>
      </c>
      <c r="O131" s="68">
        <v>0</v>
      </c>
      <c r="P131" s="155">
        <f>VLOOKUP(Table323[[#This Row],[Census Tract]],'Population and Diversity Data'!$B$2:$K$823,10,FALSE)</f>
        <v>2</v>
      </c>
      <c r="Q131" s="155" t="str">
        <f>VLOOKUP(Table323[[#This Row],[Census Tract]],'ES Energy Burden'!$B$2:$E$914,4,FALSE)</f>
        <v>No</v>
      </c>
    </row>
    <row r="132" spans="1:17" x14ac:dyDescent="0.2">
      <c r="A132" s="101">
        <v>9007570200</v>
      </c>
      <c r="B132" s="102" t="s">
        <v>2760</v>
      </c>
      <c r="C132" s="104" t="s">
        <v>944</v>
      </c>
      <c r="D132" s="69">
        <v>60556.671532799999</v>
      </c>
      <c r="E132" s="69">
        <v>14839.490299999999</v>
      </c>
      <c r="F132" s="13">
        <f>[1]!Table323[[#This Row],[Single Family]]+[1]!Table323[[#This Row],[2-4 Units]]+[1]!Table323[[#This Row],[&gt;4 Units]]</f>
        <v>20</v>
      </c>
      <c r="G132" s="13">
        <v>20</v>
      </c>
      <c r="H132" s="13">
        <v>0</v>
      </c>
      <c r="I132" s="13">
        <v>0</v>
      </c>
      <c r="J132" s="68">
        <v>14693.6703</v>
      </c>
      <c r="K132">
        <f t="shared" si="1"/>
        <v>0</v>
      </c>
      <c r="L132" s="13">
        <v>0</v>
      </c>
      <c r="M132" s="13">
        <v>0</v>
      </c>
      <c r="N132" s="13">
        <v>0</v>
      </c>
      <c r="O132" s="68">
        <v>0</v>
      </c>
      <c r="P132" s="155">
        <f>VLOOKUP(Table323[[#This Row],[Census Tract]],'Population and Diversity Data'!$B$2:$K$823,10,FALSE)</f>
        <v>2</v>
      </c>
      <c r="Q132" s="155" t="str">
        <f>VLOOKUP(Table323[[#This Row],[Census Tract]],'ES Energy Burden'!$B$2:$E$914,4,FALSE)</f>
        <v>No</v>
      </c>
    </row>
    <row r="133" spans="1:17" x14ac:dyDescent="0.2">
      <c r="A133" s="101">
        <v>9007570300</v>
      </c>
      <c r="B133" s="102" t="s">
        <v>2760</v>
      </c>
      <c r="C133" s="104" t="s">
        <v>944</v>
      </c>
      <c r="D133" s="69">
        <v>129484.10647872</v>
      </c>
      <c r="E133" s="69">
        <v>197087.67060000001</v>
      </c>
      <c r="F133" s="13">
        <f>[1]!Table323[[#This Row],[Single Family]]+[1]!Table323[[#This Row],[2-4 Units]]+[1]!Table323[[#This Row],[&gt;4 Units]]</f>
        <v>33</v>
      </c>
      <c r="G133" s="13">
        <v>32</v>
      </c>
      <c r="H133" s="13">
        <v>1</v>
      </c>
      <c r="I133" s="13">
        <v>0</v>
      </c>
      <c r="J133" s="68">
        <v>26649.254199999999</v>
      </c>
      <c r="K133">
        <f t="shared" si="1"/>
        <v>20</v>
      </c>
      <c r="L133" s="13">
        <v>20</v>
      </c>
      <c r="M133" s="13">
        <v>0</v>
      </c>
      <c r="N133" s="13">
        <v>0</v>
      </c>
      <c r="O133" s="68">
        <v>21473.599999999999</v>
      </c>
      <c r="P133" s="155">
        <f>VLOOKUP(Table323[[#This Row],[Census Tract]],'Population and Diversity Data'!$B$2:$K$823,10,FALSE)</f>
        <v>2</v>
      </c>
      <c r="Q133" s="155" t="str">
        <f>VLOOKUP(Table323[[#This Row],[Census Tract]],'ES Energy Burden'!$B$2:$E$914,4,FALSE)</f>
        <v>No</v>
      </c>
    </row>
    <row r="134" spans="1:17" x14ac:dyDescent="0.2">
      <c r="A134" s="101">
        <v>9001200100</v>
      </c>
      <c r="B134" s="102" t="s">
        <v>2761</v>
      </c>
      <c r="C134" s="104" t="s">
        <v>944</v>
      </c>
      <c r="D134" s="69">
        <v>3129.7147199999999</v>
      </c>
      <c r="E134" s="69">
        <v>0</v>
      </c>
      <c r="F134" s="13">
        <f>[1]!Table323[[#This Row],[Single Family]]+[1]!Table323[[#This Row],[2-4 Units]]+[1]!Table323[[#This Row],[&gt;4 Units]]</f>
        <v>0</v>
      </c>
      <c r="G134" s="13">
        <v>0</v>
      </c>
      <c r="H134" s="13">
        <v>0</v>
      </c>
      <c r="I134" s="13">
        <v>0</v>
      </c>
      <c r="J134" s="68">
        <v>0</v>
      </c>
      <c r="K134">
        <f t="shared" ref="K134:K197" si="2">L134+M134+N134</f>
        <v>0</v>
      </c>
      <c r="L134" s="13">
        <v>0</v>
      </c>
      <c r="M134" s="13">
        <v>0</v>
      </c>
      <c r="N134" s="13">
        <v>0</v>
      </c>
      <c r="O134" s="68">
        <v>0</v>
      </c>
      <c r="P134" s="155">
        <f>VLOOKUP(Table323[[#This Row],[Census Tract]],'Population and Diversity Data'!$B$2:$K$823,10,FALSE)</f>
        <v>4</v>
      </c>
      <c r="Q134" s="155" t="str">
        <f>VLOOKUP(Table323[[#This Row],[Census Tract]],'ES Energy Burden'!$B$2:$E$914,4,FALSE)</f>
        <v>No</v>
      </c>
    </row>
    <row r="135" spans="1:17" x14ac:dyDescent="0.2">
      <c r="A135" s="101">
        <v>9001200301</v>
      </c>
      <c r="B135" s="102" t="s">
        <v>2761</v>
      </c>
      <c r="C135" s="104" t="s">
        <v>944</v>
      </c>
      <c r="D135" s="69">
        <v>1133.7191136000001</v>
      </c>
      <c r="E135" s="69">
        <v>0</v>
      </c>
      <c r="F135" s="13">
        <f>[1]!Table323[[#This Row],[Single Family]]+[1]!Table323[[#This Row],[2-4 Units]]+[1]!Table323[[#This Row],[&gt;4 Units]]</f>
        <v>0</v>
      </c>
      <c r="G135" s="13">
        <v>0</v>
      </c>
      <c r="H135" s="13">
        <v>0</v>
      </c>
      <c r="I135" s="13">
        <v>0</v>
      </c>
      <c r="J135" s="68">
        <v>0</v>
      </c>
      <c r="K135">
        <f t="shared" si="2"/>
        <v>0</v>
      </c>
      <c r="L135" s="13">
        <v>0</v>
      </c>
      <c r="M135" s="13">
        <v>0</v>
      </c>
      <c r="N135" s="13">
        <v>0</v>
      </c>
      <c r="O135" s="68">
        <v>0</v>
      </c>
      <c r="P135" s="155">
        <f>VLOOKUP(Table323[[#This Row],[Census Tract]],'Population and Diversity Data'!$B$2:$K$823,10,FALSE)</f>
        <v>4</v>
      </c>
      <c r="Q135" s="155" t="str">
        <f>VLOOKUP(Table323[[#This Row],[Census Tract]],'ES Energy Burden'!$B$2:$E$914,4,FALSE)</f>
        <v>No</v>
      </c>
    </row>
    <row r="136" spans="1:17" x14ac:dyDescent="0.2">
      <c r="A136" s="101">
        <v>9001210100</v>
      </c>
      <c r="B136" s="102" t="s">
        <v>2761</v>
      </c>
      <c r="C136" s="104" t="s">
        <v>944</v>
      </c>
      <c r="D136" s="69">
        <v>80635.962551039993</v>
      </c>
      <c r="E136" s="69">
        <v>11314.693300000001</v>
      </c>
      <c r="F136" s="13">
        <f>[1]!Table323[[#This Row],[Single Family]]+[1]!Table323[[#This Row],[2-4 Units]]+[1]!Table323[[#This Row],[&gt;4 Units]]</f>
        <v>2</v>
      </c>
      <c r="G136" s="13">
        <v>1</v>
      </c>
      <c r="H136" s="13">
        <v>1</v>
      </c>
      <c r="I136" s="13">
        <v>0</v>
      </c>
      <c r="J136" s="68">
        <v>3104.9632999999999</v>
      </c>
      <c r="K136">
        <f t="shared" si="2"/>
        <v>0</v>
      </c>
      <c r="L136" s="13">
        <v>0</v>
      </c>
      <c r="M136" s="13">
        <v>0</v>
      </c>
      <c r="N136" s="13">
        <v>0</v>
      </c>
      <c r="O136" s="68">
        <v>0</v>
      </c>
      <c r="P136" s="155">
        <f>VLOOKUP(Table323[[#This Row],[Census Tract]],'Population and Diversity Data'!$B$2:$K$823,10,FALSE)</f>
        <v>5</v>
      </c>
      <c r="Q136" s="155" t="str">
        <f>VLOOKUP(Table323[[#This Row],[Census Tract]],'ES Energy Burden'!$B$2:$E$914,4,FALSE)</f>
        <v>No</v>
      </c>
    </row>
    <row r="137" spans="1:17" x14ac:dyDescent="0.2">
      <c r="A137" s="101">
        <v>9001210200</v>
      </c>
      <c r="B137" s="102" t="s">
        <v>2761</v>
      </c>
      <c r="C137" s="104" t="s">
        <v>944</v>
      </c>
      <c r="D137" s="69">
        <v>66177.26174016</v>
      </c>
      <c r="E137" s="69">
        <v>3072.29</v>
      </c>
      <c r="F137" s="13">
        <f>[1]!Table323[[#This Row],[Single Family]]+[1]!Table323[[#This Row],[2-4 Units]]+[1]!Table323[[#This Row],[&gt;4 Units]]</f>
        <v>7</v>
      </c>
      <c r="G137" s="13">
        <v>6</v>
      </c>
      <c r="H137" s="13">
        <v>1</v>
      </c>
      <c r="I137" s="13">
        <v>0</v>
      </c>
      <c r="J137" s="68">
        <v>3069.61</v>
      </c>
      <c r="K137">
        <f t="shared" si="2"/>
        <v>0</v>
      </c>
      <c r="L137" s="13">
        <v>0</v>
      </c>
      <c r="M137" s="13">
        <v>0</v>
      </c>
      <c r="N137" s="13">
        <v>0</v>
      </c>
      <c r="O137" s="68">
        <v>0</v>
      </c>
      <c r="P137" s="155">
        <f>VLOOKUP(Table323[[#This Row],[Census Tract]],'Population and Diversity Data'!$B$2:$K$823,10,FALSE)</f>
        <v>5</v>
      </c>
      <c r="Q137" s="155" t="str">
        <f>VLOOKUP(Table323[[#This Row],[Census Tract]],'ES Energy Burden'!$B$2:$E$914,4,FALSE)</f>
        <v>Yes</v>
      </c>
    </row>
    <row r="138" spans="1:17" x14ac:dyDescent="0.2">
      <c r="A138" s="101">
        <v>9001210300</v>
      </c>
      <c r="B138" s="102" t="s">
        <v>2761</v>
      </c>
      <c r="C138" s="104" t="s">
        <v>944</v>
      </c>
      <c r="D138" s="69">
        <v>72913.375704959995</v>
      </c>
      <c r="E138" s="69">
        <v>9926.9599999999991</v>
      </c>
      <c r="F138" s="13">
        <f>[1]!Table323[[#This Row],[Single Family]]+[1]!Table323[[#This Row],[2-4 Units]]+[1]!Table323[[#This Row],[&gt;4 Units]]</f>
        <v>11</v>
      </c>
      <c r="G138" s="13">
        <v>11</v>
      </c>
      <c r="H138" s="13">
        <v>0</v>
      </c>
      <c r="I138" s="13">
        <v>0</v>
      </c>
      <c r="J138" s="68">
        <v>4484.49</v>
      </c>
      <c r="K138">
        <f t="shared" si="2"/>
        <v>0</v>
      </c>
      <c r="L138" s="13">
        <v>0</v>
      </c>
      <c r="M138" s="13">
        <v>0</v>
      </c>
      <c r="N138" s="13">
        <v>0</v>
      </c>
      <c r="O138" s="68">
        <v>0</v>
      </c>
      <c r="P138" s="155">
        <f>VLOOKUP(Table323[[#This Row],[Census Tract]],'Population and Diversity Data'!$B$2:$K$823,10,FALSE)</f>
        <v>5</v>
      </c>
      <c r="Q138" s="155" t="str">
        <f>VLOOKUP(Table323[[#This Row],[Census Tract]],'ES Energy Burden'!$B$2:$E$914,4,FALSE)</f>
        <v>No</v>
      </c>
    </row>
    <row r="139" spans="1:17" x14ac:dyDescent="0.2">
      <c r="A139" s="101">
        <v>9001210400</v>
      </c>
      <c r="B139" s="102" t="s">
        <v>2761</v>
      </c>
      <c r="C139" s="104" t="s">
        <v>944</v>
      </c>
      <c r="D139" s="69">
        <v>164937.70064736</v>
      </c>
      <c r="E139" s="69">
        <v>14744.53</v>
      </c>
      <c r="F139" s="13">
        <f>[1]!Table323[[#This Row],[Single Family]]+[1]!Table323[[#This Row],[2-4 Units]]+[1]!Table323[[#This Row],[&gt;4 Units]]</f>
        <v>11</v>
      </c>
      <c r="G139" s="13">
        <v>10</v>
      </c>
      <c r="H139" s="13">
        <v>1</v>
      </c>
      <c r="I139" s="13">
        <v>0</v>
      </c>
      <c r="J139" s="68">
        <v>5471.04</v>
      </c>
      <c r="K139">
        <f t="shared" si="2"/>
        <v>0</v>
      </c>
      <c r="L139" s="13">
        <v>0</v>
      </c>
      <c r="M139" s="13">
        <v>0</v>
      </c>
      <c r="N139" s="13">
        <v>0</v>
      </c>
      <c r="O139" s="68">
        <v>0</v>
      </c>
      <c r="P139" s="155">
        <f>VLOOKUP(Table323[[#This Row],[Census Tract]],'Population and Diversity Data'!$B$2:$K$823,10,FALSE)</f>
        <v>5</v>
      </c>
      <c r="Q139" s="155" t="str">
        <f>VLOOKUP(Table323[[#This Row],[Census Tract]],'ES Energy Burden'!$B$2:$E$914,4,FALSE)</f>
        <v>No</v>
      </c>
    </row>
    <row r="140" spans="1:17" x14ac:dyDescent="0.2">
      <c r="A140" s="101">
        <v>9001210500</v>
      </c>
      <c r="B140" s="102" t="s">
        <v>2761</v>
      </c>
      <c r="C140" s="104" t="s">
        <v>944</v>
      </c>
      <c r="D140" s="69">
        <v>237105.10148256004</v>
      </c>
      <c r="E140" s="69">
        <v>664344.47099999897</v>
      </c>
      <c r="F140" s="13">
        <f>[1]!Table323[[#This Row],[Single Family]]+[1]!Table323[[#This Row],[2-4 Units]]+[1]!Table323[[#This Row],[&gt;4 Units]]</f>
        <v>27</v>
      </c>
      <c r="G140" s="13">
        <v>25</v>
      </c>
      <c r="H140" s="13">
        <v>2</v>
      </c>
      <c r="I140" s="13">
        <v>0</v>
      </c>
      <c r="J140" s="68">
        <v>22112.1738</v>
      </c>
      <c r="K140">
        <f t="shared" si="2"/>
        <v>327</v>
      </c>
      <c r="L140" s="13">
        <v>94</v>
      </c>
      <c r="M140" s="13">
        <v>1</v>
      </c>
      <c r="N140" s="13">
        <v>232</v>
      </c>
      <c r="O140" s="68">
        <v>151107</v>
      </c>
      <c r="P140" s="155">
        <f>VLOOKUP(Table323[[#This Row],[Census Tract]],'Population and Diversity Data'!$B$2:$K$823,10,FALSE)</f>
        <v>4</v>
      </c>
      <c r="Q140" s="155" t="str">
        <f>VLOOKUP(Table323[[#This Row],[Census Tract]],'ES Energy Burden'!$B$2:$E$914,4,FALSE)</f>
        <v>No</v>
      </c>
    </row>
    <row r="141" spans="1:17" x14ac:dyDescent="0.2">
      <c r="A141" s="101">
        <v>9001210600</v>
      </c>
      <c r="B141" s="102" t="s">
        <v>2761</v>
      </c>
      <c r="C141" s="104" t="s">
        <v>944</v>
      </c>
      <c r="D141" s="69">
        <v>79251.416470080003</v>
      </c>
      <c r="E141" s="69">
        <v>3809.8373999999999</v>
      </c>
      <c r="F141" s="13">
        <f>[1]!Table323[[#This Row],[Single Family]]+[1]!Table323[[#This Row],[2-4 Units]]+[1]!Table323[[#This Row],[&gt;4 Units]]</f>
        <v>9</v>
      </c>
      <c r="G141" s="13">
        <v>9</v>
      </c>
      <c r="H141" s="13">
        <v>0</v>
      </c>
      <c r="I141" s="13">
        <v>0</v>
      </c>
      <c r="J141" s="68">
        <v>3809.1374000000001</v>
      </c>
      <c r="K141">
        <f t="shared" si="2"/>
        <v>0</v>
      </c>
      <c r="L141" s="13">
        <v>0</v>
      </c>
      <c r="M141" s="13">
        <v>0</v>
      </c>
      <c r="N141" s="13">
        <v>0</v>
      </c>
      <c r="O141" s="68">
        <v>0</v>
      </c>
      <c r="P141" s="155">
        <f>VLOOKUP(Table323[[#This Row],[Census Tract]],'Population and Diversity Data'!$B$2:$K$823,10,FALSE)</f>
        <v>5</v>
      </c>
      <c r="Q141" s="155" t="str">
        <f>VLOOKUP(Table323[[#This Row],[Census Tract]],'ES Energy Burden'!$B$2:$E$914,4,FALSE)</f>
        <v>No</v>
      </c>
    </row>
    <row r="142" spans="1:17" x14ac:dyDescent="0.2">
      <c r="A142" s="101">
        <v>9001210701</v>
      </c>
      <c r="B142" s="102" t="s">
        <v>2761</v>
      </c>
      <c r="C142" s="104" t="s">
        <v>944</v>
      </c>
      <c r="D142" s="69">
        <v>103630.93667135999</v>
      </c>
      <c r="E142" s="69">
        <v>7306.01</v>
      </c>
      <c r="F142" s="13">
        <f>[1]!Table323[[#This Row],[Single Family]]+[1]!Table323[[#This Row],[2-4 Units]]+[1]!Table323[[#This Row],[&gt;4 Units]]</f>
        <v>4</v>
      </c>
      <c r="G142" s="13">
        <v>4</v>
      </c>
      <c r="H142" s="13">
        <v>0</v>
      </c>
      <c r="I142" s="13">
        <v>0</v>
      </c>
      <c r="J142" s="68">
        <v>2183.4699999999998</v>
      </c>
      <c r="K142">
        <f t="shared" si="2"/>
        <v>0</v>
      </c>
      <c r="L142" s="13">
        <v>0</v>
      </c>
      <c r="M142" s="13">
        <v>0</v>
      </c>
      <c r="N142" s="13">
        <v>0</v>
      </c>
      <c r="O142" s="68">
        <v>0</v>
      </c>
      <c r="P142" s="155">
        <f>VLOOKUP(Table323[[#This Row],[Census Tract]],'Population and Diversity Data'!$B$2:$K$823,10,FALSE)</f>
        <v>5</v>
      </c>
      <c r="Q142" s="155" t="str">
        <f>VLOOKUP(Table323[[#This Row],[Census Tract]],'ES Energy Burden'!$B$2:$E$914,4,FALSE)</f>
        <v>No</v>
      </c>
    </row>
    <row r="143" spans="1:17" x14ac:dyDescent="0.2">
      <c r="A143" s="101">
        <v>9001210702</v>
      </c>
      <c r="B143" s="102" t="s">
        <v>2761</v>
      </c>
      <c r="C143" s="104" t="s">
        <v>944</v>
      </c>
      <c r="D143" s="69">
        <v>69888.772857600008</v>
      </c>
      <c r="E143" s="69">
        <v>4260.4978000000001</v>
      </c>
      <c r="F143" s="13">
        <f>[1]!Table323[[#This Row],[Single Family]]+[1]!Table323[[#This Row],[2-4 Units]]+[1]!Table323[[#This Row],[&gt;4 Units]]</f>
        <v>3</v>
      </c>
      <c r="G143" s="13">
        <v>3</v>
      </c>
      <c r="H143" s="13">
        <v>0</v>
      </c>
      <c r="I143" s="13">
        <v>0</v>
      </c>
      <c r="J143" s="68">
        <v>1207.5978</v>
      </c>
      <c r="K143">
        <f t="shared" si="2"/>
        <v>0</v>
      </c>
      <c r="L143" s="13">
        <v>0</v>
      </c>
      <c r="M143" s="13">
        <v>0</v>
      </c>
      <c r="N143" s="13">
        <v>0</v>
      </c>
      <c r="O143" s="68">
        <v>0</v>
      </c>
      <c r="P143" s="155">
        <f>VLOOKUP(Table323[[#This Row],[Census Tract]],'Population and Diversity Data'!$B$2:$K$823,10,FALSE)</f>
        <v>5</v>
      </c>
      <c r="Q143" s="155" t="str">
        <f>VLOOKUP(Table323[[#This Row],[Census Tract]],'ES Energy Burden'!$B$2:$E$914,4,FALSE)</f>
        <v>No</v>
      </c>
    </row>
    <row r="144" spans="1:17" x14ac:dyDescent="0.2">
      <c r="A144" s="101">
        <v>9001210800</v>
      </c>
      <c r="B144" s="102" t="s">
        <v>2761</v>
      </c>
      <c r="C144" s="104" t="s">
        <v>944</v>
      </c>
      <c r="D144" s="69">
        <v>112885.17400511999</v>
      </c>
      <c r="E144" s="69">
        <v>15526.7817</v>
      </c>
      <c r="F144" s="13">
        <f>[1]!Table323[[#This Row],[Single Family]]+[1]!Table323[[#This Row],[2-4 Units]]+[1]!Table323[[#This Row],[&gt;4 Units]]</f>
        <v>11</v>
      </c>
      <c r="G144" s="13">
        <v>11</v>
      </c>
      <c r="H144" s="13">
        <v>0</v>
      </c>
      <c r="I144" s="13">
        <v>0</v>
      </c>
      <c r="J144" s="68">
        <v>9415.5917000000009</v>
      </c>
      <c r="K144">
        <f t="shared" si="2"/>
        <v>0</v>
      </c>
      <c r="L144" s="13">
        <v>0</v>
      </c>
      <c r="M144" s="13">
        <v>0</v>
      </c>
      <c r="N144" s="13">
        <v>0</v>
      </c>
      <c r="O144" s="68">
        <v>0</v>
      </c>
      <c r="P144" s="155">
        <f>VLOOKUP(Table323[[#This Row],[Census Tract]],'Population and Diversity Data'!$B$2:$K$823,10,FALSE)</f>
        <v>4</v>
      </c>
      <c r="Q144" s="155" t="str">
        <f>VLOOKUP(Table323[[#This Row],[Census Tract]],'ES Energy Burden'!$B$2:$E$914,4,FALSE)</f>
        <v>No</v>
      </c>
    </row>
    <row r="145" spans="1:17" x14ac:dyDescent="0.2">
      <c r="A145" s="101">
        <v>9001210900</v>
      </c>
      <c r="B145" s="102" t="s">
        <v>2761</v>
      </c>
      <c r="C145" s="104" t="s">
        <v>944</v>
      </c>
      <c r="D145" s="69">
        <v>129253.82222592001</v>
      </c>
      <c r="E145" s="69">
        <v>22839.652999999998</v>
      </c>
      <c r="F145" s="13">
        <f>[1]!Table323[[#This Row],[Single Family]]+[1]!Table323[[#This Row],[2-4 Units]]+[1]!Table323[[#This Row],[&gt;4 Units]]</f>
        <v>23</v>
      </c>
      <c r="G145" s="13">
        <v>23</v>
      </c>
      <c r="H145" s="13">
        <v>0</v>
      </c>
      <c r="I145" s="13">
        <v>0</v>
      </c>
      <c r="J145" s="68">
        <v>19134.433000000001</v>
      </c>
      <c r="K145">
        <f t="shared" si="2"/>
        <v>0</v>
      </c>
      <c r="L145" s="13">
        <v>0</v>
      </c>
      <c r="M145" s="13">
        <v>0</v>
      </c>
      <c r="N145" s="13">
        <v>0</v>
      </c>
      <c r="O145" s="68">
        <v>0</v>
      </c>
      <c r="P145" s="155">
        <f>VLOOKUP(Table323[[#This Row],[Census Tract]],'Population and Diversity Data'!$B$2:$K$823,10,FALSE)</f>
        <v>4</v>
      </c>
      <c r="Q145" s="155" t="str">
        <f>VLOOKUP(Table323[[#This Row],[Census Tract]],'ES Energy Burden'!$B$2:$E$914,4,FALSE)</f>
        <v>No</v>
      </c>
    </row>
    <row r="146" spans="1:17" x14ac:dyDescent="0.2">
      <c r="A146" s="101">
        <v>9001211000</v>
      </c>
      <c r="B146" s="102" t="s">
        <v>2761</v>
      </c>
      <c r="C146" s="104" t="s">
        <v>944</v>
      </c>
      <c r="D146" s="69">
        <v>90044.851150080009</v>
      </c>
      <c r="E146" s="69">
        <v>25082.14</v>
      </c>
      <c r="F146" s="13">
        <f>[1]!Table323[[#This Row],[Single Family]]+[1]!Table323[[#This Row],[2-4 Units]]+[1]!Table323[[#This Row],[&gt;4 Units]]</f>
        <v>14</v>
      </c>
      <c r="G146" s="13">
        <v>14</v>
      </c>
      <c r="H146" s="13">
        <v>0</v>
      </c>
      <c r="I146" s="13">
        <v>0</v>
      </c>
      <c r="J146" s="68">
        <v>13737.88</v>
      </c>
      <c r="K146">
        <f t="shared" si="2"/>
        <v>0</v>
      </c>
      <c r="L146" s="13">
        <v>0</v>
      </c>
      <c r="M146" s="13">
        <v>0</v>
      </c>
      <c r="N146" s="13">
        <v>0</v>
      </c>
      <c r="O146" s="68">
        <v>0</v>
      </c>
      <c r="P146" s="155">
        <f>VLOOKUP(Table323[[#This Row],[Census Tract]],'Population and Diversity Data'!$B$2:$K$823,10,FALSE)</f>
        <v>5</v>
      </c>
      <c r="Q146" s="155" t="str">
        <f>VLOOKUP(Table323[[#This Row],[Census Tract]],'ES Energy Burden'!$B$2:$E$914,4,FALSE)</f>
        <v>No</v>
      </c>
    </row>
    <row r="147" spans="1:17" x14ac:dyDescent="0.2">
      <c r="A147" s="101">
        <v>9001211100</v>
      </c>
      <c r="B147" s="102" t="s">
        <v>2761</v>
      </c>
      <c r="C147" s="104" t="s">
        <v>944</v>
      </c>
      <c r="D147" s="69">
        <v>854.27637120000009</v>
      </c>
      <c r="E147" s="69">
        <v>0</v>
      </c>
      <c r="F147" s="13">
        <f>[1]!Table323[[#This Row],[Single Family]]+[1]!Table323[[#This Row],[2-4 Units]]+[1]!Table323[[#This Row],[&gt;4 Units]]</f>
        <v>0</v>
      </c>
      <c r="G147" s="13">
        <v>0</v>
      </c>
      <c r="H147" s="13">
        <v>0</v>
      </c>
      <c r="I147" s="13">
        <v>0</v>
      </c>
      <c r="J147" s="68">
        <v>0</v>
      </c>
      <c r="K147">
        <f t="shared" si="2"/>
        <v>0</v>
      </c>
      <c r="L147" s="13">
        <v>0</v>
      </c>
      <c r="M147" s="13">
        <v>0</v>
      </c>
      <c r="N147" s="13">
        <v>0</v>
      </c>
      <c r="O147" s="68">
        <v>0</v>
      </c>
      <c r="P147" s="155" t="e">
        <f>VLOOKUP(Table323[[#This Row],[Census Tract]],'Population and Diversity Data'!$B$2:$K$823,10,FALSE)</f>
        <v>#N/A</v>
      </c>
      <c r="Q147" s="155" t="e">
        <f>VLOOKUP(Table323[[#This Row],[Census Tract]],'ES Energy Burden'!$B$2:$E$914,4,FALSE)</f>
        <v>#N/A</v>
      </c>
    </row>
    <row r="148" spans="1:17" x14ac:dyDescent="0.2">
      <c r="A148" s="101">
        <v>9001211200</v>
      </c>
      <c r="B148" s="102" t="s">
        <v>2761</v>
      </c>
      <c r="C148" s="104" t="s">
        <v>944</v>
      </c>
      <c r="D148" s="69">
        <v>126281.56981248001</v>
      </c>
      <c r="E148" s="69">
        <v>9848.92</v>
      </c>
      <c r="F148" s="13">
        <f>[1]!Table323[[#This Row],[Single Family]]+[1]!Table323[[#This Row],[2-4 Units]]+[1]!Table323[[#This Row],[&gt;4 Units]]</f>
        <v>8</v>
      </c>
      <c r="G148" s="13">
        <v>8</v>
      </c>
      <c r="H148" s="13">
        <v>0</v>
      </c>
      <c r="I148" s="13">
        <v>0</v>
      </c>
      <c r="J148" s="68">
        <v>5713.95</v>
      </c>
      <c r="K148">
        <f t="shared" si="2"/>
        <v>0</v>
      </c>
      <c r="L148" s="13">
        <v>0</v>
      </c>
      <c r="M148" s="13">
        <v>0</v>
      </c>
      <c r="N148" s="13">
        <v>0</v>
      </c>
      <c r="O148" s="68">
        <v>0</v>
      </c>
      <c r="P148" s="155">
        <f>VLOOKUP(Table323[[#This Row],[Census Tract]],'Population and Diversity Data'!$B$2:$K$823,10,FALSE)</f>
        <v>5</v>
      </c>
      <c r="Q148" s="155" t="str">
        <f>VLOOKUP(Table323[[#This Row],[Census Tract]],'ES Energy Burden'!$B$2:$E$914,4,FALSE)</f>
        <v>No</v>
      </c>
    </row>
    <row r="149" spans="1:17" x14ac:dyDescent="0.2">
      <c r="A149" s="101">
        <v>9001211300</v>
      </c>
      <c r="B149" s="102" t="s">
        <v>2761</v>
      </c>
      <c r="C149" s="104" t="s">
        <v>944</v>
      </c>
      <c r="D149" s="69">
        <v>81086.724829440005</v>
      </c>
      <c r="E149" s="69">
        <v>21246.9</v>
      </c>
      <c r="F149" s="13">
        <f>[1]!Table323[[#This Row],[Single Family]]+[1]!Table323[[#This Row],[2-4 Units]]+[1]!Table323[[#This Row],[&gt;4 Units]]</f>
        <v>12</v>
      </c>
      <c r="G149" s="13">
        <v>12</v>
      </c>
      <c r="H149" s="13">
        <v>0</v>
      </c>
      <c r="I149" s="13">
        <v>0</v>
      </c>
      <c r="J149" s="68">
        <v>10087</v>
      </c>
      <c r="K149">
        <f t="shared" si="2"/>
        <v>0</v>
      </c>
      <c r="L149" s="13">
        <v>0</v>
      </c>
      <c r="M149" s="13">
        <v>0</v>
      </c>
      <c r="N149" s="13">
        <v>0</v>
      </c>
      <c r="O149" s="68">
        <v>0</v>
      </c>
      <c r="P149" s="155">
        <f>VLOOKUP(Table323[[#This Row],[Census Tract]],'Population and Diversity Data'!$B$2:$K$823,10,FALSE)</f>
        <v>3</v>
      </c>
      <c r="Q149" s="155" t="str">
        <f>VLOOKUP(Table323[[#This Row],[Census Tract]],'ES Energy Burden'!$B$2:$E$914,4,FALSE)</f>
        <v>No</v>
      </c>
    </row>
    <row r="150" spans="1:17" x14ac:dyDescent="0.2">
      <c r="A150" s="101">
        <v>9001211400</v>
      </c>
      <c r="B150" s="102" t="s">
        <v>2761</v>
      </c>
      <c r="C150" s="104" t="s">
        <v>944</v>
      </c>
      <c r="D150" s="69">
        <v>96778.791999359993</v>
      </c>
      <c r="E150" s="69">
        <v>19683.9421</v>
      </c>
      <c r="F150" s="13">
        <f>[1]!Table323[[#This Row],[Single Family]]+[1]!Table323[[#This Row],[2-4 Units]]+[1]!Table323[[#This Row],[&gt;4 Units]]</f>
        <v>14</v>
      </c>
      <c r="G150" s="13">
        <v>10</v>
      </c>
      <c r="H150" s="13">
        <v>4</v>
      </c>
      <c r="I150" s="13">
        <v>0</v>
      </c>
      <c r="J150" s="68">
        <v>7590.6121000000003</v>
      </c>
      <c r="K150">
        <f t="shared" si="2"/>
        <v>0</v>
      </c>
      <c r="L150" s="13">
        <v>0</v>
      </c>
      <c r="M150" s="13">
        <v>0</v>
      </c>
      <c r="N150" s="13">
        <v>0</v>
      </c>
      <c r="O150" s="68">
        <v>0</v>
      </c>
      <c r="P150" s="155">
        <f>VLOOKUP(Table323[[#This Row],[Census Tract]],'Population and Diversity Data'!$B$2:$K$823,10,FALSE)</f>
        <v>4</v>
      </c>
      <c r="Q150" s="155" t="str">
        <f>VLOOKUP(Table323[[#This Row],[Census Tract]],'ES Energy Burden'!$B$2:$E$914,4,FALSE)</f>
        <v>No</v>
      </c>
    </row>
    <row r="151" spans="1:17" x14ac:dyDescent="0.2">
      <c r="A151" s="101">
        <v>9001220200</v>
      </c>
      <c r="B151" s="102" t="s">
        <v>2761</v>
      </c>
      <c r="C151" s="104" t="s">
        <v>944</v>
      </c>
      <c r="D151" s="69">
        <v>607.07724480000002</v>
      </c>
      <c r="E151" s="69">
        <v>1235.32</v>
      </c>
      <c r="F151" s="13">
        <f>[1]!Table323[[#This Row],[Single Family]]+[1]!Table323[[#This Row],[2-4 Units]]+[1]!Table323[[#This Row],[&gt;4 Units]]</f>
        <v>1</v>
      </c>
      <c r="G151" s="13">
        <v>1</v>
      </c>
      <c r="H151" s="13">
        <v>0</v>
      </c>
      <c r="I151" s="13">
        <v>0</v>
      </c>
      <c r="J151" s="68">
        <v>1232.79</v>
      </c>
      <c r="K151">
        <f t="shared" si="2"/>
        <v>0</v>
      </c>
      <c r="L151" s="13">
        <v>0</v>
      </c>
      <c r="M151" s="13">
        <v>0</v>
      </c>
      <c r="N151" s="13">
        <v>0</v>
      </c>
      <c r="O151" s="68">
        <v>0</v>
      </c>
      <c r="P151" s="155">
        <f>VLOOKUP(Table323[[#This Row],[Census Tract]],'Population and Diversity Data'!$B$2:$K$823,10,FALSE)</f>
        <v>3</v>
      </c>
      <c r="Q151" s="155" t="str">
        <f>VLOOKUP(Table323[[#This Row],[Census Tract]],'ES Energy Burden'!$B$2:$E$914,4,FALSE)</f>
        <v>No</v>
      </c>
    </row>
    <row r="152" spans="1:17" x14ac:dyDescent="0.2">
      <c r="A152" s="101">
        <v>9001220300</v>
      </c>
      <c r="B152" s="102" t="s">
        <v>2761</v>
      </c>
      <c r="C152" s="104" t="s">
        <v>944</v>
      </c>
      <c r="D152" s="69">
        <v>570.49781759999996</v>
      </c>
      <c r="E152" s="69">
        <v>0</v>
      </c>
      <c r="F152" s="13">
        <f>[1]!Table323[[#This Row],[Single Family]]+[1]!Table323[[#This Row],[2-4 Units]]+[1]!Table323[[#This Row],[&gt;4 Units]]</f>
        <v>0</v>
      </c>
      <c r="G152" s="13">
        <v>0</v>
      </c>
      <c r="H152" s="13">
        <v>0</v>
      </c>
      <c r="I152" s="13">
        <v>0</v>
      </c>
      <c r="J152" s="68">
        <v>0</v>
      </c>
      <c r="K152">
        <f t="shared" si="2"/>
        <v>0</v>
      </c>
      <c r="L152" s="13">
        <v>0</v>
      </c>
      <c r="M152" s="13">
        <v>0</v>
      </c>
      <c r="N152" s="13">
        <v>0</v>
      </c>
      <c r="O152" s="68">
        <v>0</v>
      </c>
      <c r="P152" s="155">
        <f>VLOOKUP(Table323[[#This Row],[Census Tract]],'Population and Diversity Data'!$B$2:$K$823,10,FALSE)</f>
        <v>2</v>
      </c>
      <c r="Q152" s="155" t="str">
        <f>VLOOKUP(Table323[[#This Row],[Census Tract]],'ES Energy Burden'!$B$2:$E$914,4,FALSE)</f>
        <v>No</v>
      </c>
    </row>
    <row r="153" spans="1:17" x14ac:dyDescent="0.2">
      <c r="A153" s="101">
        <v>9001240100</v>
      </c>
      <c r="B153" s="102" t="s">
        <v>2761</v>
      </c>
      <c r="C153" s="104" t="s">
        <v>944</v>
      </c>
      <c r="D153" s="69">
        <v>66.391747200000012</v>
      </c>
      <c r="E153" s="69">
        <v>0</v>
      </c>
      <c r="F153" s="13">
        <f>[1]!Table323[[#This Row],[Single Family]]+[1]!Table323[[#This Row],[2-4 Units]]+[1]!Table323[[#This Row],[&gt;4 Units]]</f>
        <v>0</v>
      </c>
      <c r="G153" s="13">
        <v>0</v>
      </c>
      <c r="H153" s="13">
        <v>0</v>
      </c>
      <c r="I153" s="13">
        <v>0</v>
      </c>
      <c r="J153" s="68">
        <v>0</v>
      </c>
      <c r="K153">
        <f t="shared" si="2"/>
        <v>0</v>
      </c>
      <c r="L153" s="13">
        <v>0</v>
      </c>
      <c r="M153" s="13">
        <v>0</v>
      </c>
      <c r="N153" s="13">
        <v>0</v>
      </c>
      <c r="O153" s="68">
        <v>0</v>
      </c>
      <c r="P153" s="155">
        <f>VLOOKUP(Table323[[#This Row],[Census Tract]],'Population and Diversity Data'!$B$2:$K$823,10,FALSE)</f>
        <v>1</v>
      </c>
      <c r="Q153" s="155" t="str">
        <f>VLOOKUP(Table323[[#This Row],[Census Tract]],'ES Energy Burden'!$B$2:$E$914,4,FALSE)</f>
        <v>No</v>
      </c>
    </row>
    <row r="154" spans="1:17" x14ac:dyDescent="0.2">
      <c r="A154" s="101">
        <v>9001245200</v>
      </c>
      <c r="B154" s="102" t="s">
        <v>2761</v>
      </c>
      <c r="C154" s="104" t="s">
        <v>944</v>
      </c>
      <c r="D154" s="69">
        <v>295.62822719999997</v>
      </c>
      <c r="E154" s="69">
        <v>0</v>
      </c>
      <c r="F154" s="13">
        <f>[1]!Table323[[#This Row],[Single Family]]+[1]!Table323[[#This Row],[2-4 Units]]+[1]!Table323[[#This Row],[&gt;4 Units]]</f>
        <v>0</v>
      </c>
      <c r="G154" s="13">
        <v>0</v>
      </c>
      <c r="H154" s="13">
        <v>0</v>
      </c>
      <c r="I154" s="13">
        <v>0</v>
      </c>
      <c r="J154" s="68">
        <v>0</v>
      </c>
      <c r="K154">
        <f t="shared" si="2"/>
        <v>0</v>
      </c>
      <c r="L154" s="13">
        <v>0</v>
      </c>
      <c r="M154" s="13">
        <v>0</v>
      </c>
      <c r="N154" s="13">
        <v>0</v>
      </c>
      <c r="O154" s="68">
        <v>0</v>
      </c>
      <c r="P154" s="155">
        <f>VLOOKUP(Table323[[#This Row],[Census Tract]],'Population and Diversity Data'!$B$2:$K$823,10,FALSE)</f>
        <v>3</v>
      </c>
      <c r="Q154" s="155" t="str">
        <f>VLOOKUP(Table323[[#This Row],[Census Tract]],'ES Energy Burden'!$B$2:$E$914,4,FALSE)</f>
        <v>No</v>
      </c>
    </row>
    <row r="155" spans="1:17" x14ac:dyDescent="0.2">
      <c r="A155" s="101">
        <v>9001245600</v>
      </c>
      <c r="B155" s="102" t="s">
        <v>2761</v>
      </c>
      <c r="C155" s="104" t="s">
        <v>944</v>
      </c>
      <c r="D155" s="69">
        <v>3350.3837759999997</v>
      </c>
      <c r="E155" s="69">
        <v>0</v>
      </c>
      <c r="F155" s="13">
        <f>[1]!Table323[[#This Row],[Single Family]]+[1]!Table323[[#This Row],[2-4 Units]]+[1]!Table323[[#This Row],[&gt;4 Units]]</f>
        <v>0</v>
      </c>
      <c r="G155" s="13">
        <v>0</v>
      </c>
      <c r="H155" s="13">
        <v>0</v>
      </c>
      <c r="I155" s="13">
        <v>0</v>
      </c>
      <c r="J155" s="68">
        <v>0</v>
      </c>
      <c r="K155">
        <f t="shared" si="2"/>
        <v>0</v>
      </c>
      <c r="L155" s="13">
        <v>0</v>
      </c>
      <c r="M155" s="13">
        <v>0</v>
      </c>
      <c r="N155" s="13">
        <v>0</v>
      </c>
      <c r="O155" s="68">
        <v>0</v>
      </c>
      <c r="P155" s="155">
        <f>VLOOKUP(Table323[[#This Row],[Census Tract]],'Population and Diversity Data'!$B$2:$K$823,10,FALSE)</f>
        <v>3</v>
      </c>
      <c r="Q155" s="155" t="str">
        <f>VLOOKUP(Table323[[#This Row],[Census Tract]],'ES Energy Burden'!$B$2:$E$914,4,FALSE)</f>
        <v>No</v>
      </c>
    </row>
    <row r="156" spans="1:17" x14ac:dyDescent="0.2">
      <c r="A156" s="101">
        <v>9001030100</v>
      </c>
      <c r="B156" s="102" t="s">
        <v>2762</v>
      </c>
      <c r="C156" s="104" t="s">
        <v>944</v>
      </c>
      <c r="D156" s="69">
        <v>144509.90071392001</v>
      </c>
      <c r="E156" s="69">
        <v>21254.052</v>
      </c>
      <c r="F156" s="13">
        <f>[1]!Table323[[#This Row],[Single Family]]+[1]!Table323[[#This Row],[2-4 Units]]+[1]!Table323[[#This Row],[&gt;4 Units]]</f>
        <v>24</v>
      </c>
      <c r="G156" s="13">
        <v>24</v>
      </c>
      <c r="H156" s="13">
        <v>0</v>
      </c>
      <c r="I156" s="13">
        <v>0</v>
      </c>
      <c r="J156" s="68">
        <v>21252.232</v>
      </c>
      <c r="K156">
        <f t="shared" si="2"/>
        <v>0</v>
      </c>
      <c r="L156" s="13">
        <v>0</v>
      </c>
      <c r="M156" s="13">
        <v>0</v>
      </c>
      <c r="N156" s="13">
        <v>0</v>
      </c>
      <c r="O156" s="68">
        <v>0</v>
      </c>
      <c r="P156" s="155">
        <f>VLOOKUP(Table323[[#This Row],[Census Tract]],'Population and Diversity Data'!$B$2:$K$823,10,FALSE)</f>
        <v>1</v>
      </c>
      <c r="Q156" s="155" t="str">
        <f>VLOOKUP(Table323[[#This Row],[Census Tract]],'ES Energy Burden'!$B$2:$E$914,4,FALSE)</f>
        <v>No</v>
      </c>
    </row>
    <row r="157" spans="1:17" x14ac:dyDescent="0.2">
      <c r="A157" s="101">
        <v>9001030200</v>
      </c>
      <c r="B157" s="102" t="s">
        <v>2762</v>
      </c>
      <c r="C157" s="104" t="s">
        <v>944</v>
      </c>
      <c r="D157" s="69">
        <v>90975.895113599996</v>
      </c>
      <c r="E157" s="69">
        <v>24472.4656</v>
      </c>
      <c r="F157" s="13">
        <f>[1]!Table323[[#This Row],[Single Family]]+[1]!Table323[[#This Row],[2-4 Units]]+[1]!Table323[[#This Row],[&gt;4 Units]]</f>
        <v>18</v>
      </c>
      <c r="G157" s="13">
        <v>18</v>
      </c>
      <c r="H157" s="13">
        <v>0</v>
      </c>
      <c r="I157" s="13">
        <v>0</v>
      </c>
      <c r="J157" s="68">
        <v>20338.925599999999</v>
      </c>
      <c r="K157">
        <f t="shared" si="2"/>
        <v>0</v>
      </c>
      <c r="L157" s="13">
        <v>0</v>
      </c>
      <c r="M157" s="13">
        <v>0</v>
      </c>
      <c r="N157" s="13">
        <v>0</v>
      </c>
      <c r="O157" s="68">
        <v>0</v>
      </c>
      <c r="P157" s="155">
        <f>VLOOKUP(Table323[[#This Row],[Census Tract]],'Population and Diversity Data'!$B$2:$K$823,10,FALSE)</f>
        <v>3</v>
      </c>
      <c r="Q157" s="155" t="str">
        <f>VLOOKUP(Table323[[#This Row],[Census Tract]],'ES Energy Burden'!$B$2:$E$914,4,FALSE)</f>
        <v>No</v>
      </c>
    </row>
    <row r="158" spans="1:17" x14ac:dyDescent="0.2">
      <c r="A158" s="101">
        <v>9001030300</v>
      </c>
      <c r="B158" s="102" t="s">
        <v>2762</v>
      </c>
      <c r="C158" s="104" t="s">
        <v>944</v>
      </c>
      <c r="D158" s="69">
        <v>178578.25704</v>
      </c>
      <c r="E158" s="69">
        <v>84416.53</v>
      </c>
      <c r="F158" s="13">
        <f>[1]!Table323[[#This Row],[Single Family]]+[1]!Table323[[#This Row],[2-4 Units]]+[1]!Table323[[#This Row],[&gt;4 Units]]</f>
        <v>18</v>
      </c>
      <c r="G158" s="13">
        <v>18</v>
      </c>
      <c r="H158" s="13">
        <v>0</v>
      </c>
      <c r="I158" s="13">
        <v>0</v>
      </c>
      <c r="J158" s="68">
        <v>23294.2</v>
      </c>
      <c r="K158">
        <f t="shared" si="2"/>
        <v>2</v>
      </c>
      <c r="L158" s="13">
        <v>2</v>
      </c>
      <c r="M158" s="13">
        <v>0</v>
      </c>
      <c r="N158" s="13">
        <v>0</v>
      </c>
      <c r="O158" s="68">
        <v>4718.22</v>
      </c>
      <c r="P158" s="155">
        <f>VLOOKUP(Table323[[#This Row],[Census Tract]],'Population and Diversity Data'!$B$2:$K$823,10,FALSE)</f>
        <v>1</v>
      </c>
      <c r="Q158" s="155" t="str">
        <f>VLOOKUP(Table323[[#This Row],[Census Tract]],'ES Energy Burden'!$B$2:$E$914,4,FALSE)</f>
        <v>No</v>
      </c>
    </row>
    <row r="159" spans="1:17" x14ac:dyDescent="0.2">
      <c r="A159" s="101">
        <v>9001030400</v>
      </c>
      <c r="B159" s="102" t="s">
        <v>2762</v>
      </c>
      <c r="C159" s="104" t="s">
        <v>944</v>
      </c>
      <c r="D159" s="69">
        <v>83365.854695999995</v>
      </c>
      <c r="E159" s="69">
        <v>14030.75</v>
      </c>
      <c r="F159" s="13">
        <f>[1]!Table323[[#This Row],[Single Family]]+[1]!Table323[[#This Row],[2-4 Units]]+[1]!Table323[[#This Row],[&gt;4 Units]]</f>
        <v>14</v>
      </c>
      <c r="G159" s="13">
        <v>14</v>
      </c>
      <c r="H159" s="13">
        <v>0</v>
      </c>
      <c r="I159" s="13">
        <v>0</v>
      </c>
      <c r="J159" s="68">
        <v>13948.75</v>
      </c>
      <c r="K159">
        <f t="shared" si="2"/>
        <v>0</v>
      </c>
      <c r="L159" s="13">
        <v>0</v>
      </c>
      <c r="M159" s="13">
        <v>0</v>
      </c>
      <c r="N159" s="13">
        <v>0</v>
      </c>
      <c r="O159" s="68">
        <v>0</v>
      </c>
      <c r="P159" s="155">
        <f>VLOOKUP(Table323[[#This Row],[Census Tract]],'Population and Diversity Data'!$B$2:$K$823,10,FALSE)</f>
        <v>3</v>
      </c>
      <c r="Q159" s="155" t="str">
        <f>VLOOKUP(Table323[[#This Row],[Census Tract]],'ES Energy Burden'!$B$2:$E$914,4,FALSE)</f>
        <v>No</v>
      </c>
    </row>
    <row r="160" spans="1:17" x14ac:dyDescent="0.2">
      <c r="A160" s="101">
        <v>9001030500</v>
      </c>
      <c r="B160" s="102" t="s">
        <v>2762</v>
      </c>
      <c r="C160" s="104" t="s">
        <v>944</v>
      </c>
      <c r="D160" s="69">
        <v>137375.18561088003</v>
      </c>
      <c r="E160" s="69">
        <v>32728.266500000002</v>
      </c>
      <c r="F160" s="13">
        <f>[1]!Table323[[#This Row],[Single Family]]+[1]!Table323[[#This Row],[2-4 Units]]+[1]!Table323[[#This Row],[&gt;4 Units]]</f>
        <v>37</v>
      </c>
      <c r="G160" s="13">
        <v>37</v>
      </c>
      <c r="H160" s="13">
        <v>0</v>
      </c>
      <c r="I160" s="13">
        <v>0</v>
      </c>
      <c r="J160" s="68">
        <v>31288.636500000001</v>
      </c>
      <c r="K160">
        <f t="shared" si="2"/>
        <v>0</v>
      </c>
      <c r="L160" s="13">
        <v>0</v>
      </c>
      <c r="M160" s="13">
        <v>0</v>
      </c>
      <c r="N160" s="13">
        <v>0</v>
      </c>
      <c r="O160" s="68">
        <v>0</v>
      </c>
      <c r="P160" s="155">
        <f>VLOOKUP(Table323[[#This Row],[Census Tract]],'Population and Diversity Data'!$B$2:$K$823,10,FALSE)</f>
        <v>3</v>
      </c>
      <c r="Q160" s="155" t="str">
        <f>VLOOKUP(Table323[[#This Row],[Census Tract]],'ES Energy Burden'!$B$2:$E$914,4,FALSE)</f>
        <v>No</v>
      </c>
    </row>
    <row r="161" spans="1:17" x14ac:dyDescent="0.2">
      <c r="A161" s="101">
        <v>9007620100</v>
      </c>
      <c r="B161" s="102" t="s">
        <v>2763</v>
      </c>
      <c r="C161" s="104" t="s">
        <v>944</v>
      </c>
      <c r="D161" s="69">
        <v>104659.9294464</v>
      </c>
      <c r="E161" s="69">
        <v>55582.743199999997</v>
      </c>
      <c r="F161" s="13">
        <f>[1]!Table323[[#This Row],[Single Family]]+[1]!Table323[[#This Row],[2-4 Units]]+[1]!Table323[[#This Row],[&gt;4 Units]]</f>
        <v>24</v>
      </c>
      <c r="G161" s="13">
        <v>24</v>
      </c>
      <c r="H161" s="13">
        <v>0</v>
      </c>
      <c r="I161" s="13">
        <v>0</v>
      </c>
      <c r="J161" s="68">
        <v>17812.47</v>
      </c>
      <c r="K161">
        <f t="shared" si="2"/>
        <v>7</v>
      </c>
      <c r="L161" s="13">
        <v>7</v>
      </c>
      <c r="M161" s="13">
        <v>0</v>
      </c>
      <c r="N161" s="13">
        <v>0</v>
      </c>
      <c r="O161" s="68">
        <v>16968.8</v>
      </c>
      <c r="P161" s="155">
        <f>VLOOKUP(Table323[[#This Row],[Census Tract]],'Population and Diversity Data'!$B$2:$K$823,10,FALSE)</f>
        <v>1</v>
      </c>
      <c r="Q161" s="155" t="str">
        <f>VLOOKUP(Table323[[#This Row],[Census Tract]],'ES Energy Burden'!$B$2:$E$914,4,FALSE)</f>
        <v>No</v>
      </c>
    </row>
    <row r="162" spans="1:17" x14ac:dyDescent="0.2">
      <c r="A162" s="101">
        <v>9007585100</v>
      </c>
      <c r="B162" s="102" t="s">
        <v>2764</v>
      </c>
      <c r="C162" s="104" t="s">
        <v>944</v>
      </c>
      <c r="D162" s="69">
        <v>149595.26773535999</v>
      </c>
      <c r="E162" s="69">
        <v>60194.636700000003</v>
      </c>
      <c r="F162" s="13">
        <f>[1]!Table323[[#This Row],[Single Family]]+[1]!Table323[[#This Row],[2-4 Units]]+[1]!Table323[[#This Row],[&gt;4 Units]]</f>
        <v>34</v>
      </c>
      <c r="G162" s="13">
        <v>34</v>
      </c>
      <c r="H162" s="13">
        <v>0</v>
      </c>
      <c r="I162" s="13">
        <v>0</v>
      </c>
      <c r="J162" s="68">
        <v>36775.274400000002</v>
      </c>
      <c r="K162">
        <f t="shared" si="2"/>
        <v>2</v>
      </c>
      <c r="L162" s="13">
        <v>2</v>
      </c>
      <c r="M162" s="13">
        <v>0</v>
      </c>
      <c r="N162" s="13">
        <v>0</v>
      </c>
      <c r="O162" s="68">
        <v>9992.6200000000008</v>
      </c>
      <c r="P162" s="155">
        <f>VLOOKUP(Table323[[#This Row],[Census Tract]],'Population and Diversity Data'!$B$2:$K$823,10,FALSE)</f>
        <v>1</v>
      </c>
      <c r="Q162" s="155" t="str">
        <f>VLOOKUP(Table323[[#This Row],[Census Tract]],'ES Energy Burden'!$B$2:$E$914,4,FALSE)</f>
        <v>No</v>
      </c>
    </row>
    <row r="163" spans="1:17" x14ac:dyDescent="0.2">
      <c r="A163" s="101">
        <v>9009190303</v>
      </c>
      <c r="B163" s="102" t="s">
        <v>2764</v>
      </c>
      <c r="C163" s="104" t="s">
        <v>944</v>
      </c>
      <c r="D163" s="69">
        <v>86.247331200000005</v>
      </c>
      <c r="E163" s="69">
        <v>0</v>
      </c>
      <c r="F163" s="13">
        <f>[1]!Table323[[#This Row],[Single Family]]+[1]!Table323[[#This Row],[2-4 Units]]+[1]!Table323[[#This Row],[&gt;4 Units]]</f>
        <v>0</v>
      </c>
      <c r="G163" s="13">
        <v>0</v>
      </c>
      <c r="H163" s="13">
        <v>0</v>
      </c>
      <c r="I163" s="13">
        <v>0</v>
      </c>
      <c r="J163" s="68">
        <v>0</v>
      </c>
      <c r="K163">
        <f t="shared" si="2"/>
        <v>0</v>
      </c>
      <c r="L163" s="13">
        <v>0</v>
      </c>
      <c r="M163" s="13">
        <v>0</v>
      </c>
      <c r="N163" s="13">
        <v>0</v>
      </c>
      <c r="O163" s="68">
        <v>0</v>
      </c>
      <c r="P163" s="155">
        <f>VLOOKUP(Table323[[#This Row],[Census Tract]],'Population and Diversity Data'!$B$2:$K$823,10,FALSE)</f>
        <v>2</v>
      </c>
      <c r="Q163" s="155" t="str">
        <f>VLOOKUP(Table323[[#This Row],[Census Tract]],'ES Energy Burden'!$B$2:$E$914,4,FALSE)</f>
        <v>No</v>
      </c>
    </row>
    <row r="164" spans="1:17" x14ac:dyDescent="0.2">
      <c r="A164" s="101">
        <v>9003470100</v>
      </c>
      <c r="B164" s="102" t="s">
        <v>2765</v>
      </c>
      <c r="C164" s="104" t="s">
        <v>944</v>
      </c>
      <c r="D164" s="69">
        <v>111288.10370976001</v>
      </c>
      <c r="E164" s="69">
        <v>53479.969799999999</v>
      </c>
      <c r="F164" s="13">
        <f>[1]!Table323[[#This Row],[Single Family]]+[1]!Table323[[#This Row],[2-4 Units]]+[1]!Table323[[#This Row],[&gt;4 Units]]</f>
        <v>34</v>
      </c>
      <c r="G164" s="13">
        <v>34</v>
      </c>
      <c r="H164" s="13">
        <v>0</v>
      </c>
      <c r="I164" s="13">
        <v>0</v>
      </c>
      <c r="J164" s="68">
        <v>23890.289799999999</v>
      </c>
      <c r="K164">
        <f t="shared" si="2"/>
        <v>6</v>
      </c>
      <c r="L164" s="13">
        <v>6</v>
      </c>
      <c r="M164" s="13">
        <v>0</v>
      </c>
      <c r="N164" s="13">
        <v>0</v>
      </c>
      <c r="O164" s="68">
        <v>14800.1</v>
      </c>
      <c r="P164" s="155">
        <f>VLOOKUP(Table323[[#This Row],[Census Tract]],'Population and Diversity Data'!$B$2:$K$823,10,FALSE)</f>
        <v>3</v>
      </c>
      <c r="Q164" s="155" t="str">
        <f>VLOOKUP(Table323[[#This Row],[Census Tract]],'ES Energy Burden'!$B$2:$E$914,4,FALSE)</f>
        <v>No</v>
      </c>
    </row>
    <row r="165" spans="1:17" x14ac:dyDescent="0.2">
      <c r="A165" s="101">
        <v>9003477101</v>
      </c>
      <c r="B165" s="102" t="s">
        <v>2765</v>
      </c>
      <c r="C165" s="104" t="s">
        <v>944</v>
      </c>
      <c r="D165" s="69">
        <v>279.3906432</v>
      </c>
      <c r="E165" s="69">
        <v>0</v>
      </c>
      <c r="F165" s="13">
        <f>[1]!Table323[[#This Row],[Single Family]]+[1]!Table323[[#This Row],[2-4 Units]]+[1]!Table323[[#This Row],[&gt;4 Units]]</f>
        <v>0</v>
      </c>
      <c r="G165" s="13">
        <v>0</v>
      </c>
      <c r="H165" s="13">
        <v>0</v>
      </c>
      <c r="I165" s="13">
        <v>0</v>
      </c>
      <c r="J165" s="68">
        <v>0</v>
      </c>
      <c r="K165">
        <f t="shared" si="2"/>
        <v>0</v>
      </c>
      <c r="L165" s="13">
        <v>0</v>
      </c>
      <c r="M165" s="13">
        <v>0</v>
      </c>
      <c r="N165" s="13">
        <v>0</v>
      </c>
      <c r="O165" s="68">
        <v>0</v>
      </c>
      <c r="P165" s="155">
        <f>VLOOKUP(Table323[[#This Row],[Census Tract]],'Population and Diversity Data'!$B$2:$K$823,10,FALSE)</f>
        <v>1</v>
      </c>
      <c r="Q165" s="155" t="str">
        <f>VLOOKUP(Table323[[#This Row],[Census Tract]],'ES Energy Burden'!$B$2:$E$914,4,FALSE)</f>
        <v>No</v>
      </c>
    </row>
    <row r="166" spans="1:17" x14ac:dyDescent="0.2">
      <c r="A166" s="101">
        <v>9003477200</v>
      </c>
      <c r="B166" s="102" t="s">
        <v>2765</v>
      </c>
      <c r="C166" s="104" t="s">
        <v>944</v>
      </c>
      <c r="D166" s="69">
        <v>239.47686720000002</v>
      </c>
      <c r="E166" s="69">
        <v>0</v>
      </c>
      <c r="F166" s="13">
        <f>[1]!Table323[[#This Row],[Single Family]]+[1]!Table323[[#This Row],[2-4 Units]]+[1]!Table323[[#This Row],[&gt;4 Units]]</f>
        <v>0</v>
      </c>
      <c r="G166" s="13">
        <v>0</v>
      </c>
      <c r="H166" s="13">
        <v>0</v>
      </c>
      <c r="I166" s="13">
        <v>0</v>
      </c>
      <c r="J166" s="68">
        <v>0</v>
      </c>
      <c r="K166">
        <f t="shared" si="2"/>
        <v>0</v>
      </c>
      <c r="L166" s="13">
        <v>0</v>
      </c>
      <c r="M166" s="13">
        <v>0</v>
      </c>
      <c r="N166" s="13">
        <v>0</v>
      </c>
      <c r="O166" s="68">
        <v>0</v>
      </c>
      <c r="P166" s="155">
        <f>VLOOKUP(Table323[[#This Row],[Census Tract]],'Population and Diversity Data'!$B$2:$K$823,10,FALSE)</f>
        <v>1</v>
      </c>
      <c r="Q166" s="155" t="str">
        <f>VLOOKUP(Table323[[#This Row],[Census Tract]],'ES Energy Burden'!$B$2:$E$914,4,FALSE)</f>
        <v>No</v>
      </c>
    </row>
    <row r="167" spans="1:17" x14ac:dyDescent="0.2">
      <c r="A167" s="101">
        <v>9007595101</v>
      </c>
      <c r="B167" s="102" t="s">
        <v>2766</v>
      </c>
      <c r="C167" s="104" t="s">
        <v>944</v>
      </c>
      <c r="D167" s="69">
        <v>63105.536903040011</v>
      </c>
      <c r="E167" s="69">
        <v>4781.78</v>
      </c>
      <c r="F167" s="13">
        <f>[1]!Table323[[#This Row],[Single Family]]+[1]!Table323[[#This Row],[2-4 Units]]+[1]!Table323[[#This Row],[&gt;4 Units]]</f>
        <v>6</v>
      </c>
      <c r="G167" s="13">
        <v>6</v>
      </c>
      <c r="H167" s="13">
        <v>0</v>
      </c>
      <c r="I167" s="13">
        <v>0</v>
      </c>
      <c r="J167" s="68">
        <v>4778.4799999999996</v>
      </c>
      <c r="K167">
        <f t="shared" si="2"/>
        <v>0</v>
      </c>
      <c r="L167" s="13">
        <v>0</v>
      </c>
      <c r="M167" s="13">
        <v>0</v>
      </c>
      <c r="N167" s="13">
        <v>0</v>
      </c>
      <c r="O167" s="68">
        <v>0</v>
      </c>
      <c r="P167" s="155">
        <f>VLOOKUP(Table323[[#This Row],[Census Tract]],'Population and Diversity Data'!$B$2:$K$823,10,FALSE)</f>
        <v>1</v>
      </c>
      <c r="Q167" s="155" t="str">
        <f>VLOOKUP(Table323[[#This Row],[Census Tract]],'ES Energy Burden'!$B$2:$E$914,4,FALSE)</f>
        <v>No</v>
      </c>
    </row>
    <row r="168" spans="1:17" x14ac:dyDescent="0.2">
      <c r="A168" s="101">
        <v>9007595102</v>
      </c>
      <c r="B168" s="102" t="s">
        <v>2766</v>
      </c>
      <c r="C168" s="104" t="s">
        <v>944</v>
      </c>
      <c r="D168" s="69">
        <v>140629.99572000001</v>
      </c>
      <c r="E168" s="69">
        <v>55971.386700000003</v>
      </c>
      <c r="F168" s="13">
        <f>[1]!Table323[[#This Row],[Single Family]]+[1]!Table323[[#This Row],[2-4 Units]]+[1]!Table323[[#This Row],[&gt;4 Units]]</f>
        <v>25</v>
      </c>
      <c r="G168" s="13">
        <v>25</v>
      </c>
      <c r="H168" s="13">
        <v>0</v>
      </c>
      <c r="I168" s="13">
        <v>0</v>
      </c>
      <c r="J168" s="68">
        <v>18700.082699999999</v>
      </c>
      <c r="K168">
        <f t="shared" si="2"/>
        <v>4</v>
      </c>
      <c r="L168" s="13">
        <v>4</v>
      </c>
      <c r="M168" s="13">
        <v>0</v>
      </c>
      <c r="N168" s="13">
        <v>0</v>
      </c>
      <c r="O168" s="68">
        <v>7485.17</v>
      </c>
      <c r="P168" s="155">
        <f>VLOOKUP(Table323[[#This Row],[Census Tract]],'Population and Diversity Data'!$B$2:$K$823,10,FALSE)</f>
        <v>1</v>
      </c>
      <c r="Q168" s="155" t="str">
        <f>VLOOKUP(Table323[[#This Row],[Census Tract]],'ES Energy Burden'!$B$2:$E$914,4,FALSE)</f>
        <v>No</v>
      </c>
    </row>
    <row r="169" spans="1:17" x14ac:dyDescent="0.2">
      <c r="A169" s="101">
        <v>9007550100</v>
      </c>
      <c r="B169" s="102" t="s">
        <v>2767</v>
      </c>
      <c r="C169" s="104" t="s">
        <v>944</v>
      </c>
      <c r="D169" s="69">
        <v>122937.67875456001</v>
      </c>
      <c r="E169" s="69">
        <v>79748.796199999997</v>
      </c>
      <c r="F169" s="13">
        <f>[1]!Table323[[#This Row],[Single Family]]+[1]!Table323[[#This Row],[2-4 Units]]+[1]!Table323[[#This Row],[&gt;4 Units]]</f>
        <v>22</v>
      </c>
      <c r="G169" s="13">
        <v>22</v>
      </c>
      <c r="H169" s="13">
        <v>0</v>
      </c>
      <c r="I169" s="13">
        <v>0</v>
      </c>
      <c r="J169" s="68">
        <v>21788.7012</v>
      </c>
      <c r="K169">
        <f t="shared" si="2"/>
        <v>18</v>
      </c>
      <c r="L169" s="13">
        <v>18</v>
      </c>
      <c r="M169" s="13">
        <v>0</v>
      </c>
      <c r="N169" s="13">
        <v>0</v>
      </c>
      <c r="O169" s="68">
        <v>26182.5</v>
      </c>
      <c r="P169" s="155">
        <f>VLOOKUP(Table323[[#This Row],[Census Tract]],'Population and Diversity Data'!$B$2:$K$823,10,FALSE)</f>
        <v>3</v>
      </c>
      <c r="Q169" s="155" t="str">
        <f>VLOOKUP(Table323[[#This Row],[Census Tract]],'ES Energy Burden'!$B$2:$E$914,4,FALSE)</f>
        <v>No</v>
      </c>
    </row>
    <row r="170" spans="1:17" x14ac:dyDescent="0.2">
      <c r="A170" s="101">
        <v>9007550201</v>
      </c>
      <c r="B170" s="102" t="s">
        <v>2767</v>
      </c>
      <c r="C170" s="104" t="s">
        <v>944</v>
      </c>
      <c r="D170" s="69">
        <v>76930.412739840016</v>
      </c>
      <c r="E170" s="69">
        <v>15684.3472</v>
      </c>
      <c r="F170" s="13">
        <f>[1]!Table323[[#This Row],[Single Family]]+[1]!Table323[[#This Row],[2-4 Units]]+[1]!Table323[[#This Row],[&gt;4 Units]]</f>
        <v>10</v>
      </c>
      <c r="G170" s="13">
        <v>10</v>
      </c>
      <c r="H170" s="13">
        <v>0</v>
      </c>
      <c r="I170" s="13">
        <v>0</v>
      </c>
      <c r="J170" s="68">
        <v>10054.2572</v>
      </c>
      <c r="K170">
        <f t="shared" si="2"/>
        <v>0</v>
      </c>
      <c r="L170" s="13">
        <v>0</v>
      </c>
      <c r="M170" s="13">
        <v>0</v>
      </c>
      <c r="N170" s="13">
        <v>0</v>
      </c>
      <c r="O170" s="68">
        <v>0</v>
      </c>
      <c r="P170" s="155">
        <f>VLOOKUP(Table323[[#This Row],[Census Tract]],'Population and Diversity Data'!$B$2:$K$823,10,FALSE)</f>
        <v>2</v>
      </c>
      <c r="Q170" s="155" t="str">
        <f>VLOOKUP(Table323[[#This Row],[Census Tract]],'ES Energy Burden'!$B$2:$E$914,4,FALSE)</f>
        <v>No</v>
      </c>
    </row>
    <row r="171" spans="1:17" x14ac:dyDescent="0.2">
      <c r="A171" s="101">
        <v>9007550202</v>
      </c>
      <c r="B171" s="102" t="s">
        <v>2767</v>
      </c>
      <c r="C171" s="104" t="s">
        <v>944</v>
      </c>
      <c r="D171" s="69">
        <v>72315.440712000011</v>
      </c>
      <c r="E171" s="69">
        <v>17842.5468</v>
      </c>
      <c r="F171" s="13">
        <f>[1]!Table323[[#This Row],[Single Family]]+[1]!Table323[[#This Row],[2-4 Units]]+[1]!Table323[[#This Row],[&gt;4 Units]]</f>
        <v>10</v>
      </c>
      <c r="G171" s="13">
        <v>10</v>
      </c>
      <c r="H171" s="13">
        <v>0</v>
      </c>
      <c r="I171" s="13">
        <v>0</v>
      </c>
      <c r="J171" s="68">
        <v>7353.8468000000003</v>
      </c>
      <c r="K171">
        <f t="shared" si="2"/>
        <v>0</v>
      </c>
      <c r="L171" s="13">
        <v>0</v>
      </c>
      <c r="M171" s="13">
        <v>0</v>
      </c>
      <c r="N171" s="13">
        <v>0</v>
      </c>
      <c r="O171" s="68">
        <v>0</v>
      </c>
      <c r="P171" s="155">
        <f>VLOOKUP(Table323[[#This Row],[Census Tract]],'Population and Diversity Data'!$B$2:$K$823,10,FALSE)</f>
        <v>1</v>
      </c>
      <c r="Q171" s="155" t="str">
        <f>VLOOKUP(Table323[[#This Row],[Census Tract]],'ES Energy Burden'!$B$2:$E$914,4,FALSE)</f>
        <v>No</v>
      </c>
    </row>
    <row r="172" spans="1:17" x14ac:dyDescent="0.2">
      <c r="A172" s="101">
        <v>9007590100</v>
      </c>
      <c r="B172" s="102" t="s">
        <v>2767</v>
      </c>
      <c r="C172" s="104" t="s">
        <v>944</v>
      </c>
      <c r="D172" s="69">
        <v>775.89023040000006</v>
      </c>
      <c r="E172" s="69">
        <v>515.64</v>
      </c>
      <c r="F172" s="13">
        <f>[1]!Table323[[#This Row],[Single Family]]+[1]!Table323[[#This Row],[2-4 Units]]+[1]!Table323[[#This Row],[&gt;4 Units]]</f>
        <v>3</v>
      </c>
      <c r="G172" s="13">
        <v>3</v>
      </c>
      <c r="H172" s="13">
        <v>0</v>
      </c>
      <c r="I172" s="13">
        <v>0</v>
      </c>
      <c r="J172" s="68">
        <v>512.45000000000005</v>
      </c>
      <c r="K172">
        <f t="shared" si="2"/>
        <v>0</v>
      </c>
      <c r="L172" s="13">
        <v>0</v>
      </c>
      <c r="M172" s="13">
        <v>0</v>
      </c>
      <c r="N172" s="13">
        <v>0</v>
      </c>
      <c r="O172" s="68">
        <v>0</v>
      </c>
      <c r="P172" s="155">
        <f>VLOOKUP(Table323[[#This Row],[Census Tract]],'Population and Diversity Data'!$B$2:$K$823,10,FALSE)</f>
        <v>1</v>
      </c>
      <c r="Q172" s="155" t="str">
        <f>VLOOKUP(Table323[[#This Row],[Census Tract]],'ES Energy Burden'!$B$2:$E$914,4,FALSE)</f>
        <v>No</v>
      </c>
    </row>
    <row r="173" spans="1:17" x14ac:dyDescent="0.2">
      <c r="A173" s="101">
        <v>9003496900</v>
      </c>
      <c r="B173" s="102" t="s">
        <v>2768</v>
      </c>
      <c r="C173" s="104" t="s">
        <v>944</v>
      </c>
      <c r="D173" s="69">
        <v>236.11936320000001</v>
      </c>
      <c r="E173" s="69">
        <v>0</v>
      </c>
      <c r="F173" s="13">
        <f>[1]!Table323[[#This Row],[Single Family]]+[1]!Table323[[#This Row],[2-4 Units]]+[1]!Table323[[#This Row],[&gt;4 Units]]</f>
        <v>0</v>
      </c>
      <c r="G173" s="13">
        <v>0</v>
      </c>
      <c r="H173" s="13">
        <v>0</v>
      </c>
      <c r="I173" s="13">
        <v>0</v>
      </c>
      <c r="J173" s="68">
        <v>0</v>
      </c>
      <c r="K173">
        <f t="shared" si="2"/>
        <v>0</v>
      </c>
      <c r="L173" s="13">
        <v>0</v>
      </c>
      <c r="M173" s="13">
        <v>0</v>
      </c>
      <c r="N173" s="13">
        <v>0</v>
      </c>
      <c r="O173" s="68">
        <v>0</v>
      </c>
      <c r="P173" s="155">
        <f>VLOOKUP(Table323[[#This Row],[Census Tract]],'Population and Diversity Data'!$B$2:$K$823,10,FALSE)</f>
        <v>3</v>
      </c>
      <c r="Q173" s="155" t="str">
        <f>VLOOKUP(Table323[[#This Row],[Census Tract]],'ES Energy Burden'!$B$2:$E$914,4,FALSE)</f>
        <v>No</v>
      </c>
    </row>
    <row r="174" spans="1:17" x14ac:dyDescent="0.2">
      <c r="A174" s="101">
        <v>9003510100</v>
      </c>
      <c r="B174" s="102" t="s">
        <v>2768</v>
      </c>
      <c r="C174" s="104" t="s">
        <v>944</v>
      </c>
      <c r="D174" s="69">
        <v>28572.322570560002</v>
      </c>
      <c r="E174" s="69">
        <v>22163.206699999999</v>
      </c>
      <c r="F174" s="13">
        <f>[1]!Table323[[#This Row],[Single Family]]+[1]!Table323[[#This Row],[2-4 Units]]+[1]!Table323[[#This Row],[&gt;4 Units]]</f>
        <v>14</v>
      </c>
      <c r="G174" s="13">
        <v>14</v>
      </c>
      <c r="H174" s="13">
        <v>0</v>
      </c>
      <c r="I174" s="13">
        <v>0</v>
      </c>
      <c r="J174" s="68">
        <v>6519.7566999999999</v>
      </c>
      <c r="K174">
        <f t="shared" si="2"/>
        <v>0</v>
      </c>
      <c r="L174" s="13">
        <v>0</v>
      </c>
      <c r="M174" s="13">
        <v>0</v>
      </c>
      <c r="N174" s="13">
        <v>0</v>
      </c>
      <c r="O174" s="68">
        <v>0</v>
      </c>
      <c r="P174" s="155">
        <f>VLOOKUP(Table323[[#This Row],[Census Tract]],'Population and Diversity Data'!$B$2:$K$823,10,FALSE)</f>
        <v>4</v>
      </c>
      <c r="Q174" s="155" t="str">
        <f>VLOOKUP(Table323[[#This Row],[Census Tract]],'ES Energy Burden'!$B$2:$E$914,4,FALSE)</f>
        <v>No</v>
      </c>
    </row>
    <row r="175" spans="1:17" x14ac:dyDescent="0.2">
      <c r="A175" s="101">
        <v>9003510200</v>
      </c>
      <c r="B175" s="102" t="s">
        <v>2768</v>
      </c>
      <c r="C175" s="104" t="s">
        <v>944</v>
      </c>
      <c r="D175" s="69">
        <v>23940.745948800002</v>
      </c>
      <c r="E175" s="69">
        <v>2074.27</v>
      </c>
      <c r="F175" s="13">
        <f>[1]!Table323[[#This Row],[Single Family]]+[1]!Table323[[#This Row],[2-4 Units]]+[1]!Table323[[#This Row],[&gt;4 Units]]</f>
        <v>4</v>
      </c>
      <c r="G175" s="13">
        <v>4</v>
      </c>
      <c r="H175" s="13">
        <v>0</v>
      </c>
      <c r="I175" s="13">
        <v>0</v>
      </c>
      <c r="J175" s="68">
        <v>564.25</v>
      </c>
      <c r="K175">
        <f t="shared" si="2"/>
        <v>0</v>
      </c>
      <c r="L175" s="13">
        <v>0</v>
      </c>
      <c r="M175" s="13">
        <v>0</v>
      </c>
      <c r="N175" s="13">
        <v>0</v>
      </c>
      <c r="O175" s="68">
        <v>0</v>
      </c>
      <c r="P175" s="155">
        <f>VLOOKUP(Table323[[#This Row],[Census Tract]],'Population and Diversity Data'!$B$2:$K$823,10,FALSE)</f>
        <v>5</v>
      </c>
      <c r="Q175" s="155" t="str">
        <f>VLOOKUP(Table323[[#This Row],[Census Tract]],'ES Energy Burden'!$B$2:$E$914,4,FALSE)</f>
        <v>No</v>
      </c>
    </row>
    <row r="176" spans="1:17" x14ac:dyDescent="0.2">
      <c r="A176" s="101">
        <v>9003510300</v>
      </c>
      <c r="B176" s="102" t="s">
        <v>2768</v>
      </c>
      <c r="C176" s="104" t="s">
        <v>944</v>
      </c>
      <c r="D176" s="69">
        <v>45069.819638400004</v>
      </c>
      <c r="E176" s="69">
        <v>42202.34</v>
      </c>
      <c r="F176" s="13">
        <f>[1]!Table323[[#This Row],[Single Family]]+[1]!Table323[[#This Row],[2-4 Units]]+[1]!Table323[[#This Row],[&gt;4 Units]]</f>
        <v>12</v>
      </c>
      <c r="G176" s="13">
        <v>12</v>
      </c>
      <c r="H176" s="13">
        <v>0</v>
      </c>
      <c r="I176" s="13">
        <v>0</v>
      </c>
      <c r="J176" s="68">
        <v>5312.28</v>
      </c>
      <c r="K176">
        <f t="shared" si="2"/>
        <v>0</v>
      </c>
      <c r="L176" s="13">
        <v>0</v>
      </c>
      <c r="M176" s="13">
        <v>0</v>
      </c>
      <c r="N176" s="13">
        <v>0</v>
      </c>
      <c r="O176" s="68">
        <v>0</v>
      </c>
      <c r="P176" s="155">
        <f>VLOOKUP(Table323[[#This Row],[Census Tract]],'Population and Diversity Data'!$B$2:$K$823,10,FALSE)</f>
        <v>4</v>
      </c>
      <c r="Q176" s="155" t="str">
        <f>VLOOKUP(Table323[[#This Row],[Census Tract]],'ES Energy Burden'!$B$2:$E$914,4,FALSE)</f>
        <v>No</v>
      </c>
    </row>
    <row r="177" spans="1:17" x14ac:dyDescent="0.2">
      <c r="A177" s="101">
        <v>9003510400</v>
      </c>
      <c r="B177" s="102" t="s">
        <v>2768</v>
      </c>
      <c r="C177" s="104" t="s">
        <v>944</v>
      </c>
      <c r="D177" s="69">
        <v>57149.46894816</v>
      </c>
      <c r="E177" s="69">
        <v>9259.56</v>
      </c>
      <c r="F177" s="13">
        <f>[1]!Table323[[#This Row],[Single Family]]+[1]!Table323[[#This Row],[2-4 Units]]+[1]!Table323[[#This Row],[&gt;4 Units]]</f>
        <v>5</v>
      </c>
      <c r="G177" s="13">
        <v>5</v>
      </c>
      <c r="H177" s="13">
        <v>0</v>
      </c>
      <c r="I177" s="13">
        <v>0</v>
      </c>
      <c r="J177" s="68">
        <v>1894.04</v>
      </c>
      <c r="K177">
        <f t="shared" si="2"/>
        <v>0</v>
      </c>
      <c r="L177" s="13">
        <v>0</v>
      </c>
      <c r="M177" s="13">
        <v>0</v>
      </c>
      <c r="N177" s="13">
        <v>0</v>
      </c>
      <c r="O177" s="68">
        <v>0</v>
      </c>
      <c r="P177" s="155">
        <f>VLOOKUP(Table323[[#This Row],[Census Tract]],'Population and Diversity Data'!$B$2:$K$823,10,FALSE)</f>
        <v>4</v>
      </c>
      <c r="Q177" s="155" t="str">
        <f>VLOOKUP(Table323[[#This Row],[Census Tract]],'ES Energy Burden'!$B$2:$E$914,4,FALSE)</f>
        <v>No</v>
      </c>
    </row>
    <row r="178" spans="1:17" x14ac:dyDescent="0.2">
      <c r="A178" s="101">
        <v>9003510500</v>
      </c>
      <c r="B178" s="102" t="s">
        <v>2768</v>
      </c>
      <c r="C178" s="104" t="s">
        <v>944</v>
      </c>
      <c r="D178" s="69">
        <v>47422.277971200005</v>
      </c>
      <c r="E178" s="69">
        <v>3607.91</v>
      </c>
      <c r="F178" s="13">
        <f>[1]!Table323[[#This Row],[Single Family]]+[1]!Table323[[#This Row],[2-4 Units]]+[1]!Table323[[#This Row],[&gt;4 Units]]</f>
        <v>7</v>
      </c>
      <c r="G178" s="13">
        <v>7</v>
      </c>
      <c r="H178" s="13">
        <v>0</v>
      </c>
      <c r="I178" s="13">
        <v>0</v>
      </c>
      <c r="J178" s="68">
        <v>2404.9499999999998</v>
      </c>
      <c r="K178">
        <f t="shared" si="2"/>
        <v>0</v>
      </c>
      <c r="L178" s="13">
        <v>0</v>
      </c>
      <c r="M178" s="13">
        <v>0</v>
      </c>
      <c r="N178" s="13">
        <v>0</v>
      </c>
      <c r="O178" s="68">
        <v>0</v>
      </c>
      <c r="P178" s="155">
        <f>VLOOKUP(Table323[[#This Row],[Census Tract]],'Population and Diversity Data'!$B$2:$K$823,10,FALSE)</f>
        <v>5</v>
      </c>
      <c r="Q178" s="155" t="str">
        <f>VLOOKUP(Table323[[#This Row],[Census Tract]],'ES Energy Burden'!$B$2:$E$914,4,FALSE)</f>
        <v>No</v>
      </c>
    </row>
    <row r="179" spans="1:17" x14ac:dyDescent="0.2">
      <c r="A179" s="101">
        <v>9003510600</v>
      </c>
      <c r="B179" s="102" t="s">
        <v>2768</v>
      </c>
      <c r="C179" s="104" t="s">
        <v>944</v>
      </c>
      <c r="D179" s="69">
        <v>59338.273852800005</v>
      </c>
      <c r="E179" s="69">
        <v>16098.58</v>
      </c>
      <c r="F179" s="13">
        <f>[1]!Table323[[#This Row],[Single Family]]+[1]!Table323[[#This Row],[2-4 Units]]+[1]!Table323[[#This Row],[&gt;4 Units]]</f>
        <v>9</v>
      </c>
      <c r="G179" s="13">
        <v>8</v>
      </c>
      <c r="H179" s="13">
        <v>1</v>
      </c>
      <c r="I179" s="13">
        <v>0</v>
      </c>
      <c r="J179" s="68">
        <v>4839</v>
      </c>
      <c r="K179">
        <f t="shared" si="2"/>
        <v>0</v>
      </c>
      <c r="L179" s="13">
        <v>0</v>
      </c>
      <c r="M179" s="13">
        <v>0</v>
      </c>
      <c r="N179" s="13">
        <v>0</v>
      </c>
      <c r="O179" s="68">
        <v>0</v>
      </c>
      <c r="P179" s="155">
        <f>VLOOKUP(Table323[[#This Row],[Census Tract]],'Population and Diversity Data'!$B$2:$K$823,10,FALSE)</f>
        <v>5</v>
      </c>
      <c r="Q179" s="155" t="str">
        <f>VLOOKUP(Table323[[#This Row],[Census Tract]],'ES Energy Burden'!$B$2:$E$914,4,FALSE)</f>
        <v>No</v>
      </c>
    </row>
    <row r="180" spans="1:17" x14ac:dyDescent="0.2">
      <c r="A180" s="101">
        <v>9003510700</v>
      </c>
      <c r="B180" s="102" t="s">
        <v>2768</v>
      </c>
      <c r="C180" s="104" t="s">
        <v>944</v>
      </c>
      <c r="D180" s="69">
        <v>98289.790943040018</v>
      </c>
      <c r="E180" s="69">
        <v>409325.7415</v>
      </c>
      <c r="F180" s="13">
        <f>[1]!Table323[[#This Row],[Single Family]]+[1]!Table323[[#This Row],[2-4 Units]]+[1]!Table323[[#This Row],[&gt;4 Units]]</f>
        <v>35</v>
      </c>
      <c r="G180" s="13">
        <v>35</v>
      </c>
      <c r="H180" s="13">
        <v>0</v>
      </c>
      <c r="I180" s="13">
        <v>0</v>
      </c>
      <c r="J180" s="68">
        <v>107870.1936</v>
      </c>
      <c r="K180">
        <f t="shared" si="2"/>
        <v>753</v>
      </c>
      <c r="L180" s="13">
        <v>217</v>
      </c>
      <c r="M180" s="13">
        <v>3</v>
      </c>
      <c r="N180" s="13">
        <v>533</v>
      </c>
      <c r="O180" s="68">
        <v>301453</v>
      </c>
      <c r="P180" s="155">
        <f>VLOOKUP(Table323[[#This Row],[Census Tract]],'Population and Diversity Data'!$B$2:$K$823,10,FALSE)</f>
        <v>5</v>
      </c>
      <c r="Q180" s="155" t="str">
        <f>VLOOKUP(Table323[[#This Row],[Census Tract]],'ES Energy Burden'!$B$2:$E$914,4,FALSE)</f>
        <v>No</v>
      </c>
    </row>
    <row r="181" spans="1:17" x14ac:dyDescent="0.2">
      <c r="A181" s="101">
        <v>9003510800</v>
      </c>
      <c r="B181" s="102" t="s">
        <v>2768</v>
      </c>
      <c r="C181" s="104" t="s">
        <v>944</v>
      </c>
      <c r="D181" s="69">
        <v>40521.756297600004</v>
      </c>
      <c r="E181" s="69">
        <v>5767.2932000000001</v>
      </c>
      <c r="F181" s="13">
        <f>[1]!Table323[[#This Row],[Single Family]]+[1]!Table323[[#This Row],[2-4 Units]]+[1]!Table323[[#This Row],[&gt;4 Units]]</f>
        <v>10</v>
      </c>
      <c r="G181" s="13">
        <v>10</v>
      </c>
      <c r="H181" s="13">
        <v>0</v>
      </c>
      <c r="I181" s="13">
        <v>0</v>
      </c>
      <c r="J181" s="68">
        <v>4101.4531999999999</v>
      </c>
      <c r="K181">
        <f t="shared" si="2"/>
        <v>0</v>
      </c>
      <c r="L181" s="13">
        <v>0</v>
      </c>
      <c r="M181" s="13">
        <v>0</v>
      </c>
      <c r="N181" s="13">
        <v>0</v>
      </c>
      <c r="O181" s="68">
        <v>0</v>
      </c>
      <c r="P181" s="155">
        <f>VLOOKUP(Table323[[#This Row],[Census Tract]],'Population and Diversity Data'!$B$2:$K$823,10,FALSE)</f>
        <v>3</v>
      </c>
      <c r="Q181" s="155" t="str">
        <f>VLOOKUP(Table323[[#This Row],[Census Tract]],'ES Energy Burden'!$B$2:$E$914,4,FALSE)</f>
        <v>No</v>
      </c>
    </row>
    <row r="182" spans="1:17" x14ac:dyDescent="0.2">
      <c r="A182" s="101">
        <v>9003510900</v>
      </c>
      <c r="B182" s="102" t="s">
        <v>2768</v>
      </c>
      <c r="C182" s="104" t="s">
        <v>944</v>
      </c>
      <c r="D182" s="69">
        <v>56760.885907200005</v>
      </c>
      <c r="E182" s="69">
        <v>28094.3</v>
      </c>
      <c r="F182" s="13">
        <f>[1]!Table323[[#This Row],[Single Family]]+[1]!Table323[[#This Row],[2-4 Units]]+[1]!Table323[[#This Row],[&gt;4 Units]]</f>
        <v>21</v>
      </c>
      <c r="G182" s="13">
        <v>21</v>
      </c>
      <c r="H182" s="13">
        <v>0</v>
      </c>
      <c r="I182" s="13">
        <v>0</v>
      </c>
      <c r="J182" s="68">
        <v>13879.43</v>
      </c>
      <c r="K182">
        <f t="shared" si="2"/>
        <v>0</v>
      </c>
      <c r="L182" s="13">
        <v>0</v>
      </c>
      <c r="M182" s="13">
        <v>0</v>
      </c>
      <c r="N182" s="13">
        <v>0</v>
      </c>
      <c r="O182" s="68">
        <v>0</v>
      </c>
      <c r="P182" s="155">
        <f>VLOOKUP(Table323[[#This Row],[Census Tract]],'Population and Diversity Data'!$B$2:$K$823,10,FALSE)</f>
        <v>4</v>
      </c>
      <c r="Q182" s="155" t="str">
        <f>VLOOKUP(Table323[[#This Row],[Census Tract]],'ES Energy Burden'!$B$2:$E$914,4,FALSE)</f>
        <v>No</v>
      </c>
    </row>
    <row r="183" spans="1:17" x14ac:dyDescent="0.2">
      <c r="A183" s="101">
        <v>9003511000</v>
      </c>
      <c r="B183" s="102" t="s">
        <v>2768</v>
      </c>
      <c r="C183" s="104" t="s">
        <v>944</v>
      </c>
      <c r="D183" s="69">
        <v>52835.4427392</v>
      </c>
      <c r="E183" s="69">
        <v>18406.3269</v>
      </c>
      <c r="F183" s="13">
        <f>[1]!Table323[[#This Row],[Single Family]]+[1]!Table323[[#This Row],[2-4 Units]]+[1]!Table323[[#This Row],[&gt;4 Units]]</f>
        <v>12</v>
      </c>
      <c r="G183" s="13">
        <v>12</v>
      </c>
      <c r="H183" s="13">
        <v>0</v>
      </c>
      <c r="I183" s="13">
        <v>0</v>
      </c>
      <c r="J183" s="68">
        <v>8092.8669</v>
      </c>
      <c r="K183">
        <f t="shared" si="2"/>
        <v>0</v>
      </c>
      <c r="L183" s="13">
        <v>0</v>
      </c>
      <c r="M183" s="13">
        <v>0</v>
      </c>
      <c r="N183" s="13">
        <v>0</v>
      </c>
      <c r="O183" s="68">
        <v>0</v>
      </c>
      <c r="P183" s="155">
        <f>VLOOKUP(Table323[[#This Row],[Census Tract]],'Population and Diversity Data'!$B$2:$K$823,10,FALSE)</f>
        <v>4</v>
      </c>
      <c r="Q183" s="155" t="str">
        <f>VLOOKUP(Table323[[#This Row],[Census Tract]],'ES Energy Burden'!$B$2:$E$914,4,FALSE)</f>
        <v>No</v>
      </c>
    </row>
    <row r="184" spans="1:17" x14ac:dyDescent="0.2">
      <c r="A184" s="101">
        <v>9003511100</v>
      </c>
      <c r="B184" s="102" t="s">
        <v>2768</v>
      </c>
      <c r="C184" s="104" t="s">
        <v>944</v>
      </c>
      <c r="D184" s="69">
        <v>56665.462170240004</v>
      </c>
      <c r="E184" s="69">
        <v>32384.834299999999</v>
      </c>
      <c r="F184" s="13">
        <f>[1]!Table323[[#This Row],[Single Family]]+[1]!Table323[[#This Row],[2-4 Units]]+[1]!Table323[[#This Row],[&gt;4 Units]]</f>
        <v>24</v>
      </c>
      <c r="G184" s="13">
        <v>24</v>
      </c>
      <c r="H184" s="13">
        <v>0</v>
      </c>
      <c r="I184" s="13">
        <v>0</v>
      </c>
      <c r="J184" s="68">
        <v>14451.514300000001</v>
      </c>
      <c r="K184">
        <f t="shared" si="2"/>
        <v>0</v>
      </c>
      <c r="L184" s="13">
        <v>0</v>
      </c>
      <c r="M184" s="13">
        <v>0</v>
      </c>
      <c r="N184" s="13">
        <v>0</v>
      </c>
      <c r="O184" s="68">
        <v>0</v>
      </c>
      <c r="P184" s="155">
        <f>VLOOKUP(Table323[[#This Row],[Census Tract]],'Population and Diversity Data'!$B$2:$K$823,10,FALSE)</f>
        <v>4</v>
      </c>
      <c r="Q184" s="155" t="str">
        <f>VLOOKUP(Table323[[#This Row],[Census Tract]],'ES Energy Burden'!$B$2:$E$914,4,FALSE)</f>
        <v>No</v>
      </c>
    </row>
    <row r="185" spans="1:17" x14ac:dyDescent="0.2">
      <c r="A185" s="101">
        <v>9003511200</v>
      </c>
      <c r="B185" s="102" t="s">
        <v>2768</v>
      </c>
      <c r="C185" s="104" t="s">
        <v>944</v>
      </c>
      <c r="D185" s="69">
        <v>37711.687535999998</v>
      </c>
      <c r="E185" s="69">
        <v>16579.5</v>
      </c>
      <c r="F185" s="13">
        <f>[1]!Table323[[#This Row],[Single Family]]+[1]!Table323[[#This Row],[2-4 Units]]+[1]!Table323[[#This Row],[&gt;4 Units]]</f>
        <v>12</v>
      </c>
      <c r="G185" s="13">
        <v>12</v>
      </c>
      <c r="H185" s="13">
        <v>0</v>
      </c>
      <c r="I185" s="13">
        <v>0</v>
      </c>
      <c r="J185" s="68">
        <v>4552.62</v>
      </c>
      <c r="K185">
        <f t="shared" si="2"/>
        <v>0</v>
      </c>
      <c r="L185" s="13">
        <v>0</v>
      </c>
      <c r="M185" s="13">
        <v>0</v>
      </c>
      <c r="N185" s="13">
        <v>0</v>
      </c>
      <c r="O185" s="68">
        <v>0</v>
      </c>
      <c r="P185" s="155">
        <f>VLOOKUP(Table323[[#This Row],[Census Tract]],'Population and Diversity Data'!$B$2:$K$823,10,FALSE)</f>
        <v>5</v>
      </c>
      <c r="Q185" s="155" t="str">
        <f>VLOOKUP(Table323[[#This Row],[Census Tract]],'ES Energy Burden'!$B$2:$E$914,4,FALSE)</f>
        <v>No</v>
      </c>
    </row>
    <row r="186" spans="1:17" x14ac:dyDescent="0.2">
      <c r="A186" s="101">
        <v>9003511300</v>
      </c>
      <c r="B186" s="102" t="s">
        <v>2768</v>
      </c>
      <c r="C186" s="104" t="s">
        <v>944</v>
      </c>
      <c r="D186" s="69">
        <v>38897.82654912</v>
      </c>
      <c r="E186" s="69">
        <v>21005.37</v>
      </c>
      <c r="F186" s="13">
        <f>[1]!Table323[[#This Row],[Single Family]]+[1]!Table323[[#This Row],[2-4 Units]]+[1]!Table323[[#This Row],[&gt;4 Units]]</f>
        <v>8</v>
      </c>
      <c r="G186" s="13">
        <v>6</v>
      </c>
      <c r="H186" s="13">
        <v>2</v>
      </c>
      <c r="I186" s="13">
        <v>0</v>
      </c>
      <c r="J186" s="68">
        <v>2277.59</v>
      </c>
      <c r="K186">
        <f t="shared" si="2"/>
        <v>0</v>
      </c>
      <c r="L186" s="13">
        <v>0</v>
      </c>
      <c r="M186" s="13">
        <v>0</v>
      </c>
      <c r="N186" s="13">
        <v>0</v>
      </c>
      <c r="O186" s="68">
        <v>0</v>
      </c>
      <c r="P186" s="155">
        <f>VLOOKUP(Table323[[#This Row],[Census Tract]],'Population and Diversity Data'!$B$2:$K$823,10,FALSE)</f>
        <v>4</v>
      </c>
      <c r="Q186" s="155" t="str">
        <f>VLOOKUP(Table323[[#This Row],[Census Tract]],'ES Energy Burden'!$B$2:$E$914,4,FALSE)</f>
        <v>No</v>
      </c>
    </row>
    <row r="187" spans="1:17" x14ac:dyDescent="0.2">
      <c r="A187" s="101">
        <v>9003511400</v>
      </c>
      <c r="B187" s="102" t="s">
        <v>2768</v>
      </c>
      <c r="C187" s="104" t="s">
        <v>944</v>
      </c>
      <c r="D187" s="69">
        <v>33981.297984000004</v>
      </c>
      <c r="E187" s="69">
        <v>15077.28</v>
      </c>
      <c r="F187" s="13">
        <f>[1]!Table323[[#This Row],[Single Family]]+[1]!Table323[[#This Row],[2-4 Units]]+[1]!Table323[[#This Row],[&gt;4 Units]]</f>
        <v>19</v>
      </c>
      <c r="G187" s="13">
        <v>19</v>
      </c>
      <c r="H187" s="13">
        <v>0</v>
      </c>
      <c r="I187" s="13">
        <v>0</v>
      </c>
      <c r="J187" s="68">
        <v>6173.3</v>
      </c>
      <c r="K187">
        <f t="shared" si="2"/>
        <v>0</v>
      </c>
      <c r="L187" s="13">
        <v>0</v>
      </c>
      <c r="M187" s="13">
        <v>0</v>
      </c>
      <c r="N187" s="13">
        <v>0</v>
      </c>
      <c r="O187" s="68">
        <v>0</v>
      </c>
      <c r="P187" s="155">
        <f>VLOOKUP(Table323[[#This Row],[Census Tract]],'Population and Diversity Data'!$B$2:$K$823,10,FALSE)</f>
        <v>4</v>
      </c>
      <c r="Q187" s="155" t="str">
        <f>VLOOKUP(Table323[[#This Row],[Census Tract]],'ES Energy Burden'!$B$2:$E$914,4,FALSE)</f>
        <v>No</v>
      </c>
    </row>
    <row r="188" spans="1:17" x14ac:dyDescent="0.2">
      <c r="A188" s="101">
        <v>9003514102</v>
      </c>
      <c r="B188" s="102" t="s">
        <v>2768</v>
      </c>
      <c r="C188" s="104" t="s">
        <v>944</v>
      </c>
      <c r="D188" s="69">
        <v>1951.9243142400001</v>
      </c>
      <c r="E188" s="69">
        <v>0</v>
      </c>
      <c r="F188" s="13">
        <f>[1]!Table323[[#This Row],[Single Family]]+[1]!Table323[[#This Row],[2-4 Units]]+[1]!Table323[[#This Row],[&gt;4 Units]]</f>
        <v>0</v>
      </c>
      <c r="G188" s="13">
        <v>0</v>
      </c>
      <c r="H188" s="13">
        <v>0</v>
      </c>
      <c r="I188" s="13">
        <v>0</v>
      </c>
      <c r="J188" s="68">
        <v>0</v>
      </c>
      <c r="K188">
        <f t="shared" si="2"/>
        <v>0</v>
      </c>
      <c r="L188" s="13">
        <v>0</v>
      </c>
      <c r="M188" s="13">
        <v>0</v>
      </c>
      <c r="N188" s="13">
        <v>0</v>
      </c>
      <c r="O188" s="68">
        <v>0</v>
      </c>
      <c r="P188" s="155">
        <f>VLOOKUP(Table323[[#This Row],[Census Tract]],'Population and Diversity Data'!$B$2:$K$823,10,FALSE)</f>
        <v>5</v>
      </c>
      <c r="Q188" s="155" t="str">
        <f>VLOOKUP(Table323[[#This Row],[Census Tract]],'ES Energy Burden'!$B$2:$E$914,4,FALSE)</f>
        <v>No</v>
      </c>
    </row>
    <row r="189" spans="1:17" x14ac:dyDescent="0.2">
      <c r="A189" s="101">
        <v>9011695202</v>
      </c>
      <c r="B189" s="102" t="s">
        <v>2769</v>
      </c>
      <c r="C189" s="104" t="s">
        <v>944</v>
      </c>
      <c r="D189" s="69">
        <v>70.605993600000005</v>
      </c>
      <c r="E189" s="69">
        <v>0</v>
      </c>
      <c r="F189" s="13">
        <f>[1]!Table323[[#This Row],[Single Family]]+[1]!Table323[[#This Row],[2-4 Units]]+[1]!Table323[[#This Row],[&gt;4 Units]]</f>
        <v>0</v>
      </c>
      <c r="G189" s="13">
        <v>0</v>
      </c>
      <c r="H189" s="13">
        <v>0</v>
      </c>
      <c r="I189" s="13">
        <v>0</v>
      </c>
      <c r="J189" s="68">
        <v>0</v>
      </c>
      <c r="K189">
        <f t="shared" si="2"/>
        <v>0</v>
      </c>
      <c r="L189" s="13">
        <v>0</v>
      </c>
      <c r="M189" s="13">
        <v>0</v>
      </c>
      <c r="N189" s="13">
        <v>0</v>
      </c>
      <c r="O189" s="68">
        <v>0</v>
      </c>
      <c r="P189" s="155">
        <f>VLOOKUP(Table323[[#This Row],[Census Tract]],'Population and Diversity Data'!$B$2:$K$823,10,FALSE)</f>
        <v>3</v>
      </c>
      <c r="Q189" s="155" t="str">
        <f>VLOOKUP(Table323[[#This Row],[Census Tract]],'ES Energy Burden'!$B$2:$E$914,4,FALSE)</f>
        <v>No</v>
      </c>
    </row>
    <row r="190" spans="1:17" x14ac:dyDescent="0.2">
      <c r="A190" s="101">
        <v>9011716101</v>
      </c>
      <c r="B190" s="102" t="s">
        <v>2769</v>
      </c>
      <c r="C190" s="104" t="s">
        <v>944</v>
      </c>
      <c r="D190" s="69">
        <v>94268.427937920002</v>
      </c>
      <c r="E190" s="69">
        <v>40280.123399999997</v>
      </c>
      <c r="F190" s="13">
        <f>[1]!Table323[[#This Row],[Single Family]]+[1]!Table323[[#This Row],[2-4 Units]]+[1]!Table323[[#This Row],[&gt;4 Units]]</f>
        <v>33</v>
      </c>
      <c r="G190" s="13">
        <v>33</v>
      </c>
      <c r="H190" s="13">
        <v>0</v>
      </c>
      <c r="I190" s="13">
        <v>0</v>
      </c>
      <c r="J190" s="68">
        <v>31429.393400000001</v>
      </c>
      <c r="K190">
        <f t="shared" si="2"/>
        <v>0</v>
      </c>
      <c r="L190" s="13">
        <v>0</v>
      </c>
      <c r="M190" s="13">
        <v>0</v>
      </c>
      <c r="N190" s="13">
        <v>0</v>
      </c>
      <c r="O190" s="68">
        <v>0</v>
      </c>
      <c r="P190" s="155">
        <f>VLOOKUP(Table323[[#This Row],[Census Tract]],'Population and Diversity Data'!$B$2:$K$823,10,FALSE)</f>
        <v>5</v>
      </c>
      <c r="Q190" s="155" t="str">
        <f>VLOOKUP(Table323[[#This Row],[Census Tract]],'ES Energy Burden'!$B$2:$E$914,4,FALSE)</f>
        <v>No</v>
      </c>
    </row>
    <row r="191" spans="1:17" x14ac:dyDescent="0.2">
      <c r="A191" s="101">
        <v>9011716102</v>
      </c>
      <c r="B191" s="102" t="s">
        <v>2769</v>
      </c>
      <c r="C191" s="104" t="s">
        <v>944</v>
      </c>
      <c r="D191" s="69">
        <v>138124.48325183999</v>
      </c>
      <c r="E191" s="69">
        <v>220651.68780000001</v>
      </c>
      <c r="F191" s="13">
        <f>[1]!Table323[[#This Row],[Single Family]]+[1]!Table323[[#This Row],[2-4 Units]]+[1]!Table323[[#This Row],[&gt;4 Units]]</f>
        <v>39</v>
      </c>
      <c r="G191" s="13">
        <v>39</v>
      </c>
      <c r="H191" s="13">
        <v>0</v>
      </c>
      <c r="I191" s="13">
        <v>0</v>
      </c>
      <c r="J191" s="68">
        <v>32262.292099999999</v>
      </c>
      <c r="K191">
        <f t="shared" si="2"/>
        <v>11</v>
      </c>
      <c r="L191" s="13">
        <v>11</v>
      </c>
      <c r="M191" s="13">
        <v>0</v>
      </c>
      <c r="N191" s="13">
        <v>0</v>
      </c>
      <c r="O191" s="68">
        <v>50508.9</v>
      </c>
      <c r="P191" s="155">
        <f>VLOOKUP(Table323[[#This Row],[Census Tract]],'Population and Diversity Data'!$B$2:$K$823,10,FALSE)</f>
        <v>4</v>
      </c>
      <c r="Q191" s="155" t="str">
        <f>VLOOKUP(Table323[[#This Row],[Census Tract]],'ES Energy Burden'!$B$2:$E$914,4,FALSE)</f>
        <v>No</v>
      </c>
    </row>
    <row r="192" spans="1:17" x14ac:dyDescent="0.2">
      <c r="A192" s="101">
        <v>9011870701</v>
      </c>
      <c r="B192" s="102" t="s">
        <v>2769</v>
      </c>
      <c r="C192" s="104" t="s">
        <v>944</v>
      </c>
      <c r="D192" s="69">
        <v>50602.6302192</v>
      </c>
      <c r="E192" s="69">
        <v>7191.9422999999997</v>
      </c>
      <c r="F192" s="13">
        <f>[1]!Table323[[#This Row],[Single Family]]+[1]!Table323[[#This Row],[2-4 Units]]+[1]!Table323[[#This Row],[&gt;4 Units]]</f>
        <v>15</v>
      </c>
      <c r="G192" s="13">
        <v>15</v>
      </c>
      <c r="H192" s="13">
        <v>0</v>
      </c>
      <c r="I192" s="13">
        <v>0</v>
      </c>
      <c r="J192" s="68">
        <v>7189.0322999999999</v>
      </c>
      <c r="K192">
        <f t="shared" si="2"/>
        <v>0</v>
      </c>
      <c r="L192" s="13">
        <v>0</v>
      </c>
      <c r="M192" s="13">
        <v>0</v>
      </c>
      <c r="N192" s="13">
        <v>0</v>
      </c>
      <c r="O192" s="68">
        <v>0</v>
      </c>
      <c r="P192" s="155">
        <f>VLOOKUP(Table323[[#This Row],[Census Tract]],'Population and Diversity Data'!$B$2:$K$823,10,FALSE)</f>
        <v>3</v>
      </c>
      <c r="Q192" s="155" t="str">
        <f>VLOOKUP(Table323[[#This Row],[Census Tract]],'ES Energy Burden'!$B$2:$E$914,4,FALSE)</f>
        <v>No</v>
      </c>
    </row>
    <row r="193" spans="1:17" x14ac:dyDescent="0.2">
      <c r="A193" s="101">
        <v>9011870703</v>
      </c>
      <c r="B193" s="102" t="s">
        <v>2769</v>
      </c>
      <c r="C193" s="104" t="s">
        <v>944</v>
      </c>
      <c r="D193" s="69">
        <v>42616.216497600006</v>
      </c>
      <c r="E193" s="69">
        <v>14608.0656</v>
      </c>
      <c r="F193" s="13">
        <f>[1]!Table323[[#This Row],[Single Family]]+[1]!Table323[[#This Row],[2-4 Units]]+[1]!Table323[[#This Row],[&gt;4 Units]]</f>
        <v>13</v>
      </c>
      <c r="G193" s="13">
        <v>13</v>
      </c>
      <c r="H193" s="13">
        <v>0</v>
      </c>
      <c r="I193" s="13">
        <v>0</v>
      </c>
      <c r="J193" s="68">
        <v>14605.525600000001</v>
      </c>
      <c r="K193">
        <f t="shared" si="2"/>
        <v>0</v>
      </c>
      <c r="L193" s="13">
        <v>0</v>
      </c>
      <c r="M193" s="13">
        <v>0</v>
      </c>
      <c r="N193" s="13">
        <v>0</v>
      </c>
      <c r="O193" s="68">
        <v>0</v>
      </c>
      <c r="P193" s="155">
        <f>VLOOKUP(Table323[[#This Row],[Census Tract]],'Population and Diversity Data'!$B$2:$K$823,10,FALSE)</f>
        <v>4</v>
      </c>
      <c r="Q193" s="155" t="str">
        <f>VLOOKUP(Table323[[#This Row],[Census Tract]],'ES Energy Burden'!$B$2:$E$914,4,FALSE)</f>
        <v>No</v>
      </c>
    </row>
    <row r="194" spans="1:17" x14ac:dyDescent="0.2">
      <c r="A194" s="101">
        <v>9011870704</v>
      </c>
      <c r="B194" s="102" t="s">
        <v>2769</v>
      </c>
      <c r="C194" s="104" t="s">
        <v>944</v>
      </c>
      <c r="D194" s="69">
        <v>110586.99898655999</v>
      </c>
      <c r="E194" s="69">
        <v>67520.932400000005</v>
      </c>
      <c r="F194" s="13">
        <f>[1]!Table323[[#This Row],[Single Family]]+[1]!Table323[[#This Row],[2-4 Units]]+[1]!Table323[[#This Row],[&gt;4 Units]]</f>
        <v>45</v>
      </c>
      <c r="G194" s="13">
        <v>44</v>
      </c>
      <c r="H194" s="13">
        <v>1</v>
      </c>
      <c r="I194" s="13">
        <v>0</v>
      </c>
      <c r="J194" s="68">
        <v>37659.952400000002</v>
      </c>
      <c r="K194">
        <f t="shared" si="2"/>
        <v>0</v>
      </c>
      <c r="L194" s="13">
        <v>0</v>
      </c>
      <c r="M194" s="13">
        <v>0</v>
      </c>
      <c r="N194" s="13">
        <v>0</v>
      </c>
      <c r="O194" s="68">
        <v>0</v>
      </c>
      <c r="P194" s="155">
        <f>VLOOKUP(Table323[[#This Row],[Census Tract]],'Population and Diversity Data'!$B$2:$K$823,10,FALSE)</f>
        <v>4</v>
      </c>
      <c r="Q194" s="155" t="str">
        <f>VLOOKUP(Table323[[#This Row],[Census Tract]],'ES Energy Burden'!$B$2:$E$914,4,FALSE)</f>
        <v>No</v>
      </c>
    </row>
    <row r="195" spans="1:17" x14ac:dyDescent="0.2">
      <c r="A195" s="101">
        <v>9003484100</v>
      </c>
      <c r="B195" s="102" t="s">
        <v>2770</v>
      </c>
      <c r="C195" s="104" t="s">
        <v>944</v>
      </c>
      <c r="D195" s="69">
        <v>108316.02785471999</v>
      </c>
      <c r="E195" s="69">
        <v>234607.06659999999</v>
      </c>
      <c r="F195" s="13">
        <f>[1]!Table323[[#This Row],[Single Family]]+[1]!Table323[[#This Row],[2-4 Units]]+[1]!Table323[[#This Row],[&gt;4 Units]]</f>
        <v>19</v>
      </c>
      <c r="G195" s="13">
        <v>19</v>
      </c>
      <c r="H195" s="13">
        <v>0</v>
      </c>
      <c r="I195" s="13">
        <v>0</v>
      </c>
      <c r="J195" s="68">
        <v>55943.7</v>
      </c>
      <c r="K195">
        <f t="shared" si="2"/>
        <v>19</v>
      </c>
      <c r="L195" s="13">
        <v>19</v>
      </c>
      <c r="M195" s="13">
        <v>0</v>
      </c>
      <c r="N195" s="13">
        <v>0</v>
      </c>
      <c r="O195" s="68">
        <v>99900</v>
      </c>
      <c r="P195" s="155">
        <f>VLOOKUP(Table323[[#This Row],[Census Tract]],'Population and Diversity Data'!$B$2:$K$823,10,FALSE)</f>
        <v>4</v>
      </c>
      <c r="Q195" s="155" t="str">
        <f>VLOOKUP(Table323[[#This Row],[Census Tract]],'ES Energy Burden'!$B$2:$E$914,4,FALSE)</f>
        <v>No</v>
      </c>
    </row>
    <row r="196" spans="1:17" x14ac:dyDescent="0.2">
      <c r="A196" s="101">
        <v>9003484200</v>
      </c>
      <c r="B196" s="102" t="s">
        <v>2770</v>
      </c>
      <c r="C196" s="104" t="s">
        <v>944</v>
      </c>
      <c r="D196" s="69">
        <v>95034.406584960001</v>
      </c>
      <c r="E196" s="69">
        <v>25148.027699999999</v>
      </c>
      <c r="F196" s="13">
        <f>[1]!Table323[[#This Row],[Single Family]]+[1]!Table323[[#This Row],[2-4 Units]]+[1]!Table323[[#This Row],[&gt;4 Units]]</f>
        <v>16</v>
      </c>
      <c r="G196" s="13">
        <v>16</v>
      </c>
      <c r="H196" s="13">
        <v>0</v>
      </c>
      <c r="I196" s="13">
        <v>0</v>
      </c>
      <c r="J196" s="68">
        <v>13123.957700000001</v>
      </c>
      <c r="K196">
        <f t="shared" si="2"/>
        <v>0</v>
      </c>
      <c r="L196" s="13">
        <v>0</v>
      </c>
      <c r="M196" s="13">
        <v>0</v>
      </c>
      <c r="N196" s="13">
        <v>0</v>
      </c>
      <c r="O196" s="68">
        <v>0</v>
      </c>
      <c r="P196" s="155">
        <f>VLOOKUP(Table323[[#This Row],[Census Tract]],'Population and Diversity Data'!$B$2:$K$823,10,FALSE)</f>
        <v>3</v>
      </c>
      <c r="Q196" s="155" t="str">
        <f>VLOOKUP(Table323[[#This Row],[Census Tract]],'ES Energy Burden'!$B$2:$E$914,4,FALSE)</f>
        <v>No</v>
      </c>
    </row>
    <row r="197" spans="1:17" x14ac:dyDescent="0.2">
      <c r="A197" s="101">
        <v>9003487100</v>
      </c>
      <c r="B197" s="102" t="s">
        <v>2770</v>
      </c>
      <c r="C197" s="104" t="s">
        <v>944</v>
      </c>
      <c r="D197" s="69">
        <v>330.62152320000001</v>
      </c>
      <c r="E197" s="69">
        <v>792.94</v>
      </c>
      <c r="F197" s="13">
        <f>[1]!Table323[[#This Row],[Single Family]]+[1]!Table323[[#This Row],[2-4 Units]]+[1]!Table323[[#This Row],[&gt;4 Units]]</f>
        <v>0</v>
      </c>
      <c r="G197" s="13">
        <v>0</v>
      </c>
      <c r="H197" s="13">
        <v>0</v>
      </c>
      <c r="I197" s="13">
        <v>0</v>
      </c>
      <c r="J197" s="68">
        <v>0</v>
      </c>
      <c r="K197">
        <f t="shared" si="2"/>
        <v>0</v>
      </c>
      <c r="L197" s="13">
        <v>0</v>
      </c>
      <c r="M197" s="13">
        <v>0</v>
      </c>
      <c r="N197" s="13">
        <v>0</v>
      </c>
      <c r="O197" s="68">
        <v>0</v>
      </c>
      <c r="P197" s="155">
        <f>VLOOKUP(Table323[[#This Row],[Census Tract]],'Population and Diversity Data'!$B$2:$K$823,10,FALSE)</f>
        <v>3</v>
      </c>
      <c r="Q197" s="155" t="str">
        <f>VLOOKUP(Table323[[#This Row],[Census Tract]],'ES Energy Burden'!$B$2:$E$914,4,FALSE)</f>
        <v>No</v>
      </c>
    </row>
    <row r="198" spans="1:17" x14ac:dyDescent="0.2">
      <c r="A198" s="101">
        <v>9015902200</v>
      </c>
      <c r="B198" s="102" t="s">
        <v>2771</v>
      </c>
      <c r="C198" s="104" t="s">
        <v>944</v>
      </c>
      <c r="D198" s="69">
        <v>35663.583467520002</v>
      </c>
      <c r="E198" s="69">
        <v>21504.103599999999</v>
      </c>
      <c r="F198" s="13">
        <f>[1]!Table323[[#This Row],[Single Family]]+[1]!Table323[[#This Row],[2-4 Units]]+[1]!Table323[[#This Row],[&gt;4 Units]]</f>
        <v>6</v>
      </c>
      <c r="G198" s="13">
        <v>6</v>
      </c>
      <c r="H198" s="13">
        <v>0</v>
      </c>
      <c r="I198" s="13">
        <v>0</v>
      </c>
      <c r="J198" s="68">
        <v>4986.3743999999997</v>
      </c>
      <c r="K198">
        <f t="shared" ref="K198:K261" si="3">L198+M198+N198</f>
        <v>1</v>
      </c>
      <c r="L198" s="13">
        <v>1</v>
      </c>
      <c r="M198" s="13">
        <v>0</v>
      </c>
      <c r="N198" s="13">
        <v>0</v>
      </c>
      <c r="O198" s="68">
        <v>1238.74</v>
      </c>
      <c r="P198" s="155">
        <f>VLOOKUP(Table323[[#This Row],[Census Tract]],'Population and Diversity Data'!$B$2:$K$823,10,FALSE)</f>
        <v>2</v>
      </c>
      <c r="Q198" s="155" t="str">
        <f>VLOOKUP(Table323[[#This Row],[Census Tract]],'ES Energy Burden'!$B$2:$E$914,4,FALSE)</f>
        <v>No</v>
      </c>
    </row>
    <row r="199" spans="1:17" x14ac:dyDescent="0.2">
      <c r="A199" s="101">
        <v>9013530100</v>
      </c>
      <c r="B199" s="102" t="s">
        <v>2772</v>
      </c>
      <c r="C199" s="104" t="s">
        <v>944</v>
      </c>
      <c r="D199" s="69">
        <v>41.766192000000004</v>
      </c>
      <c r="E199" s="69">
        <v>0</v>
      </c>
      <c r="F199" s="13">
        <f>[1]!Table323[[#This Row],[Single Family]]+[1]!Table323[[#This Row],[2-4 Units]]+[1]!Table323[[#This Row],[&gt;4 Units]]</f>
        <v>0</v>
      </c>
      <c r="G199" s="13">
        <v>0</v>
      </c>
      <c r="H199" s="13">
        <v>0</v>
      </c>
      <c r="I199" s="13">
        <v>0</v>
      </c>
      <c r="J199" s="68">
        <v>0</v>
      </c>
      <c r="K199">
        <f t="shared" si="3"/>
        <v>0</v>
      </c>
      <c r="L199" s="13">
        <v>0</v>
      </c>
      <c r="M199" s="13">
        <v>0</v>
      </c>
      <c r="N199" s="13">
        <v>0</v>
      </c>
      <c r="O199" s="68">
        <v>0</v>
      </c>
      <c r="P199" s="155">
        <f>VLOOKUP(Table323[[#This Row],[Census Tract]],'Population and Diversity Data'!$B$2:$K$823,10,FALSE)</f>
        <v>5</v>
      </c>
      <c r="Q199" s="155" t="str">
        <f>VLOOKUP(Table323[[#This Row],[Census Tract]],'ES Energy Burden'!$B$2:$E$914,4,FALSE)</f>
        <v>No</v>
      </c>
    </row>
    <row r="200" spans="1:17" x14ac:dyDescent="0.2">
      <c r="A200" s="101">
        <v>9013535100</v>
      </c>
      <c r="B200" s="102" t="s">
        <v>2772</v>
      </c>
      <c r="C200" s="104" t="s">
        <v>944</v>
      </c>
      <c r="D200" s="69">
        <v>207453.90636288002</v>
      </c>
      <c r="E200" s="69">
        <v>175122.63310000001</v>
      </c>
      <c r="F200" s="13">
        <f>[1]!Table323[[#This Row],[Single Family]]+[1]!Table323[[#This Row],[2-4 Units]]+[1]!Table323[[#This Row],[&gt;4 Units]]</f>
        <v>69</v>
      </c>
      <c r="G200" s="13">
        <v>39</v>
      </c>
      <c r="H200" s="13">
        <v>0</v>
      </c>
      <c r="I200" s="13">
        <v>30</v>
      </c>
      <c r="J200" s="68">
        <v>36569.639000000003</v>
      </c>
      <c r="K200">
        <f t="shared" si="3"/>
        <v>58</v>
      </c>
      <c r="L200" s="13">
        <v>18</v>
      </c>
      <c r="M200" s="13">
        <v>0</v>
      </c>
      <c r="N200" s="13">
        <v>40</v>
      </c>
      <c r="O200" s="68">
        <v>73782.899999999994</v>
      </c>
      <c r="P200" s="155">
        <f>VLOOKUP(Table323[[#This Row],[Census Tract]],'Population and Diversity Data'!$B$2:$K$823,10,FALSE)</f>
        <v>4</v>
      </c>
      <c r="Q200" s="155" t="str">
        <f>VLOOKUP(Table323[[#This Row],[Census Tract]],'ES Energy Burden'!$B$2:$E$914,4,FALSE)</f>
        <v>No</v>
      </c>
    </row>
    <row r="201" spans="1:17" x14ac:dyDescent="0.2">
      <c r="A201" s="101">
        <v>9013535200</v>
      </c>
      <c r="B201" s="102" t="s">
        <v>2772</v>
      </c>
      <c r="C201" s="104" t="s">
        <v>944</v>
      </c>
      <c r="D201" s="69">
        <v>127771.96699584002</v>
      </c>
      <c r="E201" s="69">
        <v>36380.263400000003</v>
      </c>
      <c r="F201" s="13">
        <f>[1]!Table323[[#This Row],[Single Family]]+[1]!Table323[[#This Row],[2-4 Units]]+[1]!Table323[[#This Row],[&gt;4 Units]]</f>
        <v>34</v>
      </c>
      <c r="G201" s="13">
        <v>33</v>
      </c>
      <c r="H201" s="13">
        <v>1</v>
      </c>
      <c r="I201" s="13">
        <v>0</v>
      </c>
      <c r="J201" s="68">
        <v>29260.703399999999</v>
      </c>
      <c r="K201">
        <f t="shared" si="3"/>
        <v>0</v>
      </c>
      <c r="L201" s="13">
        <v>0</v>
      </c>
      <c r="M201" s="13">
        <v>0</v>
      </c>
      <c r="N201" s="13">
        <v>0</v>
      </c>
      <c r="O201" s="68">
        <v>0</v>
      </c>
      <c r="P201" s="155">
        <f>VLOOKUP(Table323[[#This Row],[Census Tract]],'Population and Diversity Data'!$B$2:$K$823,10,FALSE)</f>
        <v>5</v>
      </c>
      <c r="Q201" s="155" t="str">
        <f>VLOOKUP(Table323[[#This Row],[Census Tract]],'ES Energy Burden'!$B$2:$E$914,4,FALSE)</f>
        <v>No</v>
      </c>
    </row>
    <row r="202" spans="1:17" x14ac:dyDescent="0.2">
      <c r="A202" s="101">
        <v>9013538201</v>
      </c>
      <c r="B202" s="102" t="s">
        <v>2772</v>
      </c>
      <c r="C202" s="104" t="s">
        <v>944</v>
      </c>
      <c r="D202" s="69">
        <v>165.72176639999998</v>
      </c>
      <c r="E202" s="69">
        <v>0</v>
      </c>
      <c r="F202" s="13">
        <f>[1]!Table323[[#This Row],[Single Family]]+[1]!Table323[[#This Row],[2-4 Units]]+[1]!Table323[[#This Row],[&gt;4 Units]]</f>
        <v>0</v>
      </c>
      <c r="G202" s="13">
        <v>0</v>
      </c>
      <c r="H202" s="13">
        <v>0</v>
      </c>
      <c r="I202" s="13">
        <v>0</v>
      </c>
      <c r="J202" s="68">
        <v>0</v>
      </c>
      <c r="K202">
        <f t="shared" si="3"/>
        <v>0</v>
      </c>
      <c r="L202" s="13">
        <v>0</v>
      </c>
      <c r="M202" s="13">
        <v>0</v>
      </c>
      <c r="N202" s="13">
        <v>0</v>
      </c>
      <c r="O202" s="68">
        <v>0</v>
      </c>
      <c r="P202" s="155">
        <f>VLOOKUP(Table323[[#This Row],[Census Tract]],'Population and Diversity Data'!$B$2:$K$823,10,FALSE)</f>
        <v>3</v>
      </c>
      <c r="Q202" s="155" t="str">
        <f>VLOOKUP(Table323[[#This Row],[Census Tract]],'ES Energy Burden'!$B$2:$E$914,4,FALSE)</f>
        <v>No</v>
      </c>
    </row>
    <row r="203" spans="1:17" x14ac:dyDescent="0.2">
      <c r="A203" s="101">
        <v>9013538202</v>
      </c>
      <c r="B203" s="102" t="s">
        <v>2772</v>
      </c>
      <c r="C203" s="104" t="s">
        <v>944</v>
      </c>
      <c r="D203" s="69">
        <v>227.66771520000003</v>
      </c>
      <c r="E203" s="69">
        <v>0</v>
      </c>
      <c r="F203" s="13">
        <f>[1]!Table323[[#This Row],[Single Family]]+[1]!Table323[[#This Row],[2-4 Units]]+[1]!Table323[[#This Row],[&gt;4 Units]]</f>
        <v>0</v>
      </c>
      <c r="G203" s="13">
        <v>0</v>
      </c>
      <c r="H203" s="13">
        <v>0</v>
      </c>
      <c r="I203" s="13">
        <v>0</v>
      </c>
      <c r="J203" s="68">
        <v>0</v>
      </c>
      <c r="K203">
        <f t="shared" si="3"/>
        <v>0</v>
      </c>
      <c r="L203" s="13">
        <v>0</v>
      </c>
      <c r="M203" s="13">
        <v>0</v>
      </c>
      <c r="N203" s="13">
        <v>0</v>
      </c>
      <c r="O203" s="68">
        <v>0</v>
      </c>
      <c r="P203" s="155">
        <f>VLOOKUP(Table323[[#This Row],[Census Tract]],'Population and Diversity Data'!$B$2:$K$823,10,FALSE)</f>
        <v>1</v>
      </c>
      <c r="Q203" s="155" t="str">
        <f>VLOOKUP(Table323[[#This Row],[Census Tract]],'ES Energy Burden'!$B$2:$E$914,4,FALSE)</f>
        <v>No</v>
      </c>
    </row>
    <row r="204" spans="1:17" x14ac:dyDescent="0.2">
      <c r="A204" s="101">
        <v>9003480300</v>
      </c>
      <c r="B204" s="102" t="s">
        <v>2773</v>
      </c>
      <c r="C204" s="104" t="s">
        <v>944</v>
      </c>
      <c r="D204" s="69">
        <v>34392.488025599996</v>
      </c>
      <c r="E204" s="69">
        <v>14221.0897</v>
      </c>
      <c r="F204" s="13">
        <f>[1]!Table323[[#This Row],[Single Family]]+[1]!Table323[[#This Row],[2-4 Units]]+[1]!Table323[[#This Row],[&gt;4 Units]]</f>
        <v>9</v>
      </c>
      <c r="G204" s="13">
        <v>9</v>
      </c>
      <c r="H204" s="13">
        <v>0</v>
      </c>
      <c r="I204" s="13">
        <v>0</v>
      </c>
      <c r="J204" s="68">
        <v>5807.1896999999999</v>
      </c>
      <c r="K204">
        <f t="shared" si="3"/>
        <v>0</v>
      </c>
      <c r="L204" s="13">
        <v>0</v>
      </c>
      <c r="M204" s="13">
        <v>0</v>
      </c>
      <c r="N204" s="13">
        <v>0</v>
      </c>
      <c r="O204" s="68">
        <v>0</v>
      </c>
      <c r="P204" s="155">
        <f>VLOOKUP(Table323[[#This Row],[Census Tract]],'Population and Diversity Data'!$B$2:$K$823,10,FALSE)</f>
        <v>2</v>
      </c>
      <c r="Q204" s="155" t="str">
        <f>VLOOKUP(Table323[[#This Row],[Census Tract]],'ES Energy Burden'!$B$2:$E$914,4,FALSE)</f>
        <v>No</v>
      </c>
    </row>
    <row r="205" spans="1:17" x14ac:dyDescent="0.2">
      <c r="A205" s="101">
        <v>9003480400</v>
      </c>
      <c r="B205" s="102" t="s">
        <v>2773</v>
      </c>
      <c r="C205" s="104" t="s">
        <v>944</v>
      </c>
      <c r="D205" s="69">
        <v>58521.540743999998</v>
      </c>
      <c r="E205" s="69">
        <v>9810.43</v>
      </c>
      <c r="F205" s="13">
        <f>[1]!Table323[[#This Row],[Single Family]]+[1]!Table323[[#This Row],[2-4 Units]]+[1]!Table323[[#This Row],[&gt;4 Units]]</f>
        <v>13</v>
      </c>
      <c r="G205" s="13">
        <v>13</v>
      </c>
      <c r="H205" s="13">
        <v>0</v>
      </c>
      <c r="I205" s="13">
        <v>0</v>
      </c>
      <c r="J205" s="68">
        <v>4983.57</v>
      </c>
      <c r="K205">
        <f t="shared" si="3"/>
        <v>0</v>
      </c>
      <c r="L205" s="13">
        <v>0</v>
      </c>
      <c r="M205" s="13">
        <v>0</v>
      </c>
      <c r="N205" s="13">
        <v>0</v>
      </c>
      <c r="O205" s="68">
        <v>0</v>
      </c>
      <c r="P205" s="155">
        <f>VLOOKUP(Table323[[#This Row],[Census Tract]],'Population and Diversity Data'!$B$2:$K$823,10,FALSE)</f>
        <v>3</v>
      </c>
      <c r="Q205" s="155" t="str">
        <f>VLOOKUP(Table323[[#This Row],[Census Tract]],'ES Energy Burden'!$B$2:$E$914,4,FALSE)</f>
        <v>No</v>
      </c>
    </row>
    <row r="206" spans="1:17" x14ac:dyDescent="0.2">
      <c r="A206" s="101">
        <v>9003480500</v>
      </c>
      <c r="B206" s="102" t="s">
        <v>2773</v>
      </c>
      <c r="C206" s="104" t="s">
        <v>944</v>
      </c>
      <c r="D206" s="69">
        <v>53208.866649600001</v>
      </c>
      <c r="E206" s="69">
        <v>14584.495500000001</v>
      </c>
      <c r="F206" s="13">
        <f>[1]!Table323[[#This Row],[Single Family]]+[1]!Table323[[#This Row],[2-4 Units]]+[1]!Table323[[#This Row],[&gt;4 Units]]</f>
        <v>12</v>
      </c>
      <c r="G206" s="13">
        <v>12</v>
      </c>
      <c r="H206" s="13">
        <v>0</v>
      </c>
      <c r="I206" s="13">
        <v>0</v>
      </c>
      <c r="J206" s="68">
        <v>8040.7655000000004</v>
      </c>
      <c r="K206">
        <f t="shared" si="3"/>
        <v>0</v>
      </c>
      <c r="L206" s="13">
        <v>0</v>
      </c>
      <c r="M206" s="13">
        <v>0</v>
      </c>
      <c r="N206" s="13">
        <v>0</v>
      </c>
      <c r="O206" s="68">
        <v>0</v>
      </c>
      <c r="P206" s="155">
        <f>VLOOKUP(Table323[[#This Row],[Census Tract]],'Population and Diversity Data'!$B$2:$K$823,10,FALSE)</f>
        <v>2</v>
      </c>
      <c r="Q206" s="155" t="str">
        <f>VLOOKUP(Table323[[#This Row],[Census Tract]],'ES Energy Burden'!$B$2:$E$914,4,FALSE)</f>
        <v>No</v>
      </c>
    </row>
    <row r="207" spans="1:17" x14ac:dyDescent="0.2">
      <c r="A207" s="101">
        <v>9003480600</v>
      </c>
      <c r="B207" s="102" t="s">
        <v>2773</v>
      </c>
      <c r="C207" s="104" t="s">
        <v>944</v>
      </c>
      <c r="D207" s="69">
        <v>52973.169868800003</v>
      </c>
      <c r="E207" s="69">
        <v>43649.13</v>
      </c>
      <c r="F207" s="13">
        <f>[1]!Table323[[#This Row],[Single Family]]+[1]!Table323[[#This Row],[2-4 Units]]+[1]!Table323[[#This Row],[&gt;4 Units]]</f>
        <v>5</v>
      </c>
      <c r="G207" s="13">
        <v>4</v>
      </c>
      <c r="H207" s="13">
        <v>1</v>
      </c>
      <c r="I207" s="13">
        <v>0</v>
      </c>
      <c r="J207" s="68">
        <v>1115.73</v>
      </c>
      <c r="K207">
        <f t="shared" si="3"/>
        <v>0</v>
      </c>
      <c r="L207" s="13">
        <v>0</v>
      </c>
      <c r="M207" s="13">
        <v>0</v>
      </c>
      <c r="N207" s="13">
        <v>0</v>
      </c>
      <c r="O207" s="68">
        <v>0</v>
      </c>
      <c r="P207" s="155">
        <f>VLOOKUP(Table323[[#This Row],[Census Tract]],'Population and Diversity Data'!$B$2:$K$823,10,FALSE)</f>
        <v>5</v>
      </c>
      <c r="Q207" s="155" t="str">
        <f>VLOOKUP(Table323[[#This Row],[Census Tract]],'ES Energy Burden'!$B$2:$E$914,4,FALSE)</f>
        <v>No</v>
      </c>
    </row>
    <row r="208" spans="1:17" x14ac:dyDescent="0.2">
      <c r="A208" s="101">
        <v>9003480700</v>
      </c>
      <c r="B208" s="102" t="s">
        <v>2773</v>
      </c>
      <c r="C208" s="104" t="s">
        <v>944</v>
      </c>
      <c r="D208" s="69">
        <v>28925.4816288</v>
      </c>
      <c r="E208" s="69">
        <v>16334.19</v>
      </c>
      <c r="F208" s="13">
        <f>[1]!Table323[[#This Row],[Single Family]]+[1]!Table323[[#This Row],[2-4 Units]]+[1]!Table323[[#This Row],[&gt;4 Units]]</f>
        <v>5</v>
      </c>
      <c r="G208" s="13">
        <v>5</v>
      </c>
      <c r="H208" s="13">
        <v>0</v>
      </c>
      <c r="I208" s="13">
        <v>0</v>
      </c>
      <c r="J208" s="68">
        <v>4624.03</v>
      </c>
      <c r="K208">
        <f t="shared" si="3"/>
        <v>0</v>
      </c>
      <c r="L208" s="13">
        <v>0</v>
      </c>
      <c r="M208" s="13">
        <v>0</v>
      </c>
      <c r="N208" s="13">
        <v>0</v>
      </c>
      <c r="O208" s="68">
        <v>0</v>
      </c>
      <c r="P208" s="155">
        <f>VLOOKUP(Table323[[#This Row],[Census Tract]],'Population and Diversity Data'!$B$2:$K$823,10,FALSE)</f>
        <v>3</v>
      </c>
      <c r="Q208" s="155" t="str">
        <f>VLOOKUP(Table323[[#This Row],[Census Tract]],'ES Energy Burden'!$B$2:$E$914,4,FALSE)</f>
        <v>No</v>
      </c>
    </row>
    <row r="209" spans="1:17" x14ac:dyDescent="0.2">
      <c r="A209" s="101">
        <v>9003480800</v>
      </c>
      <c r="B209" s="102" t="s">
        <v>2773</v>
      </c>
      <c r="C209" s="104" t="s">
        <v>944</v>
      </c>
      <c r="D209" s="69">
        <v>93708.096989760001</v>
      </c>
      <c r="E209" s="69">
        <v>798268.12080000003</v>
      </c>
      <c r="F209" s="13">
        <f>[1]!Table323[[#This Row],[Single Family]]+[1]!Table323[[#This Row],[2-4 Units]]+[1]!Table323[[#This Row],[&gt;4 Units]]</f>
        <v>492</v>
      </c>
      <c r="G209" s="13">
        <v>21</v>
      </c>
      <c r="H209" s="13">
        <v>0</v>
      </c>
      <c r="I209" s="13">
        <v>471</v>
      </c>
      <c r="J209" s="68">
        <v>166784.95999999999</v>
      </c>
      <c r="K209">
        <f t="shared" si="3"/>
        <v>488</v>
      </c>
      <c r="L209" s="13">
        <v>69</v>
      </c>
      <c r="M209" s="13">
        <v>2</v>
      </c>
      <c r="N209" s="13">
        <v>417</v>
      </c>
      <c r="O209" s="68">
        <v>295627</v>
      </c>
      <c r="P209" s="155">
        <f>VLOOKUP(Table323[[#This Row],[Census Tract]],'Population and Diversity Data'!$B$2:$K$823,10,FALSE)</f>
        <v>3</v>
      </c>
      <c r="Q209" s="155" t="str">
        <f>VLOOKUP(Table323[[#This Row],[Census Tract]],'ES Energy Burden'!$B$2:$E$914,4,FALSE)</f>
        <v>No</v>
      </c>
    </row>
    <row r="210" spans="1:17" x14ac:dyDescent="0.2">
      <c r="A210" s="101">
        <v>9003480900</v>
      </c>
      <c r="B210" s="102" t="s">
        <v>2773</v>
      </c>
      <c r="C210" s="104" t="s">
        <v>944</v>
      </c>
      <c r="D210" s="69">
        <v>35031.230585279998</v>
      </c>
      <c r="E210" s="69">
        <v>12948.832700000001</v>
      </c>
      <c r="F210" s="13">
        <f>[1]!Table323[[#This Row],[Single Family]]+[1]!Table323[[#This Row],[2-4 Units]]+[1]!Table323[[#This Row],[&gt;4 Units]]</f>
        <v>16</v>
      </c>
      <c r="G210" s="13">
        <v>14</v>
      </c>
      <c r="H210" s="13">
        <v>2</v>
      </c>
      <c r="I210" s="13">
        <v>0</v>
      </c>
      <c r="J210" s="68">
        <v>8907.1226999999999</v>
      </c>
      <c r="K210">
        <f t="shared" si="3"/>
        <v>0</v>
      </c>
      <c r="L210" s="13">
        <v>0</v>
      </c>
      <c r="M210" s="13">
        <v>0</v>
      </c>
      <c r="N210" s="13">
        <v>0</v>
      </c>
      <c r="O210" s="68">
        <v>0</v>
      </c>
      <c r="P210" s="155">
        <f>VLOOKUP(Table323[[#This Row],[Census Tract]],'Population and Diversity Data'!$B$2:$K$823,10,FALSE)</f>
        <v>2</v>
      </c>
      <c r="Q210" s="155" t="str">
        <f>VLOOKUP(Table323[[#This Row],[Census Tract]],'ES Energy Burden'!$B$2:$E$914,4,FALSE)</f>
        <v>No</v>
      </c>
    </row>
    <row r="211" spans="1:17" x14ac:dyDescent="0.2">
      <c r="A211" s="101">
        <v>9003481000</v>
      </c>
      <c r="B211" s="102" t="s">
        <v>2773</v>
      </c>
      <c r="C211" s="104" t="s">
        <v>944</v>
      </c>
      <c r="D211" s="69">
        <v>63039.794659200001</v>
      </c>
      <c r="E211" s="69">
        <v>5864.6796999999997</v>
      </c>
      <c r="F211" s="13">
        <f>[1]!Table323[[#This Row],[Single Family]]+[1]!Table323[[#This Row],[2-4 Units]]+[1]!Table323[[#This Row],[&gt;4 Units]]</f>
        <v>13</v>
      </c>
      <c r="G211" s="13">
        <v>13</v>
      </c>
      <c r="H211" s="13">
        <v>0</v>
      </c>
      <c r="I211" s="13">
        <v>0</v>
      </c>
      <c r="J211" s="68">
        <v>5341.3597</v>
      </c>
      <c r="K211">
        <f t="shared" si="3"/>
        <v>0</v>
      </c>
      <c r="L211" s="13">
        <v>0</v>
      </c>
      <c r="M211" s="13">
        <v>0</v>
      </c>
      <c r="N211" s="13">
        <v>0</v>
      </c>
      <c r="O211" s="68">
        <v>0</v>
      </c>
      <c r="P211" s="155">
        <f>VLOOKUP(Table323[[#This Row],[Census Tract]],'Population and Diversity Data'!$B$2:$K$823,10,FALSE)</f>
        <v>1</v>
      </c>
      <c r="Q211" s="155" t="str">
        <f>VLOOKUP(Table323[[#This Row],[Census Tract]],'ES Energy Burden'!$B$2:$E$914,4,FALSE)</f>
        <v>No</v>
      </c>
    </row>
    <row r="212" spans="1:17" x14ac:dyDescent="0.2">
      <c r="A212" s="101">
        <v>9003481100</v>
      </c>
      <c r="B212" s="102" t="s">
        <v>2773</v>
      </c>
      <c r="C212" s="104" t="s">
        <v>944</v>
      </c>
      <c r="D212" s="69">
        <v>63124.477856640005</v>
      </c>
      <c r="E212" s="69">
        <v>8987.7000000000007</v>
      </c>
      <c r="F212" s="13">
        <f>[1]!Table323[[#This Row],[Single Family]]+[1]!Table323[[#This Row],[2-4 Units]]+[1]!Table323[[#This Row],[&gt;4 Units]]</f>
        <v>9</v>
      </c>
      <c r="G212" s="13">
        <v>9</v>
      </c>
      <c r="H212" s="13">
        <v>0</v>
      </c>
      <c r="I212" s="13">
        <v>0</v>
      </c>
      <c r="J212" s="68">
        <v>7003.63</v>
      </c>
      <c r="K212">
        <f t="shared" si="3"/>
        <v>0</v>
      </c>
      <c r="L212" s="13">
        <v>0</v>
      </c>
      <c r="M212" s="13">
        <v>0</v>
      </c>
      <c r="N212" s="13">
        <v>0</v>
      </c>
      <c r="O212" s="68">
        <v>0</v>
      </c>
      <c r="P212" s="155">
        <f>VLOOKUP(Table323[[#This Row],[Census Tract]],'Population and Diversity Data'!$B$2:$K$823,10,FALSE)</f>
        <v>2</v>
      </c>
      <c r="Q212" s="155" t="str">
        <f>VLOOKUP(Table323[[#This Row],[Census Tract]],'ES Energy Burden'!$B$2:$E$914,4,FALSE)</f>
        <v>No</v>
      </c>
    </row>
    <row r="213" spans="1:17" x14ac:dyDescent="0.2">
      <c r="A213" s="101">
        <v>9003481200</v>
      </c>
      <c r="B213" s="102" t="s">
        <v>2773</v>
      </c>
      <c r="C213" s="104" t="s">
        <v>944</v>
      </c>
      <c r="D213" s="69">
        <v>64998.361042559998</v>
      </c>
      <c r="E213" s="69">
        <v>15440.29</v>
      </c>
      <c r="F213" s="13">
        <f>[1]!Table323[[#This Row],[Single Family]]+[1]!Table323[[#This Row],[2-4 Units]]+[1]!Table323[[#This Row],[&gt;4 Units]]</f>
        <v>15</v>
      </c>
      <c r="G213" s="13">
        <v>15</v>
      </c>
      <c r="H213" s="13">
        <v>0</v>
      </c>
      <c r="I213" s="13">
        <v>0</v>
      </c>
      <c r="J213" s="68">
        <v>12353.65</v>
      </c>
      <c r="K213">
        <f t="shared" si="3"/>
        <v>0</v>
      </c>
      <c r="L213" s="13">
        <v>0</v>
      </c>
      <c r="M213" s="13">
        <v>0</v>
      </c>
      <c r="N213" s="13">
        <v>0</v>
      </c>
      <c r="O213" s="68">
        <v>0</v>
      </c>
      <c r="P213" s="155">
        <f>VLOOKUP(Table323[[#This Row],[Census Tract]],'Population and Diversity Data'!$B$2:$K$823,10,FALSE)</f>
        <v>3</v>
      </c>
      <c r="Q213" s="155" t="str">
        <f>VLOOKUP(Table323[[#This Row],[Census Tract]],'ES Energy Burden'!$B$2:$E$914,4,FALSE)</f>
        <v>No</v>
      </c>
    </row>
    <row r="214" spans="1:17" x14ac:dyDescent="0.2">
      <c r="A214" s="101">
        <v>9003481300</v>
      </c>
      <c r="B214" s="102" t="s">
        <v>2773</v>
      </c>
      <c r="C214" s="104" t="s">
        <v>944</v>
      </c>
      <c r="D214" s="69">
        <v>47713.246214400002</v>
      </c>
      <c r="E214" s="69">
        <v>5946.1067999999996</v>
      </c>
      <c r="F214" s="13">
        <f>[1]!Table323[[#This Row],[Single Family]]+[1]!Table323[[#This Row],[2-4 Units]]+[1]!Table323[[#This Row],[&gt;4 Units]]</f>
        <v>10</v>
      </c>
      <c r="G214" s="13">
        <v>10</v>
      </c>
      <c r="H214" s="13">
        <v>0</v>
      </c>
      <c r="I214" s="13">
        <v>0</v>
      </c>
      <c r="J214" s="68">
        <v>5398.2268000000004</v>
      </c>
      <c r="K214">
        <f t="shared" si="3"/>
        <v>0</v>
      </c>
      <c r="L214" s="13">
        <v>0</v>
      </c>
      <c r="M214" s="13">
        <v>0</v>
      </c>
      <c r="N214" s="13">
        <v>0</v>
      </c>
      <c r="O214" s="68">
        <v>0</v>
      </c>
      <c r="P214" s="155">
        <f>VLOOKUP(Table323[[#This Row],[Census Tract]],'Population and Diversity Data'!$B$2:$K$823,10,FALSE)</f>
        <v>1</v>
      </c>
      <c r="Q214" s="155" t="str">
        <f>VLOOKUP(Table323[[#This Row],[Census Tract]],'ES Energy Burden'!$B$2:$E$914,4,FALSE)</f>
        <v>No</v>
      </c>
    </row>
    <row r="215" spans="1:17" x14ac:dyDescent="0.2">
      <c r="A215" s="101">
        <v>9003484200</v>
      </c>
      <c r="B215" s="102" t="s">
        <v>2773</v>
      </c>
      <c r="C215" s="104" t="s">
        <v>944</v>
      </c>
      <c r="D215" s="69">
        <v>658.84648319999997</v>
      </c>
      <c r="E215" s="69">
        <v>0</v>
      </c>
      <c r="F215" s="13">
        <f>[1]!Table323[[#This Row],[Single Family]]+[1]!Table323[[#This Row],[2-4 Units]]+[1]!Table323[[#This Row],[&gt;4 Units]]</f>
        <v>0</v>
      </c>
      <c r="G215" s="13">
        <v>0</v>
      </c>
      <c r="H215" s="13">
        <v>0</v>
      </c>
      <c r="I215" s="13">
        <v>0</v>
      </c>
      <c r="J215" s="68">
        <v>0</v>
      </c>
      <c r="K215">
        <f t="shared" si="3"/>
        <v>0</v>
      </c>
      <c r="L215" s="13">
        <v>0</v>
      </c>
      <c r="M215" s="13">
        <v>0</v>
      </c>
      <c r="N215" s="13">
        <v>0</v>
      </c>
      <c r="O215" s="68">
        <v>0</v>
      </c>
      <c r="P215" s="155">
        <f>VLOOKUP(Table323[[#This Row],[Census Tract]],'Population and Diversity Data'!$B$2:$K$823,10,FALSE)</f>
        <v>3</v>
      </c>
      <c r="Q215" s="155" t="str">
        <f>VLOOKUP(Table323[[#This Row],[Census Tract]],'ES Energy Burden'!$B$2:$E$914,4,FALSE)</f>
        <v>No</v>
      </c>
    </row>
    <row r="216" spans="1:17" x14ac:dyDescent="0.2">
      <c r="A216" s="101">
        <v>9003524300</v>
      </c>
      <c r="B216" s="102" t="s">
        <v>2773</v>
      </c>
      <c r="C216" s="104" t="s">
        <v>944</v>
      </c>
      <c r="D216" s="69">
        <v>77128.346283840016</v>
      </c>
      <c r="E216" s="69">
        <v>31690.293099999999</v>
      </c>
      <c r="F216" s="13">
        <f>[1]!Table323[[#This Row],[Single Family]]+[1]!Table323[[#This Row],[2-4 Units]]+[1]!Table323[[#This Row],[&gt;4 Units]]</f>
        <v>10</v>
      </c>
      <c r="G216" s="13">
        <v>10</v>
      </c>
      <c r="H216" s="13">
        <v>0</v>
      </c>
      <c r="I216" s="13">
        <v>0</v>
      </c>
      <c r="J216" s="68">
        <v>6695.9731000000002</v>
      </c>
      <c r="K216">
        <f t="shared" si="3"/>
        <v>0</v>
      </c>
      <c r="L216" s="13">
        <v>0</v>
      </c>
      <c r="M216" s="13">
        <v>0</v>
      </c>
      <c r="N216" s="13">
        <v>0</v>
      </c>
      <c r="O216" s="68">
        <v>0</v>
      </c>
      <c r="P216" s="155">
        <f>VLOOKUP(Table323[[#This Row],[Census Tract]],'Population and Diversity Data'!$B$2:$K$823,10,FALSE)</f>
        <v>4</v>
      </c>
      <c r="Q216" s="155" t="str">
        <f>VLOOKUP(Table323[[#This Row],[Census Tract]],'ES Energy Burden'!$B$2:$E$914,4,FALSE)</f>
        <v>No</v>
      </c>
    </row>
    <row r="217" spans="1:17" x14ac:dyDescent="0.2">
      <c r="A217" s="101">
        <v>9007630100</v>
      </c>
      <c r="B217" s="102" t="s">
        <v>2774</v>
      </c>
      <c r="C217" s="104" t="s">
        <v>944</v>
      </c>
      <c r="D217" s="69">
        <v>175416.25181471999</v>
      </c>
      <c r="E217" s="69">
        <v>96197.329400000002</v>
      </c>
      <c r="F217" s="13">
        <f>[1]!Table323[[#This Row],[Single Family]]+[1]!Table323[[#This Row],[2-4 Units]]+[1]!Table323[[#This Row],[&gt;4 Units]]</f>
        <v>51</v>
      </c>
      <c r="G217" s="13">
        <v>51</v>
      </c>
      <c r="H217" s="13">
        <v>0</v>
      </c>
      <c r="I217" s="13">
        <v>0</v>
      </c>
      <c r="J217" s="68">
        <v>54739.729399999997</v>
      </c>
      <c r="K217">
        <f t="shared" si="3"/>
        <v>1</v>
      </c>
      <c r="L217" s="13">
        <v>1</v>
      </c>
      <c r="M217" s="13">
        <v>0</v>
      </c>
      <c r="N217" s="13">
        <v>0</v>
      </c>
      <c r="O217" s="68">
        <v>616.92999999999995</v>
      </c>
      <c r="P217" s="155">
        <f>VLOOKUP(Table323[[#This Row],[Census Tract]],'Population and Diversity Data'!$B$2:$K$823,10,FALSE)</f>
        <v>2</v>
      </c>
      <c r="Q217" s="155" t="str">
        <f>VLOOKUP(Table323[[#This Row],[Census Tract]],'ES Energy Burden'!$B$2:$E$914,4,FALSE)</f>
        <v>No</v>
      </c>
    </row>
    <row r="218" spans="1:17" x14ac:dyDescent="0.2">
      <c r="A218" s="101">
        <v>9007670100</v>
      </c>
      <c r="B218" s="102" t="s">
        <v>2774</v>
      </c>
      <c r="C218" s="104" t="s">
        <v>944</v>
      </c>
      <c r="D218" s="69">
        <v>449.22824639999999</v>
      </c>
      <c r="E218" s="69">
        <v>0</v>
      </c>
      <c r="F218" s="13">
        <f>[1]!Table323[[#This Row],[Single Family]]+[1]!Table323[[#This Row],[2-4 Units]]+[1]!Table323[[#This Row],[&gt;4 Units]]</f>
        <v>0</v>
      </c>
      <c r="G218" s="13">
        <v>0</v>
      </c>
      <c r="H218" s="13">
        <v>0</v>
      </c>
      <c r="I218" s="13">
        <v>0</v>
      </c>
      <c r="J218" s="68">
        <v>0</v>
      </c>
      <c r="K218">
        <f t="shared" si="3"/>
        <v>0</v>
      </c>
      <c r="L218" s="13">
        <v>0</v>
      </c>
      <c r="M218" s="13">
        <v>0</v>
      </c>
      <c r="N218" s="13">
        <v>0</v>
      </c>
      <c r="O218" s="68">
        <v>0</v>
      </c>
      <c r="P218" s="155">
        <f>VLOOKUP(Table323[[#This Row],[Census Tract]],'Population and Diversity Data'!$B$2:$K$823,10,FALSE)</f>
        <v>2</v>
      </c>
      <c r="Q218" s="155" t="str">
        <f>VLOOKUP(Table323[[#This Row],[Census Tract]],'ES Energy Burden'!$B$2:$E$914,4,FALSE)</f>
        <v>No</v>
      </c>
    </row>
    <row r="219" spans="1:17" x14ac:dyDescent="0.2">
      <c r="A219" s="101">
        <v>9003406002</v>
      </c>
      <c r="B219" s="102" t="s">
        <v>2775</v>
      </c>
      <c r="C219" s="104" t="s">
        <v>944</v>
      </c>
      <c r="D219" s="69">
        <v>1028.8434240000001</v>
      </c>
      <c r="E219" s="69">
        <v>0</v>
      </c>
      <c r="F219" s="13">
        <f>[1]!Table323[[#This Row],[Single Family]]+[1]!Table323[[#This Row],[2-4 Units]]+[1]!Table323[[#This Row],[&gt;4 Units]]</f>
        <v>0</v>
      </c>
      <c r="G219" s="13">
        <v>0</v>
      </c>
      <c r="H219" s="13">
        <v>0</v>
      </c>
      <c r="I219" s="13">
        <v>0</v>
      </c>
      <c r="J219" s="68">
        <v>0</v>
      </c>
      <c r="K219">
        <f t="shared" si="3"/>
        <v>0</v>
      </c>
      <c r="L219" s="13">
        <v>0</v>
      </c>
      <c r="M219" s="13">
        <v>0</v>
      </c>
      <c r="N219" s="13">
        <v>0</v>
      </c>
      <c r="O219" s="68">
        <v>0</v>
      </c>
      <c r="P219" s="155">
        <f>VLOOKUP(Table323[[#This Row],[Census Tract]],'Population and Diversity Data'!$B$2:$K$823,10,FALSE)</f>
        <v>2</v>
      </c>
      <c r="Q219" s="155" t="str">
        <f>VLOOKUP(Table323[[#This Row],[Census Tract]],'ES Energy Burden'!$B$2:$E$914,4,FALSE)</f>
        <v>No</v>
      </c>
    </row>
    <row r="220" spans="1:17" x14ac:dyDescent="0.2">
      <c r="A220" s="101">
        <v>9003410101</v>
      </c>
      <c r="B220" s="102" t="s">
        <v>2775</v>
      </c>
      <c r="C220" s="104" t="s">
        <v>944</v>
      </c>
      <c r="D220" s="69">
        <v>170.59593599999999</v>
      </c>
      <c r="E220" s="69">
        <v>0</v>
      </c>
      <c r="F220" s="13">
        <f>[1]!Table323[[#This Row],[Single Family]]+[1]!Table323[[#This Row],[2-4 Units]]+[1]!Table323[[#This Row],[&gt;4 Units]]</f>
        <v>0</v>
      </c>
      <c r="G220" s="13">
        <v>0</v>
      </c>
      <c r="H220" s="13">
        <v>0</v>
      </c>
      <c r="I220" s="13">
        <v>0</v>
      </c>
      <c r="J220" s="68">
        <v>0</v>
      </c>
      <c r="K220">
        <f t="shared" si="3"/>
        <v>0</v>
      </c>
      <c r="L220" s="13">
        <v>0</v>
      </c>
      <c r="M220" s="13">
        <v>0</v>
      </c>
      <c r="N220" s="13">
        <v>0</v>
      </c>
      <c r="O220" s="68">
        <v>0</v>
      </c>
      <c r="P220" s="155">
        <f>VLOOKUP(Table323[[#This Row],[Census Tract]],'Population and Diversity Data'!$B$2:$K$823,10,FALSE)</f>
        <v>1</v>
      </c>
      <c r="Q220" s="155" t="str">
        <f>VLOOKUP(Table323[[#This Row],[Census Tract]],'ES Energy Burden'!$B$2:$E$914,4,FALSE)</f>
        <v>No</v>
      </c>
    </row>
    <row r="221" spans="1:17" x14ac:dyDescent="0.2">
      <c r="A221" s="101">
        <v>9003410102</v>
      </c>
      <c r="B221" s="102" t="s">
        <v>2775</v>
      </c>
      <c r="C221" s="104" t="s">
        <v>944</v>
      </c>
      <c r="D221" s="69">
        <v>37.430380799999995</v>
      </c>
      <c r="E221" s="69">
        <v>361.58</v>
      </c>
      <c r="F221" s="13">
        <f>[1]!Table323[[#This Row],[Single Family]]+[1]!Table323[[#This Row],[2-4 Units]]+[1]!Table323[[#This Row],[&gt;4 Units]]</f>
        <v>0</v>
      </c>
      <c r="G221" s="13">
        <v>0</v>
      </c>
      <c r="H221" s="13">
        <v>0</v>
      </c>
      <c r="I221" s="13">
        <v>0</v>
      </c>
      <c r="J221" s="68">
        <v>0</v>
      </c>
      <c r="K221">
        <f t="shared" si="3"/>
        <v>0</v>
      </c>
      <c r="L221" s="13">
        <v>0</v>
      </c>
      <c r="M221" s="13">
        <v>0</v>
      </c>
      <c r="N221" s="13">
        <v>0</v>
      </c>
      <c r="O221" s="68">
        <v>0</v>
      </c>
      <c r="P221" s="155">
        <f>VLOOKUP(Table323[[#This Row],[Census Tract]],'Population and Diversity Data'!$B$2:$K$823,10,FALSE)</f>
        <v>2</v>
      </c>
      <c r="Q221" s="155" t="str">
        <f>VLOOKUP(Table323[[#This Row],[Census Tract]],'ES Energy Burden'!$B$2:$E$914,4,FALSE)</f>
        <v>No</v>
      </c>
    </row>
    <row r="222" spans="1:17" x14ac:dyDescent="0.2">
      <c r="A222" s="101">
        <v>9003420600</v>
      </c>
      <c r="B222" s="102" t="s">
        <v>2775</v>
      </c>
      <c r="C222" s="104" t="s">
        <v>944</v>
      </c>
      <c r="D222" s="69">
        <v>1096.0629696000001</v>
      </c>
      <c r="E222" s="69">
        <v>1548.06</v>
      </c>
      <c r="F222" s="13">
        <f>[1]!Table323[[#This Row],[Single Family]]+[1]!Table323[[#This Row],[2-4 Units]]+[1]!Table323[[#This Row],[&gt;4 Units]]</f>
        <v>0</v>
      </c>
      <c r="G222" s="13">
        <v>0</v>
      </c>
      <c r="H222" s="13">
        <v>0</v>
      </c>
      <c r="I222" s="13">
        <v>0</v>
      </c>
      <c r="J222" s="68">
        <v>0</v>
      </c>
      <c r="K222">
        <f t="shared" si="3"/>
        <v>0</v>
      </c>
      <c r="L222" s="13">
        <v>0</v>
      </c>
      <c r="M222" s="13">
        <v>0</v>
      </c>
      <c r="N222" s="13">
        <v>0</v>
      </c>
      <c r="O222" s="68">
        <v>0</v>
      </c>
      <c r="P222" s="155">
        <f>VLOOKUP(Table323[[#This Row],[Census Tract]],'Population and Diversity Data'!$B$2:$K$823,10,FALSE)</f>
        <v>3</v>
      </c>
      <c r="Q222" s="155" t="str">
        <f>VLOOKUP(Table323[[#This Row],[Census Tract]],'ES Energy Burden'!$B$2:$E$914,4,FALSE)</f>
        <v>No</v>
      </c>
    </row>
    <row r="223" spans="1:17" x14ac:dyDescent="0.2">
      <c r="A223" s="101">
        <v>9003460100</v>
      </c>
      <c r="B223" s="102" t="s">
        <v>2775</v>
      </c>
      <c r="C223" s="104" t="s">
        <v>944</v>
      </c>
      <c r="D223" s="69">
        <v>58080.654737279998</v>
      </c>
      <c r="E223" s="69">
        <v>4140.0200000000004</v>
      </c>
      <c r="F223" s="13">
        <f>[1]!Table323[[#This Row],[Single Family]]+[1]!Table323[[#This Row],[2-4 Units]]+[1]!Table323[[#This Row],[&gt;4 Units]]</f>
        <v>8</v>
      </c>
      <c r="G223" s="13">
        <v>8</v>
      </c>
      <c r="H223" s="13">
        <v>0</v>
      </c>
      <c r="I223" s="13">
        <v>0</v>
      </c>
      <c r="J223" s="68">
        <v>4038.66</v>
      </c>
      <c r="K223">
        <f t="shared" si="3"/>
        <v>0</v>
      </c>
      <c r="L223" s="13">
        <v>0</v>
      </c>
      <c r="M223" s="13">
        <v>0</v>
      </c>
      <c r="N223" s="13">
        <v>0</v>
      </c>
      <c r="O223" s="68">
        <v>0</v>
      </c>
      <c r="P223" s="155">
        <f>VLOOKUP(Table323[[#This Row],[Census Tract]],'Population and Diversity Data'!$B$2:$K$823,10,FALSE)</f>
        <v>3</v>
      </c>
      <c r="Q223" s="155" t="str">
        <f>VLOOKUP(Table323[[#This Row],[Census Tract]],'ES Energy Burden'!$B$2:$E$914,4,FALSE)</f>
        <v>No</v>
      </c>
    </row>
    <row r="224" spans="1:17" x14ac:dyDescent="0.2">
      <c r="A224" s="101">
        <v>9003460202</v>
      </c>
      <c r="B224" s="102" t="s">
        <v>2775</v>
      </c>
      <c r="C224" s="104" t="s">
        <v>944</v>
      </c>
      <c r="D224" s="69">
        <v>92611.060343999998</v>
      </c>
      <c r="E224" s="69">
        <v>17059.78</v>
      </c>
      <c r="F224" s="13">
        <f>[1]!Table323[[#This Row],[Single Family]]+[1]!Table323[[#This Row],[2-4 Units]]+[1]!Table323[[#This Row],[&gt;4 Units]]</f>
        <v>13</v>
      </c>
      <c r="G224" s="13">
        <v>13</v>
      </c>
      <c r="H224" s="13">
        <v>0</v>
      </c>
      <c r="I224" s="13">
        <v>0</v>
      </c>
      <c r="J224" s="68">
        <v>9938.07</v>
      </c>
      <c r="K224">
        <f t="shared" si="3"/>
        <v>0</v>
      </c>
      <c r="L224" s="13">
        <v>0</v>
      </c>
      <c r="M224" s="13">
        <v>0</v>
      </c>
      <c r="N224" s="13">
        <v>0</v>
      </c>
      <c r="O224" s="68">
        <v>0</v>
      </c>
      <c r="P224" s="155">
        <f>VLOOKUP(Table323[[#This Row],[Census Tract]],'Population and Diversity Data'!$B$2:$K$823,10,FALSE)</f>
        <v>4</v>
      </c>
      <c r="Q224" s="155" t="str">
        <f>VLOOKUP(Table323[[#This Row],[Census Tract]],'ES Energy Burden'!$B$2:$E$914,4,FALSE)</f>
        <v>No</v>
      </c>
    </row>
    <row r="225" spans="1:17" x14ac:dyDescent="0.2">
      <c r="A225" s="101">
        <v>9003460203</v>
      </c>
      <c r="B225" s="102" t="s">
        <v>2775</v>
      </c>
      <c r="C225" s="104" t="s">
        <v>944</v>
      </c>
      <c r="D225" s="69">
        <v>101695.72983264001</v>
      </c>
      <c r="E225" s="69">
        <v>21242.799999999999</v>
      </c>
      <c r="F225" s="13">
        <f>[1]!Table323[[#This Row],[Single Family]]+[1]!Table323[[#This Row],[2-4 Units]]+[1]!Table323[[#This Row],[&gt;4 Units]]</f>
        <v>18</v>
      </c>
      <c r="G225" s="13">
        <v>18</v>
      </c>
      <c r="H225" s="13">
        <v>0</v>
      </c>
      <c r="I225" s="13">
        <v>0</v>
      </c>
      <c r="J225" s="68">
        <v>15071.28</v>
      </c>
      <c r="K225">
        <f t="shared" si="3"/>
        <v>0</v>
      </c>
      <c r="L225" s="13">
        <v>0</v>
      </c>
      <c r="M225" s="13">
        <v>0</v>
      </c>
      <c r="N225" s="13">
        <v>0</v>
      </c>
      <c r="O225" s="68">
        <v>0</v>
      </c>
      <c r="P225" s="155">
        <f>VLOOKUP(Table323[[#This Row],[Census Tract]],'Population and Diversity Data'!$B$2:$K$823,10,FALSE)</f>
        <v>5</v>
      </c>
      <c r="Q225" s="155" t="str">
        <f>VLOOKUP(Table323[[#This Row],[Census Tract]],'ES Energy Burden'!$B$2:$E$914,4,FALSE)</f>
        <v>No</v>
      </c>
    </row>
    <row r="226" spans="1:17" x14ac:dyDescent="0.2">
      <c r="A226" s="101">
        <v>9003460204</v>
      </c>
      <c r="B226" s="102" t="s">
        <v>2775</v>
      </c>
      <c r="C226" s="104" t="s">
        <v>944</v>
      </c>
      <c r="D226" s="69">
        <v>122782.09375584</v>
      </c>
      <c r="E226" s="69">
        <v>95321.2546</v>
      </c>
      <c r="F226" s="13">
        <f>[1]!Table323[[#This Row],[Single Family]]+[1]!Table323[[#This Row],[2-4 Units]]+[1]!Table323[[#This Row],[&gt;4 Units]]</f>
        <v>82</v>
      </c>
      <c r="G226" s="13">
        <v>31</v>
      </c>
      <c r="H226" s="13">
        <v>1</v>
      </c>
      <c r="I226" s="13">
        <v>50</v>
      </c>
      <c r="J226" s="68">
        <v>19944.762299999999</v>
      </c>
      <c r="K226">
        <f t="shared" si="3"/>
        <v>16</v>
      </c>
      <c r="L226" s="13">
        <v>16</v>
      </c>
      <c r="M226" s="13">
        <v>0</v>
      </c>
      <c r="N226" s="13">
        <v>0</v>
      </c>
      <c r="O226" s="68">
        <v>7702.87</v>
      </c>
      <c r="P226" s="155">
        <f>VLOOKUP(Table323[[#This Row],[Census Tract]],'Population and Diversity Data'!$B$2:$K$823,10,FALSE)</f>
        <v>4</v>
      </c>
      <c r="Q226" s="155" t="str">
        <f>VLOOKUP(Table323[[#This Row],[Census Tract]],'ES Energy Burden'!$B$2:$E$914,4,FALSE)</f>
        <v>No</v>
      </c>
    </row>
    <row r="227" spans="1:17" x14ac:dyDescent="0.2">
      <c r="A227" s="101">
        <v>9003460301</v>
      </c>
      <c r="B227" s="102" t="s">
        <v>2775</v>
      </c>
      <c r="C227" s="104" t="s">
        <v>944</v>
      </c>
      <c r="D227" s="69">
        <v>85855.085585280001</v>
      </c>
      <c r="E227" s="69">
        <v>15872.5816</v>
      </c>
      <c r="F227" s="13">
        <f>[1]!Table323[[#This Row],[Single Family]]+[1]!Table323[[#This Row],[2-4 Units]]+[1]!Table323[[#This Row],[&gt;4 Units]]</f>
        <v>23</v>
      </c>
      <c r="G227" s="13">
        <v>23</v>
      </c>
      <c r="H227" s="13">
        <v>0</v>
      </c>
      <c r="I227" s="13">
        <v>0</v>
      </c>
      <c r="J227" s="68">
        <v>15314.981599999999</v>
      </c>
      <c r="K227">
        <f t="shared" si="3"/>
        <v>0</v>
      </c>
      <c r="L227" s="13">
        <v>0</v>
      </c>
      <c r="M227" s="13">
        <v>0</v>
      </c>
      <c r="N227" s="13">
        <v>0</v>
      </c>
      <c r="O227" s="68">
        <v>0</v>
      </c>
      <c r="P227" s="155">
        <f>VLOOKUP(Table323[[#This Row],[Census Tract]],'Population and Diversity Data'!$B$2:$K$823,10,FALSE)</f>
        <v>3</v>
      </c>
      <c r="Q227" s="155" t="str">
        <f>VLOOKUP(Table323[[#This Row],[Census Tract]],'ES Energy Burden'!$B$2:$E$914,4,FALSE)</f>
        <v>No</v>
      </c>
    </row>
    <row r="228" spans="1:17" x14ac:dyDescent="0.2">
      <c r="A228" s="101">
        <v>9003460302</v>
      </c>
      <c r="B228" s="102" t="s">
        <v>2775</v>
      </c>
      <c r="C228" s="104" t="s">
        <v>944</v>
      </c>
      <c r="D228" s="69">
        <v>62555.017970879999</v>
      </c>
      <c r="E228" s="69">
        <v>11949.12</v>
      </c>
      <c r="F228" s="13">
        <f>[1]!Table323[[#This Row],[Single Family]]+[1]!Table323[[#This Row],[2-4 Units]]+[1]!Table323[[#This Row],[&gt;4 Units]]</f>
        <v>7</v>
      </c>
      <c r="G228" s="13">
        <v>7</v>
      </c>
      <c r="H228" s="13">
        <v>0</v>
      </c>
      <c r="I228" s="13">
        <v>0</v>
      </c>
      <c r="J228" s="68">
        <v>6160.73</v>
      </c>
      <c r="K228">
        <f t="shared" si="3"/>
        <v>0</v>
      </c>
      <c r="L228" s="13">
        <v>0</v>
      </c>
      <c r="M228" s="13">
        <v>0</v>
      </c>
      <c r="N228" s="13">
        <v>0</v>
      </c>
      <c r="O228" s="68">
        <v>0</v>
      </c>
      <c r="P228" s="155">
        <f>VLOOKUP(Table323[[#This Row],[Census Tract]],'Population and Diversity Data'!$B$2:$K$823,10,FALSE)</f>
        <v>3</v>
      </c>
      <c r="Q228" s="155" t="str">
        <f>VLOOKUP(Table323[[#This Row],[Census Tract]],'ES Energy Burden'!$B$2:$E$914,4,FALSE)</f>
        <v>No</v>
      </c>
    </row>
    <row r="229" spans="1:17" x14ac:dyDescent="0.2">
      <c r="A229" s="101">
        <v>9003462101</v>
      </c>
      <c r="B229" s="102" t="s">
        <v>2775</v>
      </c>
      <c r="C229" s="104" t="s">
        <v>944</v>
      </c>
      <c r="D229" s="69">
        <v>634.86348480000004</v>
      </c>
      <c r="E229" s="69">
        <v>599.75</v>
      </c>
      <c r="F229" s="13">
        <f>[1]!Table323[[#This Row],[Single Family]]+[1]!Table323[[#This Row],[2-4 Units]]+[1]!Table323[[#This Row],[&gt;4 Units]]</f>
        <v>0</v>
      </c>
      <c r="G229" s="13">
        <v>0</v>
      </c>
      <c r="H229" s="13">
        <v>0</v>
      </c>
      <c r="I229" s="13">
        <v>0</v>
      </c>
      <c r="J229" s="68">
        <v>0</v>
      </c>
      <c r="K229">
        <f t="shared" si="3"/>
        <v>0</v>
      </c>
      <c r="L229" s="13">
        <v>0</v>
      </c>
      <c r="M229" s="13">
        <v>0</v>
      </c>
      <c r="N229" s="13">
        <v>0</v>
      </c>
      <c r="O229" s="68">
        <v>0</v>
      </c>
      <c r="P229" s="155">
        <f>VLOOKUP(Table323[[#This Row],[Census Tract]],'Population and Diversity Data'!$B$2:$K$823,10,FALSE)</f>
        <v>4</v>
      </c>
      <c r="Q229" s="155" t="str">
        <f>VLOOKUP(Table323[[#This Row],[Census Tract]],'ES Energy Burden'!$B$2:$E$914,4,FALSE)</f>
        <v>No</v>
      </c>
    </row>
    <row r="230" spans="1:17" x14ac:dyDescent="0.2">
      <c r="A230" s="101">
        <v>9003496200</v>
      </c>
      <c r="B230" s="102" t="s">
        <v>2775</v>
      </c>
      <c r="C230" s="104" t="s">
        <v>944</v>
      </c>
      <c r="D230" s="69">
        <v>5802.2531712</v>
      </c>
      <c r="E230" s="69">
        <v>61.31</v>
      </c>
      <c r="F230" s="13">
        <f>[1]!Table323[[#This Row],[Single Family]]+[1]!Table323[[#This Row],[2-4 Units]]+[1]!Table323[[#This Row],[&gt;4 Units]]</f>
        <v>1</v>
      </c>
      <c r="G230" s="13">
        <v>1</v>
      </c>
      <c r="H230" s="13">
        <v>0</v>
      </c>
      <c r="I230" s="13">
        <v>0</v>
      </c>
      <c r="J230" s="68">
        <v>44.12</v>
      </c>
      <c r="K230">
        <f t="shared" si="3"/>
        <v>0</v>
      </c>
      <c r="L230" s="13">
        <v>0</v>
      </c>
      <c r="M230" s="13">
        <v>0</v>
      </c>
      <c r="N230" s="13">
        <v>0</v>
      </c>
      <c r="O230" s="68">
        <v>0</v>
      </c>
      <c r="P230" s="155">
        <f>VLOOKUP(Table323[[#This Row],[Census Tract]],'Population and Diversity Data'!$B$2:$K$823,10,FALSE)</f>
        <v>5</v>
      </c>
      <c r="Q230" s="155" t="str">
        <f>VLOOKUP(Table323[[#This Row],[Census Tract]],'ES Energy Burden'!$B$2:$E$914,4,FALSE)</f>
        <v>No</v>
      </c>
    </row>
    <row r="231" spans="1:17" x14ac:dyDescent="0.2">
      <c r="A231" s="101">
        <v>9011712100</v>
      </c>
      <c r="B231" s="102" t="s">
        <v>2776</v>
      </c>
      <c r="C231" s="104" t="s">
        <v>944</v>
      </c>
      <c r="D231" s="69">
        <v>40434.531238080002</v>
      </c>
      <c r="E231" s="69">
        <v>13070.7744</v>
      </c>
      <c r="F231" s="13">
        <f>[1]!Table323[[#This Row],[Single Family]]+[1]!Table323[[#This Row],[2-4 Units]]+[1]!Table323[[#This Row],[&gt;4 Units]]</f>
        <v>6</v>
      </c>
      <c r="G231" s="13">
        <v>6</v>
      </c>
      <c r="H231" s="13">
        <v>0</v>
      </c>
      <c r="I231" s="13">
        <v>0</v>
      </c>
      <c r="J231" s="68">
        <v>3976.2844</v>
      </c>
      <c r="K231">
        <f t="shared" si="3"/>
        <v>4</v>
      </c>
      <c r="L231" s="13">
        <v>4</v>
      </c>
      <c r="M231" s="13">
        <v>0</v>
      </c>
      <c r="N231" s="13">
        <v>0</v>
      </c>
      <c r="O231" s="68">
        <v>2294.96</v>
      </c>
      <c r="P231" s="155">
        <f>VLOOKUP(Table323[[#This Row],[Census Tract]],'Population and Diversity Data'!$B$2:$K$823,10,FALSE)</f>
        <v>1</v>
      </c>
      <c r="Q231" s="155" t="str">
        <f>VLOOKUP(Table323[[#This Row],[Census Tract]],'ES Energy Burden'!$B$2:$E$914,4,FALSE)</f>
        <v>No</v>
      </c>
    </row>
    <row r="232" spans="1:17" x14ac:dyDescent="0.2">
      <c r="A232" s="101">
        <v>9011870100</v>
      </c>
      <c r="B232" s="102" t="s">
        <v>2776</v>
      </c>
      <c r="C232" s="104" t="s">
        <v>944</v>
      </c>
      <c r="D232" s="69">
        <v>49.980499199999997</v>
      </c>
      <c r="E232" s="69">
        <v>0</v>
      </c>
      <c r="F232" s="13">
        <f>[1]!Table323[[#This Row],[Single Family]]+[1]!Table323[[#This Row],[2-4 Units]]+[1]!Table323[[#This Row],[&gt;4 Units]]</f>
        <v>0</v>
      </c>
      <c r="G232" s="13">
        <v>0</v>
      </c>
      <c r="H232" s="13">
        <v>0</v>
      </c>
      <c r="I232" s="13">
        <v>0</v>
      </c>
      <c r="J232" s="68">
        <v>0</v>
      </c>
      <c r="K232">
        <f t="shared" si="3"/>
        <v>0</v>
      </c>
      <c r="L232" s="13">
        <v>0</v>
      </c>
      <c r="M232" s="13">
        <v>0</v>
      </c>
      <c r="N232" s="13">
        <v>0</v>
      </c>
      <c r="O232" s="68">
        <v>0</v>
      </c>
      <c r="P232" s="155">
        <f>VLOOKUP(Table323[[#This Row],[Census Tract]],'Population and Diversity Data'!$B$2:$K$823,10,FALSE)</f>
        <v>1</v>
      </c>
      <c r="Q232" s="155" t="str">
        <f>VLOOKUP(Table323[[#This Row],[Census Tract]],'ES Energy Burden'!$B$2:$E$914,4,FALSE)</f>
        <v>No</v>
      </c>
    </row>
    <row r="233" spans="1:17" x14ac:dyDescent="0.2">
      <c r="A233" s="101">
        <v>9003510700</v>
      </c>
      <c r="B233" s="102" t="s">
        <v>2777</v>
      </c>
      <c r="C233" s="104" t="s">
        <v>944</v>
      </c>
      <c r="D233" s="69">
        <v>132.70245120000001</v>
      </c>
      <c r="E233" s="69">
        <v>0</v>
      </c>
      <c r="F233" s="13">
        <f>[1]!Table323[[#This Row],[Single Family]]+[1]!Table323[[#This Row],[2-4 Units]]+[1]!Table323[[#This Row],[&gt;4 Units]]</f>
        <v>0</v>
      </c>
      <c r="G233" s="13">
        <v>0</v>
      </c>
      <c r="H233" s="13">
        <v>0</v>
      </c>
      <c r="I233" s="13">
        <v>0</v>
      </c>
      <c r="J233" s="68">
        <v>0</v>
      </c>
      <c r="K233">
        <f t="shared" si="3"/>
        <v>0</v>
      </c>
      <c r="L233" s="13">
        <v>0</v>
      </c>
      <c r="M233" s="13">
        <v>0</v>
      </c>
      <c r="N233" s="13">
        <v>0</v>
      </c>
      <c r="O233" s="68">
        <v>0</v>
      </c>
      <c r="P233" s="155">
        <f>VLOOKUP(Table323[[#This Row],[Census Tract]],'Population and Diversity Data'!$B$2:$K$823,10,FALSE)</f>
        <v>5</v>
      </c>
      <c r="Q233" s="155" t="str">
        <f>VLOOKUP(Table323[[#This Row],[Census Tract]],'ES Energy Burden'!$B$2:$E$914,4,FALSE)</f>
        <v>No</v>
      </c>
    </row>
    <row r="234" spans="1:17" x14ac:dyDescent="0.2">
      <c r="A234" s="101">
        <v>9003520100</v>
      </c>
      <c r="B234" s="102" t="s">
        <v>2777</v>
      </c>
      <c r="C234" s="104" t="s">
        <v>944</v>
      </c>
      <c r="D234" s="69">
        <v>99045.453948480019</v>
      </c>
      <c r="E234" s="69">
        <v>7809.0663999999997</v>
      </c>
      <c r="F234" s="13">
        <f>[1]!Table323[[#This Row],[Single Family]]+[1]!Table323[[#This Row],[2-4 Units]]+[1]!Table323[[#This Row],[&gt;4 Units]]</f>
        <v>21</v>
      </c>
      <c r="G234" s="13">
        <v>21</v>
      </c>
      <c r="H234" s="13">
        <v>0</v>
      </c>
      <c r="I234" s="13">
        <v>0</v>
      </c>
      <c r="J234" s="68">
        <v>7805.7363999999998</v>
      </c>
      <c r="K234">
        <f t="shared" si="3"/>
        <v>0</v>
      </c>
      <c r="L234" s="13">
        <v>0</v>
      </c>
      <c r="M234" s="13">
        <v>0</v>
      </c>
      <c r="N234" s="13">
        <v>0</v>
      </c>
      <c r="O234" s="68">
        <v>0</v>
      </c>
      <c r="P234" s="155">
        <f>VLOOKUP(Table323[[#This Row],[Census Tract]],'Population and Diversity Data'!$B$2:$K$823,10,FALSE)</f>
        <v>4</v>
      </c>
      <c r="Q234" s="155" t="str">
        <f>VLOOKUP(Table323[[#This Row],[Census Tract]],'ES Energy Burden'!$B$2:$E$914,4,FALSE)</f>
        <v>No</v>
      </c>
    </row>
    <row r="235" spans="1:17" x14ac:dyDescent="0.2">
      <c r="A235" s="101">
        <v>9003520201</v>
      </c>
      <c r="B235" s="102" t="s">
        <v>2777</v>
      </c>
      <c r="C235" s="104" t="s">
        <v>944</v>
      </c>
      <c r="D235" s="69">
        <v>82572.919343999994</v>
      </c>
      <c r="E235" s="69">
        <v>23410.549800000001</v>
      </c>
      <c r="F235" s="13">
        <f>[1]!Table323[[#This Row],[Single Family]]+[1]!Table323[[#This Row],[2-4 Units]]+[1]!Table323[[#This Row],[&gt;4 Units]]</f>
        <v>24</v>
      </c>
      <c r="G235" s="13">
        <v>24</v>
      </c>
      <c r="H235" s="13">
        <v>0</v>
      </c>
      <c r="I235" s="13">
        <v>0</v>
      </c>
      <c r="J235" s="68">
        <v>18444.519799999998</v>
      </c>
      <c r="K235">
        <f t="shared" si="3"/>
        <v>0</v>
      </c>
      <c r="L235" s="13">
        <v>0</v>
      </c>
      <c r="M235" s="13">
        <v>0</v>
      </c>
      <c r="N235" s="13">
        <v>0</v>
      </c>
      <c r="O235" s="68">
        <v>0</v>
      </c>
      <c r="P235" s="155">
        <f>VLOOKUP(Table323[[#This Row],[Census Tract]],'Population and Diversity Data'!$B$2:$K$823,10,FALSE)</f>
        <v>4</v>
      </c>
      <c r="Q235" s="155" t="str">
        <f>VLOOKUP(Table323[[#This Row],[Census Tract]],'ES Energy Burden'!$B$2:$E$914,4,FALSE)</f>
        <v>No</v>
      </c>
    </row>
    <row r="236" spans="1:17" x14ac:dyDescent="0.2">
      <c r="A236" s="101">
        <v>9003520202</v>
      </c>
      <c r="B236" s="102" t="s">
        <v>2777</v>
      </c>
      <c r="C236" s="104" t="s">
        <v>944</v>
      </c>
      <c r="D236" s="69">
        <v>92512.798358400003</v>
      </c>
      <c r="E236" s="69">
        <v>20573.626</v>
      </c>
      <c r="F236" s="13">
        <f>[1]!Table323[[#This Row],[Single Family]]+[1]!Table323[[#This Row],[2-4 Units]]+[1]!Table323[[#This Row],[&gt;4 Units]]</f>
        <v>23</v>
      </c>
      <c r="G236" s="13">
        <v>23</v>
      </c>
      <c r="H236" s="13">
        <v>0</v>
      </c>
      <c r="I236" s="13">
        <v>0</v>
      </c>
      <c r="J236" s="68">
        <v>18457.076000000001</v>
      </c>
      <c r="K236">
        <f t="shared" si="3"/>
        <v>0</v>
      </c>
      <c r="L236" s="13">
        <v>0</v>
      </c>
      <c r="M236" s="13">
        <v>0</v>
      </c>
      <c r="N236" s="13">
        <v>0</v>
      </c>
      <c r="O236" s="68">
        <v>0</v>
      </c>
      <c r="P236" s="155">
        <f>VLOOKUP(Table323[[#This Row],[Census Tract]],'Population and Diversity Data'!$B$2:$K$823,10,FALSE)</f>
        <v>2</v>
      </c>
      <c r="Q236" s="155" t="str">
        <f>VLOOKUP(Table323[[#This Row],[Census Tract]],'ES Energy Burden'!$B$2:$E$914,4,FALSE)</f>
        <v>No</v>
      </c>
    </row>
    <row r="237" spans="1:17" x14ac:dyDescent="0.2">
      <c r="A237" s="101">
        <v>9003520301</v>
      </c>
      <c r="B237" s="102" t="s">
        <v>2777</v>
      </c>
      <c r="C237" s="104" t="s">
        <v>944</v>
      </c>
      <c r="D237" s="69">
        <v>90718.103640960006</v>
      </c>
      <c r="E237" s="69">
        <v>19678.828099999999</v>
      </c>
      <c r="F237" s="13">
        <f>[1]!Table323[[#This Row],[Single Family]]+[1]!Table323[[#This Row],[2-4 Units]]+[1]!Table323[[#This Row],[&gt;4 Units]]</f>
        <v>18</v>
      </c>
      <c r="G237" s="13">
        <v>18</v>
      </c>
      <c r="H237" s="13">
        <v>0</v>
      </c>
      <c r="I237" s="13">
        <v>0</v>
      </c>
      <c r="J237" s="68">
        <v>8975.1381000000001</v>
      </c>
      <c r="K237">
        <f t="shared" si="3"/>
        <v>0</v>
      </c>
      <c r="L237" s="13">
        <v>0</v>
      </c>
      <c r="M237" s="13">
        <v>0</v>
      </c>
      <c r="N237" s="13">
        <v>0</v>
      </c>
      <c r="O237" s="68">
        <v>0</v>
      </c>
      <c r="P237" s="155">
        <f>VLOOKUP(Table323[[#This Row],[Census Tract]],'Population and Diversity Data'!$B$2:$K$823,10,FALSE)</f>
        <v>4</v>
      </c>
      <c r="Q237" s="155" t="str">
        <f>VLOOKUP(Table323[[#This Row],[Census Tract]],'ES Energy Burden'!$B$2:$E$914,4,FALSE)</f>
        <v>No</v>
      </c>
    </row>
    <row r="238" spans="1:17" x14ac:dyDescent="0.2">
      <c r="A238" s="101">
        <v>9003520302</v>
      </c>
      <c r="B238" s="102" t="s">
        <v>2777</v>
      </c>
      <c r="C238" s="104" t="s">
        <v>944</v>
      </c>
      <c r="D238" s="69">
        <v>57957.166319040007</v>
      </c>
      <c r="E238" s="69">
        <v>28100.66</v>
      </c>
      <c r="F238" s="13">
        <f>[1]!Table323[[#This Row],[Single Family]]+[1]!Table323[[#This Row],[2-4 Units]]+[1]!Table323[[#This Row],[&gt;4 Units]]</f>
        <v>11</v>
      </c>
      <c r="G238" s="13">
        <v>11</v>
      </c>
      <c r="H238" s="13">
        <v>0</v>
      </c>
      <c r="I238" s="13">
        <v>0</v>
      </c>
      <c r="J238" s="68">
        <v>3321.14</v>
      </c>
      <c r="K238">
        <f t="shared" si="3"/>
        <v>0</v>
      </c>
      <c r="L238" s="13">
        <v>0</v>
      </c>
      <c r="M238" s="13">
        <v>0</v>
      </c>
      <c r="N238" s="13">
        <v>0</v>
      </c>
      <c r="O238" s="68">
        <v>0</v>
      </c>
      <c r="P238" s="155">
        <f>VLOOKUP(Table323[[#This Row],[Census Tract]],'Population and Diversity Data'!$B$2:$K$823,10,FALSE)</f>
        <v>5</v>
      </c>
      <c r="Q238" s="155" t="str">
        <f>VLOOKUP(Table323[[#This Row],[Census Tract]],'ES Energy Burden'!$B$2:$E$914,4,FALSE)</f>
        <v>No</v>
      </c>
    </row>
    <row r="239" spans="1:17" x14ac:dyDescent="0.2">
      <c r="A239" s="101">
        <v>9003520400</v>
      </c>
      <c r="B239" s="102" t="s">
        <v>2777</v>
      </c>
      <c r="C239" s="104" t="s">
        <v>944</v>
      </c>
      <c r="D239" s="69">
        <v>167362.3354752</v>
      </c>
      <c r="E239" s="69">
        <v>366228.74699999997</v>
      </c>
      <c r="F239" s="13">
        <f>[1]!Table323[[#This Row],[Single Family]]+[1]!Table323[[#This Row],[2-4 Units]]+[1]!Table323[[#This Row],[&gt;4 Units]]</f>
        <v>42</v>
      </c>
      <c r="G239" s="13">
        <v>38</v>
      </c>
      <c r="H239" s="13">
        <v>0</v>
      </c>
      <c r="I239" s="13">
        <v>4</v>
      </c>
      <c r="J239" s="68">
        <v>23621.1</v>
      </c>
      <c r="K239">
        <f t="shared" si="3"/>
        <v>18</v>
      </c>
      <c r="L239" s="13">
        <v>18</v>
      </c>
      <c r="M239" s="13">
        <v>0</v>
      </c>
      <c r="N239" s="13">
        <v>0</v>
      </c>
      <c r="O239" s="68">
        <v>50221.2</v>
      </c>
      <c r="P239" s="155">
        <f>VLOOKUP(Table323[[#This Row],[Census Tract]],'Population and Diversity Data'!$B$2:$K$823,10,FALSE)</f>
        <v>3</v>
      </c>
      <c r="Q239" s="155" t="str">
        <f>VLOOKUP(Table323[[#This Row],[Census Tract]],'ES Energy Burden'!$B$2:$E$914,4,FALSE)</f>
        <v>No</v>
      </c>
    </row>
    <row r="240" spans="1:17" x14ac:dyDescent="0.2">
      <c r="A240" s="101">
        <v>9003520501</v>
      </c>
      <c r="B240" s="102" t="s">
        <v>2777</v>
      </c>
      <c r="C240" s="104" t="s">
        <v>944</v>
      </c>
      <c r="D240" s="69">
        <v>94824.764035200002</v>
      </c>
      <c r="E240" s="69">
        <v>16202.107099999999</v>
      </c>
      <c r="F240" s="13">
        <f>[1]!Table323[[#This Row],[Single Family]]+[1]!Table323[[#This Row],[2-4 Units]]+[1]!Table323[[#This Row],[&gt;4 Units]]</f>
        <v>26</v>
      </c>
      <c r="G240" s="13">
        <v>26</v>
      </c>
      <c r="H240" s="13">
        <v>0</v>
      </c>
      <c r="I240" s="13">
        <v>0</v>
      </c>
      <c r="J240" s="68">
        <v>15916.107099999999</v>
      </c>
      <c r="K240">
        <f t="shared" si="3"/>
        <v>0</v>
      </c>
      <c r="L240" s="13">
        <v>0</v>
      </c>
      <c r="M240" s="13">
        <v>0</v>
      </c>
      <c r="N240" s="13">
        <v>0</v>
      </c>
      <c r="O240" s="68">
        <v>0</v>
      </c>
      <c r="P240" s="155">
        <f>VLOOKUP(Table323[[#This Row],[Census Tract]],'Population and Diversity Data'!$B$2:$K$823,10,FALSE)</f>
        <v>3</v>
      </c>
      <c r="Q240" s="155" t="str">
        <f>VLOOKUP(Table323[[#This Row],[Census Tract]],'ES Energy Burden'!$B$2:$E$914,4,FALSE)</f>
        <v>No</v>
      </c>
    </row>
    <row r="241" spans="1:17" x14ac:dyDescent="0.2">
      <c r="A241" s="101">
        <v>9007560100</v>
      </c>
      <c r="B241" s="102" t="s">
        <v>2777</v>
      </c>
      <c r="C241" s="104" t="s">
        <v>944</v>
      </c>
      <c r="D241" s="69">
        <v>360.64802880000002</v>
      </c>
      <c r="E241" s="69">
        <v>0</v>
      </c>
      <c r="F241" s="13">
        <f>[1]!Table323[[#This Row],[Single Family]]+[1]!Table323[[#This Row],[2-4 Units]]+[1]!Table323[[#This Row],[&gt;4 Units]]</f>
        <v>0</v>
      </c>
      <c r="G241" s="13">
        <v>0</v>
      </c>
      <c r="H241" s="13">
        <v>0</v>
      </c>
      <c r="I241" s="13">
        <v>0</v>
      </c>
      <c r="J241" s="68">
        <v>0</v>
      </c>
      <c r="K241">
        <f t="shared" si="3"/>
        <v>0</v>
      </c>
      <c r="L241" s="13">
        <v>0</v>
      </c>
      <c r="M241" s="13">
        <v>0</v>
      </c>
      <c r="N241" s="13">
        <v>0</v>
      </c>
      <c r="O241" s="68">
        <v>0</v>
      </c>
      <c r="P241" s="155">
        <f>VLOOKUP(Table323[[#This Row],[Census Tract]],'Population and Diversity Data'!$B$2:$K$823,10,FALSE)</f>
        <v>1</v>
      </c>
      <c r="Q241" s="155" t="str">
        <f>VLOOKUP(Table323[[#This Row],[Census Tract]],'ES Energy Burden'!$B$2:$E$914,4,FALSE)</f>
        <v>No</v>
      </c>
    </row>
    <row r="242" spans="1:17" x14ac:dyDescent="0.2">
      <c r="A242" s="101">
        <v>9005296100</v>
      </c>
      <c r="B242" s="102" t="s">
        <v>2778</v>
      </c>
      <c r="C242" s="104" t="s">
        <v>944</v>
      </c>
      <c r="D242" s="69">
        <v>87595.087141440003</v>
      </c>
      <c r="E242" s="69">
        <v>47056.84</v>
      </c>
      <c r="F242" s="13">
        <f>[1]!Table323[[#This Row],[Single Family]]+[1]!Table323[[#This Row],[2-4 Units]]+[1]!Table323[[#This Row],[&gt;4 Units]]</f>
        <v>18</v>
      </c>
      <c r="G242" s="13">
        <v>18</v>
      </c>
      <c r="H242" s="13">
        <v>0</v>
      </c>
      <c r="I242" s="13">
        <v>0</v>
      </c>
      <c r="J242" s="68">
        <v>18904.59</v>
      </c>
      <c r="K242">
        <f t="shared" si="3"/>
        <v>6</v>
      </c>
      <c r="L242" s="13">
        <v>6</v>
      </c>
      <c r="M242" s="13">
        <v>0</v>
      </c>
      <c r="N242" s="13">
        <v>0</v>
      </c>
      <c r="O242" s="68">
        <v>25606.6</v>
      </c>
      <c r="P242" s="155">
        <f>VLOOKUP(Table323[[#This Row],[Census Tract]],'Population and Diversity Data'!$B$2:$K$823,10,FALSE)</f>
        <v>3</v>
      </c>
      <c r="Q242" s="155" t="str">
        <f>VLOOKUP(Table323[[#This Row],[Census Tract]],'ES Energy Burden'!$B$2:$E$914,4,FALSE)</f>
        <v>No</v>
      </c>
    </row>
    <row r="243" spans="1:17" x14ac:dyDescent="0.2">
      <c r="A243" s="101">
        <v>9003330100</v>
      </c>
      <c r="B243" s="102" t="s">
        <v>2779</v>
      </c>
      <c r="C243" s="104" t="s">
        <v>944</v>
      </c>
      <c r="D243" s="69">
        <v>47.225030400000001</v>
      </c>
      <c r="E243" s="69">
        <v>0</v>
      </c>
      <c r="F243" s="13">
        <f>[1]!Table323[[#This Row],[Single Family]]+[1]!Table323[[#This Row],[2-4 Units]]+[1]!Table323[[#This Row],[&gt;4 Units]]</f>
        <v>0</v>
      </c>
      <c r="G243" s="13">
        <v>0</v>
      </c>
      <c r="H243" s="13">
        <v>0</v>
      </c>
      <c r="I243" s="13">
        <v>0</v>
      </c>
      <c r="J243" s="68">
        <v>0</v>
      </c>
      <c r="K243">
        <f t="shared" si="3"/>
        <v>0</v>
      </c>
      <c r="L243" s="13">
        <v>0</v>
      </c>
      <c r="M243" s="13">
        <v>0</v>
      </c>
      <c r="N243" s="13">
        <v>0</v>
      </c>
      <c r="O243" s="68">
        <v>0</v>
      </c>
      <c r="P243" s="155">
        <f>VLOOKUP(Table323[[#This Row],[Census Tract]],'Population and Diversity Data'!$B$2:$K$823,10,FALSE)</f>
        <v>3</v>
      </c>
      <c r="Q243" s="155" t="str">
        <f>VLOOKUP(Table323[[#This Row],[Census Tract]],'ES Energy Burden'!$B$2:$E$914,4,FALSE)</f>
        <v>No</v>
      </c>
    </row>
    <row r="244" spans="1:17" x14ac:dyDescent="0.2">
      <c r="A244" s="101">
        <v>9003468101</v>
      </c>
      <c r="B244" s="102" t="s">
        <v>2779</v>
      </c>
      <c r="C244" s="104" t="s">
        <v>944</v>
      </c>
      <c r="D244" s="69">
        <v>151167.66558624001</v>
      </c>
      <c r="E244" s="69">
        <v>101117.8395</v>
      </c>
      <c r="F244" s="13">
        <f>[1]!Table323[[#This Row],[Single Family]]+[1]!Table323[[#This Row],[2-4 Units]]+[1]!Table323[[#This Row],[&gt;4 Units]]</f>
        <v>39</v>
      </c>
      <c r="G244" s="13">
        <v>39</v>
      </c>
      <c r="H244" s="13">
        <v>0</v>
      </c>
      <c r="I244" s="13">
        <v>0</v>
      </c>
      <c r="J244" s="68">
        <v>41744.5795</v>
      </c>
      <c r="K244">
        <f t="shared" si="3"/>
        <v>6</v>
      </c>
      <c r="L244" s="13">
        <v>6</v>
      </c>
      <c r="M244" s="13">
        <v>0</v>
      </c>
      <c r="N244" s="13">
        <v>0</v>
      </c>
      <c r="O244" s="68">
        <v>9359.9</v>
      </c>
      <c r="P244" s="155">
        <f>VLOOKUP(Table323[[#This Row],[Census Tract]],'Population and Diversity Data'!$B$2:$K$823,10,FALSE)</f>
        <v>1</v>
      </c>
      <c r="Q244" s="155" t="str">
        <f>VLOOKUP(Table323[[#This Row],[Census Tract]],'ES Energy Burden'!$B$2:$E$914,4,FALSE)</f>
        <v>No</v>
      </c>
    </row>
    <row r="245" spans="1:17" x14ac:dyDescent="0.2">
      <c r="A245" s="101">
        <v>9003468102</v>
      </c>
      <c r="B245" s="102" t="s">
        <v>2779</v>
      </c>
      <c r="C245" s="104" t="s">
        <v>944</v>
      </c>
      <c r="D245" s="69">
        <v>81261.084064320006</v>
      </c>
      <c r="E245" s="69">
        <v>23168.03</v>
      </c>
      <c r="F245" s="13">
        <f>[1]!Table323[[#This Row],[Single Family]]+[1]!Table323[[#This Row],[2-4 Units]]+[1]!Table323[[#This Row],[&gt;4 Units]]</f>
        <v>20</v>
      </c>
      <c r="G245" s="13">
        <v>20</v>
      </c>
      <c r="H245" s="13">
        <v>0</v>
      </c>
      <c r="I245" s="13">
        <v>0</v>
      </c>
      <c r="J245" s="68">
        <v>23163.77</v>
      </c>
      <c r="K245">
        <f t="shared" si="3"/>
        <v>0</v>
      </c>
      <c r="L245" s="13">
        <v>0</v>
      </c>
      <c r="M245" s="13">
        <v>0</v>
      </c>
      <c r="N245" s="13">
        <v>0</v>
      </c>
      <c r="O245" s="68">
        <v>0</v>
      </c>
      <c r="P245" s="155">
        <f>VLOOKUP(Table323[[#This Row],[Census Tract]],'Population and Diversity Data'!$B$2:$K$823,10,FALSE)</f>
        <v>2</v>
      </c>
      <c r="Q245" s="155" t="str">
        <f>VLOOKUP(Table323[[#This Row],[Census Tract]],'ES Energy Burden'!$B$2:$E$914,4,FALSE)</f>
        <v>No</v>
      </c>
    </row>
    <row r="246" spans="1:17" x14ac:dyDescent="0.2">
      <c r="A246" s="101">
        <v>9003470100</v>
      </c>
      <c r="B246" s="102" t="s">
        <v>2779</v>
      </c>
      <c r="C246" s="104" t="s">
        <v>944</v>
      </c>
      <c r="D246" s="69">
        <v>761.58031679999999</v>
      </c>
      <c r="E246" s="69">
        <v>0</v>
      </c>
      <c r="F246" s="13">
        <f>[1]!Table323[[#This Row],[Single Family]]+[1]!Table323[[#This Row],[2-4 Units]]+[1]!Table323[[#This Row],[&gt;4 Units]]</f>
        <v>0</v>
      </c>
      <c r="G246" s="13">
        <v>0</v>
      </c>
      <c r="H246" s="13">
        <v>0</v>
      </c>
      <c r="I246" s="13">
        <v>0</v>
      </c>
      <c r="J246" s="68">
        <v>0</v>
      </c>
      <c r="K246">
        <f t="shared" si="3"/>
        <v>0</v>
      </c>
      <c r="L246" s="13">
        <v>0</v>
      </c>
      <c r="M246" s="13">
        <v>0</v>
      </c>
      <c r="N246" s="13">
        <v>0</v>
      </c>
      <c r="O246" s="68">
        <v>0</v>
      </c>
      <c r="P246" s="155">
        <f>VLOOKUP(Table323[[#This Row],[Census Tract]],'Population and Diversity Data'!$B$2:$K$823,10,FALSE)</f>
        <v>3</v>
      </c>
      <c r="Q246" s="155" t="str">
        <f>VLOOKUP(Table323[[#This Row],[Census Tract]],'ES Energy Burden'!$B$2:$E$914,4,FALSE)</f>
        <v>No</v>
      </c>
    </row>
    <row r="247" spans="1:17" x14ac:dyDescent="0.2">
      <c r="A247" s="101">
        <v>9001010101</v>
      </c>
      <c r="B247" s="102" t="s">
        <v>2780</v>
      </c>
      <c r="C247" s="104" t="s">
        <v>944</v>
      </c>
      <c r="D247" s="69">
        <v>240328.44483264</v>
      </c>
      <c r="E247" s="69">
        <v>21123.27</v>
      </c>
      <c r="F247" s="13">
        <f>[1]!Table323[[#This Row],[Single Family]]+[1]!Table323[[#This Row],[2-4 Units]]+[1]!Table323[[#This Row],[&gt;4 Units]]</f>
        <v>13</v>
      </c>
      <c r="G247" s="13">
        <v>13</v>
      </c>
      <c r="H247" s="13">
        <v>0</v>
      </c>
      <c r="I247" s="13">
        <v>0</v>
      </c>
      <c r="J247" s="68">
        <v>21119.75</v>
      </c>
      <c r="K247">
        <f t="shared" si="3"/>
        <v>0</v>
      </c>
      <c r="L247" s="13">
        <v>0</v>
      </c>
      <c r="M247" s="13">
        <v>0</v>
      </c>
      <c r="N247" s="13">
        <v>0</v>
      </c>
      <c r="O247" s="68">
        <v>0</v>
      </c>
      <c r="P247" s="155">
        <f>VLOOKUP(Table323[[#This Row],[Census Tract]],'Population and Diversity Data'!$B$2:$K$823,10,FALSE)</f>
        <v>2</v>
      </c>
      <c r="Q247" s="155" t="str">
        <f>VLOOKUP(Table323[[#This Row],[Census Tract]],'ES Energy Burden'!$B$2:$E$914,4,FALSE)</f>
        <v>No</v>
      </c>
    </row>
    <row r="248" spans="1:17" x14ac:dyDescent="0.2">
      <c r="A248" s="101">
        <v>9001010102</v>
      </c>
      <c r="B248" s="102" t="s">
        <v>2780</v>
      </c>
      <c r="C248" s="104" t="s">
        <v>944</v>
      </c>
      <c r="D248" s="69">
        <v>351971.23642272002</v>
      </c>
      <c r="E248" s="69">
        <v>199896.71350000001</v>
      </c>
      <c r="F248" s="13">
        <f>[1]!Table323[[#This Row],[Single Family]]+[1]!Table323[[#This Row],[2-4 Units]]+[1]!Table323[[#This Row],[&gt;4 Units]]</f>
        <v>22</v>
      </c>
      <c r="G248" s="13">
        <v>22</v>
      </c>
      <c r="H248" s="13">
        <v>0</v>
      </c>
      <c r="I248" s="13">
        <v>0</v>
      </c>
      <c r="J248" s="68">
        <v>30093.988099999999</v>
      </c>
      <c r="K248">
        <f t="shared" si="3"/>
        <v>5</v>
      </c>
      <c r="L248" s="13">
        <v>5</v>
      </c>
      <c r="M248" s="13">
        <v>0</v>
      </c>
      <c r="N248" s="13">
        <v>0</v>
      </c>
      <c r="O248" s="68">
        <v>81010.2</v>
      </c>
      <c r="P248" s="155">
        <f>VLOOKUP(Table323[[#This Row],[Census Tract]],'Population and Diversity Data'!$B$2:$K$823,10,FALSE)</f>
        <v>3</v>
      </c>
      <c r="Q248" s="155" t="str">
        <f>VLOOKUP(Table323[[#This Row],[Census Tract]],'ES Energy Burden'!$B$2:$E$914,4,FALSE)</f>
        <v>No</v>
      </c>
    </row>
    <row r="249" spans="1:17" x14ac:dyDescent="0.2">
      <c r="A249" s="101">
        <v>9001010201</v>
      </c>
      <c r="B249" s="102" t="s">
        <v>2780</v>
      </c>
      <c r="C249" s="104" t="s">
        <v>944</v>
      </c>
      <c r="D249" s="69">
        <v>184550.60946816002</v>
      </c>
      <c r="E249" s="69">
        <v>4279.21</v>
      </c>
      <c r="F249" s="13">
        <f>[1]!Table323[[#This Row],[Single Family]]+[1]!Table323[[#This Row],[2-4 Units]]+[1]!Table323[[#This Row],[&gt;4 Units]]</f>
        <v>5</v>
      </c>
      <c r="G249" s="13">
        <v>5</v>
      </c>
      <c r="H249" s="13">
        <v>0</v>
      </c>
      <c r="I249" s="13">
        <v>0</v>
      </c>
      <c r="J249" s="68">
        <v>4275.76</v>
      </c>
      <c r="K249">
        <f t="shared" si="3"/>
        <v>0</v>
      </c>
      <c r="L249" s="13">
        <v>0</v>
      </c>
      <c r="M249" s="13">
        <v>0</v>
      </c>
      <c r="N249" s="13">
        <v>0</v>
      </c>
      <c r="O249" s="68">
        <v>0</v>
      </c>
      <c r="P249" s="155">
        <f>VLOOKUP(Table323[[#This Row],[Census Tract]],'Population and Diversity Data'!$B$2:$K$823,10,FALSE)</f>
        <v>3</v>
      </c>
      <c r="Q249" s="155" t="str">
        <f>VLOOKUP(Table323[[#This Row],[Census Tract]],'ES Energy Burden'!$B$2:$E$914,4,FALSE)</f>
        <v>No</v>
      </c>
    </row>
    <row r="250" spans="1:17" x14ac:dyDescent="0.2">
      <c r="A250" s="101">
        <v>9001010202</v>
      </c>
      <c r="B250" s="102" t="s">
        <v>2780</v>
      </c>
      <c r="C250" s="104" t="s">
        <v>944</v>
      </c>
      <c r="D250" s="69">
        <v>149235.83767008001</v>
      </c>
      <c r="E250" s="69">
        <v>12605.017599999999</v>
      </c>
      <c r="F250" s="13">
        <f>[1]!Table323[[#This Row],[Single Family]]+[1]!Table323[[#This Row],[2-4 Units]]+[1]!Table323[[#This Row],[&gt;4 Units]]</f>
        <v>16</v>
      </c>
      <c r="G250" s="13">
        <v>16</v>
      </c>
      <c r="H250" s="13">
        <v>0</v>
      </c>
      <c r="I250" s="13">
        <v>0</v>
      </c>
      <c r="J250" s="68">
        <v>12602.4076</v>
      </c>
      <c r="K250">
        <f t="shared" si="3"/>
        <v>0</v>
      </c>
      <c r="L250" s="13">
        <v>0</v>
      </c>
      <c r="M250" s="13">
        <v>0</v>
      </c>
      <c r="N250" s="13">
        <v>0</v>
      </c>
      <c r="O250" s="68">
        <v>0</v>
      </c>
      <c r="P250" s="155">
        <f>VLOOKUP(Table323[[#This Row],[Census Tract]],'Population and Diversity Data'!$B$2:$K$823,10,FALSE)</f>
        <v>4</v>
      </c>
      <c r="Q250" s="155" t="str">
        <f>VLOOKUP(Table323[[#This Row],[Census Tract]],'ES Energy Burden'!$B$2:$E$914,4,FALSE)</f>
        <v>No</v>
      </c>
    </row>
    <row r="251" spans="1:17" x14ac:dyDescent="0.2">
      <c r="A251" s="101">
        <v>9001010300</v>
      </c>
      <c r="B251" s="102" t="s">
        <v>2780</v>
      </c>
      <c r="C251" s="104" t="s">
        <v>944</v>
      </c>
      <c r="D251" s="69">
        <v>232331.66626463999</v>
      </c>
      <c r="E251" s="69">
        <v>14940.7438</v>
      </c>
      <c r="F251" s="13">
        <f>[1]!Table323[[#This Row],[Single Family]]+[1]!Table323[[#This Row],[2-4 Units]]+[1]!Table323[[#This Row],[&gt;4 Units]]</f>
        <v>10</v>
      </c>
      <c r="G251" s="13">
        <v>9</v>
      </c>
      <c r="H251" s="13">
        <v>1</v>
      </c>
      <c r="I251" s="13">
        <v>0</v>
      </c>
      <c r="J251" s="68">
        <v>14940.273800000001</v>
      </c>
      <c r="K251">
        <f t="shared" si="3"/>
        <v>0</v>
      </c>
      <c r="L251" s="13">
        <v>0</v>
      </c>
      <c r="M251" s="13">
        <v>0</v>
      </c>
      <c r="N251" s="13">
        <v>0</v>
      </c>
      <c r="O251" s="68">
        <v>0</v>
      </c>
      <c r="P251" s="155">
        <f>VLOOKUP(Table323[[#This Row],[Census Tract]],'Population and Diversity Data'!$B$2:$K$823,10,FALSE)</f>
        <v>2</v>
      </c>
      <c r="Q251" s="155" t="str">
        <f>VLOOKUP(Table323[[#This Row],[Census Tract]],'ES Energy Burden'!$B$2:$E$914,4,FALSE)</f>
        <v>No</v>
      </c>
    </row>
    <row r="252" spans="1:17" x14ac:dyDescent="0.2">
      <c r="A252" s="101">
        <v>9001010400</v>
      </c>
      <c r="B252" s="102" t="s">
        <v>2780</v>
      </c>
      <c r="C252" s="104" t="s">
        <v>944</v>
      </c>
      <c r="D252" s="69">
        <v>104263.06610592001</v>
      </c>
      <c r="E252" s="69">
        <v>6235.2754999999997</v>
      </c>
      <c r="F252" s="13">
        <f>[1]!Table323[[#This Row],[Single Family]]+[1]!Table323[[#This Row],[2-4 Units]]+[1]!Table323[[#This Row],[&gt;4 Units]]</f>
        <v>14</v>
      </c>
      <c r="G252" s="13">
        <v>14</v>
      </c>
      <c r="H252" s="13">
        <v>0</v>
      </c>
      <c r="I252" s="13">
        <v>0</v>
      </c>
      <c r="J252" s="68">
        <v>5416.3554999999997</v>
      </c>
      <c r="K252">
        <f t="shared" si="3"/>
        <v>0</v>
      </c>
      <c r="L252" s="13">
        <v>0</v>
      </c>
      <c r="M252" s="13">
        <v>0</v>
      </c>
      <c r="N252" s="13">
        <v>0</v>
      </c>
      <c r="O252" s="68">
        <v>0</v>
      </c>
      <c r="P252" s="155">
        <f>VLOOKUP(Table323[[#This Row],[Census Tract]],'Population and Diversity Data'!$B$2:$K$823,10,FALSE)</f>
        <v>3</v>
      </c>
      <c r="Q252" s="155" t="str">
        <f>VLOOKUP(Table323[[#This Row],[Census Tract]],'ES Energy Burden'!$B$2:$E$914,4,FALSE)</f>
        <v>No</v>
      </c>
    </row>
    <row r="253" spans="1:17" x14ac:dyDescent="0.2">
      <c r="A253" s="101">
        <v>9001010500</v>
      </c>
      <c r="B253" s="102" t="s">
        <v>2780</v>
      </c>
      <c r="C253" s="104" t="s">
        <v>944</v>
      </c>
      <c r="D253" s="69">
        <v>79218.90946368</v>
      </c>
      <c r="E253" s="69">
        <v>2031.71</v>
      </c>
      <c r="F253" s="13">
        <f>[1]!Table323[[#This Row],[Single Family]]+[1]!Table323[[#This Row],[2-4 Units]]+[1]!Table323[[#This Row],[&gt;4 Units]]</f>
        <v>1</v>
      </c>
      <c r="G253" s="13">
        <v>1</v>
      </c>
      <c r="H253" s="13">
        <v>0</v>
      </c>
      <c r="I253" s="13">
        <v>0</v>
      </c>
      <c r="J253" s="68">
        <v>8.5</v>
      </c>
      <c r="K253">
        <f t="shared" si="3"/>
        <v>0</v>
      </c>
      <c r="L253" s="13">
        <v>0</v>
      </c>
      <c r="M253" s="13">
        <v>0</v>
      </c>
      <c r="N253" s="13">
        <v>0</v>
      </c>
      <c r="O253" s="68">
        <v>0</v>
      </c>
      <c r="P253" s="155">
        <f>VLOOKUP(Table323[[#This Row],[Census Tract]],'Population and Diversity Data'!$B$2:$K$823,10,FALSE)</f>
        <v>3</v>
      </c>
      <c r="Q253" s="155" t="str">
        <f>VLOOKUP(Table323[[#This Row],[Census Tract]],'ES Energy Burden'!$B$2:$E$914,4,FALSE)</f>
        <v>No</v>
      </c>
    </row>
    <row r="254" spans="1:17" x14ac:dyDescent="0.2">
      <c r="A254" s="101">
        <v>9001010600</v>
      </c>
      <c r="B254" s="102" t="s">
        <v>2780</v>
      </c>
      <c r="C254" s="104" t="s">
        <v>944</v>
      </c>
      <c r="D254" s="69">
        <v>37228.613912640001</v>
      </c>
      <c r="E254" s="69">
        <v>0</v>
      </c>
      <c r="F254" s="13">
        <f>[1]!Table323[[#This Row],[Single Family]]+[1]!Table323[[#This Row],[2-4 Units]]+[1]!Table323[[#This Row],[&gt;4 Units]]</f>
        <v>0</v>
      </c>
      <c r="G254" s="13">
        <v>0</v>
      </c>
      <c r="H254" s="13">
        <v>0</v>
      </c>
      <c r="I254" s="13">
        <v>0</v>
      </c>
      <c r="J254" s="68">
        <v>0</v>
      </c>
      <c r="K254">
        <f t="shared" si="3"/>
        <v>0</v>
      </c>
      <c r="L254" s="13">
        <v>0</v>
      </c>
      <c r="M254" s="13">
        <v>0</v>
      </c>
      <c r="N254" s="13">
        <v>0</v>
      </c>
      <c r="O254" s="68">
        <v>0</v>
      </c>
      <c r="P254" s="155">
        <f>VLOOKUP(Table323[[#This Row],[Census Tract]],'Population and Diversity Data'!$B$2:$K$823,10,FALSE)</f>
        <v>3</v>
      </c>
      <c r="Q254" s="155" t="str">
        <f>VLOOKUP(Table323[[#This Row],[Census Tract]],'ES Energy Burden'!$B$2:$E$914,4,FALSE)</f>
        <v>No</v>
      </c>
    </row>
    <row r="255" spans="1:17" x14ac:dyDescent="0.2">
      <c r="A255" s="101">
        <v>9001010700</v>
      </c>
      <c r="B255" s="102" t="s">
        <v>2780</v>
      </c>
      <c r="C255" s="104" t="s">
        <v>944</v>
      </c>
      <c r="D255" s="69">
        <v>75171.932176319999</v>
      </c>
      <c r="E255" s="69">
        <v>287.59500000000003</v>
      </c>
      <c r="F255" s="13">
        <f>[1]!Table323[[#This Row],[Single Family]]+[1]!Table323[[#This Row],[2-4 Units]]+[1]!Table323[[#This Row],[&gt;4 Units]]</f>
        <v>1</v>
      </c>
      <c r="G255" s="13">
        <v>1</v>
      </c>
      <c r="H255" s="13">
        <v>0</v>
      </c>
      <c r="I255" s="13">
        <v>0</v>
      </c>
      <c r="J255" s="68">
        <v>286.505</v>
      </c>
      <c r="K255">
        <f t="shared" si="3"/>
        <v>0</v>
      </c>
      <c r="L255" s="13">
        <v>0</v>
      </c>
      <c r="M255" s="13">
        <v>0</v>
      </c>
      <c r="N255" s="13">
        <v>0</v>
      </c>
      <c r="O255" s="68">
        <v>0</v>
      </c>
      <c r="P255" s="155">
        <f>VLOOKUP(Table323[[#This Row],[Census Tract]],'Population and Diversity Data'!$B$2:$K$823,10,FALSE)</f>
        <v>3</v>
      </c>
      <c r="Q255" s="155" t="str">
        <f>VLOOKUP(Table323[[#This Row],[Census Tract]],'ES Energy Burden'!$B$2:$E$914,4,FALSE)</f>
        <v>No</v>
      </c>
    </row>
    <row r="256" spans="1:17" x14ac:dyDescent="0.2">
      <c r="A256" s="101">
        <v>9001010800</v>
      </c>
      <c r="B256" s="102" t="s">
        <v>2780</v>
      </c>
      <c r="C256" s="104" t="s">
        <v>944</v>
      </c>
      <c r="D256" s="69">
        <v>69433.055366399989</v>
      </c>
      <c r="E256" s="69">
        <v>4273.3671000000004</v>
      </c>
      <c r="F256" s="13">
        <f>[1]!Table323[[#This Row],[Single Family]]+[1]!Table323[[#This Row],[2-4 Units]]+[1]!Table323[[#This Row],[&gt;4 Units]]</f>
        <v>8</v>
      </c>
      <c r="G256" s="13">
        <v>8</v>
      </c>
      <c r="H256" s="13">
        <v>0</v>
      </c>
      <c r="I256" s="13">
        <v>0</v>
      </c>
      <c r="J256" s="68">
        <v>4098.4170999999997</v>
      </c>
      <c r="K256">
        <f t="shared" si="3"/>
        <v>0</v>
      </c>
      <c r="L256" s="13">
        <v>0</v>
      </c>
      <c r="M256" s="13">
        <v>0</v>
      </c>
      <c r="N256" s="13">
        <v>0</v>
      </c>
      <c r="O256" s="68">
        <v>0</v>
      </c>
      <c r="P256" s="155">
        <f>VLOOKUP(Table323[[#This Row],[Census Tract]],'Population and Diversity Data'!$B$2:$K$823,10,FALSE)</f>
        <v>3</v>
      </c>
      <c r="Q256" s="155" t="str">
        <f>VLOOKUP(Table323[[#This Row],[Census Tract]],'ES Energy Burden'!$B$2:$E$914,4,FALSE)</f>
        <v>No</v>
      </c>
    </row>
    <row r="257" spans="1:17" x14ac:dyDescent="0.2">
      <c r="A257" s="101">
        <v>9001010900</v>
      </c>
      <c r="B257" s="102" t="s">
        <v>2780</v>
      </c>
      <c r="C257" s="104" t="s">
        <v>944</v>
      </c>
      <c r="D257" s="69">
        <v>95240.909289600007</v>
      </c>
      <c r="E257" s="69">
        <v>5192.7631000000001</v>
      </c>
      <c r="F257" s="13">
        <f>[1]!Table323[[#This Row],[Single Family]]+[1]!Table323[[#This Row],[2-4 Units]]+[1]!Table323[[#This Row],[&gt;4 Units]]</f>
        <v>9</v>
      </c>
      <c r="G257" s="13">
        <v>9</v>
      </c>
      <c r="H257" s="13">
        <v>0</v>
      </c>
      <c r="I257" s="13">
        <v>0</v>
      </c>
      <c r="J257" s="68">
        <v>5191.4831000000004</v>
      </c>
      <c r="K257">
        <f t="shared" si="3"/>
        <v>0</v>
      </c>
      <c r="L257" s="13">
        <v>0</v>
      </c>
      <c r="M257" s="13">
        <v>0</v>
      </c>
      <c r="N257" s="13">
        <v>0</v>
      </c>
      <c r="O257" s="68">
        <v>0</v>
      </c>
      <c r="P257" s="155">
        <f>VLOOKUP(Table323[[#This Row],[Census Tract]],'Population and Diversity Data'!$B$2:$K$823,10,FALSE)</f>
        <v>5</v>
      </c>
      <c r="Q257" s="155" t="str">
        <f>VLOOKUP(Table323[[#This Row],[Census Tract]],'ES Energy Burden'!$B$2:$E$914,4,FALSE)</f>
        <v>No</v>
      </c>
    </row>
    <row r="258" spans="1:17" x14ac:dyDescent="0.2">
      <c r="A258" s="101">
        <v>9001011000</v>
      </c>
      <c r="B258" s="102" t="s">
        <v>2780</v>
      </c>
      <c r="C258" s="104" t="s">
        <v>944</v>
      </c>
      <c r="D258" s="69">
        <v>149163.66117504</v>
      </c>
      <c r="E258" s="69">
        <v>6130.23</v>
      </c>
      <c r="F258" s="13">
        <f>[1]!Table323[[#This Row],[Single Family]]+[1]!Table323[[#This Row],[2-4 Units]]+[1]!Table323[[#This Row],[&gt;4 Units]]</f>
        <v>11</v>
      </c>
      <c r="G258" s="13">
        <v>11</v>
      </c>
      <c r="H258" s="13">
        <v>0</v>
      </c>
      <c r="I258" s="13">
        <v>0</v>
      </c>
      <c r="J258" s="68">
        <v>6125.99</v>
      </c>
      <c r="K258">
        <f t="shared" si="3"/>
        <v>0</v>
      </c>
      <c r="L258" s="13">
        <v>0</v>
      </c>
      <c r="M258" s="13">
        <v>0</v>
      </c>
      <c r="N258" s="13">
        <v>0</v>
      </c>
      <c r="O258" s="68">
        <v>0</v>
      </c>
      <c r="P258" s="155">
        <f>VLOOKUP(Table323[[#This Row],[Census Tract]],'Population and Diversity Data'!$B$2:$K$823,10,FALSE)</f>
        <v>2</v>
      </c>
      <c r="Q258" s="155" t="str">
        <f>VLOOKUP(Table323[[#This Row],[Census Tract]],'ES Energy Burden'!$B$2:$E$914,4,FALSE)</f>
        <v>No</v>
      </c>
    </row>
    <row r="259" spans="1:17" x14ac:dyDescent="0.2">
      <c r="A259" s="101">
        <v>9001011100</v>
      </c>
      <c r="B259" s="102" t="s">
        <v>2780</v>
      </c>
      <c r="C259" s="104" t="s">
        <v>944</v>
      </c>
      <c r="D259" s="69">
        <v>155955.16353600001</v>
      </c>
      <c r="E259" s="69">
        <v>3011.9016999999999</v>
      </c>
      <c r="F259" s="13">
        <f>[1]!Table323[[#This Row],[Single Family]]+[1]!Table323[[#This Row],[2-4 Units]]+[1]!Table323[[#This Row],[&gt;4 Units]]</f>
        <v>8</v>
      </c>
      <c r="G259" s="13">
        <v>8</v>
      </c>
      <c r="H259" s="13">
        <v>0</v>
      </c>
      <c r="I259" s="13">
        <v>0</v>
      </c>
      <c r="J259" s="68">
        <v>3008.7617</v>
      </c>
      <c r="K259">
        <f t="shared" si="3"/>
        <v>0</v>
      </c>
      <c r="L259" s="13">
        <v>0</v>
      </c>
      <c r="M259" s="13">
        <v>0</v>
      </c>
      <c r="N259" s="13">
        <v>0</v>
      </c>
      <c r="O259" s="68">
        <v>0</v>
      </c>
      <c r="P259" s="155">
        <f>VLOOKUP(Table323[[#This Row],[Census Tract]],'Population and Diversity Data'!$B$2:$K$823,10,FALSE)</f>
        <v>3</v>
      </c>
      <c r="Q259" s="155" t="str">
        <f>VLOOKUP(Table323[[#This Row],[Census Tract]],'ES Energy Burden'!$B$2:$E$914,4,FALSE)</f>
        <v>No</v>
      </c>
    </row>
    <row r="260" spans="1:17" x14ac:dyDescent="0.2">
      <c r="A260" s="101">
        <v>9001011200</v>
      </c>
      <c r="B260" s="102" t="s">
        <v>2780</v>
      </c>
      <c r="C260" s="104" t="s">
        <v>944</v>
      </c>
      <c r="D260" s="69">
        <v>121647.03627168002</v>
      </c>
      <c r="E260" s="69">
        <v>2614.33</v>
      </c>
      <c r="F260" s="13">
        <f>[1]!Table323[[#This Row],[Single Family]]+[1]!Table323[[#This Row],[2-4 Units]]+[1]!Table323[[#This Row],[&gt;4 Units]]</f>
        <v>5</v>
      </c>
      <c r="G260" s="13">
        <v>5</v>
      </c>
      <c r="H260" s="13">
        <v>0</v>
      </c>
      <c r="I260" s="13">
        <v>0</v>
      </c>
      <c r="J260" s="68">
        <v>2611.9899999999998</v>
      </c>
      <c r="K260">
        <f t="shared" si="3"/>
        <v>0</v>
      </c>
      <c r="L260" s="13">
        <v>0</v>
      </c>
      <c r="M260" s="13">
        <v>0</v>
      </c>
      <c r="N260" s="13">
        <v>0</v>
      </c>
      <c r="O260" s="68">
        <v>0</v>
      </c>
      <c r="P260" s="155">
        <f>VLOOKUP(Table323[[#This Row],[Census Tract]],'Population and Diversity Data'!$B$2:$K$823,10,FALSE)</f>
        <v>4</v>
      </c>
      <c r="Q260" s="155" t="str">
        <f>VLOOKUP(Table323[[#This Row],[Census Tract]],'ES Energy Burden'!$B$2:$E$914,4,FALSE)</f>
        <v>No</v>
      </c>
    </row>
    <row r="261" spans="1:17" x14ac:dyDescent="0.2">
      <c r="A261" s="101">
        <v>9001011300</v>
      </c>
      <c r="B261" s="102" t="s">
        <v>2780</v>
      </c>
      <c r="C261" s="104" t="s">
        <v>944</v>
      </c>
      <c r="D261" s="69">
        <v>58601.731832639998</v>
      </c>
      <c r="E261" s="69">
        <v>628.98</v>
      </c>
      <c r="F261" s="13">
        <f>[1]!Table323[[#This Row],[Single Family]]+[1]!Table323[[#This Row],[2-4 Units]]+[1]!Table323[[#This Row],[&gt;4 Units]]</f>
        <v>5</v>
      </c>
      <c r="G261" s="13">
        <v>5</v>
      </c>
      <c r="H261" s="13">
        <v>0</v>
      </c>
      <c r="I261" s="13">
        <v>0</v>
      </c>
      <c r="J261" s="68">
        <v>627.25</v>
      </c>
      <c r="K261">
        <f t="shared" si="3"/>
        <v>0</v>
      </c>
      <c r="L261" s="13">
        <v>0</v>
      </c>
      <c r="M261" s="13">
        <v>0</v>
      </c>
      <c r="N261" s="13">
        <v>0</v>
      </c>
      <c r="O261" s="68">
        <v>0</v>
      </c>
      <c r="P261" s="155">
        <f>VLOOKUP(Table323[[#This Row],[Census Tract]],'Population and Diversity Data'!$B$2:$K$823,10,FALSE)</f>
        <v>5</v>
      </c>
      <c r="Q261" s="155" t="str">
        <f>VLOOKUP(Table323[[#This Row],[Census Tract]],'ES Energy Burden'!$B$2:$E$914,4,FALSE)</f>
        <v>No</v>
      </c>
    </row>
    <row r="262" spans="1:17" x14ac:dyDescent="0.2">
      <c r="A262" s="101">
        <v>9001020200</v>
      </c>
      <c r="B262" s="102" t="s">
        <v>2780</v>
      </c>
      <c r="C262" s="104" t="s">
        <v>944</v>
      </c>
      <c r="D262" s="69">
        <v>19079.450639999999</v>
      </c>
      <c r="E262" s="69">
        <v>0</v>
      </c>
      <c r="F262" s="13">
        <f>[1]!Table323[[#This Row],[Single Family]]+[1]!Table323[[#This Row],[2-4 Units]]+[1]!Table323[[#This Row],[&gt;4 Units]]</f>
        <v>0</v>
      </c>
      <c r="G262" s="13">
        <v>0</v>
      </c>
      <c r="H262" s="13">
        <v>0</v>
      </c>
      <c r="I262" s="13">
        <v>0</v>
      </c>
      <c r="J262" s="68">
        <v>0</v>
      </c>
      <c r="K262">
        <f t="shared" ref="K262:K325" si="4">L262+M262+N262</f>
        <v>0</v>
      </c>
      <c r="L262" s="13">
        <v>0</v>
      </c>
      <c r="M262" s="13">
        <v>0</v>
      </c>
      <c r="N262" s="13">
        <v>0</v>
      </c>
      <c r="O262" s="68">
        <v>0</v>
      </c>
      <c r="P262" s="155">
        <f>VLOOKUP(Table323[[#This Row],[Census Tract]],'Population and Diversity Data'!$B$2:$K$823,10,FALSE)</f>
        <v>4</v>
      </c>
      <c r="Q262" s="155" t="str">
        <f>VLOOKUP(Table323[[#This Row],[Census Tract]],'ES Energy Burden'!$B$2:$E$914,4,FALSE)</f>
        <v>No</v>
      </c>
    </row>
    <row r="263" spans="1:17" x14ac:dyDescent="0.2">
      <c r="A263" s="101">
        <v>9001021400</v>
      </c>
      <c r="B263" s="102" t="s">
        <v>2780</v>
      </c>
      <c r="C263" s="104" t="s">
        <v>944</v>
      </c>
      <c r="D263" s="69">
        <v>1134.8595072000003</v>
      </c>
      <c r="E263" s="69">
        <v>615.08000000000004</v>
      </c>
      <c r="F263" s="13">
        <f>[1]!Table323[[#This Row],[Single Family]]+[1]!Table323[[#This Row],[2-4 Units]]+[1]!Table323[[#This Row],[&gt;4 Units]]</f>
        <v>1</v>
      </c>
      <c r="G263" s="13">
        <v>1</v>
      </c>
      <c r="H263" s="13">
        <v>0</v>
      </c>
      <c r="I263" s="13">
        <v>0</v>
      </c>
      <c r="J263" s="68">
        <v>613.82000000000005</v>
      </c>
      <c r="K263">
        <f t="shared" si="4"/>
        <v>0</v>
      </c>
      <c r="L263" s="13">
        <v>0</v>
      </c>
      <c r="M263" s="13">
        <v>0</v>
      </c>
      <c r="N263" s="13">
        <v>0</v>
      </c>
      <c r="O263" s="68">
        <v>0</v>
      </c>
      <c r="P263" s="155">
        <f>VLOOKUP(Table323[[#This Row],[Census Tract]],'Population and Diversity Data'!$B$2:$K$823,10,FALSE)</f>
        <v>4</v>
      </c>
      <c r="Q263" s="155" t="str">
        <f>VLOOKUP(Table323[[#This Row],[Census Tract]],'ES Energy Burden'!$B$2:$E$914,4,FALSE)</f>
        <v>No</v>
      </c>
    </row>
    <row r="264" spans="1:17" x14ac:dyDescent="0.2">
      <c r="A264" s="101">
        <v>9011709100</v>
      </c>
      <c r="B264" s="102" t="s">
        <v>2781</v>
      </c>
      <c r="C264" s="104" t="s">
        <v>944</v>
      </c>
      <c r="D264" s="69">
        <v>132624.27403487999</v>
      </c>
      <c r="E264" s="69">
        <v>76633.350099999996</v>
      </c>
      <c r="F264" s="13">
        <f>[1]!Table323[[#This Row],[Single Family]]+[1]!Table323[[#This Row],[2-4 Units]]+[1]!Table323[[#This Row],[&gt;4 Units]]</f>
        <v>28</v>
      </c>
      <c r="G264" s="13">
        <v>28</v>
      </c>
      <c r="H264" s="13">
        <v>0</v>
      </c>
      <c r="I264" s="13">
        <v>0</v>
      </c>
      <c r="J264" s="68">
        <v>20303.747299999999</v>
      </c>
      <c r="K264">
        <f t="shared" si="4"/>
        <v>8</v>
      </c>
      <c r="L264" s="13">
        <v>8</v>
      </c>
      <c r="M264" s="13">
        <v>0</v>
      </c>
      <c r="N264" s="13">
        <v>0</v>
      </c>
      <c r="O264" s="68">
        <v>9930.36</v>
      </c>
      <c r="P264" s="155">
        <f>VLOOKUP(Table323[[#This Row],[Census Tract]],'Population and Diversity Data'!$B$2:$K$823,10,FALSE)</f>
        <v>3</v>
      </c>
      <c r="Q264" s="155" t="str">
        <f>VLOOKUP(Table323[[#This Row],[Census Tract]],'ES Energy Burden'!$B$2:$E$914,4,FALSE)</f>
        <v>No</v>
      </c>
    </row>
    <row r="265" spans="1:17" x14ac:dyDescent="0.2">
      <c r="A265" s="101">
        <v>9011709200</v>
      </c>
      <c r="B265" s="102" t="s">
        <v>2781</v>
      </c>
      <c r="C265" s="104" t="s">
        <v>944</v>
      </c>
      <c r="D265" s="69">
        <v>26264.613977280002</v>
      </c>
      <c r="E265" s="69">
        <v>3627.62</v>
      </c>
      <c r="F265" s="13">
        <f>[1]!Table323[[#This Row],[Single Family]]+[1]!Table323[[#This Row],[2-4 Units]]+[1]!Table323[[#This Row],[&gt;4 Units]]</f>
        <v>5</v>
      </c>
      <c r="G265" s="13">
        <v>5</v>
      </c>
      <c r="H265" s="13">
        <v>0</v>
      </c>
      <c r="I265" s="13">
        <v>0</v>
      </c>
      <c r="J265" s="68">
        <v>3626.33</v>
      </c>
      <c r="K265">
        <f t="shared" si="4"/>
        <v>0</v>
      </c>
      <c r="L265" s="13">
        <v>0</v>
      </c>
      <c r="M265" s="13">
        <v>0</v>
      </c>
      <c r="N265" s="13">
        <v>0</v>
      </c>
      <c r="O265" s="68">
        <v>0</v>
      </c>
      <c r="P265" s="155">
        <f>VLOOKUP(Table323[[#This Row],[Census Tract]],'Population and Diversity Data'!$B$2:$K$823,10,FALSE)</f>
        <v>5</v>
      </c>
      <c r="Q265" s="155" t="str">
        <f>VLOOKUP(Table323[[#This Row],[Census Tract]],'ES Energy Burden'!$B$2:$E$914,4,FALSE)</f>
        <v>No</v>
      </c>
    </row>
    <row r="266" spans="1:17" x14ac:dyDescent="0.2">
      <c r="A266" s="101">
        <v>9011710100</v>
      </c>
      <c r="B266" s="102" t="s">
        <v>2781</v>
      </c>
      <c r="C266" s="104" t="s">
        <v>944</v>
      </c>
      <c r="D266" s="69">
        <v>230.99048640000001</v>
      </c>
      <c r="E266" s="69">
        <v>0</v>
      </c>
      <c r="F266" s="13">
        <f>[1]!Table323[[#This Row],[Single Family]]+[1]!Table323[[#This Row],[2-4 Units]]+[1]!Table323[[#This Row],[&gt;4 Units]]</f>
        <v>0</v>
      </c>
      <c r="G266" s="13">
        <v>0</v>
      </c>
      <c r="H266" s="13">
        <v>0</v>
      </c>
      <c r="I266" s="13">
        <v>0</v>
      </c>
      <c r="J266" s="68">
        <v>0</v>
      </c>
      <c r="K266">
        <f t="shared" si="4"/>
        <v>0</v>
      </c>
      <c r="L266" s="13">
        <v>0</v>
      </c>
      <c r="M266" s="13">
        <v>0</v>
      </c>
      <c r="N266" s="13">
        <v>0</v>
      </c>
      <c r="O266" s="68">
        <v>0</v>
      </c>
      <c r="P266" s="155">
        <f>VLOOKUP(Table323[[#This Row],[Census Tract]],'Population and Diversity Data'!$B$2:$K$823,10,FALSE)</f>
        <v>3</v>
      </c>
      <c r="Q266" s="155" t="str">
        <f>VLOOKUP(Table323[[#This Row],[Census Tract]],'ES Energy Burden'!$B$2:$E$914,4,FALSE)</f>
        <v>No</v>
      </c>
    </row>
    <row r="267" spans="1:17" x14ac:dyDescent="0.2">
      <c r="A267" s="101">
        <v>9011702100</v>
      </c>
      <c r="B267" s="102" t="s">
        <v>2782</v>
      </c>
      <c r="C267" s="104" t="s">
        <v>944</v>
      </c>
      <c r="D267" s="69">
        <v>1500.225408</v>
      </c>
      <c r="E267" s="69">
        <v>0</v>
      </c>
      <c r="F267" s="13">
        <f>[1]!Table323[[#This Row],[Single Family]]+[1]!Table323[[#This Row],[2-4 Units]]+[1]!Table323[[#This Row],[&gt;4 Units]]</f>
        <v>2</v>
      </c>
      <c r="G267" s="13">
        <v>2</v>
      </c>
      <c r="H267" s="13">
        <v>0</v>
      </c>
      <c r="I267" s="13">
        <v>0</v>
      </c>
      <c r="J267" s="68">
        <v>0</v>
      </c>
      <c r="K267">
        <f t="shared" si="4"/>
        <v>0</v>
      </c>
      <c r="L267" s="13">
        <v>0</v>
      </c>
      <c r="M267" s="13">
        <v>0</v>
      </c>
      <c r="N267" s="13">
        <v>0</v>
      </c>
      <c r="O267" s="68">
        <v>0</v>
      </c>
      <c r="P267" s="155">
        <f>VLOOKUP(Table323[[#This Row],[Census Tract]],'Population and Diversity Data'!$B$2:$K$823,10,FALSE)</f>
        <v>4</v>
      </c>
      <c r="Q267" s="155" t="str">
        <f>VLOOKUP(Table323[[#This Row],[Census Tract]],'ES Energy Burden'!$B$2:$E$914,4,FALSE)</f>
        <v>No</v>
      </c>
    </row>
    <row r="268" spans="1:17" x14ac:dyDescent="0.2">
      <c r="A268" s="101">
        <v>9011702400</v>
      </c>
      <c r="B268" s="102" t="s">
        <v>2782</v>
      </c>
      <c r="C268" s="104" t="s">
        <v>944</v>
      </c>
      <c r="D268" s="69">
        <v>159.43512960000001</v>
      </c>
      <c r="E268" s="69">
        <v>0</v>
      </c>
      <c r="F268" s="13">
        <f>[1]!Table323[[#This Row],[Single Family]]+[1]!Table323[[#This Row],[2-4 Units]]+[1]!Table323[[#This Row],[&gt;4 Units]]</f>
        <v>0</v>
      </c>
      <c r="G268" s="13">
        <v>0</v>
      </c>
      <c r="H268" s="13">
        <v>0</v>
      </c>
      <c r="I268" s="13">
        <v>0</v>
      </c>
      <c r="J268" s="68">
        <v>0</v>
      </c>
      <c r="K268">
        <f t="shared" si="4"/>
        <v>0</v>
      </c>
      <c r="L268" s="13">
        <v>0</v>
      </c>
      <c r="M268" s="13">
        <v>0</v>
      </c>
      <c r="N268" s="13">
        <v>0</v>
      </c>
      <c r="O268" s="68">
        <v>0</v>
      </c>
      <c r="P268" s="155">
        <f>VLOOKUP(Table323[[#This Row],[Census Tract]],'Population and Diversity Data'!$B$2:$K$823,10,FALSE)</f>
        <v>5</v>
      </c>
      <c r="Q268" s="155" t="str">
        <f>VLOOKUP(Table323[[#This Row],[Census Tract]],'ES Energy Burden'!$B$2:$E$914,4,FALSE)</f>
        <v>No</v>
      </c>
    </row>
    <row r="269" spans="1:17" x14ac:dyDescent="0.2">
      <c r="A269" s="101">
        <v>9011702600</v>
      </c>
      <c r="B269" s="102" t="s">
        <v>2782</v>
      </c>
      <c r="C269" s="104" t="s">
        <v>944</v>
      </c>
      <c r="D269" s="69">
        <v>30.819571199999999</v>
      </c>
      <c r="E269" s="69">
        <v>0</v>
      </c>
      <c r="F269" s="13">
        <f>[1]!Table323[[#This Row],[Single Family]]+[1]!Table323[[#This Row],[2-4 Units]]+[1]!Table323[[#This Row],[&gt;4 Units]]</f>
        <v>0</v>
      </c>
      <c r="G269" s="13">
        <v>0</v>
      </c>
      <c r="H269" s="13">
        <v>0</v>
      </c>
      <c r="I269" s="13">
        <v>0</v>
      </c>
      <c r="J269" s="68">
        <v>0</v>
      </c>
      <c r="K269">
        <f t="shared" si="4"/>
        <v>0</v>
      </c>
      <c r="L269" s="13">
        <v>0</v>
      </c>
      <c r="M269" s="13">
        <v>0</v>
      </c>
      <c r="N269" s="13">
        <v>0</v>
      </c>
      <c r="O269" s="68">
        <v>0</v>
      </c>
      <c r="P269" s="155">
        <f>VLOOKUP(Table323[[#This Row],[Census Tract]],'Population and Diversity Data'!$B$2:$K$823,10,FALSE)</f>
        <v>3</v>
      </c>
      <c r="Q269" s="155" t="str">
        <f>VLOOKUP(Table323[[#This Row],[Census Tract]],'ES Energy Burden'!$B$2:$E$914,4,FALSE)</f>
        <v>No</v>
      </c>
    </row>
    <row r="270" spans="1:17" x14ac:dyDescent="0.2">
      <c r="A270" s="101">
        <v>9011702700</v>
      </c>
      <c r="B270" s="102" t="s">
        <v>2782</v>
      </c>
      <c r="C270" s="104" t="s">
        <v>944</v>
      </c>
      <c r="D270" s="69">
        <v>2747.5092</v>
      </c>
      <c r="E270" s="69">
        <v>59.2</v>
      </c>
      <c r="F270" s="13">
        <f>[1]!Table323[[#This Row],[Single Family]]+[1]!Table323[[#This Row],[2-4 Units]]+[1]!Table323[[#This Row],[&gt;4 Units]]</f>
        <v>1</v>
      </c>
      <c r="G270" s="13">
        <v>1</v>
      </c>
      <c r="H270" s="13">
        <v>0</v>
      </c>
      <c r="I270" s="13">
        <v>0</v>
      </c>
      <c r="J270" s="68">
        <v>42.01</v>
      </c>
      <c r="K270">
        <f t="shared" si="4"/>
        <v>0</v>
      </c>
      <c r="L270" s="13">
        <v>0</v>
      </c>
      <c r="M270" s="13">
        <v>0</v>
      </c>
      <c r="N270" s="13">
        <v>0</v>
      </c>
      <c r="O270" s="68">
        <v>0</v>
      </c>
      <c r="P270" s="155">
        <f>VLOOKUP(Table323[[#This Row],[Census Tract]],'Population and Diversity Data'!$B$2:$K$823,10,FALSE)</f>
        <v>5</v>
      </c>
      <c r="Q270" s="155" t="str">
        <f>VLOOKUP(Table323[[#This Row],[Census Tract]],'ES Energy Burden'!$B$2:$E$914,4,FALSE)</f>
        <v>No</v>
      </c>
    </row>
    <row r="271" spans="1:17" x14ac:dyDescent="0.2">
      <c r="A271" s="101">
        <v>9011702800</v>
      </c>
      <c r="B271" s="102" t="s">
        <v>2782</v>
      </c>
      <c r="C271" s="104" t="s">
        <v>944</v>
      </c>
      <c r="D271" s="69">
        <v>4683.0465792000005</v>
      </c>
      <c r="E271" s="69">
        <v>456.93</v>
      </c>
      <c r="F271" s="13">
        <f>[1]!Table323[[#This Row],[Single Family]]+[1]!Table323[[#This Row],[2-4 Units]]+[1]!Table323[[#This Row],[&gt;4 Units]]</f>
        <v>1</v>
      </c>
      <c r="G271" s="13">
        <v>1</v>
      </c>
      <c r="H271" s="13">
        <v>0</v>
      </c>
      <c r="I271" s="13">
        <v>0</v>
      </c>
      <c r="J271" s="68">
        <v>454.4</v>
      </c>
      <c r="K271">
        <f t="shared" si="4"/>
        <v>0</v>
      </c>
      <c r="L271" s="13">
        <v>0</v>
      </c>
      <c r="M271" s="13">
        <v>0</v>
      </c>
      <c r="N271" s="13">
        <v>0</v>
      </c>
      <c r="O271" s="68">
        <v>0</v>
      </c>
      <c r="P271" s="155">
        <f>VLOOKUP(Table323[[#This Row],[Census Tract]],'Population and Diversity Data'!$B$2:$K$823,10,FALSE)</f>
        <v>5</v>
      </c>
      <c r="Q271" s="155" t="str">
        <f>VLOOKUP(Table323[[#This Row],[Census Tract]],'ES Energy Burden'!$B$2:$E$914,4,FALSE)</f>
        <v>No</v>
      </c>
    </row>
    <row r="272" spans="1:17" x14ac:dyDescent="0.2">
      <c r="A272" s="101">
        <v>9011702900</v>
      </c>
      <c r="B272" s="102" t="s">
        <v>2782</v>
      </c>
      <c r="C272" s="104" t="s">
        <v>944</v>
      </c>
      <c r="D272" s="69">
        <v>35301.1096512</v>
      </c>
      <c r="E272" s="69">
        <v>49359.212299999999</v>
      </c>
      <c r="F272" s="13">
        <f>[1]!Table323[[#This Row],[Single Family]]+[1]!Table323[[#This Row],[2-4 Units]]+[1]!Table323[[#This Row],[&gt;4 Units]]</f>
        <v>15</v>
      </c>
      <c r="G272" s="13">
        <v>15</v>
      </c>
      <c r="H272" s="13">
        <v>0</v>
      </c>
      <c r="I272" s="13">
        <v>0</v>
      </c>
      <c r="J272" s="68">
        <v>16778.828300000001</v>
      </c>
      <c r="K272">
        <f t="shared" si="4"/>
        <v>0</v>
      </c>
      <c r="L272" s="13">
        <v>0</v>
      </c>
      <c r="M272" s="13">
        <v>0</v>
      </c>
      <c r="N272" s="13">
        <v>0</v>
      </c>
      <c r="O272" s="68">
        <v>0</v>
      </c>
      <c r="P272" s="155">
        <f>VLOOKUP(Table323[[#This Row],[Census Tract]],'Population and Diversity Data'!$B$2:$K$823,10,FALSE)</f>
        <v>2</v>
      </c>
      <c r="Q272" s="155" t="str">
        <f>VLOOKUP(Table323[[#This Row],[Census Tract]],'ES Energy Burden'!$B$2:$E$914,4,FALSE)</f>
        <v>No</v>
      </c>
    </row>
    <row r="273" spans="1:17" x14ac:dyDescent="0.2">
      <c r="A273" s="101">
        <v>9011703000</v>
      </c>
      <c r="B273" s="102" t="s">
        <v>2782</v>
      </c>
      <c r="C273" s="104" t="s">
        <v>944</v>
      </c>
      <c r="D273" s="69">
        <v>39.334896000000001</v>
      </c>
      <c r="E273" s="69">
        <v>0</v>
      </c>
      <c r="F273" s="13">
        <f>[1]!Table323[[#This Row],[Single Family]]+[1]!Table323[[#This Row],[2-4 Units]]+[1]!Table323[[#This Row],[&gt;4 Units]]</f>
        <v>1</v>
      </c>
      <c r="G273" s="13">
        <v>1</v>
      </c>
      <c r="H273" s="13">
        <v>0</v>
      </c>
      <c r="I273" s="13">
        <v>0</v>
      </c>
      <c r="J273" s="68">
        <v>0</v>
      </c>
      <c r="K273">
        <f t="shared" si="4"/>
        <v>0</v>
      </c>
      <c r="L273" s="13">
        <v>0</v>
      </c>
      <c r="M273" s="13">
        <v>0</v>
      </c>
      <c r="N273" s="13">
        <v>0</v>
      </c>
      <c r="O273" s="68">
        <v>0</v>
      </c>
      <c r="P273" s="155">
        <f>VLOOKUP(Table323[[#This Row],[Census Tract]],'Population and Diversity Data'!$B$2:$K$823,10,FALSE)</f>
        <v>2</v>
      </c>
      <c r="Q273" s="155" t="str">
        <f>VLOOKUP(Table323[[#This Row],[Census Tract]],'ES Energy Burden'!$B$2:$E$914,4,FALSE)</f>
        <v>No</v>
      </c>
    </row>
    <row r="274" spans="1:17" x14ac:dyDescent="0.2">
      <c r="A274" s="101">
        <v>9009190100</v>
      </c>
      <c r="B274" s="102" t="s">
        <v>2783</v>
      </c>
      <c r="C274" s="104" t="s">
        <v>944</v>
      </c>
      <c r="D274" s="69">
        <v>74457.283976639999</v>
      </c>
      <c r="E274" s="69">
        <v>30283.0586</v>
      </c>
      <c r="F274" s="13">
        <f>[1]!Table323[[#This Row],[Single Family]]+[1]!Table323[[#This Row],[2-4 Units]]+[1]!Table323[[#This Row],[&gt;4 Units]]</f>
        <v>23</v>
      </c>
      <c r="G274" s="13">
        <v>22</v>
      </c>
      <c r="H274" s="13">
        <v>1</v>
      </c>
      <c r="I274" s="13">
        <v>0</v>
      </c>
      <c r="J274" s="68">
        <v>15840.3686</v>
      </c>
      <c r="K274">
        <f t="shared" si="4"/>
        <v>0</v>
      </c>
      <c r="L274" s="13">
        <v>0</v>
      </c>
      <c r="M274" s="13">
        <v>0</v>
      </c>
      <c r="N274" s="13">
        <v>0</v>
      </c>
      <c r="O274" s="68">
        <v>0</v>
      </c>
      <c r="P274" s="155">
        <f>VLOOKUP(Table323[[#This Row],[Census Tract]],'Population and Diversity Data'!$B$2:$K$823,10,FALSE)</f>
        <v>2</v>
      </c>
      <c r="Q274" s="155" t="str">
        <f>VLOOKUP(Table323[[#This Row],[Census Tract]],'ES Energy Burden'!$B$2:$E$914,4,FALSE)</f>
        <v>No</v>
      </c>
    </row>
    <row r="275" spans="1:17" x14ac:dyDescent="0.2">
      <c r="A275" s="101">
        <v>9009190200</v>
      </c>
      <c r="B275" s="102" t="s">
        <v>2783</v>
      </c>
      <c r="C275" s="104" t="s">
        <v>944</v>
      </c>
      <c r="D275" s="69">
        <v>99217.489559040012</v>
      </c>
      <c r="E275" s="69">
        <v>24604.87</v>
      </c>
      <c r="F275" s="13">
        <f>[1]!Table323[[#This Row],[Single Family]]+[1]!Table323[[#This Row],[2-4 Units]]+[1]!Table323[[#This Row],[&gt;4 Units]]</f>
        <v>11</v>
      </c>
      <c r="G275" s="13">
        <v>11</v>
      </c>
      <c r="H275" s="13">
        <v>0</v>
      </c>
      <c r="I275" s="13">
        <v>0</v>
      </c>
      <c r="J275" s="68">
        <v>10232.11</v>
      </c>
      <c r="K275">
        <f t="shared" si="4"/>
        <v>0</v>
      </c>
      <c r="L275" s="13">
        <v>0</v>
      </c>
      <c r="M275" s="13">
        <v>0</v>
      </c>
      <c r="N275" s="13">
        <v>0</v>
      </c>
      <c r="O275" s="68">
        <v>0</v>
      </c>
      <c r="P275" s="155">
        <f>VLOOKUP(Table323[[#This Row],[Census Tract]],'Population and Diversity Data'!$B$2:$K$823,10,FALSE)</f>
        <v>3</v>
      </c>
      <c r="Q275" s="155" t="str">
        <f>VLOOKUP(Table323[[#This Row],[Census Tract]],'ES Energy Burden'!$B$2:$E$914,4,FALSE)</f>
        <v>No</v>
      </c>
    </row>
    <row r="276" spans="1:17" x14ac:dyDescent="0.2">
      <c r="A276" s="101">
        <v>9009190301</v>
      </c>
      <c r="B276" s="102" t="s">
        <v>2783</v>
      </c>
      <c r="C276" s="104" t="s">
        <v>944</v>
      </c>
      <c r="D276" s="69">
        <v>168002.32320576001</v>
      </c>
      <c r="E276" s="69">
        <v>178510.27609999999</v>
      </c>
      <c r="F276" s="13">
        <f>[1]!Table323[[#This Row],[Single Family]]+[1]!Table323[[#This Row],[2-4 Units]]+[1]!Table323[[#This Row],[&gt;4 Units]]</f>
        <v>26</v>
      </c>
      <c r="G276" s="13">
        <v>26</v>
      </c>
      <c r="H276" s="13">
        <v>0</v>
      </c>
      <c r="I276" s="13">
        <v>0</v>
      </c>
      <c r="J276" s="68">
        <v>29444.6361</v>
      </c>
      <c r="K276">
        <f t="shared" si="4"/>
        <v>19</v>
      </c>
      <c r="L276" s="13">
        <v>19</v>
      </c>
      <c r="M276" s="13">
        <v>0</v>
      </c>
      <c r="N276" s="13">
        <v>0</v>
      </c>
      <c r="O276" s="68">
        <v>62688.3</v>
      </c>
      <c r="P276" s="155">
        <f>VLOOKUP(Table323[[#This Row],[Census Tract]],'Population and Diversity Data'!$B$2:$K$823,10,FALSE)</f>
        <v>3</v>
      </c>
      <c r="Q276" s="155" t="str">
        <f>VLOOKUP(Table323[[#This Row],[Census Tract]],'ES Energy Burden'!$B$2:$E$914,4,FALSE)</f>
        <v>No</v>
      </c>
    </row>
    <row r="277" spans="1:17" x14ac:dyDescent="0.2">
      <c r="A277" s="101">
        <v>9009190302</v>
      </c>
      <c r="B277" s="102" t="s">
        <v>2783</v>
      </c>
      <c r="C277" s="104" t="s">
        <v>944</v>
      </c>
      <c r="D277" s="69">
        <v>114957.60608448001</v>
      </c>
      <c r="E277" s="69">
        <v>20711.39</v>
      </c>
      <c r="F277" s="13">
        <f>[1]!Table323[[#This Row],[Single Family]]+[1]!Table323[[#This Row],[2-4 Units]]+[1]!Table323[[#This Row],[&gt;4 Units]]</f>
        <v>25</v>
      </c>
      <c r="G277" s="13">
        <v>25</v>
      </c>
      <c r="H277" s="13">
        <v>0</v>
      </c>
      <c r="I277" s="13">
        <v>0</v>
      </c>
      <c r="J277" s="68">
        <v>20708.009999999998</v>
      </c>
      <c r="K277">
        <f t="shared" si="4"/>
        <v>0</v>
      </c>
      <c r="L277" s="13">
        <v>0</v>
      </c>
      <c r="M277" s="13">
        <v>0</v>
      </c>
      <c r="N277" s="13">
        <v>0</v>
      </c>
      <c r="O277" s="68">
        <v>0</v>
      </c>
      <c r="P277" s="155">
        <f>VLOOKUP(Table323[[#This Row],[Census Tract]],'Population and Diversity Data'!$B$2:$K$823,10,FALSE)</f>
        <v>2</v>
      </c>
      <c r="Q277" s="155" t="str">
        <f>VLOOKUP(Table323[[#This Row],[Census Tract]],'ES Energy Burden'!$B$2:$E$914,4,FALSE)</f>
        <v>No</v>
      </c>
    </row>
    <row r="278" spans="1:17" x14ac:dyDescent="0.2">
      <c r="A278" s="101">
        <v>9009190303</v>
      </c>
      <c r="B278" s="102" t="s">
        <v>2783</v>
      </c>
      <c r="C278" s="104" t="s">
        <v>944</v>
      </c>
      <c r="D278" s="69">
        <v>79310.844869760011</v>
      </c>
      <c r="E278" s="69">
        <v>18373.099999999999</v>
      </c>
      <c r="F278" s="13">
        <f>[1]!Table323[[#This Row],[Single Family]]+[1]!Table323[[#This Row],[2-4 Units]]+[1]!Table323[[#This Row],[&gt;4 Units]]</f>
        <v>13</v>
      </c>
      <c r="G278" s="13">
        <v>13</v>
      </c>
      <c r="H278" s="13">
        <v>0</v>
      </c>
      <c r="I278" s="13">
        <v>0</v>
      </c>
      <c r="J278" s="68">
        <v>11893.87</v>
      </c>
      <c r="K278">
        <f t="shared" si="4"/>
        <v>0</v>
      </c>
      <c r="L278" s="13">
        <v>0</v>
      </c>
      <c r="M278" s="13">
        <v>0</v>
      </c>
      <c r="N278" s="13">
        <v>0</v>
      </c>
      <c r="O278" s="68">
        <v>0</v>
      </c>
      <c r="P278" s="155">
        <f>VLOOKUP(Table323[[#This Row],[Census Tract]],'Population and Diversity Data'!$B$2:$K$823,10,FALSE)</f>
        <v>2</v>
      </c>
      <c r="Q278" s="155" t="str">
        <f>VLOOKUP(Table323[[#This Row],[Census Tract]],'ES Energy Burden'!$B$2:$E$914,4,FALSE)</f>
        <v>No</v>
      </c>
    </row>
    <row r="279" spans="1:17" x14ac:dyDescent="0.2">
      <c r="A279" s="101">
        <v>9009194201</v>
      </c>
      <c r="B279" s="102" t="s">
        <v>2783</v>
      </c>
      <c r="C279" s="104" t="s">
        <v>944</v>
      </c>
      <c r="D279" s="69">
        <v>910.06882560000008</v>
      </c>
      <c r="E279" s="69">
        <v>0</v>
      </c>
      <c r="F279" s="13">
        <f>[1]!Table323[[#This Row],[Single Family]]+[1]!Table323[[#This Row],[2-4 Units]]+[1]!Table323[[#This Row],[&gt;4 Units]]</f>
        <v>0</v>
      </c>
      <c r="G279" s="13">
        <v>0</v>
      </c>
      <c r="H279" s="13">
        <v>0</v>
      </c>
      <c r="I279" s="13">
        <v>0</v>
      </c>
      <c r="J279" s="68">
        <v>0</v>
      </c>
      <c r="K279">
        <f t="shared" si="4"/>
        <v>0</v>
      </c>
      <c r="L279" s="13">
        <v>0</v>
      </c>
      <c r="M279" s="13">
        <v>0</v>
      </c>
      <c r="N279" s="13">
        <v>0</v>
      </c>
      <c r="O279" s="68">
        <v>0</v>
      </c>
      <c r="P279" s="155">
        <f>VLOOKUP(Table323[[#This Row],[Census Tract]],'Population and Diversity Data'!$B$2:$K$823,10,FALSE)</f>
        <v>3</v>
      </c>
      <c r="Q279" s="155" t="str">
        <f>VLOOKUP(Table323[[#This Row],[Census Tract]],'ES Energy Burden'!$B$2:$E$914,4,FALSE)</f>
        <v>No</v>
      </c>
    </row>
    <row r="280" spans="1:17" x14ac:dyDescent="0.2">
      <c r="A280" s="101">
        <v>9007590100</v>
      </c>
      <c r="B280" s="102" t="s">
        <v>2784</v>
      </c>
      <c r="C280" s="104" t="s">
        <v>944</v>
      </c>
      <c r="D280" s="69">
        <v>183426.5535984</v>
      </c>
      <c r="E280" s="69">
        <v>59673.923699999999</v>
      </c>
      <c r="F280" s="13">
        <f>[1]!Table323[[#This Row],[Single Family]]+[1]!Table323[[#This Row],[2-4 Units]]+[1]!Table323[[#This Row],[&gt;4 Units]]</f>
        <v>21</v>
      </c>
      <c r="G280" s="13">
        <v>21</v>
      </c>
      <c r="H280" s="13">
        <v>0</v>
      </c>
      <c r="I280" s="13">
        <v>0</v>
      </c>
      <c r="J280" s="68">
        <v>23342.6937</v>
      </c>
      <c r="K280">
        <f t="shared" si="4"/>
        <v>9</v>
      </c>
      <c r="L280" s="13">
        <v>7</v>
      </c>
      <c r="M280" s="13">
        <v>2</v>
      </c>
      <c r="N280" s="13">
        <v>0</v>
      </c>
      <c r="O280" s="68">
        <v>11283.5</v>
      </c>
      <c r="P280" s="155">
        <f>VLOOKUP(Table323[[#This Row],[Census Tract]],'Population and Diversity Data'!$B$2:$K$823,10,FALSE)</f>
        <v>1</v>
      </c>
      <c r="Q280" s="155" t="str">
        <f>VLOOKUP(Table323[[#This Row],[Census Tract]],'ES Energy Burden'!$B$2:$E$914,4,FALSE)</f>
        <v>No</v>
      </c>
    </row>
    <row r="281" spans="1:17" x14ac:dyDescent="0.2">
      <c r="A281" s="101">
        <v>9015820000</v>
      </c>
      <c r="B281" s="102" t="s">
        <v>2785</v>
      </c>
      <c r="C281" s="104" t="s">
        <v>944</v>
      </c>
      <c r="D281" s="69">
        <v>39907.668815999998</v>
      </c>
      <c r="E281" s="69">
        <v>11419.08</v>
      </c>
      <c r="F281" s="13">
        <f>[1]!Table323[[#This Row],[Single Family]]+[1]!Table323[[#This Row],[2-4 Units]]+[1]!Table323[[#This Row],[&gt;4 Units]]</f>
        <v>1</v>
      </c>
      <c r="G281" s="13">
        <v>1</v>
      </c>
      <c r="H281" s="13">
        <v>0</v>
      </c>
      <c r="I281" s="13">
        <v>0</v>
      </c>
      <c r="J281" s="68">
        <v>327.83</v>
      </c>
      <c r="K281">
        <f t="shared" si="4"/>
        <v>1</v>
      </c>
      <c r="L281" s="13">
        <v>1</v>
      </c>
      <c r="M281" s="13">
        <v>0</v>
      </c>
      <c r="N281" s="13">
        <v>0</v>
      </c>
      <c r="O281" s="68">
        <v>478.11</v>
      </c>
      <c r="P281" s="155">
        <f>VLOOKUP(Table323[[#This Row],[Census Tract]],'Population and Diversity Data'!$B$2:$K$823,10,FALSE)</f>
        <v>4</v>
      </c>
      <c r="Q281" s="155" t="str">
        <f>VLOOKUP(Table323[[#This Row],[Census Tract]],'ES Energy Burden'!$B$2:$E$914,4,FALSE)</f>
        <v>No</v>
      </c>
    </row>
    <row r="282" spans="1:17" x14ac:dyDescent="0.2">
      <c r="A282" s="101">
        <v>9003471100</v>
      </c>
      <c r="B282" s="102" t="s">
        <v>979</v>
      </c>
      <c r="C282" s="104" t="s">
        <v>944</v>
      </c>
      <c r="D282" s="69">
        <v>393.70786559999999</v>
      </c>
      <c r="E282" s="69">
        <v>823.31</v>
      </c>
      <c r="F282" s="13">
        <f>[1]!Table323[[#This Row],[Single Family]]+[1]!Table323[[#This Row],[2-4 Units]]+[1]!Table323[[#This Row],[&gt;4 Units]]</f>
        <v>1</v>
      </c>
      <c r="G282" s="13">
        <v>1</v>
      </c>
      <c r="H282" s="13">
        <v>0</v>
      </c>
      <c r="I282" s="13">
        <v>0</v>
      </c>
      <c r="J282" s="68">
        <v>647.61</v>
      </c>
      <c r="K282">
        <f t="shared" si="4"/>
        <v>0</v>
      </c>
      <c r="L282" s="13">
        <v>0</v>
      </c>
      <c r="M282" s="13">
        <v>0</v>
      </c>
      <c r="N282" s="13">
        <v>0</v>
      </c>
      <c r="O282" s="68">
        <v>0</v>
      </c>
      <c r="P282" s="155">
        <f>VLOOKUP(Table323[[#This Row],[Census Tract]],'Population and Diversity Data'!$B$2:$K$823,10,FALSE)</f>
        <v>3</v>
      </c>
      <c r="Q282" s="155" t="str">
        <f>VLOOKUP(Table323[[#This Row],[Census Tract]],'ES Energy Burden'!$B$2:$E$914,4,FALSE)</f>
        <v>No</v>
      </c>
    </row>
    <row r="283" spans="1:17" x14ac:dyDescent="0.2">
      <c r="A283" s="101">
        <v>9003496700</v>
      </c>
      <c r="B283" s="102" t="s">
        <v>979</v>
      </c>
      <c r="C283" s="104" t="s">
        <v>944</v>
      </c>
      <c r="D283" s="69">
        <v>144.50581439999999</v>
      </c>
      <c r="E283" s="69">
        <v>0</v>
      </c>
      <c r="F283" s="13">
        <f>[1]!Table323[[#This Row],[Single Family]]+[1]!Table323[[#This Row],[2-4 Units]]+[1]!Table323[[#This Row],[&gt;4 Units]]</f>
        <v>0</v>
      </c>
      <c r="G283" s="13">
        <v>0</v>
      </c>
      <c r="H283" s="13">
        <v>0</v>
      </c>
      <c r="I283" s="13">
        <v>0</v>
      </c>
      <c r="J283" s="68">
        <v>0</v>
      </c>
      <c r="K283">
        <f t="shared" si="4"/>
        <v>0</v>
      </c>
      <c r="L283" s="13">
        <v>0</v>
      </c>
      <c r="M283" s="13">
        <v>0</v>
      </c>
      <c r="N283" s="13">
        <v>0</v>
      </c>
      <c r="O283" s="68">
        <v>0</v>
      </c>
      <c r="P283" s="155">
        <f>VLOOKUP(Table323[[#This Row],[Census Tract]],'Population and Diversity Data'!$B$2:$K$823,10,FALSE)</f>
        <v>5</v>
      </c>
      <c r="Q283" s="155" t="str">
        <f>VLOOKUP(Table323[[#This Row],[Census Tract]],'ES Energy Burden'!$B$2:$E$914,4,FALSE)</f>
        <v>No</v>
      </c>
    </row>
    <row r="284" spans="1:17" x14ac:dyDescent="0.2">
      <c r="A284" s="101">
        <v>9003496800</v>
      </c>
      <c r="B284" s="102" t="s">
        <v>979</v>
      </c>
      <c r="C284" s="104" t="s">
        <v>944</v>
      </c>
      <c r="D284" s="69">
        <v>153.42635519999999</v>
      </c>
      <c r="E284" s="69">
        <v>0</v>
      </c>
      <c r="F284" s="13">
        <f>[1]!Table323[[#This Row],[Single Family]]+[1]!Table323[[#This Row],[2-4 Units]]+[1]!Table323[[#This Row],[&gt;4 Units]]</f>
        <v>0</v>
      </c>
      <c r="G284" s="13">
        <v>0</v>
      </c>
      <c r="H284" s="13">
        <v>0</v>
      </c>
      <c r="I284" s="13">
        <v>0</v>
      </c>
      <c r="J284" s="68">
        <v>0</v>
      </c>
      <c r="K284">
        <f t="shared" si="4"/>
        <v>0</v>
      </c>
      <c r="L284" s="13">
        <v>0</v>
      </c>
      <c r="M284" s="13">
        <v>0</v>
      </c>
      <c r="N284" s="13">
        <v>0</v>
      </c>
      <c r="O284" s="68">
        <v>0</v>
      </c>
      <c r="P284" s="155">
        <f>VLOOKUP(Table323[[#This Row],[Census Tract]],'Population and Diversity Data'!$B$2:$K$823,10,FALSE)</f>
        <v>5</v>
      </c>
      <c r="Q284" s="155" t="str">
        <f>VLOOKUP(Table323[[#This Row],[Census Tract]],'ES Energy Burden'!$B$2:$E$914,4,FALSE)</f>
        <v>No</v>
      </c>
    </row>
    <row r="285" spans="1:17" x14ac:dyDescent="0.2">
      <c r="A285" s="101">
        <v>9003496900</v>
      </c>
      <c r="B285" s="102" t="s">
        <v>979</v>
      </c>
      <c r="C285" s="104" t="s">
        <v>944</v>
      </c>
      <c r="D285" s="69">
        <v>284.866848</v>
      </c>
      <c r="E285" s="69">
        <v>0</v>
      </c>
      <c r="F285" s="13">
        <f>[1]!Table323[[#This Row],[Single Family]]+[1]!Table323[[#This Row],[2-4 Units]]+[1]!Table323[[#This Row],[&gt;4 Units]]</f>
        <v>0</v>
      </c>
      <c r="G285" s="13">
        <v>0</v>
      </c>
      <c r="H285" s="13">
        <v>0</v>
      </c>
      <c r="I285" s="13">
        <v>0</v>
      </c>
      <c r="J285" s="68">
        <v>0</v>
      </c>
      <c r="K285">
        <f t="shared" si="4"/>
        <v>0</v>
      </c>
      <c r="L285" s="13">
        <v>0</v>
      </c>
      <c r="M285" s="13">
        <v>0</v>
      </c>
      <c r="N285" s="13">
        <v>0</v>
      </c>
      <c r="O285" s="68">
        <v>0</v>
      </c>
      <c r="P285" s="155">
        <f>VLOOKUP(Table323[[#This Row],[Census Tract]],'Population and Diversity Data'!$B$2:$K$823,10,FALSE)</f>
        <v>3</v>
      </c>
      <c r="Q285" s="155" t="str">
        <f>VLOOKUP(Table323[[#This Row],[Census Tract]],'ES Energy Burden'!$B$2:$E$914,4,FALSE)</f>
        <v>No</v>
      </c>
    </row>
    <row r="286" spans="1:17" x14ac:dyDescent="0.2">
      <c r="A286" s="101">
        <v>9003497100</v>
      </c>
      <c r="B286" s="102" t="s">
        <v>979</v>
      </c>
      <c r="C286" s="104" t="s">
        <v>944</v>
      </c>
      <c r="D286" s="69">
        <v>80.979523199999988</v>
      </c>
      <c r="E286" s="69">
        <v>0</v>
      </c>
      <c r="F286" s="13">
        <f>[1]!Table323[[#This Row],[Single Family]]+[1]!Table323[[#This Row],[2-4 Units]]+[1]!Table323[[#This Row],[&gt;4 Units]]</f>
        <v>0</v>
      </c>
      <c r="G286" s="13">
        <v>0</v>
      </c>
      <c r="H286" s="13">
        <v>0</v>
      </c>
      <c r="I286" s="13">
        <v>0</v>
      </c>
      <c r="J286" s="68">
        <v>0</v>
      </c>
      <c r="K286">
        <f t="shared" si="4"/>
        <v>0</v>
      </c>
      <c r="L286" s="13">
        <v>0</v>
      </c>
      <c r="M286" s="13">
        <v>0</v>
      </c>
      <c r="N286" s="13">
        <v>0</v>
      </c>
      <c r="O286" s="68">
        <v>0</v>
      </c>
      <c r="P286" s="155">
        <f>VLOOKUP(Table323[[#This Row],[Census Tract]],'Population and Diversity Data'!$B$2:$K$823,10,FALSE)</f>
        <v>2</v>
      </c>
      <c r="Q286" s="155" t="str">
        <f>VLOOKUP(Table323[[#This Row],[Census Tract]],'ES Energy Burden'!$B$2:$E$914,4,FALSE)</f>
        <v>No</v>
      </c>
    </row>
    <row r="287" spans="1:17" x14ac:dyDescent="0.2">
      <c r="A287" s="101">
        <v>9003500100</v>
      </c>
      <c r="B287" s="102" t="s">
        <v>979</v>
      </c>
      <c r="C287" s="104" t="s">
        <v>944</v>
      </c>
      <c r="D287" s="69">
        <v>27599.33412</v>
      </c>
      <c r="E287" s="69">
        <v>2246.44</v>
      </c>
      <c r="F287" s="13">
        <f>[1]!Table323[[#This Row],[Single Family]]+[1]!Table323[[#This Row],[2-4 Units]]+[1]!Table323[[#This Row],[&gt;4 Units]]</f>
        <v>3</v>
      </c>
      <c r="G287" s="13">
        <v>1</v>
      </c>
      <c r="H287" s="13">
        <v>2</v>
      </c>
      <c r="I287" s="13">
        <v>0</v>
      </c>
      <c r="J287" s="68">
        <v>313.92</v>
      </c>
      <c r="K287">
        <f t="shared" si="4"/>
        <v>0</v>
      </c>
      <c r="L287" s="13">
        <v>0</v>
      </c>
      <c r="M287" s="13">
        <v>0</v>
      </c>
      <c r="N287" s="13">
        <v>0</v>
      </c>
      <c r="O287" s="68">
        <v>0</v>
      </c>
      <c r="P287" s="155">
        <f>VLOOKUP(Table323[[#This Row],[Census Tract]],'Population and Diversity Data'!$B$2:$K$823,10,FALSE)</f>
        <v>5</v>
      </c>
      <c r="Q287" s="155" t="str">
        <f>VLOOKUP(Table323[[#This Row],[Census Tract]],'ES Energy Burden'!$B$2:$E$914,4,FALSE)</f>
        <v>Yes</v>
      </c>
    </row>
    <row r="288" spans="1:17" x14ac:dyDescent="0.2">
      <c r="A288" s="101">
        <v>9003500200</v>
      </c>
      <c r="B288" s="102" t="s">
        <v>979</v>
      </c>
      <c r="C288" s="104" t="s">
        <v>944</v>
      </c>
      <c r="D288" s="69">
        <v>18357.163539839996</v>
      </c>
      <c r="E288" s="69">
        <v>1257.69</v>
      </c>
      <c r="F288" s="13">
        <f>[1]!Table323[[#This Row],[Single Family]]+[1]!Table323[[#This Row],[2-4 Units]]+[1]!Table323[[#This Row],[&gt;4 Units]]</f>
        <v>2</v>
      </c>
      <c r="G288" s="13">
        <v>1</v>
      </c>
      <c r="H288" s="13">
        <v>1</v>
      </c>
      <c r="I288" s="13">
        <v>0</v>
      </c>
      <c r="J288" s="68">
        <v>272.32</v>
      </c>
      <c r="K288">
        <f t="shared" si="4"/>
        <v>0</v>
      </c>
      <c r="L288" s="13">
        <v>0</v>
      </c>
      <c r="M288" s="13">
        <v>0</v>
      </c>
      <c r="N288" s="13">
        <v>0</v>
      </c>
      <c r="O288" s="68">
        <v>0</v>
      </c>
      <c r="P288" s="155">
        <f>VLOOKUP(Table323[[#This Row],[Census Tract]],'Population and Diversity Data'!$B$2:$K$823,10,FALSE)</f>
        <v>5</v>
      </c>
      <c r="Q288" s="155" t="str">
        <f>VLOOKUP(Table323[[#This Row],[Census Tract]],'ES Energy Burden'!$B$2:$E$914,4,FALSE)</f>
        <v>Yes</v>
      </c>
    </row>
    <row r="289" spans="1:17" x14ac:dyDescent="0.2">
      <c r="A289" s="101">
        <v>9003500300</v>
      </c>
      <c r="B289" s="102" t="s">
        <v>979</v>
      </c>
      <c r="C289" s="104" t="s">
        <v>936</v>
      </c>
      <c r="D289" s="69">
        <v>19192.581737280001</v>
      </c>
      <c r="E289" s="69">
        <v>15607.35</v>
      </c>
      <c r="F289" s="13">
        <f>[1]!Table323[[#This Row],[Single Family]]+[1]!Table323[[#This Row],[2-4 Units]]+[1]!Table323[[#This Row],[&gt;4 Units]]</f>
        <v>1</v>
      </c>
      <c r="G289" s="13">
        <v>1</v>
      </c>
      <c r="H289" s="13">
        <v>0</v>
      </c>
      <c r="I289" s="13">
        <v>0</v>
      </c>
      <c r="J289" s="68">
        <v>1186.93</v>
      </c>
      <c r="K289">
        <f t="shared" si="4"/>
        <v>0</v>
      </c>
      <c r="L289" s="13">
        <v>0</v>
      </c>
      <c r="M289" s="13">
        <v>0</v>
      </c>
      <c r="N289" s="13">
        <v>0</v>
      </c>
      <c r="O289" s="68">
        <v>0</v>
      </c>
      <c r="P289" s="155">
        <f>VLOOKUP(Table323[[#This Row],[Census Tract]],'Population and Diversity Data'!$B$2:$K$823,10,FALSE)</f>
        <v>5</v>
      </c>
      <c r="Q289" s="155" t="e">
        <f>VLOOKUP(Table323[[#This Row],[Census Tract]],'ES Energy Burden'!$B$2:$E$914,4,FALSE)</f>
        <v>#N/A</v>
      </c>
    </row>
    <row r="290" spans="1:17" x14ac:dyDescent="0.2">
      <c r="A290" s="101">
        <v>9003500400</v>
      </c>
      <c r="B290" s="102" t="s">
        <v>979</v>
      </c>
      <c r="C290" s="104" t="s">
        <v>944</v>
      </c>
      <c r="D290" s="69">
        <v>20330.00047296</v>
      </c>
      <c r="E290" s="69">
        <v>601.65</v>
      </c>
      <c r="F290" s="13">
        <f>[1]!Table323[[#This Row],[Single Family]]+[1]!Table323[[#This Row],[2-4 Units]]+[1]!Table323[[#This Row],[&gt;4 Units]]</f>
        <v>1</v>
      </c>
      <c r="G290" s="13">
        <v>1</v>
      </c>
      <c r="H290" s="13">
        <v>0</v>
      </c>
      <c r="I290" s="13">
        <v>0</v>
      </c>
      <c r="J290" s="68">
        <v>11.18</v>
      </c>
      <c r="K290">
        <f t="shared" si="4"/>
        <v>0</v>
      </c>
      <c r="L290" s="13">
        <v>0</v>
      </c>
      <c r="M290" s="13">
        <v>0</v>
      </c>
      <c r="N290" s="13">
        <v>0</v>
      </c>
      <c r="O290" s="68">
        <v>0</v>
      </c>
      <c r="P290" s="155">
        <f>VLOOKUP(Table323[[#This Row],[Census Tract]],'Population and Diversity Data'!$B$2:$K$823,10,FALSE)</f>
        <v>5</v>
      </c>
      <c r="Q290" s="155" t="str">
        <f>VLOOKUP(Table323[[#This Row],[Census Tract]],'ES Energy Burden'!$B$2:$E$914,4,FALSE)</f>
        <v>Yes</v>
      </c>
    </row>
    <row r="291" spans="1:17" x14ac:dyDescent="0.2">
      <c r="A291" s="101">
        <v>9003500500</v>
      </c>
      <c r="B291" s="102" t="s">
        <v>979</v>
      </c>
      <c r="C291" s="104" t="s">
        <v>944</v>
      </c>
      <c r="D291" s="69">
        <v>16445.239833600001</v>
      </c>
      <c r="E291" s="69">
        <v>148437.2053</v>
      </c>
      <c r="F291" s="13">
        <f>[1]!Table323[[#This Row],[Single Family]]+[1]!Table323[[#This Row],[2-4 Units]]+[1]!Table323[[#This Row],[&gt;4 Units]]</f>
        <v>1</v>
      </c>
      <c r="G291" s="13">
        <v>1</v>
      </c>
      <c r="H291" s="13">
        <v>0</v>
      </c>
      <c r="I291" s="13">
        <v>0</v>
      </c>
      <c r="J291" s="68">
        <v>252.25</v>
      </c>
      <c r="K291">
        <f t="shared" si="4"/>
        <v>0</v>
      </c>
      <c r="L291" s="13">
        <v>0</v>
      </c>
      <c r="M291" s="13">
        <v>0</v>
      </c>
      <c r="N291" s="13">
        <v>0</v>
      </c>
      <c r="O291" s="68">
        <v>0</v>
      </c>
      <c r="P291" s="155">
        <f>VLOOKUP(Table323[[#This Row],[Census Tract]],'Population and Diversity Data'!$B$2:$K$823,10,FALSE)</f>
        <v>5</v>
      </c>
      <c r="Q291" s="155" t="str">
        <f>VLOOKUP(Table323[[#This Row],[Census Tract]],'ES Energy Burden'!$B$2:$E$914,4,FALSE)</f>
        <v>No</v>
      </c>
    </row>
    <row r="292" spans="1:17" x14ac:dyDescent="0.2">
      <c r="A292" s="101">
        <v>9003500900</v>
      </c>
      <c r="B292" s="102" t="s">
        <v>979</v>
      </c>
      <c r="C292" s="104" t="s">
        <v>944</v>
      </c>
      <c r="D292" s="69">
        <v>20985.07844736</v>
      </c>
      <c r="E292" s="69">
        <v>8680.39</v>
      </c>
      <c r="F292" s="13">
        <f>[1]!Table323[[#This Row],[Single Family]]+[1]!Table323[[#This Row],[2-4 Units]]+[1]!Table323[[#This Row],[&gt;4 Units]]</f>
        <v>1</v>
      </c>
      <c r="G292" s="13">
        <v>1</v>
      </c>
      <c r="H292" s="13">
        <v>0</v>
      </c>
      <c r="I292" s="13">
        <v>0</v>
      </c>
      <c r="J292" s="68">
        <v>2.34</v>
      </c>
      <c r="K292">
        <f t="shared" si="4"/>
        <v>0</v>
      </c>
      <c r="L292" s="13">
        <v>0</v>
      </c>
      <c r="M292" s="13">
        <v>0</v>
      </c>
      <c r="N292" s="13">
        <v>0</v>
      </c>
      <c r="O292" s="68">
        <v>0</v>
      </c>
      <c r="P292" s="155">
        <f>VLOOKUP(Table323[[#This Row],[Census Tract]],'Population and Diversity Data'!$B$2:$K$823,10,FALSE)</f>
        <v>5</v>
      </c>
      <c r="Q292" s="155" t="str">
        <f>VLOOKUP(Table323[[#This Row],[Census Tract]],'ES Energy Burden'!$B$2:$E$914,4,FALSE)</f>
        <v>Yes</v>
      </c>
    </row>
    <row r="293" spans="1:17" x14ac:dyDescent="0.2">
      <c r="A293" s="101">
        <v>9003501200</v>
      </c>
      <c r="B293" s="102" t="s">
        <v>979</v>
      </c>
      <c r="C293" s="104" t="s">
        <v>944</v>
      </c>
      <c r="D293" s="69">
        <v>23903.896184639998</v>
      </c>
      <c r="E293" s="69">
        <v>1628.75</v>
      </c>
      <c r="F293" s="13">
        <f>[1]!Table323[[#This Row],[Single Family]]+[1]!Table323[[#This Row],[2-4 Units]]+[1]!Table323[[#This Row],[&gt;4 Units]]</f>
        <v>1</v>
      </c>
      <c r="G293" s="13">
        <v>1</v>
      </c>
      <c r="H293" s="13">
        <v>0</v>
      </c>
      <c r="I293" s="13">
        <v>0</v>
      </c>
      <c r="J293" s="68">
        <v>1015.1</v>
      </c>
      <c r="K293">
        <f t="shared" si="4"/>
        <v>0</v>
      </c>
      <c r="L293" s="13">
        <v>0</v>
      </c>
      <c r="M293" s="13">
        <v>0</v>
      </c>
      <c r="N293" s="13">
        <v>0</v>
      </c>
      <c r="O293" s="68">
        <v>0</v>
      </c>
      <c r="P293" s="155">
        <f>VLOOKUP(Table323[[#This Row],[Census Tract]],'Population and Diversity Data'!$B$2:$K$823,10,FALSE)</f>
        <v>4</v>
      </c>
      <c r="Q293" s="155" t="str">
        <f>VLOOKUP(Table323[[#This Row],[Census Tract]],'ES Energy Burden'!$B$2:$E$914,4,FALSE)</f>
        <v>Yes</v>
      </c>
    </row>
    <row r="294" spans="1:17" x14ac:dyDescent="0.2">
      <c r="A294" s="101">
        <v>9003501300</v>
      </c>
      <c r="B294" s="102" t="s">
        <v>979</v>
      </c>
      <c r="C294" s="104" t="s">
        <v>944</v>
      </c>
      <c r="D294" s="69">
        <v>14078.583889920001</v>
      </c>
      <c r="E294" s="69">
        <v>2029.63</v>
      </c>
      <c r="F294" s="13">
        <f>[1]!Table323[[#This Row],[Single Family]]+[1]!Table323[[#This Row],[2-4 Units]]+[1]!Table323[[#This Row],[&gt;4 Units]]</f>
        <v>0</v>
      </c>
      <c r="G294" s="13">
        <v>0</v>
      </c>
      <c r="H294" s="13">
        <v>0</v>
      </c>
      <c r="I294" s="13">
        <v>0</v>
      </c>
      <c r="J294" s="68">
        <v>0</v>
      </c>
      <c r="K294">
        <f t="shared" si="4"/>
        <v>0</v>
      </c>
      <c r="L294" s="13">
        <v>0</v>
      </c>
      <c r="M294" s="13">
        <v>0</v>
      </c>
      <c r="N294" s="13">
        <v>0</v>
      </c>
      <c r="O294" s="68">
        <v>0</v>
      </c>
      <c r="P294" s="155">
        <f>VLOOKUP(Table323[[#This Row],[Census Tract]],'Population and Diversity Data'!$B$2:$K$823,10,FALSE)</f>
        <v>4</v>
      </c>
      <c r="Q294" s="155" t="str">
        <f>VLOOKUP(Table323[[#This Row],[Census Tract]],'ES Energy Burden'!$B$2:$E$914,4,FALSE)</f>
        <v>Yes</v>
      </c>
    </row>
    <row r="295" spans="1:17" x14ac:dyDescent="0.2">
      <c r="A295" s="101">
        <v>9003501400</v>
      </c>
      <c r="B295" s="102" t="s">
        <v>979</v>
      </c>
      <c r="C295" s="104" t="s">
        <v>944</v>
      </c>
      <c r="D295" s="69">
        <v>25922.267818560002</v>
      </c>
      <c r="E295" s="69">
        <v>53046.98</v>
      </c>
      <c r="F295" s="13">
        <f>[1]!Table323[[#This Row],[Single Family]]+[1]!Table323[[#This Row],[2-4 Units]]+[1]!Table323[[#This Row],[&gt;4 Units]]</f>
        <v>2</v>
      </c>
      <c r="G295" s="13">
        <v>0</v>
      </c>
      <c r="H295" s="13">
        <v>2</v>
      </c>
      <c r="I295" s="13">
        <v>0</v>
      </c>
      <c r="J295" s="68">
        <v>274.12</v>
      </c>
      <c r="K295">
        <f t="shared" si="4"/>
        <v>0</v>
      </c>
      <c r="L295" s="13">
        <v>0</v>
      </c>
      <c r="M295" s="13">
        <v>0</v>
      </c>
      <c r="N295" s="13">
        <v>0</v>
      </c>
      <c r="O295" s="68">
        <v>0</v>
      </c>
      <c r="P295" s="155">
        <f>VLOOKUP(Table323[[#This Row],[Census Tract]],'Population and Diversity Data'!$B$2:$K$823,10,FALSE)</f>
        <v>4</v>
      </c>
      <c r="Q295" s="155" t="str">
        <f>VLOOKUP(Table323[[#This Row],[Census Tract]],'ES Energy Burden'!$B$2:$E$914,4,FALSE)</f>
        <v>Yes</v>
      </c>
    </row>
    <row r="296" spans="1:17" x14ac:dyDescent="0.2">
      <c r="A296" s="101">
        <v>9003501500</v>
      </c>
      <c r="B296" s="102" t="s">
        <v>979</v>
      </c>
      <c r="C296" s="104" t="s">
        <v>944</v>
      </c>
      <c r="D296" s="69">
        <v>34494.509257919999</v>
      </c>
      <c r="E296" s="69">
        <v>10977.39</v>
      </c>
      <c r="F296" s="13">
        <f>[1]!Table323[[#This Row],[Single Family]]+[1]!Table323[[#This Row],[2-4 Units]]+[1]!Table323[[#This Row],[&gt;4 Units]]</f>
        <v>0</v>
      </c>
      <c r="G296" s="13">
        <v>0</v>
      </c>
      <c r="H296" s="13">
        <v>0</v>
      </c>
      <c r="I296" s="13">
        <v>0</v>
      </c>
      <c r="J296" s="68">
        <v>0</v>
      </c>
      <c r="K296">
        <f t="shared" si="4"/>
        <v>0</v>
      </c>
      <c r="L296" s="13">
        <v>0</v>
      </c>
      <c r="M296" s="13">
        <v>0</v>
      </c>
      <c r="N296" s="13">
        <v>0</v>
      </c>
      <c r="O296" s="68">
        <v>0</v>
      </c>
      <c r="P296" s="155">
        <f>VLOOKUP(Table323[[#This Row],[Census Tract]],'Population and Diversity Data'!$B$2:$K$823,10,FALSE)</f>
        <v>3</v>
      </c>
      <c r="Q296" s="155" t="str">
        <f>VLOOKUP(Table323[[#This Row],[Census Tract]],'ES Energy Burden'!$B$2:$E$914,4,FALSE)</f>
        <v>Yes</v>
      </c>
    </row>
    <row r="297" spans="1:17" x14ac:dyDescent="0.2">
      <c r="A297" s="101">
        <v>9003501700</v>
      </c>
      <c r="B297" s="102" t="s">
        <v>979</v>
      </c>
      <c r="C297" s="104" t="s">
        <v>944</v>
      </c>
      <c r="D297" s="69">
        <v>10912.4263584</v>
      </c>
      <c r="E297" s="69">
        <v>1164.8900000000001</v>
      </c>
      <c r="F297" s="13">
        <f>[1]!Table323[[#This Row],[Single Family]]+[1]!Table323[[#This Row],[2-4 Units]]+[1]!Table323[[#This Row],[&gt;4 Units]]</f>
        <v>0</v>
      </c>
      <c r="G297" s="13">
        <v>0</v>
      </c>
      <c r="H297" s="13">
        <v>0</v>
      </c>
      <c r="I297" s="13">
        <v>0</v>
      </c>
      <c r="J297" s="68">
        <v>0</v>
      </c>
      <c r="K297">
        <f t="shared" si="4"/>
        <v>0</v>
      </c>
      <c r="L297" s="13">
        <v>0</v>
      </c>
      <c r="M297" s="13">
        <v>0</v>
      </c>
      <c r="N297" s="13">
        <v>0</v>
      </c>
      <c r="O297" s="68">
        <v>0</v>
      </c>
      <c r="P297" s="155">
        <f>VLOOKUP(Table323[[#This Row],[Census Tract]],'Population and Diversity Data'!$B$2:$K$823,10,FALSE)</f>
        <v>5</v>
      </c>
      <c r="Q297" s="155" t="str">
        <f>VLOOKUP(Table323[[#This Row],[Census Tract]],'ES Energy Burden'!$B$2:$E$914,4,FALSE)</f>
        <v>Yes</v>
      </c>
    </row>
    <row r="298" spans="1:17" x14ac:dyDescent="0.2">
      <c r="A298" s="101">
        <v>9003501800</v>
      </c>
      <c r="B298" s="102" t="s">
        <v>979</v>
      </c>
      <c r="C298" s="104" t="s">
        <v>936</v>
      </c>
      <c r="D298" s="69">
        <v>19569.573285120001</v>
      </c>
      <c r="E298" s="69">
        <v>1213.1500000000001</v>
      </c>
      <c r="F298" s="13">
        <f>[1]!Table323[[#This Row],[Single Family]]+[1]!Table323[[#This Row],[2-4 Units]]+[1]!Table323[[#This Row],[&gt;4 Units]]</f>
        <v>1</v>
      </c>
      <c r="G298" s="13">
        <v>0</v>
      </c>
      <c r="H298" s="13">
        <v>1</v>
      </c>
      <c r="I298" s="13">
        <v>0</v>
      </c>
      <c r="J298" s="68">
        <v>75.63</v>
      </c>
      <c r="K298">
        <f t="shared" si="4"/>
        <v>0</v>
      </c>
      <c r="L298" s="13">
        <v>0</v>
      </c>
      <c r="M298" s="13">
        <v>0</v>
      </c>
      <c r="N298" s="13">
        <v>0</v>
      </c>
      <c r="O298" s="68">
        <v>0</v>
      </c>
      <c r="P298" s="155">
        <f>VLOOKUP(Table323[[#This Row],[Census Tract]],'Population and Diversity Data'!$B$2:$K$823,10,FALSE)</f>
        <v>5</v>
      </c>
      <c r="Q298" s="155" t="e">
        <f>VLOOKUP(Table323[[#This Row],[Census Tract]],'ES Energy Burden'!$B$2:$E$914,4,FALSE)</f>
        <v>#N/A</v>
      </c>
    </row>
    <row r="299" spans="1:17" x14ac:dyDescent="0.2">
      <c r="A299" s="101">
        <v>9003502100</v>
      </c>
      <c r="B299" s="102" t="s">
        <v>979</v>
      </c>
      <c r="C299" s="104" t="s">
        <v>944</v>
      </c>
      <c r="D299" s="69">
        <v>27091.375603200002</v>
      </c>
      <c r="E299" s="69">
        <v>2298.11</v>
      </c>
      <c r="F299" s="13">
        <f>[1]!Table323[[#This Row],[Single Family]]+[1]!Table323[[#This Row],[2-4 Units]]+[1]!Table323[[#This Row],[&gt;4 Units]]</f>
        <v>2</v>
      </c>
      <c r="G299" s="13">
        <v>0</v>
      </c>
      <c r="H299" s="13">
        <v>2</v>
      </c>
      <c r="I299" s="13">
        <v>0</v>
      </c>
      <c r="J299" s="68">
        <v>1333.77</v>
      </c>
      <c r="K299">
        <f t="shared" si="4"/>
        <v>0</v>
      </c>
      <c r="L299" s="13">
        <v>0</v>
      </c>
      <c r="M299" s="13">
        <v>0</v>
      </c>
      <c r="N299" s="13">
        <v>0</v>
      </c>
      <c r="O299" s="68">
        <v>0</v>
      </c>
      <c r="P299" s="155">
        <f>VLOOKUP(Table323[[#This Row],[Census Tract]],'Population and Diversity Data'!$B$2:$K$823,10,FALSE)</f>
        <v>5</v>
      </c>
      <c r="Q299" s="155" t="str">
        <f>VLOOKUP(Table323[[#This Row],[Census Tract]],'ES Energy Burden'!$B$2:$E$914,4,FALSE)</f>
        <v>No</v>
      </c>
    </row>
    <row r="300" spans="1:17" x14ac:dyDescent="0.2">
      <c r="A300" s="101">
        <v>9003502300</v>
      </c>
      <c r="B300" s="102" t="s">
        <v>979</v>
      </c>
      <c r="C300" s="104" t="s">
        <v>944</v>
      </c>
      <c r="D300" s="69">
        <v>61237.230647040007</v>
      </c>
      <c r="E300" s="69">
        <v>31422.542399999998</v>
      </c>
      <c r="F300" s="13">
        <f>[1]!Table323[[#This Row],[Single Family]]+[1]!Table323[[#This Row],[2-4 Units]]+[1]!Table323[[#This Row],[&gt;4 Units]]</f>
        <v>11</v>
      </c>
      <c r="G300" s="13">
        <v>9</v>
      </c>
      <c r="H300" s="13">
        <v>2</v>
      </c>
      <c r="I300" s="13">
        <v>0</v>
      </c>
      <c r="J300" s="68">
        <v>4292.2424000000001</v>
      </c>
      <c r="K300">
        <f t="shared" si="4"/>
        <v>0</v>
      </c>
      <c r="L300" s="13">
        <v>0</v>
      </c>
      <c r="M300" s="13">
        <v>0</v>
      </c>
      <c r="N300" s="13">
        <v>0</v>
      </c>
      <c r="O300" s="68">
        <v>0</v>
      </c>
      <c r="P300" s="155">
        <f>VLOOKUP(Table323[[#This Row],[Census Tract]],'Population and Diversity Data'!$B$2:$K$823,10,FALSE)</f>
        <v>5</v>
      </c>
      <c r="Q300" s="155" t="str">
        <f>VLOOKUP(Table323[[#This Row],[Census Tract]],'ES Energy Burden'!$B$2:$E$914,4,FALSE)</f>
        <v>No</v>
      </c>
    </row>
    <row r="301" spans="1:17" x14ac:dyDescent="0.2">
      <c r="A301" s="101">
        <v>9003502400</v>
      </c>
      <c r="B301" s="102" t="s">
        <v>979</v>
      </c>
      <c r="C301" s="104" t="s">
        <v>944</v>
      </c>
      <c r="D301" s="69">
        <v>172365.84481248003</v>
      </c>
      <c r="E301" s="69">
        <v>1207764.3359999999</v>
      </c>
      <c r="F301" s="13">
        <f>[1]!Table323[[#This Row],[Single Family]]+[1]!Table323[[#This Row],[2-4 Units]]+[1]!Table323[[#This Row],[&gt;4 Units]]</f>
        <v>385</v>
      </c>
      <c r="G301" s="13">
        <v>7</v>
      </c>
      <c r="H301" s="13">
        <v>5</v>
      </c>
      <c r="I301" s="13">
        <v>373</v>
      </c>
      <c r="J301" s="68">
        <v>155447.17000000001</v>
      </c>
      <c r="K301">
        <f t="shared" si="4"/>
        <v>1538</v>
      </c>
      <c r="L301" s="13">
        <v>765</v>
      </c>
      <c r="M301" s="13">
        <v>21</v>
      </c>
      <c r="N301" s="13">
        <v>752</v>
      </c>
      <c r="O301" s="68">
        <v>1052315</v>
      </c>
      <c r="P301" s="155">
        <f>VLOOKUP(Table323[[#This Row],[Census Tract]],'Population and Diversity Data'!$B$2:$K$823,10,FALSE)</f>
        <v>5</v>
      </c>
      <c r="Q301" s="155" t="str">
        <f>VLOOKUP(Table323[[#This Row],[Census Tract]],'ES Energy Burden'!$B$2:$E$914,4,FALSE)</f>
        <v>Yes</v>
      </c>
    </row>
    <row r="302" spans="1:17" x14ac:dyDescent="0.2">
      <c r="A302" s="101">
        <v>9003502500</v>
      </c>
      <c r="B302" s="102" t="s">
        <v>979</v>
      </c>
      <c r="C302" s="104" t="s">
        <v>944</v>
      </c>
      <c r="D302" s="69">
        <v>19596.776592960003</v>
      </c>
      <c r="E302" s="69">
        <v>18113.2</v>
      </c>
      <c r="F302" s="13">
        <f>[1]!Table323[[#This Row],[Single Family]]+[1]!Table323[[#This Row],[2-4 Units]]+[1]!Table323[[#This Row],[&gt;4 Units]]</f>
        <v>1</v>
      </c>
      <c r="G302" s="13">
        <v>1</v>
      </c>
      <c r="H302" s="13">
        <v>0</v>
      </c>
      <c r="I302" s="13">
        <v>0</v>
      </c>
      <c r="J302" s="68">
        <v>286.23</v>
      </c>
      <c r="K302">
        <f t="shared" si="4"/>
        <v>0</v>
      </c>
      <c r="L302" s="13">
        <v>0</v>
      </c>
      <c r="M302" s="13">
        <v>0</v>
      </c>
      <c r="N302" s="13">
        <v>0</v>
      </c>
      <c r="O302" s="68">
        <v>0</v>
      </c>
      <c r="P302" s="155">
        <f>VLOOKUP(Table323[[#This Row],[Census Tract]],'Population and Diversity Data'!$B$2:$K$823,10,FALSE)</f>
        <v>5</v>
      </c>
      <c r="Q302" s="155" t="str">
        <f>VLOOKUP(Table323[[#This Row],[Census Tract]],'ES Energy Burden'!$B$2:$E$914,4,FALSE)</f>
        <v>Yes</v>
      </c>
    </row>
    <row r="303" spans="1:17" x14ac:dyDescent="0.2">
      <c r="A303" s="101">
        <v>9003502600</v>
      </c>
      <c r="B303" s="102" t="s">
        <v>979</v>
      </c>
      <c r="C303" s="104" t="s">
        <v>944</v>
      </c>
      <c r="D303" s="69">
        <v>36489.036245759999</v>
      </c>
      <c r="E303" s="69">
        <v>8703.0400000000009</v>
      </c>
      <c r="F303" s="13">
        <f>[1]!Table323[[#This Row],[Single Family]]+[1]!Table323[[#This Row],[2-4 Units]]+[1]!Table323[[#This Row],[&gt;4 Units]]</f>
        <v>4</v>
      </c>
      <c r="G303" s="13">
        <v>4</v>
      </c>
      <c r="H303" s="13">
        <v>0</v>
      </c>
      <c r="I303" s="13">
        <v>0</v>
      </c>
      <c r="J303" s="68">
        <v>340.59</v>
      </c>
      <c r="K303">
        <f t="shared" si="4"/>
        <v>0</v>
      </c>
      <c r="L303" s="13">
        <v>0</v>
      </c>
      <c r="M303" s="13">
        <v>0</v>
      </c>
      <c r="N303" s="13">
        <v>0</v>
      </c>
      <c r="O303" s="68">
        <v>0</v>
      </c>
      <c r="P303" s="155">
        <f>VLOOKUP(Table323[[#This Row],[Census Tract]],'Population and Diversity Data'!$B$2:$K$823,10,FALSE)</f>
        <v>5</v>
      </c>
      <c r="Q303" s="155" t="str">
        <f>VLOOKUP(Table323[[#This Row],[Census Tract]],'ES Energy Burden'!$B$2:$E$914,4,FALSE)</f>
        <v>Yes</v>
      </c>
    </row>
    <row r="304" spans="1:17" x14ac:dyDescent="0.2">
      <c r="A304" s="101">
        <v>9003502700</v>
      </c>
      <c r="B304" s="102" t="s">
        <v>979</v>
      </c>
      <c r="C304" s="104" t="s">
        <v>944</v>
      </c>
      <c r="D304" s="69">
        <v>32741.750923200001</v>
      </c>
      <c r="E304" s="69">
        <v>2431</v>
      </c>
      <c r="F304" s="13">
        <f>[1]!Table323[[#This Row],[Single Family]]+[1]!Table323[[#This Row],[2-4 Units]]+[1]!Table323[[#This Row],[&gt;4 Units]]</f>
        <v>0</v>
      </c>
      <c r="G304" s="13">
        <v>0</v>
      </c>
      <c r="H304" s="13">
        <v>0</v>
      </c>
      <c r="I304" s="13">
        <v>0</v>
      </c>
      <c r="J304" s="68">
        <v>97.88</v>
      </c>
      <c r="K304">
        <f t="shared" si="4"/>
        <v>0</v>
      </c>
      <c r="L304" s="13">
        <v>0</v>
      </c>
      <c r="M304" s="13">
        <v>0</v>
      </c>
      <c r="N304" s="13">
        <v>0</v>
      </c>
      <c r="O304" s="68">
        <v>0</v>
      </c>
      <c r="P304" s="155">
        <f>VLOOKUP(Table323[[#This Row],[Census Tract]],'Population and Diversity Data'!$B$2:$K$823,10,FALSE)</f>
        <v>5</v>
      </c>
      <c r="Q304" s="155" t="str">
        <f>VLOOKUP(Table323[[#This Row],[Census Tract]],'ES Energy Burden'!$B$2:$E$914,4,FALSE)</f>
        <v>Yes</v>
      </c>
    </row>
    <row r="305" spans="1:17" x14ac:dyDescent="0.2">
      <c r="A305" s="101">
        <v>9003502800</v>
      </c>
      <c r="B305" s="102" t="s">
        <v>979</v>
      </c>
      <c r="C305" s="104" t="s">
        <v>936</v>
      </c>
      <c r="D305" s="69">
        <v>34597.11747456</v>
      </c>
      <c r="E305" s="69">
        <v>3386.56</v>
      </c>
      <c r="F305" s="13">
        <f>[1]!Table323[[#This Row],[Single Family]]+[1]!Table323[[#This Row],[2-4 Units]]+[1]!Table323[[#This Row],[&gt;4 Units]]</f>
        <v>0</v>
      </c>
      <c r="G305" s="13">
        <v>0</v>
      </c>
      <c r="H305" s="13">
        <v>0</v>
      </c>
      <c r="I305" s="13">
        <v>0</v>
      </c>
      <c r="J305" s="68">
        <v>0</v>
      </c>
      <c r="K305">
        <f t="shared" si="4"/>
        <v>0</v>
      </c>
      <c r="L305" s="13">
        <v>0</v>
      </c>
      <c r="M305" s="13">
        <v>0</v>
      </c>
      <c r="N305" s="13">
        <v>0</v>
      </c>
      <c r="O305" s="68">
        <v>0</v>
      </c>
      <c r="P305" s="155">
        <f>VLOOKUP(Table323[[#This Row],[Census Tract]],'Population and Diversity Data'!$B$2:$K$823,10,FALSE)</f>
        <v>5</v>
      </c>
      <c r="Q305" s="155" t="e">
        <f>VLOOKUP(Table323[[#This Row],[Census Tract]],'ES Energy Burden'!$B$2:$E$914,4,FALSE)</f>
        <v>#N/A</v>
      </c>
    </row>
    <row r="306" spans="1:17" x14ac:dyDescent="0.2">
      <c r="A306" s="101">
        <v>9003502900</v>
      </c>
      <c r="B306" s="102" t="s">
        <v>979</v>
      </c>
      <c r="C306" s="104" t="s">
        <v>944</v>
      </c>
      <c r="D306" s="69">
        <v>21805.829562239996</v>
      </c>
      <c r="E306" s="69">
        <v>534.38</v>
      </c>
      <c r="F306" s="13">
        <f>[1]!Table323[[#This Row],[Single Family]]+[1]!Table323[[#This Row],[2-4 Units]]+[1]!Table323[[#This Row],[&gt;4 Units]]</f>
        <v>2</v>
      </c>
      <c r="G306" s="13">
        <v>1</v>
      </c>
      <c r="H306" s="13">
        <v>1</v>
      </c>
      <c r="I306" s="13">
        <v>0</v>
      </c>
      <c r="J306" s="68">
        <v>228.18</v>
      </c>
      <c r="K306">
        <f t="shared" si="4"/>
        <v>0</v>
      </c>
      <c r="L306" s="13">
        <v>0</v>
      </c>
      <c r="M306" s="13">
        <v>0</v>
      </c>
      <c r="N306" s="13">
        <v>0</v>
      </c>
      <c r="O306" s="68">
        <v>0</v>
      </c>
      <c r="P306" s="155">
        <f>VLOOKUP(Table323[[#This Row],[Census Tract]],'Population and Diversity Data'!$B$2:$K$823,10,FALSE)</f>
        <v>5</v>
      </c>
      <c r="Q306" s="155" t="str">
        <f>VLOOKUP(Table323[[#This Row],[Census Tract]],'ES Energy Burden'!$B$2:$E$914,4,FALSE)</f>
        <v>No</v>
      </c>
    </row>
    <row r="307" spans="1:17" x14ac:dyDescent="0.2">
      <c r="A307" s="101">
        <v>9003503000</v>
      </c>
      <c r="B307" s="102" t="s">
        <v>979</v>
      </c>
      <c r="C307" s="104" t="s">
        <v>936</v>
      </c>
      <c r="D307" s="69">
        <v>27613.769650560003</v>
      </c>
      <c r="E307" s="69">
        <v>677.72</v>
      </c>
      <c r="F307" s="13">
        <f>[1]!Table323[[#This Row],[Single Family]]+[1]!Table323[[#This Row],[2-4 Units]]+[1]!Table323[[#This Row],[&gt;4 Units]]</f>
        <v>1</v>
      </c>
      <c r="G307" s="13">
        <v>1</v>
      </c>
      <c r="H307" s="13">
        <v>0</v>
      </c>
      <c r="I307" s="13">
        <v>0</v>
      </c>
      <c r="J307" s="68">
        <v>342.13</v>
      </c>
      <c r="K307">
        <f t="shared" si="4"/>
        <v>0</v>
      </c>
      <c r="L307" s="13">
        <v>0</v>
      </c>
      <c r="M307" s="13">
        <v>0</v>
      </c>
      <c r="N307" s="13">
        <v>0</v>
      </c>
      <c r="O307" s="68">
        <v>0</v>
      </c>
      <c r="P307" s="155">
        <f>VLOOKUP(Table323[[#This Row],[Census Tract]],'Population and Diversity Data'!$B$2:$K$823,10,FALSE)</f>
        <v>5</v>
      </c>
      <c r="Q307" s="155" t="e">
        <f>VLOOKUP(Table323[[#This Row],[Census Tract]],'ES Energy Burden'!$B$2:$E$914,4,FALSE)</f>
        <v>#N/A</v>
      </c>
    </row>
    <row r="308" spans="1:17" x14ac:dyDescent="0.2">
      <c r="A308" s="101">
        <v>9003503100</v>
      </c>
      <c r="B308" s="102" t="s">
        <v>979</v>
      </c>
      <c r="C308" s="104" t="s">
        <v>944</v>
      </c>
      <c r="D308" s="69">
        <v>50417.422194240004</v>
      </c>
      <c r="E308" s="69">
        <v>78848.03</v>
      </c>
      <c r="F308" s="13">
        <f>[1]!Table323[[#This Row],[Single Family]]+[1]!Table323[[#This Row],[2-4 Units]]+[1]!Table323[[#This Row],[&gt;4 Units]]</f>
        <v>0</v>
      </c>
      <c r="G308" s="13">
        <v>0</v>
      </c>
      <c r="H308" s="13">
        <v>0</v>
      </c>
      <c r="I308" s="13">
        <v>0</v>
      </c>
      <c r="J308" s="68">
        <v>0</v>
      </c>
      <c r="K308">
        <f t="shared" si="4"/>
        <v>0</v>
      </c>
      <c r="L308" s="13">
        <v>0</v>
      </c>
      <c r="M308" s="13">
        <v>0</v>
      </c>
      <c r="N308" s="13">
        <v>0</v>
      </c>
      <c r="O308" s="68">
        <v>0</v>
      </c>
      <c r="P308" s="155">
        <f>VLOOKUP(Table323[[#This Row],[Census Tract]],'Population and Diversity Data'!$B$2:$K$823,10,FALSE)</f>
        <v>5</v>
      </c>
      <c r="Q308" s="155" t="str">
        <f>VLOOKUP(Table323[[#This Row],[Census Tract]],'ES Energy Burden'!$B$2:$E$914,4,FALSE)</f>
        <v>No</v>
      </c>
    </row>
    <row r="309" spans="1:17" x14ac:dyDescent="0.2">
      <c r="A309" s="101">
        <v>9003503300</v>
      </c>
      <c r="B309" s="102" t="s">
        <v>979</v>
      </c>
      <c r="C309" s="104" t="s">
        <v>944</v>
      </c>
      <c r="D309" s="69">
        <v>24785.822180160001</v>
      </c>
      <c r="E309" s="69">
        <v>61180.35</v>
      </c>
      <c r="F309" s="13">
        <f>[1]!Table323[[#This Row],[Single Family]]+[1]!Table323[[#This Row],[2-4 Units]]+[1]!Table323[[#This Row],[&gt;4 Units]]</f>
        <v>0</v>
      </c>
      <c r="G309" s="13">
        <v>0</v>
      </c>
      <c r="H309" s="13">
        <v>0</v>
      </c>
      <c r="I309" s="13">
        <v>0</v>
      </c>
      <c r="J309" s="68">
        <v>0</v>
      </c>
      <c r="K309">
        <f t="shared" si="4"/>
        <v>0</v>
      </c>
      <c r="L309" s="13">
        <v>0</v>
      </c>
      <c r="M309" s="13">
        <v>0</v>
      </c>
      <c r="N309" s="13">
        <v>0</v>
      </c>
      <c r="O309" s="68">
        <v>0</v>
      </c>
      <c r="P309" s="155">
        <f>VLOOKUP(Table323[[#This Row],[Census Tract]],'Population and Diversity Data'!$B$2:$K$823,10,FALSE)</f>
        <v>5</v>
      </c>
      <c r="Q309" s="155" t="str">
        <f>VLOOKUP(Table323[[#This Row],[Census Tract]],'ES Energy Burden'!$B$2:$E$914,4,FALSE)</f>
        <v>Yes</v>
      </c>
    </row>
    <row r="310" spans="1:17" x14ac:dyDescent="0.2">
      <c r="A310" s="101">
        <v>9003503500</v>
      </c>
      <c r="B310" s="102" t="s">
        <v>979</v>
      </c>
      <c r="C310" s="104" t="s">
        <v>944</v>
      </c>
      <c r="D310" s="69">
        <v>14693.213203200001</v>
      </c>
      <c r="E310" s="69">
        <v>2186.64</v>
      </c>
      <c r="F310" s="13">
        <f>[1]!Table323[[#This Row],[Single Family]]+[1]!Table323[[#This Row],[2-4 Units]]+[1]!Table323[[#This Row],[&gt;4 Units]]</f>
        <v>0</v>
      </c>
      <c r="G310" s="13">
        <v>0</v>
      </c>
      <c r="H310" s="13">
        <v>0</v>
      </c>
      <c r="I310" s="13">
        <v>0</v>
      </c>
      <c r="J310" s="68">
        <v>0</v>
      </c>
      <c r="K310">
        <f t="shared" si="4"/>
        <v>0</v>
      </c>
      <c r="L310" s="13">
        <v>0</v>
      </c>
      <c r="M310" s="13">
        <v>0</v>
      </c>
      <c r="N310" s="13">
        <v>0</v>
      </c>
      <c r="O310" s="68">
        <v>0</v>
      </c>
      <c r="P310" s="155">
        <f>VLOOKUP(Table323[[#This Row],[Census Tract]],'Population and Diversity Data'!$B$2:$K$823,10,FALSE)</f>
        <v>4</v>
      </c>
      <c r="Q310" s="155" t="str">
        <f>VLOOKUP(Table323[[#This Row],[Census Tract]],'ES Energy Burden'!$B$2:$E$914,4,FALSE)</f>
        <v>Yes</v>
      </c>
    </row>
    <row r="311" spans="1:17" x14ac:dyDescent="0.2">
      <c r="A311" s="101">
        <v>9003503700</v>
      </c>
      <c r="B311" s="102" t="s">
        <v>979</v>
      </c>
      <c r="C311" s="104" t="s">
        <v>944</v>
      </c>
      <c r="D311" s="69">
        <v>32750.498957759999</v>
      </c>
      <c r="E311" s="69">
        <v>26309.74</v>
      </c>
      <c r="F311" s="13">
        <f>[1]!Table323[[#This Row],[Single Family]]+[1]!Table323[[#This Row],[2-4 Units]]+[1]!Table323[[#This Row],[&gt;4 Units]]</f>
        <v>1</v>
      </c>
      <c r="G311" s="13">
        <v>1</v>
      </c>
      <c r="H311" s="13">
        <v>0</v>
      </c>
      <c r="I311" s="13">
        <v>0</v>
      </c>
      <c r="J311" s="68">
        <v>363.33</v>
      </c>
      <c r="K311">
        <f t="shared" si="4"/>
        <v>0</v>
      </c>
      <c r="L311" s="13">
        <v>0</v>
      </c>
      <c r="M311" s="13">
        <v>0</v>
      </c>
      <c r="N311" s="13">
        <v>0</v>
      </c>
      <c r="O311" s="68">
        <v>0</v>
      </c>
      <c r="P311" s="155">
        <f>VLOOKUP(Table323[[#This Row],[Census Tract]],'Population and Diversity Data'!$B$2:$K$823,10,FALSE)</f>
        <v>2</v>
      </c>
      <c r="Q311" s="155" t="str">
        <f>VLOOKUP(Table323[[#This Row],[Census Tract]],'ES Energy Burden'!$B$2:$E$914,4,FALSE)</f>
        <v>Yes</v>
      </c>
    </row>
    <row r="312" spans="1:17" x14ac:dyDescent="0.2">
      <c r="A312" s="101">
        <v>9003503800</v>
      </c>
      <c r="B312" s="102" t="s">
        <v>979</v>
      </c>
      <c r="C312" s="104" t="s">
        <v>944</v>
      </c>
      <c r="D312" s="69">
        <v>5708.3524675200006</v>
      </c>
      <c r="E312" s="69">
        <v>98479.72</v>
      </c>
      <c r="F312" s="13">
        <f>[1]!Table323[[#This Row],[Single Family]]+[1]!Table323[[#This Row],[2-4 Units]]+[1]!Table323[[#This Row],[&gt;4 Units]]</f>
        <v>0</v>
      </c>
      <c r="G312" s="13">
        <v>0</v>
      </c>
      <c r="H312" s="13">
        <v>0</v>
      </c>
      <c r="I312" s="13">
        <v>0</v>
      </c>
      <c r="J312" s="68">
        <v>0</v>
      </c>
      <c r="K312">
        <f t="shared" si="4"/>
        <v>0</v>
      </c>
      <c r="L312" s="13">
        <v>0</v>
      </c>
      <c r="M312" s="13">
        <v>0</v>
      </c>
      <c r="N312" s="13">
        <v>0</v>
      </c>
      <c r="O312" s="68">
        <v>0</v>
      </c>
      <c r="P312" s="155">
        <f>VLOOKUP(Table323[[#This Row],[Census Tract]],'Population and Diversity Data'!$B$2:$K$823,10,FALSE)</f>
        <v>4</v>
      </c>
      <c r="Q312" s="155" t="str">
        <f>VLOOKUP(Table323[[#This Row],[Census Tract]],'ES Energy Burden'!$B$2:$E$914,4,FALSE)</f>
        <v>Yes</v>
      </c>
    </row>
    <row r="313" spans="1:17" x14ac:dyDescent="0.2">
      <c r="A313" s="101">
        <v>9003503900</v>
      </c>
      <c r="B313" s="102" t="s">
        <v>979</v>
      </c>
      <c r="C313" s="104" t="s">
        <v>944</v>
      </c>
      <c r="D313" s="69">
        <v>55706.715325440004</v>
      </c>
      <c r="E313" s="69">
        <v>43874.208400000003</v>
      </c>
      <c r="F313" s="13">
        <f>[1]!Table323[[#This Row],[Single Family]]+[1]!Table323[[#This Row],[2-4 Units]]+[1]!Table323[[#This Row],[&gt;4 Units]]</f>
        <v>18</v>
      </c>
      <c r="G313" s="13">
        <v>18</v>
      </c>
      <c r="H313" s="13">
        <v>0</v>
      </c>
      <c r="I313" s="13">
        <v>0</v>
      </c>
      <c r="J313" s="68">
        <v>3779.3683999999998</v>
      </c>
      <c r="K313">
        <f t="shared" si="4"/>
        <v>0</v>
      </c>
      <c r="L313" s="13">
        <v>0</v>
      </c>
      <c r="M313" s="13">
        <v>0</v>
      </c>
      <c r="N313" s="13">
        <v>0</v>
      </c>
      <c r="O313" s="68">
        <v>0</v>
      </c>
      <c r="P313" s="155">
        <f>VLOOKUP(Table323[[#This Row],[Census Tract]],'Population and Diversity Data'!$B$2:$K$823,10,FALSE)</f>
        <v>2</v>
      </c>
      <c r="Q313" s="155" t="str">
        <f>VLOOKUP(Table323[[#This Row],[Census Tract]],'ES Energy Burden'!$B$2:$E$914,4,FALSE)</f>
        <v>No</v>
      </c>
    </row>
    <row r="314" spans="1:17" x14ac:dyDescent="0.2">
      <c r="A314" s="101">
        <v>9003504000</v>
      </c>
      <c r="B314" s="102" t="s">
        <v>979</v>
      </c>
      <c r="C314" s="104" t="s">
        <v>944</v>
      </c>
      <c r="D314" s="69">
        <v>32737.94073504</v>
      </c>
      <c r="E314" s="69">
        <v>14980.31</v>
      </c>
      <c r="F314" s="13">
        <f>[1]!Table323[[#This Row],[Single Family]]+[1]!Table323[[#This Row],[2-4 Units]]+[1]!Table323[[#This Row],[&gt;4 Units]]</f>
        <v>6</v>
      </c>
      <c r="G314" s="13">
        <v>5</v>
      </c>
      <c r="H314" s="13">
        <v>1</v>
      </c>
      <c r="I314" s="13">
        <v>0</v>
      </c>
      <c r="J314" s="68">
        <v>3264.41</v>
      </c>
      <c r="K314">
        <f t="shared" si="4"/>
        <v>0</v>
      </c>
      <c r="L314" s="13">
        <v>0</v>
      </c>
      <c r="M314" s="13">
        <v>0</v>
      </c>
      <c r="N314" s="13">
        <v>0</v>
      </c>
      <c r="O314" s="68">
        <v>0</v>
      </c>
      <c r="P314" s="155">
        <f>VLOOKUP(Table323[[#This Row],[Census Tract]],'Population and Diversity Data'!$B$2:$K$823,10,FALSE)</f>
        <v>1</v>
      </c>
      <c r="Q314" s="155" t="str">
        <f>VLOOKUP(Table323[[#This Row],[Census Tract]],'ES Energy Burden'!$B$2:$E$914,4,FALSE)</f>
        <v>Yes</v>
      </c>
    </row>
    <row r="315" spans="1:17" x14ac:dyDescent="0.2">
      <c r="A315" s="101">
        <v>9003504100</v>
      </c>
      <c r="B315" s="102" t="s">
        <v>979</v>
      </c>
      <c r="C315" s="104" t="s">
        <v>944</v>
      </c>
      <c r="D315" s="69">
        <v>16383.093013440001</v>
      </c>
      <c r="E315" s="69">
        <v>14080.65</v>
      </c>
      <c r="F315" s="13">
        <f>[1]!Table323[[#This Row],[Single Family]]+[1]!Table323[[#This Row],[2-4 Units]]+[1]!Table323[[#This Row],[&gt;4 Units]]</f>
        <v>1</v>
      </c>
      <c r="G315" s="13">
        <v>1</v>
      </c>
      <c r="H315" s="13">
        <v>0</v>
      </c>
      <c r="I315" s="13">
        <v>0</v>
      </c>
      <c r="J315" s="68">
        <v>134.46</v>
      </c>
      <c r="K315">
        <f t="shared" si="4"/>
        <v>0</v>
      </c>
      <c r="L315" s="13">
        <v>0</v>
      </c>
      <c r="M315" s="13">
        <v>0</v>
      </c>
      <c r="N315" s="13">
        <v>0</v>
      </c>
      <c r="O315" s="68">
        <v>0</v>
      </c>
      <c r="P315" s="155">
        <f>VLOOKUP(Table323[[#This Row],[Census Tract]],'Population and Diversity Data'!$B$2:$K$823,10,FALSE)</f>
        <v>5</v>
      </c>
      <c r="Q315" s="155" t="str">
        <f>VLOOKUP(Table323[[#This Row],[Census Tract]],'ES Energy Burden'!$B$2:$E$914,4,FALSE)</f>
        <v>Yes</v>
      </c>
    </row>
    <row r="316" spans="1:17" x14ac:dyDescent="0.2">
      <c r="A316" s="101">
        <v>9003504200</v>
      </c>
      <c r="B316" s="102" t="s">
        <v>979</v>
      </c>
      <c r="C316" s="104" t="s">
        <v>944</v>
      </c>
      <c r="D316" s="69">
        <v>54014.641560000004</v>
      </c>
      <c r="E316" s="69">
        <v>3657.96</v>
      </c>
      <c r="F316" s="13">
        <f>[1]!Table323[[#This Row],[Single Family]]+[1]!Table323[[#This Row],[2-4 Units]]+[1]!Table323[[#This Row],[&gt;4 Units]]</f>
        <v>3</v>
      </c>
      <c r="G316" s="13">
        <v>3</v>
      </c>
      <c r="H316" s="13">
        <v>0</v>
      </c>
      <c r="I316" s="13">
        <v>0</v>
      </c>
      <c r="J316" s="68">
        <v>987.73</v>
      </c>
      <c r="K316">
        <f t="shared" si="4"/>
        <v>0</v>
      </c>
      <c r="L316" s="13">
        <v>0</v>
      </c>
      <c r="M316" s="13">
        <v>0</v>
      </c>
      <c r="N316" s="13">
        <v>0</v>
      </c>
      <c r="O316" s="68">
        <v>0</v>
      </c>
      <c r="P316" s="155">
        <f>VLOOKUP(Table323[[#This Row],[Census Tract]],'Population and Diversity Data'!$B$2:$K$823,10,FALSE)</f>
        <v>5</v>
      </c>
      <c r="Q316" s="155" t="str">
        <f>VLOOKUP(Table323[[#This Row],[Census Tract]],'ES Energy Burden'!$B$2:$E$914,4,FALSE)</f>
        <v>No</v>
      </c>
    </row>
    <row r="317" spans="1:17" x14ac:dyDescent="0.2">
      <c r="A317" s="101">
        <v>9003504300</v>
      </c>
      <c r="B317" s="102" t="s">
        <v>979</v>
      </c>
      <c r="C317" s="104" t="s">
        <v>944</v>
      </c>
      <c r="D317" s="69">
        <v>23985.625936320001</v>
      </c>
      <c r="E317" s="69">
        <v>18422.213</v>
      </c>
      <c r="F317" s="13">
        <f>[1]!Table323[[#This Row],[Single Family]]+[1]!Table323[[#This Row],[2-4 Units]]+[1]!Table323[[#This Row],[&gt;4 Units]]</f>
        <v>2</v>
      </c>
      <c r="G317" s="13">
        <v>0</v>
      </c>
      <c r="H317" s="13">
        <v>2</v>
      </c>
      <c r="I317" s="13">
        <v>0</v>
      </c>
      <c r="J317" s="68">
        <v>191.34299999999999</v>
      </c>
      <c r="K317">
        <f t="shared" si="4"/>
        <v>0</v>
      </c>
      <c r="L317" s="13">
        <v>0</v>
      </c>
      <c r="M317" s="13">
        <v>0</v>
      </c>
      <c r="N317" s="13">
        <v>0</v>
      </c>
      <c r="O317" s="68">
        <v>0</v>
      </c>
      <c r="P317" s="155">
        <f>VLOOKUP(Table323[[#This Row],[Census Tract]],'Population and Diversity Data'!$B$2:$K$823,10,FALSE)</f>
        <v>5</v>
      </c>
      <c r="Q317" s="155" t="str">
        <f>VLOOKUP(Table323[[#This Row],[Census Tract]],'ES Energy Burden'!$B$2:$E$914,4,FALSE)</f>
        <v>Yes</v>
      </c>
    </row>
    <row r="318" spans="1:17" x14ac:dyDescent="0.2">
      <c r="A318" s="101">
        <v>9003504500</v>
      </c>
      <c r="B318" s="102" t="s">
        <v>979</v>
      </c>
      <c r="C318" s="104" t="s">
        <v>944</v>
      </c>
      <c r="D318" s="69">
        <v>37871.045095680005</v>
      </c>
      <c r="E318" s="69">
        <v>81361.004799999995</v>
      </c>
      <c r="F318" s="13">
        <f>[1]!Table323[[#This Row],[Single Family]]+[1]!Table323[[#This Row],[2-4 Units]]+[1]!Table323[[#This Row],[&gt;4 Units]]</f>
        <v>3</v>
      </c>
      <c r="G318" s="13">
        <v>2</v>
      </c>
      <c r="H318" s="13">
        <v>1</v>
      </c>
      <c r="I318" s="13">
        <v>0</v>
      </c>
      <c r="J318" s="68">
        <v>1009.0548</v>
      </c>
      <c r="K318">
        <f t="shared" si="4"/>
        <v>0</v>
      </c>
      <c r="L318" s="13">
        <v>0</v>
      </c>
      <c r="M318" s="13">
        <v>0</v>
      </c>
      <c r="N318" s="13">
        <v>0</v>
      </c>
      <c r="O318" s="68">
        <v>0</v>
      </c>
      <c r="P318" s="155">
        <f>VLOOKUP(Table323[[#This Row],[Census Tract]],'Population and Diversity Data'!$B$2:$K$823,10,FALSE)</f>
        <v>5</v>
      </c>
      <c r="Q318" s="155" t="str">
        <f>VLOOKUP(Table323[[#This Row],[Census Tract]],'ES Energy Burden'!$B$2:$E$914,4,FALSE)</f>
        <v>Yes</v>
      </c>
    </row>
    <row r="319" spans="1:17" x14ac:dyDescent="0.2">
      <c r="A319" s="101">
        <v>9003504800</v>
      </c>
      <c r="B319" s="102" t="s">
        <v>979</v>
      </c>
      <c r="C319" s="104" t="s">
        <v>944</v>
      </c>
      <c r="D319" s="69">
        <v>58254.756370559997</v>
      </c>
      <c r="E319" s="69">
        <v>18063.281900000002</v>
      </c>
      <c r="F319" s="13">
        <f>[1]!Table323[[#This Row],[Single Family]]+[1]!Table323[[#This Row],[2-4 Units]]+[1]!Table323[[#This Row],[&gt;4 Units]]</f>
        <v>16</v>
      </c>
      <c r="G319" s="13">
        <v>16</v>
      </c>
      <c r="H319" s="13">
        <v>0</v>
      </c>
      <c r="I319" s="13">
        <v>0</v>
      </c>
      <c r="J319" s="68">
        <v>10791.5419</v>
      </c>
      <c r="K319">
        <f t="shared" si="4"/>
        <v>0</v>
      </c>
      <c r="L319" s="13">
        <v>0</v>
      </c>
      <c r="M319" s="13">
        <v>0</v>
      </c>
      <c r="N319" s="13">
        <v>0</v>
      </c>
      <c r="O319" s="68">
        <v>0</v>
      </c>
      <c r="P319" s="155">
        <f>VLOOKUP(Table323[[#This Row],[Census Tract]],'Population and Diversity Data'!$B$2:$K$823,10,FALSE)</f>
        <v>5</v>
      </c>
      <c r="Q319" s="155" t="str">
        <f>VLOOKUP(Table323[[#This Row],[Census Tract]],'ES Energy Burden'!$B$2:$E$914,4,FALSE)</f>
        <v>Yes</v>
      </c>
    </row>
    <row r="320" spans="1:17" x14ac:dyDescent="0.2">
      <c r="A320" s="101">
        <v>9003504900</v>
      </c>
      <c r="B320" s="102" t="s">
        <v>979</v>
      </c>
      <c r="C320" s="104" t="s">
        <v>944</v>
      </c>
      <c r="D320" s="69">
        <v>42553.5758928</v>
      </c>
      <c r="E320" s="69">
        <v>30501.02</v>
      </c>
      <c r="F320" s="13">
        <f>[1]!Table323[[#This Row],[Single Family]]+[1]!Table323[[#This Row],[2-4 Units]]+[1]!Table323[[#This Row],[&gt;4 Units]]</f>
        <v>5</v>
      </c>
      <c r="G320" s="13">
        <v>5</v>
      </c>
      <c r="H320" s="13">
        <v>0</v>
      </c>
      <c r="I320" s="13">
        <v>0</v>
      </c>
      <c r="J320" s="68">
        <v>1457.27</v>
      </c>
      <c r="K320">
        <f t="shared" si="4"/>
        <v>0</v>
      </c>
      <c r="L320" s="13">
        <v>0</v>
      </c>
      <c r="M320" s="13">
        <v>0</v>
      </c>
      <c r="N320" s="13">
        <v>0</v>
      </c>
      <c r="O320" s="68">
        <v>0</v>
      </c>
      <c r="P320" s="155">
        <f>VLOOKUP(Table323[[#This Row],[Census Tract]],'Population and Diversity Data'!$B$2:$K$823,10,FALSE)</f>
        <v>5</v>
      </c>
      <c r="Q320" s="155" t="str">
        <f>VLOOKUP(Table323[[#This Row],[Census Tract]],'ES Energy Burden'!$B$2:$E$914,4,FALSE)</f>
        <v>Yes</v>
      </c>
    </row>
    <row r="321" spans="1:17" x14ac:dyDescent="0.2">
      <c r="A321" s="101">
        <v>9003524400</v>
      </c>
      <c r="B321" s="102" t="s">
        <v>979</v>
      </c>
      <c r="C321" s="104" t="s">
        <v>944</v>
      </c>
      <c r="D321" s="69">
        <v>36222.419747520005</v>
      </c>
      <c r="E321" s="69">
        <v>28619.973300000001</v>
      </c>
      <c r="F321" s="13">
        <f>[1]!Table323[[#This Row],[Single Family]]+[1]!Table323[[#This Row],[2-4 Units]]+[1]!Table323[[#This Row],[&gt;4 Units]]</f>
        <v>5</v>
      </c>
      <c r="G321" s="13">
        <v>5</v>
      </c>
      <c r="H321" s="13">
        <v>0</v>
      </c>
      <c r="I321" s="13">
        <v>0</v>
      </c>
      <c r="J321" s="68">
        <v>586.49329999999998</v>
      </c>
      <c r="K321">
        <f t="shared" si="4"/>
        <v>0</v>
      </c>
      <c r="L321" s="13">
        <v>0</v>
      </c>
      <c r="M321" s="13">
        <v>0</v>
      </c>
      <c r="N321" s="13">
        <v>0</v>
      </c>
      <c r="O321" s="68">
        <v>0</v>
      </c>
      <c r="P321" s="155">
        <f>VLOOKUP(Table323[[#This Row],[Census Tract]],'Population and Diversity Data'!$B$2:$K$823,10,FALSE)</f>
        <v>5</v>
      </c>
      <c r="Q321" s="155" t="str">
        <f>VLOOKUP(Table323[[#This Row],[Census Tract]],'ES Energy Burden'!$B$2:$E$914,4,FALSE)</f>
        <v>Yes</v>
      </c>
    </row>
    <row r="322" spans="1:17" x14ac:dyDescent="0.2">
      <c r="A322" s="101">
        <v>9003524501</v>
      </c>
      <c r="B322" s="102" t="s">
        <v>979</v>
      </c>
      <c r="C322" s="104" t="s">
        <v>944</v>
      </c>
      <c r="D322" s="69">
        <v>26853.682265279996</v>
      </c>
      <c r="E322" s="69">
        <v>1003.633</v>
      </c>
      <c r="F322" s="13">
        <f>[1]!Table323[[#This Row],[Single Family]]+[1]!Table323[[#This Row],[2-4 Units]]+[1]!Table323[[#This Row],[&gt;4 Units]]</f>
        <v>1</v>
      </c>
      <c r="G322" s="13">
        <v>1</v>
      </c>
      <c r="H322" s="13">
        <v>0</v>
      </c>
      <c r="I322" s="13">
        <v>0</v>
      </c>
      <c r="J322" s="68">
        <v>183.67580000000001</v>
      </c>
      <c r="K322">
        <f t="shared" si="4"/>
        <v>0</v>
      </c>
      <c r="L322" s="13">
        <v>0</v>
      </c>
      <c r="M322" s="13">
        <v>0</v>
      </c>
      <c r="N322" s="13">
        <v>0</v>
      </c>
      <c r="O322" s="68">
        <v>0</v>
      </c>
      <c r="P322" s="155">
        <f>VLOOKUP(Table323[[#This Row],[Census Tract]],'Population and Diversity Data'!$B$2:$K$823,10,FALSE)</f>
        <v>5</v>
      </c>
      <c r="Q322" s="155" t="str">
        <f>VLOOKUP(Table323[[#This Row],[Census Tract]],'ES Energy Burden'!$B$2:$E$914,4,FALSE)</f>
        <v>No</v>
      </c>
    </row>
    <row r="323" spans="1:17" x14ac:dyDescent="0.2">
      <c r="A323" s="101">
        <v>9003524502</v>
      </c>
      <c r="B323" s="102" t="s">
        <v>979</v>
      </c>
      <c r="C323" s="104" t="s">
        <v>944</v>
      </c>
      <c r="D323" s="69">
        <v>38598.850080000004</v>
      </c>
      <c r="E323" s="69">
        <v>2487.0500000000002</v>
      </c>
      <c r="F323" s="13">
        <f>[1]!Table323[[#This Row],[Single Family]]+[1]!Table323[[#This Row],[2-4 Units]]+[1]!Table323[[#This Row],[&gt;4 Units]]</f>
        <v>4</v>
      </c>
      <c r="G323" s="13">
        <v>4</v>
      </c>
      <c r="H323" s="13">
        <v>0</v>
      </c>
      <c r="I323" s="13">
        <v>0</v>
      </c>
      <c r="J323" s="68">
        <v>1137.3699999999999</v>
      </c>
      <c r="K323">
        <f t="shared" si="4"/>
        <v>0</v>
      </c>
      <c r="L323" s="13">
        <v>0</v>
      </c>
      <c r="M323" s="13">
        <v>0</v>
      </c>
      <c r="N323" s="13">
        <v>0</v>
      </c>
      <c r="O323" s="68">
        <v>0</v>
      </c>
      <c r="P323" s="155">
        <f>VLOOKUP(Table323[[#This Row],[Census Tract]],'Population and Diversity Data'!$B$2:$K$823,10,FALSE)</f>
        <v>5</v>
      </c>
      <c r="Q323" s="155" t="str">
        <f>VLOOKUP(Table323[[#This Row],[Census Tract]],'ES Energy Burden'!$B$2:$E$914,4,FALSE)</f>
        <v>No</v>
      </c>
    </row>
    <row r="324" spans="1:17" x14ac:dyDescent="0.2">
      <c r="A324" s="101">
        <v>9003524600</v>
      </c>
      <c r="B324" s="102" t="s">
        <v>979</v>
      </c>
      <c r="C324" s="104" t="s">
        <v>944</v>
      </c>
      <c r="D324" s="69">
        <v>29057.523577920001</v>
      </c>
      <c r="E324" s="69">
        <v>2328.62</v>
      </c>
      <c r="F324" s="13">
        <f>[1]!Table323[[#This Row],[Single Family]]+[1]!Table323[[#This Row],[2-4 Units]]+[1]!Table323[[#This Row],[&gt;4 Units]]</f>
        <v>2</v>
      </c>
      <c r="G324" s="13">
        <v>2</v>
      </c>
      <c r="H324" s="13">
        <v>0</v>
      </c>
      <c r="I324" s="13">
        <v>0</v>
      </c>
      <c r="J324" s="68">
        <v>826.46</v>
      </c>
      <c r="K324">
        <f t="shared" si="4"/>
        <v>0</v>
      </c>
      <c r="L324" s="13">
        <v>0</v>
      </c>
      <c r="M324" s="13">
        <v>0</v>
      </c>
      <c r="N324" s="13">
        <v>0</v>
      </c>
      <c r="O324" s="68">
        <v>0</v>
      </c>
      <c r="P324" s="155">
        <f>VLOOKUP(Table323[[#This Row],[Census Tract]],'Population and Diversity Data'!$B$2:$K$823,10,FALSE)</f>
        <v>5</v>
      </c>
      <c r="Q324" s="155" t="str">
        <f>VLOOKUP(Table323[[#This Row],[Census Tract]],'ES Energy Burden'!$B$2:$E$914,4,FALSE)</f>
        <v>No</v>
      </c>
    </row>
    <row r="325" spans="1:17" x14ac:dyDescent="0.2">
      <c r="A325" s="101">
        <v>9003524700</v>
      </c>
      <c r="B325" s="102" t="s">
        <v>979</v>
      </c>
      <c r="C325" s="104" t="s">
        <v>944</v>
      </c>
      <c r="D325" s="69">
        <v>39743.093231999999</v>
      </c>
      <c r="E325" s="69">
        <v>14436.07</v>
      </c>
      <c r="F325" s="13">
        <f>[1]!Table323[[#This Row],[Single Family]]+[1]!Table323[[#This Row],[2-4 Units]]+[1]!Table323[[#This Row],[&gt;4 Units]]</f>
        <v>18</v>
      </c>
      <c r="G325" s="13">
        <v>18</v>
      </c>
      <c r="H325" s="13">
        <v>0</v>
      </c>
      <c r="I325" s="13">
        <v>0</v>
      </c>
      <c r="J325" s="68">
        <v>5511.14</v>
      </c>
      <c r="K325">
        <f t="shared" si="4"/>
        <v>0</v>
      </c>
      <c r="L325" s="13">
        <v>0</v>
      </c>
      <c r="M325" s="13">
        <v>0</v>
      </c>
      <c r="N325" s="13">
        <v>0</v>
      </c>
      <c r="O325" s="68">
        <v>0</v>
      </c>
      <c r="P325" s="155">
        <f>VLOOKUP(Table323[[#This Row],[Census Tract]],'Population and Diversity Data'!$B$2:$K$823,10,FALSE)</f>
        <v>5</v>
      </c>
      <c r="Q325" s="155" t="str">
        <f>VLOOKUP(Table323[[#This Row],[Census Tract]],'ES Energy Burden'!$B$2:$E$914,4,FALSE)</f>
        <v>No</v>
      </c>
    </row>
    <row r="326" spans="1:17" x14ac:dyDescent="0.2">
      <c r="A326" s="101">
        <v>9003330100</v>
      </c>
      <c r="B326" s="102" t="s">
        <v>2786</v>
      </c>
      <c r="C326" s="104" t="s">
        <v>944</v>
      </c>
      <c r="D326" s="69">
        <v>36984.536107200001</v>
      </c>
      <c r="E326" s="69">
        <v>12321.41</v>
      </c>
      <c r="F326" s="13">
        <f>[1]!Table323[[#This Row],[Single Family]]+[1]!Table323[[#This Row],[2-4 Units]]+[1]!Table323[[#This Row],[&gt;4 Units]]</f>
        <v>10</v>
      </c>
      <c r="G326" s="13">
        <v>10</v>
      </c>
      <c r="H326" s="13">
        <v>0</v>
      </c>
      <c r="I326" s="13">
        <v>0</v>
      </c>
      <c r="J326" s="68">
        <v>8540.58</v>
      </c>
      <c r="K326">
        <f t="shared" ref="K326:K389" si="5">L326+M326+N326</f>
        <v>1</v>
      </c>
      <c r="L326" s="13">
        <v>1</v>
      </c>
      <c r="M326" s="13">
        <v>0</v>
      </c>
      <c r="N326" s="13">
        <v>0</v>
      </c>
      <c r="O326" s="68">
        <v>1043.3499999999999</v>
      </c>
      <c r="P326" s="155">
        <f>VLOOKUP(Table323[[#This Row],[Census Tract]],'Population and Diversity Data'!$B$2:$K$823,10,FALSE)</f>
        <v>3</v>
      </c>
      <c r="Q326" s="155" t="str">
        <f>VLOOKUP(Table323[[#This Row],[Census Tract]],'ES Energy Burden'!$B$2:$E$914,4,FALSE)</f>
        <v>No</v>
      </c>
    </row>
    <row r="327" spans="1:17" x14ac:dyDescent="0.2">
      <c r="A327" s="101">
        <v>9003468101</v>
      </c>
      <c r="B327" s="102" t="s">
        <v>2786</v>
      </c>
      <c r="C327" s="104" t="s">
        <v>944</v>
      </c>
      <c r="D327" s="69">
        <v>58.605811199999998</v>
      </c>
      <c r="E327" s="69">
        <v>0</v>
      </c>
      <c r="F327" s="13">
        <f>[1]!Table323[[#This Row],[Single Family]]+[1]!Table323[[#This Row],[2-4 Units]]+[1]!Table323[[#This Row],[&gt;4 Units]]</f>
        <v>0</v>
      </c>
      <c r="G327" s="13">
        <v>0</v>
      </c>
      <c r="H327" s="13">
        <v>0</v>
      </c>
      <c r="I327" s="13">
        <v>0</v>
      </c>
      <c r="J327" s="68">
        <v>0</v>
      </c>
      <c r="K327">
        <f t="shared" si="5"/>
        <v>0</v>
      </c>
      <c r="L327" s="13">
        <v>0</v>
      </c>
      <c r="M327" s="13">
        <v>0</v>
      </c>
      <c r="N327" s="13">
        <v>0</v>
      </c>
      <c r="O327" s="68">
        <v>0</v>
      </c>
      <c r="P327" s="155">
        <f>VLOOKUP(Table323[[#This Row],[Census Tract]],'Population and Diversity Data'!$B$2:$K$823,10,FALSE)</f>
        <v>1</v>
      </c>
      <c r="Q327" s="155" t="str">
        <f>VLOOKUP(Table323[[#This Row],[Census Tract]],'ES Energy Burden'!$B$2:$E$914,4,FALSE)</f>
        <v>No</v>
      </c>
    </row>
    <row r="328" spans="1:17" x14ac:dyDescent="0.2">
      <c r="A328" s="101">
        <v>9003410102</v>
      </c>
      <c r="B328" s="102" t="s">
        <v>2787</v>
      </c>
      <c r="C328" s="104" t="s">
        <v>944</v>
      </c>
      <c r="D328" s="69">
        <v>819.44516160000001</v>
      </c>
      <c r="E328" s="69">
        <v>0</v>
      </c>
      <c r="F328" s="13">
        <f>[1]!Table323[[#This Row],[Single Family]]+[1]!Table323[[#This Row],[2-4 Units]]+[1]!Table323[[#This Row],[&gt;4 Units]]</f>
        <v>0</v>
      </c>
      <c r="G328" s="13">
        <v>0</v>
      </c>
      <c r="H328" s="13">
        <v>0</v>
      </c>
      <c r="I328" s="13">
        <v>0</v>
      </c>
      <c r="J328" s="68">
        <v>0</v>
      </c>
      <c r="K328">
        <f t="shared" si="5"/>
        <v>0</v>
      </c>
      <c r="L328" s="13">
        <v>0</v>
      </c>
      <c r="M328" s="13">
        <v>0</v>
      </c>
      <c r="N328" s="13">
        <v>0</v>
      </c>
      <c r="O328" s="68">
        <v>0</v>
      </c>
      <c r="P328" s="155">
        <f>VLOOKUP(Table323[[#This Row],[Census Tract]],'Population and Diversity Data'!$B$2:$K$823,10,FALSE)</f>
        <v>2</v>
      </c>
      <c r="Q328" s="155" t="str">
        <f>VLOOKUP(Table323[[#This Row],[Census Tract]],'ES Energy Burden'!$B$2:$E$914,4,FALSE)</f>
        <v>No</v>
      </c>
    </row>
    <row r="329" spans="1:17" x14ac:dyDescent="0.2">
      <c r="A329" s="101">
        <v>9005298300</v>
      </c>
      <c r="B329" s="102" t="s">
        <v>2787</v>
      </c>
      <c r="C329" s="104" t="s">
        <v>944</v>
      </c>
      <c r="D329" s="69">
        <v>56592.082183680002</v>
      </c>
      <c r="E329" s="69">
        <v>11448.81</v>
      </c>
      <c r="F329" s="13">
        <f>[1]!Table323[[#This Row],[Single Family]]+[1]!Table323[[#This Row],[2-4 Units]]+[1]!Table323[[#This Row],[&gt;4 Units]]</f>
        <v>6</v>
      </c>
      <c r="G329" s="13">
        <v>6</v>
      </c>
      <c r="H329" s="13">
        <v>0</v>
      </c>
      <c r="I329" s="13">
        <v>0</v>
      </c>
      <c r="J329" s="68">
        <v>4896.7</v>
      </c>
      <c r="K329">
        <f t="shared" si="5"/>
        <v>0</v>
      </c>
      <c r="L329" s="13">
        <v>0</v>
      </c>
      <c r="M329" s="13">
        <v>0</v>
      </c>
      <c r="N329" s="13">
        <v>0</v>
      </c>
      <c r="O329" s="68">
        <v>0</v>
      </c>
      <c r="P329" s="155">
        <f>VLOOKUP(Table323[[#This Row],[Census Tract]],'Population and Diversity Data'!$B$2:$K$823,10,FALSE)</f>
        <v>1</v>
      </c>
      <c r="Q329" s="155" t="str">
        <f>VLOOKUP(Table323[[#This Row],[Census Tract]],'ES Energy Burden'!$B$2:$E$914,4,FALSE)</f>
        <v>No</v>
      </c>
    </row>
    <row r="330" spans="1:17" x14ac:dyDescent="0.2">
      <c r="A330" s="101">
        <v>9005298400</v>
      </c>
      <c r="B330" s="102" t="s">
        <v>2787</v>
      </c>
      <c r="C330" s="104" t="s">
        <v>944</v>
      </c>
      <c r="D330" s="69">
        <v>67464.014728320006</v>
      </c>
      <c r="E330" s="69">
        <v>51350.918799999999</v>
      </c>
      <c r="F330" s="13">
        <f>[1]!Table323[[#This Row],[Single Family]]+[1]!Table323[[#This Row],[2-4 Units]]+[1]!Table323[[#This Row],[&gt;4 Units]]</f>
        <v>19</v>
      </c>
      <c r="G330" s="13">
        <v>19</v>
      </c>
      <c r="H330" s="13">
        <v>0</v>
      </c>
      <c r="I330" s="13">
        <v>0</v>
      </c>
      <c r="J330" s="68">
        <v>19334.518800000002</v>
      </c>
      <c r="K330">
        <f t="shared" si="5"/>
        <v>6</v>
      </c>
      <c r="L330" s="13">
        <v>6</v>
      </c>
      <c r="M330" s="13">
        <v>0</v>
      </c>
      <c r="N330" s="13">
        <v>0</v>
      </c>
      <c r="O330" s="68">
        <v>8867.82</v>
      </c>
      <c r="P330" s="155">
        <f>VLOOKUP(Table323[[#This Row],[Census Tract]],'Population and Diversity Data'!$B$2:$K$823,10,FALSE)</f>
        <v>1</v>
      </c>
      <c r="Q330" s="155" t="str">
        <f>VLOOKUP(Table323[[#This Row],[Census Tract]],'ES Energy Burden'!$B$2:$E$914,4,FALSE)</f>
        <v>No</v>
      </c>
    </row>
    <row r="331" spans="1:17" x14ac:dyDescent="0.2">
      <c r="A331" s="101">
        <v>9005310400</v>
      </c>
      <c r="B331" s="102" t="s">
        <v>2787</v>
      </c>
      <c r="C331" s="104" t="s">
        <v>944</v>
      </c>
      <c r="D331" s="69">
        <v>525.13099199999999</v>
      </c>
      <c r="E331" s="69">
        <v>841.03</v>
      </c>
      <c r="F331" s="13">
        <f>[1]!Table323[[#This Row],[Single Family]]+[1]!Table323[[#This Row],[2-4 Units]]+[1]!Table323[[#This Row],[&gt;4 Units]]</f>
        <v>1</v>
      </c>
      <c r="G331" s="13">
        <v>1</v>
      </c>
      <c r="H331" s="13">
        <v>0</v>
      </c>
      <c r="I331" s="13">
        <v>0</v>
      </c>
      <c r="J331" s="68">
        <v>823.84</v>
      </c>
      <c r="K331">
        <f t="shared" si="5"/>
        <v>0</v>
      </c>
      <c r="L331" s="13">
        <v>0</v>
      </c>
      <c r="M331" s="13">
        <v>0</v>
      </c>
      <c r="N331" s="13">
        <v>0</v>
      </c>
      <c r="O331" s="68">
        <v>0</v>
      </c>
      <c r="P331" s="155">
        <f>VLOOKUP(Table323[[#This Row],[Census Tract]],'Population and Diversity Data'!$B$2:$K$823,10,FALSE)</f>
        <v>3</v>
      </c>
      <c r="Q331" s="155" t="str">
        <f>VLOOKUP(Table323[[#This Row],[Census Tract]],'ES Energy Burden'!$B$2:$E$914,4,FALSE)</f>
        <v>No</v>
      </c>
    </row>
    <row r="332" spans="1:17" x14ac:dyDescent="0.2">
      <c r="A332" s="101">
        <v>9005425300</v>
      </c>
      <c r="B332" s="102" t="s">
        <v>2787</v>
      </c>
      <c r="C332" s="104" t="s">
        <v>944</v>
      </c>
      <c r="D332" s="69">
        <v>51.618729600000002</v>
      </c>
      <c r="E332" s="69">
        <v>0</v>
      </c>
      <c r="F332" s="13">
        <f>[1]!Table323[[#This Row],[Single Family]]+[1]!Table323[[#This Row],[2-4 Units]]+[1]!Table323[[#This Row],[&gt;4 Units]]</f>
        <v>0</v>
      </c>
      <c r="G332" s="13">
        <v>0</v>
      </c>
      <c r="H332" s="13">
        <v>0</v>
      </c>
      <c r="I332" s="13">
        <v>0</v>
      </c>
      <c r="J332" s="68">
        <v>0</v>
      </c>
      <c r="K332">
        <f t="shared" si="5"/>
        <v>0</v>
      </c>
      <c r="L332" s="13">
        <v>0</v>
      </c>
      <c r="M332" s="13">
        <v>0</v>
      </c>
      <c r="N332" s="13">
        <v>0</v>
      </c>
      <c r="O332" s="68">
        <v>0</v>
      </c>
      <c r="P332" s="155">
        <f>VLOOKUP(Table323[[#This Row],[Census Tract]],'Population and Diversity Data'!$B$2:$K$823,10,FALSE)</f>
        <v>1</v>
      </c>
      <c r="Q332" s="155" t="str">
        <f>VLOOKUP(Table323[[#This Row],[Census Tract]],'ES Energy Burden'!$B$2:$E$914,4,FALSE)</f>
        <v>No</v>
      </c>
    </row>
    <row r="333" spans="1:17" x14ac:dyDescent="0.2">
      <c r="A333" s="101">
        <v>9005349200</v>
      </c>
      <c r="B333" s="102" t="s">
        <v>2787</v>
      </c>
      <c r="C333" s="104" t="s">
        <v>944</v>
      </c>
      <c r="D333" s="69">
        <v>24.486623999999999</v>
      </c>
      <c r="E333" s="69">
        <v>0</v>
      </c>
      <c r="F333" s="13">
        <f>[1]!Table323[[#This Row],[Single Family]]+[1]!Table323[[#This Row],[2-4 Units]]+[1]!Table323[[#This Row],[&gt;4 Units]]</f>
        <v>0</v>
      </c>
      <c r="G333" s="13">
        <v>0</v>
      </c>
      <c r="H333" s="13">
        <v>0</v>
      </c>
      <c r="I333" s="13">
        <v>0</v>
      </c>
      <c r="J333" s="68">
        <v>0</v>
      </c>
      <c r="K333">
        <f t="shared" si="5"/>
        <v>0</v>
      </c>
      <c r="L333" s="13">
        <v>0</v>
      </c>
      <c r="M333" s="13">
        <v>0</v>
      </c>
      <c r="N333" s="13">
        <v>0</v>
      </c>
      <c r="O333" s="68">
        <v>0</v>
      </c>
      <c r="P333" s="155">
        <f>VLOOKUP(Table323[[#This Row],[Census Tract]],'Population and Diversity Data'!$B$2:$K$823,10,FALSE)</f>
        <v>1</v>
      </c>
      <c r="Q333" s="155" t="str">
        <f>VLOOKUP(Table323[[#This Row],[Census Tract]],'ES Energy Burden'!$B$2:$E$914,4,FALSE)</f>
        <v>No</v>
      </c>
    </row>
    <row r="334" spans="1:17" x14ac:dyDescent="0.2">
      <c r="A334" s="101">
        <v>9003520201</v>
      </c>
      <c r="B334" s="102" t="s">
        <v>2788</v>
      </c>
      <c r="C334" s="104" t="s">
        <v>944</v>
      </c>
      <c r="D334" s="69">
        <v>66.993782400000001</v>
      </c>
      <c r="E334" s="69">
        <v>0</v>
      </c>
      <c r="F334" s="13">
        <f>[1]!Table323[[#This Row],[Single Family]]+[1]!Table323[[#This Row],[2-4 Units]]+[1]!Table323[[#This Row],[&gt;4 Units]]</f>
        <v>0</v>
      </c>
      <c r="G334" s="13">
        <v>0</v>
      </c>
      <c r="H334" s="13">
        <v>0</v>
      </c>
      <c r="I334" s="13">
        <v>0</v>
      </c>
      <c r="J334" s="68">
        <v>0</v>
      </c>
      <c r="K334">
        <f t="shared" si="5"/>
        <v>0</v>
      </c>
      <c r="L334" s="13">
        <v>0</v>
      </c>
      <c r="M334" s="13">
        <v>0</v>
      </c>
      <c r="N334" s="13">
        <v>0</v>
      </c>
      <c r="O334" s="68">
        <v>0</v>
      </c>
      <c r="P334" s="155">
        <f>VLOOKUP(Table323[[#This Row],[Census Tract]],'Population and Diversity Data'!$B$2:$K$823,10,FALSE)</f>
        <v>4</v>
      </c>
      <c r="Q334" s="155" t="str">
        <f>VLOOKUP(Table323[[#This Row],[Census Tract]],'ES Energy Burden'!$B$2:$E$914,4,FALSE)</f>
        <v>No</v>
      </c>
    </row>
    <row r="335" spans="1:17" x14ac:dyDescent="0.2">
      <c r="A335" s="101">
        <v>9011714104</v>
      </c>
      <c r="B335" s="102" t="s">
        <v>2788</v>
      </c>
      <c r="C335" s="104" t="s">
        <v>944</v>
      </c>
      <c r="D335" s="69">
        <v>991.81825920000006</v>
      </c>
      <c r="E335" s="69">
        <v>0</v>
      </c>
      <c r="F335" s="13">
        <f>[1]!Table323[[#This Row],[Single Family]]+[1]!Table323[[#This Row],[2-4 Units]]+[1]!Table323[[#This Row],[&gt;4 Units]]</f>
        <v>0</v>
      </c>
      <c r="G335" s="13">
        <v>0</v>
      </c>
      <c r="H335" s="13">
        <v>0</v>
      </c>
      <c r="I335" s="13">
        <v>0</v>
      </c>
      <c r="J335" s="68">
        <v>0</v>
      </c>
      <c r="K335">
        <f t="shared" si="5"/>
        <v>0</v>
      </c>
      <c r="L335" s="13">
        <v>0</v>
      </c>
      <c r="M335" s="13">
        <v>0</v>
      </c>
      <c r="N335" s="13">
        <v>0</v>
      </c>
      <c r="O335" s="68">
        <v>0</v>
      </c>
      <c r="P335" s="155">
        <f>VLOOKUP(Table323[[#This Row],[Census Tract]],'Population and Diversity Data'!$B$2:$K$823,10,FALSE)</f>
        <v>1</v>
      </c>
      <c r="Q335" s="155" t="str">
        <f>VLOOKUP(Table323[[#This Row],[Census Tract]],'ES Energy Burden'!$B$2:$E$914,4,FALSE)</f>
        <v>No</v>
      </c>
    </row>
    <row r="336" spans="1:17" x14ac:dyDescent="0.2">
      <c r="A336" s="101">
        <v>9013526101</v>
      </c>
      <c r="B336" s="102" t="s">
        <v>2788</v>
      </c>
      <c r="C336" s="104" t="s">
        <v>944</v>
      </c>
      <c r="D336" s="69">
        <v>49109.467147199997</v>
      </c>
      <c r="E336" s="69">
        <v>6905.26</v>
      </c>
      <c r="F336" s="13">
        <f>[1]!Table323[[#This Row],[Single Family]]+[1]!Table323[[#This Row],[2-4 Units]]+[1]!Table323[[#This Row],[&gt;4 Units]]</f>
        <v>5</v>
      </c>
      <c r="G336" s="13">
        <v>5</v>
      </c>
      <c r="H336" s="13">
        <v>0</v>
      </c>
      <c r="I336" s="13">
        <v>0</v>
      </c>
      <c r="J336" s="68">
        <v>3864.66</v>
      </c>
      <c r="K336">
        <f t="shared" si="5"/>
        <v>0</v>
      </c>
      <c r="L336" s="13">
        <v>0</v>
      </c>
      <c r="M336" s="13">
        <v>0</v>
      </c>
      <c r="N336" s="13">
        <v>0</v>
      </c>
      <c r="O336" s="68">
        <v>0</v>
      </c>
      <c r="P336" s="155">
        <f>VLOOKUP(Table323[[#This Row],[Census Tract]],'Population and Diversity Data'!$B$2:$K$823,10,FALSE)</f>
        <v>2</v>
      </c>
      <c r="Q336" s="155" t="str">
        <f>VLOOKUP(Table323[[#This Row],[Census Tract]],'ES Energy Burden'!$B$2:$E$914,4,FALSE)</f>
        <v>No</v>
      </c>
    </row>
    <row r="337" spans="1:17" x14ac:dyDescent="0.2">
      <c r="A337" s="101">
        <v>9013526102</v>
      </c>
      <c r="B337" s="102" t="s">
        <v>2788</v>
      </c>
      <c r="C337" s="104" t="s">
        <v>944</v>
      </c>
      <c r="D337" s="69">
        <v>136065.06323711999</v>
      </c>
      <c r="E337" s="69">
        <v>75257.462499999994</v>
      </c>
      <c r="F337" s="13">
        <f>[1]!Table323[[#This Row],[Single Family]]+[1]!Table323[[#This Row],[2-4 Units]]+[1]!Table323[[#This Row],[&gt;4 Units]]</f>
        <v>40</v>
      </c>
      <c r="G337" s="13">
        <v>40</v>
      </c>
      <c r="H337" s="13">
        <v>0</v>
      </c>
      <c r="I337" s="13">
        <v>0</v>
      </c>
      <c r="J337" s="68">
        <v>40673.646500000003</v>
      </c>
      <c r="K337">
        <f t="shared" si="5"/>
        <v>4</v>
      </c>
      <c r="L337" s="13">
        <v>4</v>
      </c>
      <c r="M337" s="13">
        <v>0</v>
      </c>
      <c r="N337" s="13">
        <v>0</v>
      </c>
      <c r="O337" s="68">
        <v>3651.05</v>
      </c>
      <c r="P337" s="155">
        <f>VLOOKUP(Table323[[#This Row],[Census Tract]],'Population and Diversity Data'!$B$2:$K$823,10,FALSE)</f>
        <v>1</v>
      </c>
      <c r="Q337" s="155" t="str">
        <f>VLOOKUP(Table323[[#This Row],[Census Tract]],'ES Energy Burden'!$B$2:$E$914,4,FALSE)</f>
        <v>No</v>
      </c>
    </row>
    <row r="338" spans="1:17" x14ac:dyDescent="0.2">
      <c r="A338" s="101">
        <v>9013860100</v>
      </c>
      <c r="B338" s="102" t="s">
        <v>2788</v>
      </c>
      <c r="C338" s="104" t="s">
        <v>944</v>
      </c>
      <c r="D338" s="69">
        <v>234.27273600000001</v>
      </c>
      <c r="E338" s="69">
        <v>0</v>
      </c>
      <c r="F338" s="13">
        <f>[1]!Table323[[#This Row],[Single Family]]+[1]!Table323[[#This Row],[2-4 Units]]+[1]!Table323[[#This Row],[&gt;4 Units]]</f>
        <v>0</v>
      </c>
      <c r="G338" s="13">
        <v>0</v>
      </c>
      <c r="H338" s="13">
        <v>0</v>
      </c>
      <c r="I338" s="13">
        <v>0</v>
      </c>
      <c r="J338" s="68">
        <v>0</v>
      </c>
      <c r="K338">
        <f t="shared" si="5"/>
        <v>0</v>
      </c>
      <c r="L338" s="13">
        <v>0</v>
      </c>
      <c r="M338" s="13">
        <v>0</v>
      </c>
      <c r="N338" s="13">
        <v>0</v>
      </c>
      <c r="O338" s="68">
        <v>0</v>
      </c>
      <c r="P338" s="155">
        <f>VLOOKUP(Table323[[#This Row],[Census Tract]],'Population and Diversity Data'!$B$2:$K$823,10,FALSE)</f>
        <v>1</v>
      </c>
      <c r="Q338" s="155" t="str">
        <f>VLOOKUP(Table323[[#This Row],[Census Tract]],'ES Energy Burden'!$B$2:$E$914,4,FALSE)</f>
        <v>No</v>
      </c>
    </row>
    <row r="339" spans="1:17" x14ac:dyDescent="0.2">
      <c r="A339" s="101">
        <v>9005253500</v>
      </c>
      <c r="B339" s="102" t="s">
        <v>2789</v>
      </c>
      <c r="C339" s="104" t="s">
        <v>944</v>
      </c>
      <c r="D339" s="69">
        <v>135.63158400000003</v>
      </c>
      <c r="E339" s="69">
        <v>0</v>
      </c>
      <c r="F339" s="13">
        <f>[1]!Table323[[#This Row],[Single Family]]+[1]!Table323[[#This Row],[2-4 Units]]+[1]!Table323[[#This Row],[&gt;4 Units]]</f>
        <v>0</v>
      </c>
      <c r="G339" s="13">
        <v>0</v>
      </c>
      <c r="H339" s="13">
        <v>0</v>
      </c>
      <c r="I339" s="13">
        <v>0</v>
      </c>
      <c r="J339" s="68">
        <v>0</v>
      </c>
      <c r="K339">
        <f t="shared" si="5"/>
        <v>0</v>
      </c>
      <c r="L339" s="13">
        <v>0</v>
      </c>
      <c r="M339" s="13">
        <v>0</v>
      </c>
      <c r="N339" s="13">
        <v>0</v>
      </c>
      <c r="O339" s="68">
        <v>0</v>
      </c>
      <c r="P339" s="155">
        <f>VLOOKUP(Table323[[#This Row],[Census Tract]],'Population and Diversity Data'!$B$2:$K$823,10,FALSE)</f>
        <v>4</v>
      </c>
      <c r="Q339" s="155" t="str">
        <f>VLOOKUP(Table323[[#This Row],[Census Tract]],'ES Energy Burden'!$B$2:$E$914,4,FALSE)</f>
        <v>No</v>
      </c>
    </row>
    <row r="340" spans="1:17" x14ac:dyDescent="0.2">
      <c r="A340" s="101">
        <v>9005265100</v>
      </c>
      <c r="B340" s="102" t="s">
        <v>2789</v>
      </c>
      <c r="C340" s="104" t="s">
        <v>944</v>
      </c>
      <c r="D340" s="69">
        <v>75.347020799999996</v>
      </c>
      <c r="E340" s="69">
        <v>0</v>
      </c>
      <c r="F340" s="13">
        <f>[1]!Table323[[#This Row],[Single Family]]+[1]!Table323[[#This Row],[2-4 Units]]+[1]!Table323[[#This Row],[&gt;4 Units]]</f>
        <v>0</v>
      </c>
      <c r="G340" s="13">
        <v>0</v>
      </c>
      <c r="H340" s="13">
        <v>0</v>
      </c>
      <c r="I340" s="13">
        <v>0</v>
      </c>
      <c r="J340" s="68">
        <v>0</v>
      </c>
      <c r="K340">
        <f t="shared" si="5"/>
        <v>0</v>
      </c>
      <c r="L340" s="13">
        <v>0</v>
      </c>
      <c r="M340" s="13">
        <v>0</v>
      </c>
      <c r="N340" s="13">
        <v>0</v>
      </c>
      <c r="O340" s="68">
        <v>0</v>
      </c>
      <c r="P340" s="155">
        <f>VLOOKUP(Table323[[#This Row],[Census Tract]],'Population and Diversity Data'!$B$2:$K$823,10,FALSE)</f>
        <v>1</v>
      </c>
      <c r="Q340" s="155" t="str">
        <f>VLOOKUP(Table323[[#This Row],[Census Tract]],'ES Energy Burden'!$B$2:$E$914,4,FALSE)</f>
        <v>No</v>
      </c>
    </row>
    <row r="341" spans="1:17" x14ac:dyDescent="0.2">
      <c r="A341" s="101">
        <v>9005266100</v>
      </c>
      <c r="B341" s="102" t="s">
        <v>2789</v>
      </c>
      <c r="C341" s="104" t="s">
        <v>944</v>
      </c>
      <c r="D341" s="69">
        <v>107590.69931904001</v>
      </c>
      <c r="E341" s="69">
        <v>25083.518</v>
      </c>
      <c r="F341" s="13">
        <f>[1]!Table323[[#This Row],[Single Family]]+[1]!Table323[[#This Row],[2-4 Units]]+[1]!Table323[[#This Row],[&gt;4 Units]]</f>
        <v>13</v>
      </c>
      <c r="G341" s="13">
        <v>13</v>
      </c>
      <c r="H341" s="13">
        <v>0</v>
      </c>
      <c r="I341" s="13">
        <v>0</v>
      </c>
      <c r="J341" s="68">
        <v>13248.26</v>
      </c>
      <c r="K341">
        <f t="shared" si="5"/>
        <v>1</v>
      </c>
      <c r="L341" s="13">
        <v>1</v>
      </c>
      <c r="M341" s="13">
        <v>0</v>
      </c>
      <c r="N341" s="13">
        <v>0</v>
      </c>
      <c r="O341" s="68">
        <v>4283.9799999999996</v>
      </c>
      <c r="P341" s="155">
        <f>VLOOKUP(Table323[[#This Row],[Census Tract]],'Population and Diversity Data'!$B$2:$K$823,10,FALSE)</f>
        <v>2</v>
      </c>
      <c r="Q341" s="155" t="str">
        <f>VLOOKUP(Table323[[#This Row],[Census Tract]],'ES Energy Burden'!$B$2:$E$914,4,FALSE)</f>
        <v>No</v>
      </c>
    </row>
    <row r="342" spans="1:17" x14ac:dyDescent="0.2">
      <c r="A342" s="101">
        <v>9015904100</v>
      </c>
      <c r="B342" s="102" t="s">
        <v>2790</v>
      </c>
      <c r="C342" s="104" t="s">
        <v>944</v>
      </c>
      <c r="D342" s="69">
        <v>154442.43837215999</v>
      </c>
      <c r="E342" s="69">
        <v>226131.45370000001</v>
      </c>
      <c r="F342" s="13">
        <f>[1]!Table323[[#This Row],[Single Family]]+[1]!Table323[[#This Row],[2-4 Units]]+[1]!Table323[[#This Row],[&gt;4 Units]]</f>
        <v>17</v>
      </c>
      <c r="G342" s="13">
        <v>15</v>
      </c>
      <c r="H342" s="13">
        <v>2</v>
      </c>
      <c r="I342" s="13">
        <v>0</v>
      </c>
      <c r="J342" s="68">
        <v>13339.5545</v>
      </c>
      <c r="K342">
        <f t="shared" si="5"/>
        <v>107</v>
      </c>
      <c r="L342" s="13">
        <v>26</v>
      </c>
      <c r="M342" s="13">
        <v>0</v>
      </c>
      <c r="N342" s="13">
        <v>81</v>
      </c>
      <c r="O342" s="68">
        <v>75295.7</v>
      </c>
      <c r="P342" s="155">
        <f>VLOOKUP(Table323[[#This Row],[Census Tract]],'Population and Diversity Data'!$B$2:$K$823,10,FALSE)</f>
        <v>2</v>
      </c>
      <c r="Q342" s="155" t="str">
        <f>VLOOKUP(Table323[[#This Row],[Census Tract]],'ES Energy Burden'!$B$2:$E$914,4,FALSE)</f>
        <v>No</v>
      </c>
    </row>
    <row r="343" spans="1:17" x14ac:dyDescent="0.2">
      <c r="A343" s="101">
        <v>9015904400</v>
      </c>
      <c r="B343" s="102" t="s">
        <v>2790</v>
      </c>
      <c r="C343" s="104" t="s">
        <v>944</v>
      </c>
      <c r="D343" s="69">
        <v>60618.712996800001</v>
      </c>
      <c r="E343" s="69">
        <v>12798.2778</v>
      </c>
      <c r="F343" s="13">
        <f>[1]!Table323[[#This Row],[Single Family]]+[1]!Table323[[#This Row],[2-4 Units]]+[1]!Table323[[#This Row],[&gt;4 Units]]</f>
        <v>7</v>
      </c>
      <c r="G343" s="13">
        <v>7</v>
      </c>
      <c r="H343" s="13">
        <v>0</v>
      </c>
      <c r="I343" s="13">
        <v>0</v>
      </c>
      <c r="J343" s="68">
        <v>7045.0677999999998</v>
      </c>
      <c r="K343">
        <f t="shared" si="5"/>
        <v>0</v>
      </c>
      <c r="L343" s="13">
        <v>0</v>
      </c>
      <c r="M343" s="13">
        <v>0</v>
      </c>
      <c r="N343" s="13">
        <v>0</v>
      </c>
      <c r="O343" s="68">
        <v>0</v>
      </c>
      <c r="P343" s="155">
        <f>VLOOKUP(Table323[[#This Row],[Census Tract]],'Population and Diversity Data'!$B$2:$K$823,10,FALSE)</f>
        <v>3</v>
      </c>
      <c r="Q343" s="155" t="str">
        <f>VLOOKUP(Table323[[#This Row],[Census Tract]],'ES Energy Burden'!$B$2:$E$914,4,FALSE)</f>
        <v>No</v>
      </c>
    </row>
    <row r="344" spans="1:17" x14ac:dyDescent="0.2">
      <c r="A344" s="101">
        <v>9015904500</v>
      </c>
      <c r="B344" s="102" t="s">
        <v>2790</v>
      </c>
      <c r="C344" s="104" t="s">
        <v>944</v>
      </c>
      <c r="D344" s="69">
        <v>103701.58665984</v>
      </c>
      <c r="E344" s="69">
        <v>41168.17</v>
      </c>
      <c r="F344" s="13">
        <f>[1]!Table323[[#This Row],[Single Family]]+[1]!Table323[[#This Row],[2-4 Units]]+[1]!Table323[[#This Row],[&gt;4 Units]]</f>
        <v>21</v>
      </c>
      <c r="G344" s="13">
        <v>20</v>
      </c>
      <c r="H344" s="13">
        <v>1</v>
      </c>
      <c r="I344" s="13">
        <v>0</v>
      </c>
      <c r="J344" s="68">
        <v>9966.7999999999993</v>
      </c>
      <c r="K344">
        <f t="shared" si="5"/>
        <v>0</v>
      </c>
      <c r="L344" s="13">
        <v>0</v>
      </c>
      <c r="M344" s="13">
        <v>0</v>
      </c>
      <c r="N344" s="13">
        <v>0</v>
      </c>
      <c r="O344" s="68">
        <v>0</v>
      </c>
      <c r="P344" s="155">
        <f>VLOOKUP(Table323[[#This Row],[Census Tract]],'Population and Diversity Data'!$B$2:$K$823,10,FALSE)</f>
        <v>5</v>
      </c>
      <c r="Q344" s="155" t="str">
        <f>VLOOKUP(Table323[[#This Row],[Census Tract]],'ES Energy Burden'!$B$2:$E$914,4,FALSE)</f>
        <v>No</v>
      </c>
    </row>
    <row r="345" spans="1:17" x14ac:dyDescent="0.2">
      <c r="A345" s="101">
        <v>9015907100</v>
      </c>
      <c r="B345" s="102" t="s">
        <v>2790</v>
      </c>
      <c r="C345" s="104" t="s">
        <v>944</v>
      </c>
      <c r="D345" s="69">
        <v>1382.5854144</v>
      </c>
      <c r="E345" s="69">
        <v>0</v>
      </c>
      <c r="F345" s="13">
        <f>[1]!Table323[[#This Row],[Single Family]]+[1]!Table323[[#This Row],[2-4 Units]]+[1]!Table323[[#This Row],[&gt;4 Units]]</f>
        <v>1</v>
      </c>
      <c r="G345" s="13">
        <v>1</v>
      </c>
      <c r="H345" s="13">
        <v>0</v>
      </c>
      <c r="I345" s="13">
        <v>0</v>
      </c>
      <c r="J345" s="68">
        <v>0</v>
      </c>
      <c r="K345">
        <f t="shared" si="5"/>
        <v>0</v>
      </c>
      <c r="L345" s="13">
        <v>0</v>
      </c>
      <c r="M345" s="13">
        <v>0</v>
      </c>
      <c r="N345" s="13">
        <v>0</v>
      </c>
      <c r="O345" s="68">
        <v>0</v>
      </c>
      <c r="P345" s="155">
        <f>VLOOKUP(Table323[[#This Row],[Census Tract]],'Population and Diversity Data'!$B$2:$K$823,10,FALSE)</f>
        <v>4</v>
      </c>
      <c r="Q345" s="155" t="str">
        <f>VLOOKUP(Table323[[#This Row],[Census Tract]],'ES Energy Burden'!$B$2:$E$914,4,FALSE)</f>
        <v>No</v>
      </c>
    </row>
    <row r="346" spans="1:17" x14ac:dyDescent="0.2">
      <c r="A346" s="101">
        <v>9015907200</v>
      </c>
      <c r="B346" s="102" t="s">
        <v>2790</v>
      </c>
      <c r="C346" s="104" t="s">
        <v>944</v>
      </c>
      <c r="D346" s="69">
        <v>306.37802879999998</v>
      </c>
      <c r="E346" s="69">
        <v>0</v>
      </c>
      <c r="F346" s="13">
        <f>[1]!Table323[[#This Row],[Single Family]]+[1]!Table323[[#This Row],[2-4 Units]]+[1]!Table323[[#This Row],[&gt;4 Units]]</f>
        <v>0</v>
      </c>
      <c r="G346" s="13">
        <v>0</v>
      </c>
      <c r="H346" s="13">
        <v>0</v>
      </c>
      <c r="I346" s="13">
        <v>0</v>
      </c>
      <c r="J346" s="68">
        <v>0</v>
      </c>
      <c r="K346">
        <f t="shared" si="5"/>
        <v>0</v>
      </c>
      <c r="L346" s="13">
        <v>0</v>
      </c>
      <c r="M346" s="13">
        <v>0</v>
      </c>
      <c r="N346" s="13">
        <v>0</v>
      </c>
      <c r="O346" s="68">
        <v>0</v>
      </c>
      <c r="P346" s="155">
        <f>VLOOKUP(Table323[[#This Row],[Census Tract]],'Population and Diversity Data'!$B$2:$K$823,10,FALSE)</f>
        <v>3</v>
      </c>
      <c r="Q346" s="155" t="str">
        <f>VLOOKUP(Table323[[#This Row],[Census Tract]],'ES Energy Burden'!$B$2:$E$914,4,FALSE)</f>
        <v>No</v>
      </c>
    </row>
    <row r="347" spans="1:17" x14ac:dyDescent="0.2">
      <c r="A347" s="101">
        <v>9015908100</v>
      </c>
      <c r="B347" s="102" t="s">
        <v>2790</v>
      </c>
      <c r="C347" s="104" t="s">
        <v>944</v>
      </c>
      <c r="D347" s="69">
        <v>141.2640864</v>
      </c>
      <c r="E347" s="69">
        <v>0</v>
      </c>
      <c r="F347" s="13">
        <f>[1]!Table323[[#This Row],[Single Family]]+[1]!Table323[[#This Row],[2-4 Units]]+[1]!Table323[[#This Row],[&gt;4 Units]]</f>
        <v>0</v>
      </c>
      <c r="G347" s="13">
        <v>0</v>
      </c>
      <c r="H347" s="13">
        <v>0</v>
      </c>
      <c r="I347" s="13">
        <v>0</v>
      </c>
      <c r="J347" s="68">
        <v>0</v>
      </c>
      <c r="K347">
        <f t="shared" si="5"/>
        <v>0</v>
      </c>
      <c r="L347" s="13">
        <v>0</v>
      </c>
      <c r="M347" s="13">
        <v>0</v>
      </c>
      <c r="N347" s="13">
        <v>0</v>
      </c>
      <c r="O347" s="68">
        <v>0</v>
      </c>
      <c r="P347" s="155" t="e">
        <f>VLOOKUP(Table323[[#This Row],[Census Tract]],'Population and Diversity Data'!$B$2:$K$823,10,FALSE)</f>
        <v>#N/A</v>
      </c>
      <c r="Q347" s="155" t="e">
        <f>VLOOKUP(Table323[[#This Row],[Census Tract]],'ES Energy Burden'!$B$2:$E$914,4,FALSE)</f>
        <v>#N/A</v>
      </c>
    </row>
    <row r="348" spans="1:17" x14ac:dyDescent="0.2">
      <c r="A348" s="101">
        <v>9007590100</v>
      </c>
      <c r="B348" s="102" t="s">
        <v>2791</v>
      </c>
      <c r="C348" s="104" t="s">
        <v>944</v>
      </c>
      <c r="D348" s="69">
        <v>798.21763200000009</v>
      </c>
      <c r="E348" s="69">
        <v>0</v>
      </c>
      <c r="F348" s="13">
        <f>[1]!Table323[[#This Row],[Single Family]]+[1]!Table323[[#This Row],[2-4 Units]]+[1]!Table323[[#This Row],[&gt;4 Units]]</f>
        <v>0</v>
      </c>
      <c r="G348" s="13">
        <v>0</v>
      </c>
      <c r="H348" s="13">
        <v>0</v>
      </c>
      <c r="I348" s="13">
        <v>0</v>
      </c>
      <c r="J348" s="68">
        <v>0</v>
      </c>
      <c r="K348">
        <f t="shared" si="5"/>
        <v>0</v>
      </c>
      <c r="L348" s="13">
        <v>0</v>
      </c>
      <c r="M348" s="13">
        <v>0</v>
      </c>
      <c r="N348" s="13">
        <v>0</v>
      </c>
      <c r="O348" s="68">
        <v>0</v>
      </c>
      <c r="P348" s="155">
        <f>VLOOKUP(Table323[[#This Row],[Census Tract]],'Population and Diversity Data'!$B$2:$K$823,10,FALSE)</f>
        <v>1</v>
      </c>
      <c r="Q348" s="155" t="str">
        <f>VLOOKUP(Table323[[#This Row],[Census Tract]],'ES Energy Burden'!$B$2:$E$914,4,FALSE)</f>
        <v>No</v>
      </c>
    </row>
    <row r="349" spans="1:17" x14ac:dyDescent="0.2">
      <c r="A349" s="101">
        <v>9007640100</v>
      </c>
      <c r="B349" s="102" t="s">
        <v>2791</v>
      </c>
      <c r="C349" s="104" t="s">
        <v>944</v>
      </c>
      <c r="D349" s="69">
        <v>152083.24534944</v>
      </c>
      <c r="E349" s="69">
        <v>67481.353700000007</v>
      </c>
      <c r="F349" s="13">
        <f>[1]!Table323[[#This Row],[Single Family]]+[1]!Table323[[#This Row],[2-4 Units]]+[1]!Table323[[#This Row],[&gt;4 Units]]</f>
        <v>29</v>
      </c>
      <c r="G349" s="13">
        <v>29</v>
      </c>
      <c r="H349" s="13">
        <v>0</v>
      </c>
      <c r="I349" s="13">
        <v>0</v>
      </c>
      <c r="J349" s="68">
        <v>34899.748699999996</v>
      </c>
      <c r="K349">
        <f t="shared" si="5"/>
        <v>7</v>
      </c>
      <c r="L349" s="13">
        <v>7</v>
      </c>
      <c r="M349" s="13">
        <v>0</v>
      </c>
      <c r="N349" s="13">
        <v>0</v>
      </c>
      <c r="O349" s="68">
        <v>10416.799999999999</v>
      </c>
      <c r="P349" s="155">
        <f>VLOOKUP(Table323[[#This Row],[Census Tract]],'Population and Diversity Data'!$B$2:$K$823,10,FALSE)</f>
        <v>1</v>
      </c>
      <c r="Q349" s="155" t="str">
        <f>VLOOKUP(Table323[[#This Row],[Census Tract]],'ES Energy Burden'!$B$2:$E$914,4,FALSE)</f>
        <v>No</v>
      </c>
    </row>
    <row r="350" spans="1:17" x14ac:dyDescent="0.2">
      <c r="A350" s="101">
        <v>9011714104</v>
      </c>
      <c r="B350" s="102" t="s">
        <v>2792</v>
      </c>
      <c r="C350" s="104" t="s">
        <v>944</v>
      </c>
      <c r="D350" s="69">
        <v>49.528972799999998</v>
      </c>
      <c r="E350" s="69">
        <v>0</v>
      </c>
      <c r="F350" s="13">
        <f>[1]!Table323[[#This Row],[Single Family]]+[1]!Table323[[#This Row],[2-4 Units]]+[1]!Table323[[#This Row],[&gt;4 Units]]</f>
        <v>0</v>
      </c>
      <c r="G350" s="13">
        <v>0</v>
      </c>
      <c r="H350" s="13">
        <v>0</v>
      </c>
      <c r="I350" s="13">
        <v>0</v>
      </c>
      <c r="J350" s="68">
        <v>0</v>
      </c>
      <c r="K350">
        <f t="shared" si="5"/>
        <v>0</v>
      </c>
      <c r="L350" s="13">
        <v>0</v>
      </c>
      <c r="M350" s="13">
        <v>0</v>
      </c>
      <c r="N350" s="13">
        <v>0</v>
      </c>
      <c r="O350" s="68">
        <v>0</v>
      </c>
      <c r="P350" s="155">
        <f>VLOOKUP(Table323[[#This Row],[Census Tract]],'Population and Diversity Data'!$B$2:$K$823,10,FALSE)</f>
        <v>1</v>
      </c>
      <c r="Q350" s="155" t="str">
        <f>VLOOKUP(Table323[[#This Row],[Census Tract]],'ES Energy Burden'!$B$2:$E$914,4,FALSE)</f>
        <v>No</v>
      </c>
    </row>
    <row r="351" spans="1:17" x14ac:dyDescent="0.2">
      <c r="A351" s="101">
        <v>9011870100</v>
      </c>
      <c r="B351" s="102" t="s">
        <v>2792</v>
      </c>
      <c r="C351" s="104" t="s">
        <v>944</v>
      </c>
      <c r="D351" s="69">
        <v>93097.009843200009</v>
      </c>
      <c r="E351" s="69">
        <v>66859.39</v>
      </c>
      <c r="F351" s="13">
        <f>[1]!Table323[[#This Row],[Single Family]]+[1]!Table323[[#This Row],[2-4 Units]]+[1]!Table323[[#This Row],[&gt;4 Units]]</f>
        <v>16</v>
      </c>
      <c r="G351" s="13">
        <v>16</v>
      </c>
      <c r="H351" s="13">
        <v>0</v>
      </c>
      <c r="I351" s="13">
        <v>0</v>
      </c>
      <c r="J351" s="68">
        <v>16628.48</v>
      </c>
      <c r="K351">
        <f t="shared" si="5"/>
        <v>6</v>
      </c>
      <c r="L351" s="13">
        <v>6</v>
      </c>
      <c r="M351" s="13">
        <v>0</v>
      </c>
      <c r="N351" s="13">
        <v>0</v>
      </c>
      <c r="O351" s="68">
        <v>26361.9</v>
      </c>
      <c r="P351" s="155">
        <f>VLOOKUP(Table323[[#This Row],[Census Tract]],'Population and Diversity Data'!$B$2:$K$823,10,FALSE)</f>
        <v>1</v>
      </c>
      <c r="Q351" s="155" t="str">
        <f>VLOOKUP(Table323[[#This Row],[Census Tract]],'ES Energy Burden'!$B$2:$E$914,4,FALSE)</f>
        <v>No</v>
      </c>
    </row>
    <row r="352" spans="1:17" x14ac:dyDescent="0.2">
      <c r="A352" s="101">
        <v>9011701100</v>
      </c>
      <c r="B352" s="102" t="s">
        <v>2793</v>
      </c>
      <c r="C352" s="104" t="s">
        <v>944</v>
      </c>
      <c r="D352" s="69">
        <v>174690.90243935998</v>
      </c>
      <c r="E352" s="69">
        <v>90400.118200000099</v>
      </c>
      <c r="F352" s="13">
        <f>[1]!Table323[[#This Row],[Single Family]]+[1]!Table323[[#This Row],[2-4 Units]]+[1]!Table323[[#This Row],[&gt;4 Units]]</f>
        <v>39</v>
      </c>
      <c r="G352" s="13">
        <v>39</v>
      </c>
      <c r="H352" s="13">
        <v>0</v>
      </c>
      <c r="I352" s="13">
        <v>0</v>
      </c>
      <c r="J352" s="68">
        <v>34778.7431</v>
      </c>
      <c r="K352">
        <f t="shared" si="5"/>
        <v>10</v>
      </c>
      <c r="L352" s="13">
        <v>10</v>
      </c>
      <c r="M352" s="13">
        <v>0</v>
      </c>
      <c r="N352" s="13">
        <v>0</v>
      </c>
      <c r="O352" s="68">
        <v>15516.5</v>
      </c>
      <c r="P352" s="155">
        <f>VLOOKUP(Table323[[#This Row],[Census Tract]],'Population and Diversity Data'!$B$2:$K$823,10,FALSE)</f>
        <v>4</v>
      </c>
      <c r="Q352" s="155" t="str">
        <f>VLOOKUP(Table323[[#This Row],[Census Tract]],'ES Energy Burden'!$B$2:$E$914,4,FALSE)</f>
        <v>No</v>
      </c>
    </row>
    <row r="353" spans="1:17" x14ac:dyDescent="0.2">
      <c r="A353" s="101">
        <v>9011701200</v>
      </c>
      <c r="B353" s="102" t="s">
        <v>2793</v>
      </c>
      <c r="C353" s="104" t="s">
        <v>944</v>
      </c>
      <c r="D353" s="69">
        <v>138641.1926976</v>
      </c>
      <c r="E353" s="69">
        <v>35876.579899999997</v>
      </c>
      <c r="F353" s="13">
        <f>[1]!Table323[[#This Row],[Single Family]]+[1]!Table323[[#This Row],[2-4 Units]]+[1]!Table323[[#This Row],[&gt;4 Units]]</f>
        <v>36</v>
      </c>
      <c r="G353" s="13">
        <v>36</v>
      </c>
      <c r="H353" s="13">
        <v>0</v>
      </c>
      <c r="I353" s="13">
        <v>0</v>
      </c>
      <c r="J353" s="68">
        <v>26795.769899999999</v>
      </c>
      <c r="K353">
        <f t="shared" si="5"/>
        <v>0</v>
      </c>
      <c r="L353" s="13">
        <v>0</v>
      </c>
      <c r="M353" s="13">
        <v>0</v>
      </c>
      <c r="N353" s="13">
        <v>0</v>
      </c>
      <c r="O353" s="68">
        <v>0</v>
      </c>
      <c r="P353" s="155">
        <f>VLOOKUP(Table323[[#This Row],[Census Tract]],'Population and Diversity Data'!$B$2:$K$823,10,FALSE)</f>
        <v>3</v>
      </c>
      <c r="Q353" s="155" t="str">
        <f>VLOOKUP(Table323[[#This Row],[Census Tract]],'ES Energy Burden'!$B$2:$E$914,4,FALSE)</f>
        <v>No</v>
      </c>
    </row>
    <row r="354" spans="1:17" x14ac:dyDescent="0.2">
      <c r="A354" s="101">
        <v>9011980000</v>
      </c>
      <c r="B354" s="102" t="s">
        <v>2793</v>
      </c>
      <c r="C354" s="104" t="s">
        <v>944</v>
      </c>
      <c r="D354" s="69">
        <v>64.956124800000012</v>
      </c>
      <c r="E354" s="69">
        <v>0</v>
      </c>
      <c r="F354" s="13">
        <f>[1]!Table323[[#This Row],[Single Family]]+[1]!Table323[[#This Row],[2-4 Units]]+[1]!Table323[[#This Row],[&gt;4 Units]]</f>
        <v>0</v>
      </c>
      <c r="G354" s="13">
        <v>0</v>
      </c>
      <c r="H354" s="13">
        <v>0</v>
      </c>
      <c r="I354" s="13">
        <v>0</v>
      </c>
      <c r="J354" s="68">
        <v>0</v>
      </c>
      <c r="K354">
        <f t="shared" si="5"/>
        <v>0</v>
      </c>
      <c r="L354" s="13">
        <v>0</v>
      </c>
      <c r="M354" s="13">
        <v>0</v>
      </c>
      <c r="N354" s="13">
        <v>0</v>
      </c>
      <c r="O354" s="68">
        <v>0</v>
      </c>
      <c r="P354" s="155" t="e">
        <f>VLOOKUP(Table323[[#This Row],[Census Tract]],'Population and Diversity Data'!$B$2:$K$823,10,FALSE)</f>
        <v>#N/A</v>
      </c>
      <c r="Q354" s="155" t="e">
        <f>VLOOKUP(Table323[[#This Row],[Census Tract]],'ES Energy Burden'!$B$2:$E$914,4,FALSE)</f>
        <v>#N/A</v>
      </c>
    </row>
    <row r="355" spans="1:17" x14ac:dyDescent="0.2">
      <c r="A355" s="101">
        <v>9011709200</v>
      </c>
      <c r="B355" s="102" t="s">
        <v>2794</v>
      </c>
      <c r="C355" s="104" t="s">
        <v>944</v>
      </c>
      <c r="D355" s="69">
        <v>14.0899392</v>
      </c>
      <c r="E355" s="69">
        <v>0</v>
      </c>
      <c r="F355" s="13">
        <f>[1]!Table323[[#This Row],[Single Family]]+[1]!Table323[[#This Row],[2-4 Units]]+[1]!Table323[[#This Row],[&gt;4 Units]]</f>
        <v>0</v>
      </c>
      <c r="G355" s="13">
        <v>0</v>
      </c>
      <c r="H355" s="13">
        <v>0</v>
      </c>
      <c r="I355" s="13">
        <v>0</v>
      </c>
      <c r="J355" s="68">
        <v>0</v>
      </c>
      <c r="K355">
        <f t="shared" si="5"/>
        <v>0</v>
      </c>
      <c r="L355" s="13">
        <v>0</v>
      </c>
      <c r="M355" s="13">
        <v>0</v>
      </c>
      <c r="N355" s="13">
        <v>0</v>
      </c>
      <c r="O355" s="68">
        <v>0</v>
      </c>
      <c r="P355" s="155">
        <f>VLOOKUP(Table323[[#This Row],[Census Tract]],'Population and Diversity Data'!$B$2:$K$823,10,FALSE)</f>
        <v>5</v>
      </c>
      <c r="Q355" s="155" t="str">
        <f>VLOOKUP(Table323[[#This Row],[Census Tract]],'ES Energy Burden'!$B$2:$E$914,4,FALSE)</f>
        <v>No</v>
      </c>
    </row>
    <row r="356" spans="1:17" x14ac:dyDescent="0.2">
      <c r="A356" s="101">
        <v>9000016000</v>
      </c>
      <c r="B356" s="102" t="s">
        <v>2794</v>
      </c>
      <c r="C356" s="104" t="s">
        <v>944</v>
      </c>
      <c r="D356" s="69">
        <v>84.533846399999987</v>
      </c>
      <c r="E356" s="69">
        <v>0</v>
      </c>
      <c r="F356" s="13">
        <f>[1]!Table323[[#This Row],[Single Family]]+[1]!Table323[[#This Row],[2-4 Units]]+[1]!Table323[[#This Row],[&gt;4 Units]]</f>
        <v>0</v>
      </c>
      <c r="G356" s="13">
        <v>0</v>
      </c>
      <c r="H356" s="13">
        <v>0</v>
      </c>
      <c r="I356" s="13">
        <v>0</v>
      </c>
      <c r="J356" s="68">
        <v>0</v>
      </c>
      <c r="K356">
        <f t="shared" si="5"/>
        <v>0</v>
      </c>
      <c r="L356" s="13">
        <v>0</v>
      </c>
      <c r="M356" s="13">
        <v>0</v>
      </c>
      <c r="N356" s="13">
        <v>0</v>
      </c>
      <c r="O356" s="68">
        <v>0</v>
      </c>
      <c r="P356" s="155" t="e">
        <f>VLOOKUP(Table323[[#This Row],[Census Tract]],'Population and Diversity Data'!$B$2:$K$823,10,FALSE)</f>
        <v>#N/A</v>
      </c>
      <c r="Q356" s="155" t="e">
        <f>VLOOKUP(Table323[[#This Row],[Census Tract]],'ES Energy Burden'!$B$2:$E$914,4,FALSE)</f>
        <v>#N/A</v>
      </c>
    </row>
    <row r="357" spans="1:17" x14ac:dyDescent="0.2">
      <c r="A357" s="101">
        <v>9011710100</v>
      </c>
      <c r="B357" s="102" t="s">
        <v>2794</v>
      </c>
      <c r="C357" s="104" t="s">
        <v>944</v>
      </c>
      <c r="D357" s="69">
        <v>81352.816283519991</v>
      </c>
      <c r="E357" s="69">
        <v>0</v>
      </c>
      <c r="F357" s="13">
        <f>[1]!Table323[[#This Row],[Single Family]]+[1]!Table323[[#This Row],[2-4 Units]]+[1]!Table323[[#This Row],[&gt;4 Units]]</f>
        <v>21</v>
      </c>
      <c r="G357" s="13">
        <v>21</v>
      </c>
      <c r="H357" s="13">
        <v>0</v>
      </c>
      <c r="I357" s="13">
        <v>0</v>
      </c>
      <c r="J357" s="68">
        <v>19784.199799999999</v>
      </c>
      <c r="K357">
        <f t="shared" si="5"/>
        <v>7</v>
      </c>
      <c r="L357" s="13">
        <v>7</v>
      </c>
      <c r="M357" s="13">
        <v>0</v>
      </c>
      <c r="N357" s="13">
        <v>0</v>
      </c>
      <c r="O357" s="68">
        <v>8955.32</v>
      </c>
      <c r="P357" s="155">
        <f>VLOOKUP(Table323[[#This Row],[Census Tract]],'Population and Diversity Data'!$B$2:$K$823,10,FALSE)</f>
        <v>3</v>
      </c>
      <c r="Q357" s="155" t="str">
        <f>VLOOKUP(Table323[[#This Row],[Census Tract]],'ES Energy Burden'!$B$2:$E$914,4,FALSE)</f>
        <v>No</v>
      </c>
    </row>
    <row r="358" spans="1:17" x14ac:dyDescent="0.2">
      <c r="A358" s="101">
        <v>9011716102</v>
      </c>
      <c r="B358" s="102" t="s">
        <v>2794</v>
      </c>
      <c r="C358" s="104" t="s">
        <v>944</v>
      </c>
      <c r="D358" s="69">
        <v>67.653705599999995</v>
      </c>
      <c r="E358" s="69">
        <v>0</v>
      </c>
      <c r="F358" s="13">
        <f>[1]!Table323[[#This Row],[Single Family]]+[1]!Table323[[#This Row],[2-4 Units]]+[1]!Table323[[#This Row],[&gt;4 Units]]</f>
        <v>0</v>
      </c>
      <c r="G358" s="13">
        <v>0</v>
      </c>
      <c r="H358" s="13">
        <v>0</v>
      </c>
      <c r="I358" s="13">
        <v>0</v>
      </c>
      <c r="J358" s="68">
        <v>0</v>
      </c>
      <c r="K358">
        <f t="shared" si="5"/>
        <v>0</v>
      </c>
      <c r="L358" s="13">
        <v>0</v>
      </c>
      <c r="M358" s="13">
        <v>0</v>
      </c>
      <c r="N358" s="13">
        <v>0</v>
      </c>
      <c r="O358" s="68">
        <v>0</v>
      </c>
      <c r="P358" s="155">
        <f>VLOOKUP(Table323[[#This Row],[Census Tract]],'Population and Diversity Data'!$B$2:$K$823,10,FALSE)</f>
        <v>4</v>
      </c>
      <c r="Q358" s="155" t="str">
        <f>VLOOKUP(Table323[[#This Row],[Census Tract]],'ES Energy Burden'!$B$2:$E$914,4,FALSE)</f>
        <v>No</v>
      </c>
    </row>
    <row r="359" spans="1:17" x14ac:dyDescent="0.2">
      <c r="A359" s="101">
        <v>9015905100</v>
      </c>
      <c r="B359" s="102" t="s">
        <v>2794</v>
      </c>
      <c r="C359" s="104" t="s">
        <v>944</v>
      </c>
      <c r="D359" s="69">
        <v>45.320515200000003</v>
      </c>
      <c r="E359" s="69">
        <v>0</v>
      </c>
      <c r="F359" s="13">
        <f>[1]!Table323[[#This Row],[Single Family]]+[1]!Table323[[#This Row],[2-4 Units]]+[1]!Table323[[#This Row],[&gt;4 Units]]</f>
        <v>0</v>
      </c>
      <c r="G359" s="13">
        <v>0</v>
      </c>
      <c r="H359" s="13">
        <v>0</v>
      </c>
      <c r="I359" s="13">
        <v>0</v>
      </c>
      <c r="J359" s="68">
        <v>0</v>
      </c>
      <c r="K359">
        <f t="shared" si="5"/>
        <v>0</v>
      </c>
      <c r="L359" s="13">
        <v>0</v>
      </c>
      <c r="M359" s="13">
        <v>0</v>
      </c>
      <c r="N359" s="13">
        <v>0</v>
      </c>
      <c r="O359" s="68">
        <v>0</v>
      </c>
      <c r="P359" s="155">
        <f>VLOOKUP(Table323[[#This Row],[Census Tract]],'Population and Diversity Data'!$B$2:$K$823,10,FALSE)</f>
        <v>4</v>
      </c>
      <c r="Q359" s="155" t="str">
        <f>VLOOKUP(Table323[[#This Row],[Census Tract]],'ES Energy Burden'!$B$2:$E$914,4,FALSE)</f>
        <v>No</v>
      </c>
    </row>
    <row r="360" spans="1:17" x14ac:dyDescent="0.2">
      <c r="A360" s="101">
        <v>9011693400</v>
      </c>
      <c r="B360" s="102" t="s">
        <v>2794</v>
      </c>
      <c r="C360" s="104" t="s">
        <v>944</v>
      </c>
      <c r="D360" s="69">
        <v>44.7532128</v>
      </c>
      <c r="E360" s="69">
        <v>178185.68220000001</v>
      </c>
      <c r="F360" s="13">
        <f>[1]!Table323[[#This Row],[Single Family]]+[1]!Table323[[#This Row],[2-4 Units]]+[1]!Table323[[#This Row],[&gt;4 Units]]</f>
        <v>0</v>
      </c>
      <c r="G360" s="13">
        <v>0</v>
      </c>
      <c r="H360" s="13">
        <v>0</v>
      </c>
      <c r="I360" s="13">
        <v>0</v>
      </c>
      <c r="J360" s="68">
        <v>0</v>
      </c>
      <c r="K360">
        <f t="shared" si="5"/>
        <v>0</v>
      </c>
      <c r="L360" s="13">
        <v>0</v>
      </c>
      <c r="M360" s="13">
        <v>0</v>
      </c>
      <c r="N360" s="13">
        <v>0</v>
      </c>
      <c r="O360" s="68">
        <v>0</v>
      </c>
      <c r="P360" s="155">
        <f>VLOOKUP(Table323[[#This Row],[Census Tract]],'Population and Diversity Data'!$B$2:$K$823,10,FALSE)</f>
        <v>3</v>
      </c>
      <c r="Q360" s="155" t="str">
        <f>VLOOKUP(Table323[[#This Row],[Census Tract]],'ES Energy Burden'!$B$2:$E$914,4,FALSE)</f>
        <v>No</v>
      </c>
    </row>
    <row r="361" spans="1:17" x14ac:dyDescent="0.2">
      <c r="A361" s="101">
        <v>9011709100</v>
      </c>
      <c r="B361" s="102" t="s">
        <v>2794</v>
      </c>
      <c r="C361" s="104" t="s">
        <v>944</v>
      </c>
      <c r="D361" s="69">
        <v>1041.2546112</v>
      </c>
      <c r="E361" s="69">
        <v>0</v>
      </c>
      <c r="F361" s="13">
        <f>[1]!Table323[[#This Row],[Single Family]]+[1]!Table323[[#This Row],[2-4 Units]]+[1]!Table323[[#This Row],[&gt;4 Units]]</f>
        <v>0</v>
      </c>
      <c r="G361" s="13">
        <v>0</v>
      </c>
      <c r="H361" s="13">
        <v>0</v>
      </c>
      <c r="I361" s="13">
        <v>0</v>
      </c>
      <c r="J361" s="68">
        <v>0</v>
      </c>
      <c r="K361">
        <f t="shared" si="5"/>
        <v>0</v>
      </c>
      <c r="L361" s="13">
        <v>0</v>
      </c>
      <c r="M361" s="13">
        <v>0</v>
      </c>
      <c r="N361" s="13">
        <v>0</v>
      </c>
      <c r="O361" s="68">
        <v>0</v>
      </c>
      <c r="P361" s="155">
        <f>VLOOKUP(Table323[[#This Row],[Census Tract]],'Population and Diversity Data'!$B$2:$K$823,10,FALSE)</f>
        <v>3</v>
      </c>
      <c r="Q361" s="155" t="str">
        <f>VLOOKUP(Table323[[#This Row],[Census Tract]],'ES Energy Burden'!$B$2:$E$914,4,FALSE)</f>
        <v>No</v>
      </c>
    </row>
    <row r="362" spans="1:17" x14ac:dyDescent="0.2">
      <c r="A362" s="101">
        <v>9003496200</v>
      </c>
      <c r="B362" s="102" t="s">
        <v>2794</v>
      </c>
      <c r="C362" s="104" t="s">
        <v>944</v>
      </c>
      <c r="D362" s="69">
        <v>511.48679040000002</v>
      </c>
      <c r="E362" s="69">
        <v>0</v>
      </c>
      <c r="F362" s="13">
        <f>[1]!Table323[[#This Row],[Single Family]]+[1]!Table323[[#This Row],[2-4 Units]]+[1]!Table323[[#This Row],[&gt;4 Units]]</f>
        <v>0</v>
      </c>
      <c r="G362" s="13">
        <v>0</v>
      </c>
      <c r="H362" s="13">
        <v>0</v>
      </c>
      <c r="I362" s="13">
        <v>0</v>
      </c>
      <c r="J362" s="68">
        <v>0</v>
      </c>
      <c r="K362">
        <f t="shared" si="5"/>
        <v>0</v>
      </c>
      <c r="L362" s="13">
        <v>0</v>
      </c>
      <c r="M362" s="13">
        <v>0</v>
      </c>
      <c r="N362" s="13">
        <v>0</v>
      </c>
      <c r="O362" s="68">
        <v>0</v>
      </c>
      <c r="P362" s="155">
        <f>VLOOKUP(Table323[[#This Row],[Census Tract]],'Population and Diversity Data'!$B$2:$K$823,10,FALSE)</f>
        <v>5</v>
      </c>
      <c r="Q362" s="155" t="str">
        <f>VLOOKUP(Table323[[#This Row],[Census Tract]],'ES Energy Burden'!$B$2:$E$914,4,FALSE)</f>
        <v>No</v>
      </c>
    </row>
    <row r="363" spans="1:17" x14ac:dyDescent="0.2">
      <c r="A363" s="101">
        <v>9005296100</v>
      </c>
      <c r="B363" s="102" t="s">
        <v>2795</v>
      </c>
      <c r="C363" s="104" t="s">
        <v>944</v>
      </c>
      <c r="D363" s="69">
        <v>509.46071040000004</v>
      </c>
      <c r="E363" s="69">
        <v>0</v>
      </c>
      <c r="F363" s="13">
        <f>[1]!Table323[[#This Row],[Single Family]]+[1]!Table323[[#This Row],[2-4 Units]]+[1]!Table323[[#This Row],[&gt;4 Units]]</f>
        <v>0</v>
      </c>
      <c r="G363" s="13">
        <v>0</v>
      </c>
      <c r="H363" s="13">
        <v>0</v>
      </c>
      <c r="I363" s="13">
        <v>0</v>
      </c>
      <c r="J363" s="68">
        <v>0</v>
      </c>
      <c r="K363">
        <f t="shared" si="5"/>
        <v>0</v>
      </c>
      <c r="L363" s="13">
        <v>0</v>
      </c>
      <c r="M363" s="13">
        <v>0</v>
      </c>
      <c r="N363" s="13">
        <v>0</v>
      </c>
      <c r="O363" s="68">
        <v>0</v>
      </c>
      <c r="P363" s="155">
        <f>VLOOKUP(Table323[[#This Row],[Census Tract]],'Population and Diversity Data'!$B$2:$K$823,10,FALSE)</f>
        <v>3</v>
      </c>
      <c r="Q363" s="155" t="str">
        <f>VLOOKUP(Table323[[#This Row],[Census Tract]],'ES Energy Burden'!$B$2:$E$914,4,FALSE)</f>
        <v>No</v>
      </c>
    </row>
    <row r="364" spans="1:17" x14ac:dyDescent="0.2">
      <c r="A364" s="101">
        <v>9005300100</v>
      </c>
      <c r="B364" s="102" t="s">
        <v>2795</v>
      </c>
      <c r="C364" s="104" t="s">
        <v>944</v>
      </c>
      <c r="D364" s="69">
        <v>68888.674877760001</v>
      </c>
      <c r="E364" s="69">
        <v>74664.482900000003</v>
      </c>
      <c r="F364" s="13">
        <f>[1]!Table323[[#This Row],[Single Family]]+[1]!Table323[[#This Row],[2-4 Units]]+[1]!Table323[[#This Row],[&gt;4 Units]]</f>
        <v>21</v>
      </c>
      <c r="G364" s="13">
        <v>20</v>
      </c>
      <c r="H364" s="13">
        <v>1</v>
      </c>
      <c r="I364" s="13">
        <v>0</v>
      </c>
      <c r="J364" s="68">
        <v>24674.0429</v>
      </c>
      <c r="K364">
        <f t="shared" si="5"/>
        <v>0</v>
      </c>
      <c r="L364" s="13">
        <v>0</v>
      </c>
      <c r="M364" s="13">
        <v>0</v>
      </c>
      <c r="N364" s="13">
        <v>0</v>
      </c>
      <c r="O364" s="68">
        <v>0</v>
      </c>
      <c r="P364" s="155">
        <f>VLOOKUP(Table323[[#This Row],[Census Tract]],'Population and Diversity Data'!$B$2:$K$823,10,FALSE)</f>
        <v>1</v>
      </c>
      <c r="Q364" s="155" t="str">
        <f>VLOOKUP(Table323[[#This Row],[Census Tract]],'ES Energy Burden'!$B$2:$E$914,4,FALSE)</f>
        <v>No</v>
      </c>
    </row>
    <row r="365" spans="1:17" x14ac:dyDescent="0.2">
      <c r="A365" s="101">
        <v>9005300400</v>
      </c>
      <c r="B365" s="102" t="s">
        <v>2795</v>
      </c>
      <c r="C365" s="104" t="s">
        <v>944</v>
      </c>
      <c r="D365" s="69">
        <v>46661.577552000002</v>
      </c>
      <c r="E365" s="69">
        <v>11260.856400000001</v>
      </c>
      <c r="F365" s="13">
        <f>[1]!Table323[[#This Row],[Single Family]]+[1]!Table323[[#This Row],[2-4 Units]]+[1]!Table323[[#This Row],[&gt;4 Units]]</f>
        <v>6</v>
      </c>
      <c r="G365" s="13">
        <v>6</v>
      </c>
      <c r="H365" s="13">
        <v>0</v>
      </c>
      <c r="I365" s="13">
        <v>0</v>
      </c>
      <c r="J365" s="68">
        <v>9657.7163999999993</v>
      </c>
      <c r="K365">
        <f t="shared" si="5"/>
        <v>0</v>
      </c>
      <c r="L365" s="13">
        <v>0</v>
      </c>
      <c r="M365" s="13">
        <v>0</v>
      </c>
      <c r="N365" s="13">
        <v>0</v>
      </c>
      <c r="O365" s="68">
        <v>0</v>
      </c>
      <c r="P365" s="155">
        <f>VLOOKUP(Table323[[#This Row],[Census Tract]],'Population and Diversity Data'!$B$2:$K$823,10,FALSE)</f>
        <v>2</v>
      </c>
      <c r="Q365" s="155" t="str">
        <f>VLOOKUP(Table323[[#This Row],[Census Tract]],'ES Energy Burden'!$B$2:$E$914,4,FALSE)</f>
        <v>No</v>
      </c>
    </row>
    <row r="366" spans="1:17" x14ac:dyDescent="0.2">
      <c r="A366" s="101">
        <v>9005300500</v>
      </c>
      <c r="B366" s="102" t="s">
        <v>2795</v>
      </c>
      <c r="C366" s="104" t="s">
        <v>944</v>
      </c>
      <c r="D366" s="69">
        <v>108012.44002752</v>
      </c>
      <c r="E366" s="69">
        <v>85264.085800000001</v>
      </c>
      <c r="F366" s="13">
        <f>[1]!Table323[[#This Row],[Single Family]]+[1]!Table323[[#This Row],[2-4 Units]]+[1]!Table323[[#This Row],[&gt;4 Units]]</f>
        <v>31</v>
      </c>
      <c r="G366" s="13">
        <v>31</v>
      </c>
      <c r="H366" s="13">
        <v>0</v>
      </c>
      <c r="I366" s="13">
        <v>0</v>
      </c>
      <c r="J366" s="68">
        <v>27534.120599999998</v>
      </c>
      <c r="K366">
        <f t="shared" si="5"/>
        <v>55</v>
      </c>
      <c r="L366" s="13">
        <v>7</v>
      </c>
      <c r="M366" s="13">
        <v>0</v>
      </c>
      <c r="N366" s="13">
        <v>48</v>
      </c>
      <c r="O366" s="68">
        <v>57729.599999999999</v>
      </c>
      <c r="P366" s="155">
        <f>VLOOKUP(Table323[[#This Row],[Census Tract]],'Population and Diversity Data'!$B$2:$K$823,10,FALSE)</f>
        <v>1</v>
      </c>
      <c r="Q366" s="155" t="str">
        <f>VLOOKUP(Table323[[#This Row],[Census Tract]],'ES Energy Burden'!$B$2:$E$914,4,FALSE)</f>
        <v>No</v>
      </c>
    </row>
    <row r="367" spans="1:17" x14ac:dyDescent="0.2">
      <c r="A367" s="101">
        <v>9005303100</v>
      </c>
      <c r="B367" s="102" t="s">
        <v>2795</v>
      </c>
      <c r="C367" s="104" t="s">
        <v>944</v>
      </c>
      <c r="D367" s="69">
        <v>538.43944320000003</v>
      </c>
      <c r="E367" s="69">
        <v>1069.8900000000001</v>
      </c>
      <c r="F367" s="13">
        <f>[1]!Table323[[#This Row],[Single Family]]+[1]!Table323[[#This Row],[2-4 Units]]+[1]!Table323[[#This Row],[&gt;4 Units]]</f>
        <v>1</v>
      </c>
      <c r="G367" s="13">
        <v>1</v>
      </c>
      <c r="H367" s="13">
        <v>0</v>
      </c>
      <c r="I367" s="13">
        <v>0</v>
      </c>
      <c r="J367" s="68">
        <v>1066.7</v>
      </c>
      <c r="K367">
        <f t="shared" si="5"/>
        <v>0</v>
      </c>
      <c r="L367" s="13">
        <v>0</v>
      </c>
      <c r="M367" s="13">
        <v>0</v>
      </c>
      <c r="N367" s="13">
        <v>0</v>
      </c>
      <c r="O367" s="68">
        <v>0</v>
      </c>
      <c r="P367" s="155">
        <f>VLOOKUP(Table323[[#This Row],[Census Tract]],'Population and Diversity Data'!$B$2:$K$823,10,FALSE)</f>
        <v>1</v>
      </c>
      <c r="Q367" s="155" t="str">
        <f>VLOOKUP(Table323[[#This Row],[Census Tract]],'ES Energy Burden'!$B$2:$E$914,4,FALSE)</f>
        <v>No</v>
      </c>
    </row>
    <row r="368" spans="1:17" x14ac:dyDescent="0.2">
      <c r="A368" s="101">
        <v>9005349100</v>
      </c>
      <c r="B368" s="102" t="s">
        <v>2795</v>
      </c>
      <c r="C368" s="104" t="s">
        <v>944</v>
      </c>
      <c r="D368" s="69">
        <v>278.03027520000001</v>
      </c>
      <c r="E368" s="69">
        <v>0</v>
      </c>
      <c r="F368" s="13">
        <f>[1]!Table323[[#This Row],[Single Family]]+[1]!Table323[[#This Row],[2-4 Units]]+[1]!Table323[[#This Row],[&gt;4 Units]]</f>
        <v>0</v>
      </c>
      <c r="G368" s="13">
        <v>0</v>
      </c>
      <c r="H368" s="13">
        <v>0</v>
      </c>
      <c r="I368" s="13">
        <v>0</v>
      </c>
      <c r="J368" s="68">
        <v>0</v>
      </c>
      <c r="K368">
        <f t="shared" si="5"/>
        <v>0</v>
      </c>
      <c r="L368" s="13">
        <v>0</v>
      </c>
      <c r="M368" s="13">
        <v>0</v>
      </c>
      <c r="N368" s="13">
        <v>0</v>
      </c>
      <c r="O368" s="68">
        <v>0</v>
      </c>
      <c r="P368" s="155">
        <f>VLOOKUP(Table323[[#This Row],[Census Tract]],'Population and Diversity Data'!$B$2:$K$823,10,FALSE)</f>
        <v>1</v>
      </c>
      <c r="Q368" s="155" t="str">
        <f>VLOOKUP(Table323[[#This Row],[Census Tract]],'ES Energy Burden'!$B$2:$E$914,4,FALSE)</f>
        <v>No</v>
      </c>
    </row>
    <row r="369" spans="1:17" x14ac:dyDescent="0.2">
      <c r="A369" s="101">
        <v>9011650100</v>
      </c>
      <c r="B369" s="102" t="s">
        <v>2796</v>
      </c>
      <c r="C369" s="104" t="s">
        <v>944</v>
      </c>
      <c r="D369" s="69">
        <v>79093.234615680005</v>
      </c>
      <c r="E369" s="69">
        <v>36851.571000000004</v>
      </c>
      <c r="F369" s="13">
        <f>[1]!Table323[[#This Row],[Single Family]]+[1]!Table323[[#This Row],[2-4 Units]]+[1]!Table323[[#This Row],[&gt;4 Units]]</f>
        <v>24</v>
      </c>
      <c r="G369" s="13">
        <v>24</v>
      </c>
      <c r="H369" s="13">
        <v>0</v>
      </c>
      <c r="I369" s="13">
        <v>0</v>
      </c>
      <c r="J369" s="68">
        <v>26954.800999999999</v>
      </c>
      <c r="K369">
        <f t="shared" si="5"/>
        <v>0</v>
      </c>
      <c r="L369" s="13">
        <v>0</v>
      </c>
      <c r="M369" s="13">
        <v>0</v>
      </c>
      <c r="N369" s="13">
        <v>0</v>
      </c>
      <c r="O369" s="68">
        <v>0</v>
      </c>
      <c r="P369" s="155">
        <f>VLOOKUP(Table323[[#This Row],[Census Tract]],'Population and Diversity Data'!$B$2:$K$823,10,FALSE)</f>
        <v>1</v>
      </c>
      <c r="Q369" s="155" t="str">
        <f>VLOOKUP(Table323[[#This Row],[Census Tract]],'ES Energy Burden'!$B$2:$E$914,4,FALSE)</f>
        <v>No</v>
      </c>
    </row>
    <row r="370" spans="1:17" x14ac:dyDescent="0.2">
      <c r="A370" s="101">
        <v>9009190301</v>
      </c>
      <c r="B370" s="102" t="s">
        <v>2797</v>
      </c>
      <c r="C370" s="104" t="s">
        <v>944</v>
      </c>
      <c r="D370" s="69">
        <v>1231.9318943999999</v>
      </c>
      <c r="E370" s="69">
        <v>957.25</v>
      </c>
      <c r="F370" s="13">
        <f>[1]!Table323[[#This Row],[Single Family]]+[1]!Table323[[#This Row],[2-4 Units]]+[1]!Table323[[#This Row],[&gt;4 Units]]</f>
        <v>1</v>
      </c>
      <c r="G370" s="13">
        <v>1</v>
      </c>
      <c r="H370" s="13">
        <v>0</v>
      </c>
      <c r="I370" s="13">
        <v>0</v>
      </c>
      <c r="J370" s="68">
        <v>954.06</v>
      </c>
      <c r="K370">
        <f t="shared" si="5"/>
        <v>0</v>
      </c>
      <c r="L370" s="13">
        <v>0</v>
      </c>
      <c r="M370" s="13">
        <v>0</v>
      </c>
      <c r="N370" s="13">
        <v>0</v>
      </c>
      <c r="O370" s="68">
        <v>0</v>
      </c>
      <c r="P370" s="155">
        <f>VLOOKUP(Table323[[#This Row],[Census Tract]],'Population and Diversity Data'!$B$2:$K$823,10,FALSE)</f>
        <v>3</v>
      </c>
      <c r="Q370" s="155" t="str">
        <f>VLOOKUP(Table323[[#This Row],[Census Tract]],'ES Energy Burden'!$B$2:$E$914,4,FALSE)</f>
        <v>No</v>
      </c>
    </row>
    <row r="371" spans="1:17" x14ac:dyDescent="0.2">
      <c r="A371" s="101">
        <v>9009194100</v>
      </c>
      <c r="B371" s="102" t="s">
        <v>2797</v>
      </c>
      <c r="C371" s="104" t="s">
        <v>944</v>
      </c>
      <c r="D371" s="69">
        <v>147620.49213312002</v>
      </c>
      <c r="E371" s="69">
        <v>34658.589500000002</v>
      </c>
      <c r="F371" s="13">
        <f>[1]!Table323[[#This Row],[Single Family]]+[1]!Table323[[#This Row],[2-4 Units]]+[1]!Table323[[#This Row],[&gt;4 Units]]</f>
        <v>33</v>
      </c>
      <c r="G371" s="13">
        <v>33</v>
      </c>
      <c r="H371" s="13">
        <v>0</v>
      </c>
      <c r="I371" s="13">
        <v>0</v>
      </c>
      <c r="J371" s="68">
        <v>22836.9395</v>
      </c>
      <c r="K371">
        <f t="shared" si="5"/>
        <v>0</v>
      </c>
      <c r="L371" s="13">
        <v>0</v>
      </c>
      <c r="M371" s="13">
        <v>0</v>
      </c>
      <c r="N371" s="13">
        <v>0</v>
      </c>
      <c r="O371" s="68">
        <v>0</v>
      </c>
      <c r="P371" s="155">
        <f>VLOOKUP(Table323[[#This Row],[Census Tract]],'Population and Diversity Data'!$B$2:$K$823,10,FALSE)</f>
        <v>1</v>
      </c>
      <c r="Q371" s="155" t="str">
        <f>VLOOKUP(Table323[[#This Row],[Census Tract]],'ES Energy Burden'!$B$2:$E$914,4,FALSE)</f>
        <v>No</v>
      </c>
    </row>
    <row r="372" spans="1:17" x14ac:dyDescent="0.2">
      <c r="A372" s="101">
        <v>9009194201</v>
      </c>
      <c r="B372" s="102" t="s">
        <v>2797</v>
      </c>
      <c r="C372" s="104" t="s">
        <v>944</v>
      </c>
      <c r="D372" s="69">
        <v>189577.17385920003</v>
      </c>
      <c r="E372" s="69">
        <v>170986.45329999999</v>
      </c>
      <c r="F372" s="13">
        <f>[1]!Table323[[#This Row],[Single Family]]+[1]!Table323[[#This Row],[2-4 Units]]+[1]!Table323[[#This Row],[&gt;4 Units]]</f>
        <v>50</v>
      </c>
      <c r="G372" s="13">
        <v>50</v>
      </c>
      <c r="H372" s="13">
        <v>0</v>
      </c>
      <c r="I372" s="13">
        <v>0</v>
      </c>
      <c r="J372" s="68">
        <v>49423.926599999999</v>
      </c>
      <c r="K372">
        <f t="shared" si="5"/>
        <v>104</v>
      </c>
      <c r="L372" s="13">
        <v>14</v>
      </c>
      <c r="M372" s="13">
        <v>0</v>
      </c>
      <c r="N372" s="13">
        <v>90</v>
      </c>
      <c r="O372" s="68">
        <v>47590.5</v>
      </c>
      <c r="P372" s="155">
        <f>VLOOKUP(Table323[[#This Row],[Census Tract]],'Population and Diversity Data'!$B$2:$K$823,10,FALSE)</f>
        <v>3</v>
      </c>
      <c r="Q372" s="155" t="str">
        <f>VLOOKUP(Table323[[#This Row],[Census Tract]],'ES Energy Burden'!$B$2:$E$914,4,FALSE)</f>
        <v>No</v>
      </c>
    </row>
    <row r="373" spans="1:17" x14ac:dyDescent="0.2">
      <c r="A373" s="101">
        <v>9009194202</v>
      </c>
      <c r="B373" s="102" t="s">
        <v>2797</v>
      </c>
      <c r="C373" s="104" t="s">
        <v>944</v>
      </c>
      <c r="D373" s="69">
        <v>130324.01967935999</v>
      </c>
      <c r="E373" s="69">
        <v>29098.8796</v>
      </c>
      <c r="F373" s="13">
        <f>[1]!Table323[[#This Row],[Single Family]]+[1]!Table323[[#This Row],[2-4 Units]]+[1]!Table323[[#This Row],[&gt;4 Units]]</f>
        <v>27</v>
      </c>
      <c r="G373" s="13">
        <v>27</v>
      </c>
      <c r="H373" s="13">
        <v>0</v>
      </c>
      <c r="I373" s="13">
        <v>0</v>
      </c>
      <c r="J373" s="68">
        <v>27907.559600000001</v>
      </c>
      <c r="K373">
        <f t="shared" si="5"/>
        <v>0</v>
      </c>
      <c r="L373" s="13">
        <v>0</v>
      </c>
      <c r="M373" s="13">
        <v>0</v>
      </c>
      <c r="N373" s="13">
        <v>0</v>
      </c>
      <c r="O373" s="68">
        <v>0</v>
      </c>
      <c r="P373" s="155">
        <f>VLOOKUP(Table323[[#This Row],[Census Tract]],'Population and Diversity Data'!$B$2:$K$823,10,FALSE)</f>
        <v>3</v>
      </c>
      <c r="Q373" s="155" t="str">
        <f>VLOOKUP(Table323[[#This Row],[Census Tract]],'ES Energy Burden'!$B$2:$E$914,4,FALSE)</f>
        <v>No</v>
      </c>
    </row>
    <row r="374" spans="1:17" x14ac:dyDescent="0.2">
      <c r="A374" s="101">
        <v>9003487201</v>
      </c>
      <c r="B374" s="102" t="s">
        <v>2798</v>
      </c>
      <c r="C374" s="104" t="s">
        <v>944</v>
      </c>
      <c r="D374" s="69">
        <v>744.42231360000005</v>
      </c>
      <c r="E374" s="69">
        <v>0</v>
      </c>
      <c r="F374" s="13">
        <f>[1]!Table323[[#This Row],[Single Family]]+[1]!Table323[[#This Row],[2-4 Units]]+[1]!Table323[[#This Row],[&gt;4 Units]]</f>
        <v>0</v>
      </c>
      <c r="G374" s="13">
        <v>0</v>
      </c>
      <c r="H374" s="13">
        <v>0</v>
      </c>
      <c r="I374" s="13">
        <v>0</v>
      </c>
      <c r="J374" s="68">
        <v>0</v>
      </c>
      <c r="K374">
        <f t="shared" si="5"/>
        <v>0</v>
      </c>
      <c r="L374" s="13">
        <v>0</v>
      </c>
      <c r="M374" s="13">
        <v>0</v>
      </c>
      <c r="N374" s="13">
        <v>0</v>
      </c>
      <c r="O374" s="68">
        <v>0</v>
      </c>
      <c r="P374" s="155">
        <f>VLOOKUP(Table323[[#This Row],[Census Tract]],'Population and Diversity Data'!$B$2:$K$823,10,FALSE)</f>
        <v>4</v>
      </c>
      <c r="Q374" s="155" t="str">
        <f>VLOOKUP(Table323[[#This Row],[Census Tract]],'ES Energy Burden'!$B$2:$E$914,4,FALSE)</f>
        <v>No</v>
      </c>
    </row>
    <row r="375" spans="1:17" x14ac:dyDescent="0.2">
      <c r="A375" s="101">
        <v>9003487500</v>
      </c>
      <c r="B375" s="102" t="s">
        <v>2798</v>
      </c>
      <c r="C375" s="104" t="s">
        <v>944</v>
      </c>
      <c r="D375" s="69">
        <v>1016.2990943999999</v>
      </c>
      <c r="E375" s="69">
        <v>304.04000000000002</v>
      </c>
      <c r="F375" s="13">
        <f>[1]!Table323[[#This Row],[Single Family]]+[1]!Table323[[#This Row],[2-4 Units]]+[1]!Table323[[#This Row],[&gt;4 Units]]</f>
        <v>1</v>
      </c>
      <c r="G375" s="13">
        <v>1</v>
      </c>
      <c r="H375" s="13">
        <v>0</v>
      </c>
      <c r="I375" s="13">
        <v>0</v>
      </c>
      <c r="J375" s="68">
        <v>299.39999999999998</v>
      </c>
      <c r="K375">
        <f t="shared" si="5"/>
        <v>0</v>
      </c>
      <c r="L375" s="13">
        <v>0</v>
      </c>
      <c r="M375" s="13">
        <v>0</v>
      </c>
      <c r="N375" s="13">
        <v>0</v>
      </c>
      <c r="O375" s="68">
        <v>0</v>
      </c>
      <c r="P375" s="155">
        <f>VLOOKUP(Table323[[#This Row],[Census Tract]],'Population and Diversity Data'!$B$2:$K$823,10,FALSE)</f>
        <v>5</v>
      </c>
      <c r="Q375" s="155" t="str">
        <f>VLOOKUP(Table323[[#This Row],[Census Tract]],'ES Energy Burden'!$B$2:$E$914,4,FALSE)</f>
        <v>No</v>
      </c>
    </row>
    <row r="376" spans="1:17" x14ac:dyDescent="0.2">
      <c r="A376" s="101">
        <v>9003514101</v>
      </c>
      <c r="B376" s="102" t="s">
        <v>2798</v>
      </c>
      <c r="C376" s="104" t="s">
        <v>944</v>
      </c>
      <c r="D376" s="69">
        <v>53717.175388800002</v>
      </c>
      <c r="E376" s="69">
        <v>17130.2068</v>
      </c>
      <c r="F376" s="13">
        <f>[1]!Table323[[#This Row],[Single Family]]+[1]!Table323[[#This Row],[2-4 Units]]+[1]!Table323[[#This Row],[&gt;4 Units]]</f>
        <v>13</v>
      </c>
      <c r="G376" s="13">
        <v>13</v>
      </c>
      <c r="H376" s="13">
        <v>0</v>
      </c>
      <c r="I376" s="13">
        <v>0</v>
      </c>
      <c r="J376" s="68">
        <v>7357.7168000000001</v>
      </c>
      <c r="K376">
        <f t="shared" si="5"/>
        <v>0</v>
      </c>
      <c r="L376" s="13">
        <v>0</v>
      </c>
      <c r="M376" s="13">
        <v>0</v>
      </c>
      <c r="N376" s="13">
        <v>0</v>
      </c>
      <c r="O376" s="68">
        <v>0</v>
      </c>
      <c r="P376" s="155">
        <f>VLOOKUP(Table323[[#This Row],[Census Tract]],'Population and Diversity Data'!$B$2:$K$823,10,FALSE)</f>
        <v>3</v>
      </c>
      <c r="Q376" s="155" t="str">
        <f>VLOOKUP(Table323[[#This Row],[Census Tract]],'ES Energy Burden'!$B$2:$E$914,4,FALSE)</f>
        <v>No</v>
      </c>
    </row>
    <row r="377" spans="1:17" x14ac:dyDescent="0.2">
      <c r="A377" s="101">
        <v>9003514102</v>
      </c>
      <c r="B377" s="102" t="s">
        <v>2798</v>
      </c>
      <c r="C377" s="104" t="s">
        <v>944</v>
      </c>
      <c r="D377" s="69">
        <v>132904.43400960002</v>
      </c>
      <c r="E377" s="69">
        <v>734509.85600000003</v>
      </c>
      <c r="F377" s="13">
        <f>[1]!Table323[[#This Row],[Single Family]]+[1]!Table323[[#This Row],[2-4 Units]]+[1]!Table323[[#This Row],[&gt;4 Units]]</f>
        <v>1053</v>
      </c>
      <c r="G377" s="13">
        <v>23</v>
      </c>
      <c r="H377" s="13">
        <v>0</v>
      </c>
      <c r="I377" s="13">
        <v>1030</v>
      </c>
      <c r="J377" s="68">
        <v>255018.04</v>
      </c>
      <c r="K377">
        <f t="shared" si="5"/>
        <v>263</v>
      </c>
      <c r="L377" s="13">
        <v>147</v>
      </c>
      <c r="M377" s="13">
        <v>3</v>
      </c>
      <c r="N377" s="13">
        <v>113</v>
      </c>
      <c r="O377" s="68">
        <v>210168</v>
      </c>
      <c r="P377" s="155">
        <f>VLOOKUP(Table323[[#This Row],[Census Tract]],'Population and Diversity Data'!$B$2:$K$823,10,FALSE)</f>
        <v>5</v>
      </c>
      <c r="Q377" s="155" t="str">
        <f>VLOOKUP(Table323[[#This Row],[Census Tract]],'ES Energy Burden'!$B$2:$E$914,4,FALSE)</f>
        <v>No</v>
      </c>
    </row>
    <row r="378" spans="1:17" x14ac:dyDescent="0.2">
      <c r="A378" s="101">
        <v>9003514200</v>
      </c>
      <c r="B378" s="102" t="s">
        <v>2798</v>
      </c>
      <c r="C378" s="104" t="s">
        <v>944</v>
      </c>
      <c r="D378" s="69">
        <v>43657.86648384</v>
      </c>
      <c r="E378" s="69">
        <v>17546.2</v>
      </c>
      <c r="F378" s="13">
        <f>[1]!Table323[[#This Row],[Single Family]]+[1]!Table323[[#This Row],[2-4 Units]]+[1]!Table323[[#This Row],[&gt;4 Units]]</f>
        <v>9</v>
      </c>
      <c r="G378" s="13">
        <v>9</v>
      </c>
      <c r="H378" s="13">
        <v>0</v>
      </c>
      <c r="I378" s="13">
        <v>0</v>
      </c>
      <c r="J378" s="68">
        <v>5290.68</v>
      </c>
      <c r="K378">
        <f t="shared" si="5"/>
        <v>0</v>
      </c>
      <c r="L378" s="13">
        <v>0</v>
      </c>
      <c r="M378" s="13">
        <v>0</v>
      </c>
      <c r="N378" s="13">
        <v>0</v>
      </c>
      <c r="O378" s="68">
        <v>0</v>
      </c>
      <c r="P378" s="155">
        <f>VLOOKUP(Table323[[#This Row],[Census Tract]],'Population and Diversity Data'!$B$2:$K$823,10,FALSE)</f>
        <v>5</v>
      </c>
      <c r="Q378" s="155" t="str">
        <f>VLOOKUP(Table323[[#This Row],[Census Tract]],'ES Energy Burden'!$B$2:$E$914,4,FALSE)</f>
        <v>No</v>
      </c>
    </row>
    <row r="379" spans="1:17" x14ac:dyDescent="0.2">
      <c r="A379" s="101">
        <v>9003514300</v>
      </c>
      <c r="B379" s="102" t="s">
        <v>2798</v>
      </c>
      <c r="C379" s="104" t="s">
        <v>944</v>
      </c>
      <c r="D379" s="69">
        <v>59959.54349856</v>
      </c>
      <c r="E379" s="69">
        <v>23289.680899999999</v>
      </c>
      <c r="F379" s="13">
        <f>[1]!Table323[[#This Row],[Single Family]]+[1]!Table323[[#This Row],[2-4 Units]]+[1]!Table323[[#This Row],[&gt;4 Units]]</f>
        <v>23</v>
      </c>
      <c r="G379" s="13">
        <v>23</v>
      </c>
      <c r="H379" s="13">
        <v>0</v>
      </c>
      <c r="I379" s="13">
        <v>0</v>
      </c>
      <c r="J379" s="68">
        <v>7516.0009</v>
      </c>
      <c r="K379">
        <f t="shared" si="5"/>
        <v>0</v>
      </c>
      <c r="L379" s="13">
        <v>0</v>
      </c>
      <c r="M379" s="13">
        <v>0</v>
      </c>
      <c r="N379" s="13">
        <v>0</v>
      </c>
      <c r="O379" s="68">
        <v>0</v>
      </c>
      <c r="P379" s="155">
        <f>VLOOKUP(Table323[[#This Row],[Census Tract]],'Population and Diversity Data'!$B$2:$K$823,10,FALSE)</f>
        <v>3</v>
      </c>
      <c r="Q379" s="155" t="str">
        <f>VLOOKUP(Table323[[#This Row],[Census Tract]],'ES Energy Burden'!$B$2:$E$914,4,FALSE)</f>
        <v>No</v>
      </c>
    </row>
    <row r="380" spans="1:17" x14ac:dyDescent="0.2">
      <c r="A380" s="101">
        <v>9003514400</v>
      </c>
      <c r="B380" s="102" t="s">
        <v>2798</v>
      </c>
      <c r="C380" s="104" t="s">
        <v>944</v>
      </c>
      <c r="D380" s="69">
        <v>56749.340724479996</v>
      </c>
      <c r="E380" s="69">
        <v>19789.490000000002</v>
      </c>
      <c r="F380" s="13">
        <f>[1]!Table323[[#This Row],[Single Family]]+[1]!Table323[[#This Row],[2-4 Units]]+[1]!Table323[[#This Row],[&gt;4 Units]]</f>
        <v>7</v>
      </c>
      <c r="G380" s="13">
        <v>6</v>
      </c>
      <c r="H380" s="13">
        <v>1</v>
      </c>
      <c r="I380" s="13">
        <v>0</v>
      </c>
      <c r="J380" s="68">
        <v>2853.61</v>
      </c>
      <c r="K380">
        <f t="shared" si="5"/>
        <v>0</v>
      </c>
      <c r="L380" s="13">
        <v>0</v>
      </c>
      <c r="M380" s="13">
        <v>0</v>
      </c>
      <c r="N380" s="13">
        <v>0</v>
      </c>
      <c r="O380" s="68">
        <v>0</v>
      </c>
      <c r="P380" s="155">
        <f>VLOOKUP(Table323[[#This Row],[Census Tract]],'Population and Diversity Data'!$B$2:$K$823,10,FALSE)</f>
        <v>4</v>
      </c>
      <c r="Q380" s="155" t="str">
        <f>VLOOKUP(Table323[[#This Row],[Census Tract]],'ES Energy Burden'!$B$2:$E$914,4,FALSE)</f>
        <v>No</v>
      </c>
    </row>
    <row r="381" spans="1:17" x14ac:dyDescent="0.2">
      <c r="A381" s="101">
        <v>9003514500</v>
      </c>
      <c r="B381" s="102" t="s">
        <v>2798</v>
      </c>
      <c r="C381" s="104" t="s">
        <v>944</v>
      </c>
      <c r="D381" s="69">
        <v>54927.830548799997</v>
      </c>
      <c r="E381" s="69">
        <v>25536.752199999999</v>
      </c>
      <c r="F381" s="13">
        <f>[1]!Table323[[#This Row],[Single Family]]+[1]!Table323[[#This Row],[2-4 Units]]+[1]!Table323[[#This Row],[&gt;4 Units]]</f>
        <v>16</v>
      </c>
      <c r="G381" s="13">
        <v>16</v>
      </c>
      <c r="H381" s="13">
        <v>0</v>
      </c>
      <c r="I381" s="13">
        <v>0</v>
      </c>
      <c r="J381" s="68">
        <v>6921.9921999999997</v>
      </c>
      <c r="K381">
        <f t="shared" si="5"/>
        <v>0</v>
      </c>
      <c r="L381" s="13">
        <v>0</v>
      </c>
      <c r="M381" s="13">
        <v>0</v>
      </c>
      <c r="N381" s="13">
        <v>0</v>
      </c>
      <c r="O381" s="68">
        <v>0</v>
      </c>
      <c r="P381" s="155">
        <f>VLOOKUP(Table323[[#This Row],[Census Tract]],'Population and Diversity Data'!$B$2:$K$823,10,FALSE)</f>
        <v>5</v>
      </c>
      <c r="Q381" s="155" t="str">
        <f>VLOOKUP(Table323[[#This Row],[Census Tract]],'ES Energy Burden'!$B$2:$E$914,4,FALSE)</f>
        <v>No</v>
      </c>
    </row>
    <row r="382" spans="1:17" x14ac:dyDescent="0.2">
      <c r="A382" s="101">
        <v>9003514600</v>
      </c>
      <c r="B382" s="102" t="s">
        <v>2798</v>
      </c>
      <c r="C382" s="104" t="s">
        <v>944</v>
      </c>
      <c r="D382" s="69">
        <v>65624.928019200001</v>
      </c>
      <c r="E382" s="69">
        <v>48251.67</v>
      </c>
      <c r="F382" s="13">
        <f>[1]!Table323[[#This Row],[Single Family]]+[1]!Table323[[#This Row],[2-4 Units]]+[1]!Table323[[#This Row],[&gt;4 Units]]</f>
        <v>8</v>
      </c>
      <c r="G382" s="13">
        <v>8</v>
      </c>
      <c r="H382" s="13">
        <v>0</v>
      </c>
      <c r="I382" s="13">
        <v>0</v>
      </c>
      <c r="J382" s="68">
        <v>4783.55</v>
      </c>
      <c r="K382">
        <f t="shared" si="5"/>
        <v>0</v>
      </c>
      <c r="L382" s="13">
        <v>0</v>
      </c>
      <c r="M382" s="13">
        <v>0</v>
      </c>
      <c r="N382" s="13">
        <v>0</v>
      </c>
      <c r="O382" s="68">
        <v>0</v>
      </c>
      <c r="P382" s="155">
        <f>VLOOKUP(Table323[[#This Row],[Census Tract]],'Population and Diversity Data'!$B$2:$K$823,10,FALSE)</f>
        <v>5</v>
      </c>
      <c r="Q382" s="155" t="str">
        <f>VLOOKUP(Table323[[#This Row],[Census Tract]],'ES Energy Burden'!$B$2:$E$914,4,FALSE)</f>
        <v>No</v>
      </c>
    </row>
    <row r="383" spans="1:17" x14ac:dyDescent="0.2">
      <c r="A383" s="101">
        <v>9003514700</v>
      </c>
      <c r="B383" s="102" t="s">
        <v>2798</v>
      </c>
      <c r="C383" s="104" t="s">
        <v>944</v>
      </c>
      <c r="D383" s="69">
        <v>61058.657744640004</v>
      </c>
      <c r="E383" s="69">
        <v>8211.23</v>
      </c>
      <c r="F383" s="13">
        <f>[1]!Table323[[#This Row],[Single Family]]+[1]!Table323[[#This Row],[2-4 Units]]+[1]!Table323[[#This Row],[&gt;4 Units]]</f>
        <v>6</v>
      </c>
      <c r="G383" s="13">
        <v>6</v>
      </c>
      <c r="H383" s="13">
        <v>0</v>
      </c>
      <c r="I383" s="13">
        <v>0</v>
      </c>
      <c r="J383" s="68">
        <v>5254.45</v>
      </c>
      <c r="K383">
        <f t="shared" si="5"/>
        <v>0</v>
      </c>
      <c r="L383" s="13">
        <v>0</v>
      </c>
      <c r="M383" s="13">
        <v>0</v>
      </c>
      <c r="N383" s="13">
        <v>0</v>
      </c>
      <c r="O383" s="68">
        <v>0</v>
      </c>
      <c r="P383" s="155">
        <f>VLOOKUP(Table323[[#This Row],[Census Tract]],'Population and Diversity Data'!$B$2:$K$823,10,FALSE)</f>
        <v>5</v>
      </c>
      <c r="Q383" s="155" t="str">
        <f>VLOOKUP(Table323[[#This Row],[Census Tract]],'ES Energy Burden'!$B$2:$E$914,4,FALSE)</f>
        <v>No</v>
      </c>
    </row>
    <row r="384" spans="1:17" x14ac:dyDescent="0.2">
      <c r="A384" s="101">
        <v>9003514800</v>
      </c>
      <c r="B384" s="102" t="s">
        <v>2798</v>
      </c>
      <c r="C384" s="104" t="s">
        <v>944</v>
      </c>
      <c r="D384" s="69">
        <v>42600.301349760004</v>
      </c>
      <c r="E384" s="69">
        <v>8567.1447000000007</v>
      </c>
      <c r="F384" s="13">
        <f>[1]!Table323[[#This Row],[Single Family]]+[1]!Table323[[#This Row],[2-4 Units]]+[1]!Table323[[#This Row],[&gt;4 Units]]</f>
        <v>12</v>
      </c>
      <c r="G384" s="13">
        <v>12</v>
      </c>
      <c r="H384" s="13">
        <v>0</v>
      </c>
      <c r="I384" s="13">
        <v>0</v>
      </c>
      <c r="J384" s="68">
        <v>4083.9546999999998</v>
      </c>
      <c r="K384">
        <f t="shared" si="5"/>
        <v>0</v>
      </c>
      <c r="L384" s="13">
        <v>0</v>
      </c>
      <c r="M384" s="13">
        <v>0</v>
      </c>
      <c r="N384" s="13">
        <v>0</v>
      </c>
      <c r="O384" s="68">
        <v>0</v>
      </c>
      <c r="P384" s="155">
        <f>VLOOKUP(Table323[[#This Row],[Census Tract]],'Population and Diversity Data'!$B$2:$K$823,10,FALSE)</f>
        <v>5</v>
      </c>
      <c r="Q384" s="155" t="str">
        <f>VLOOKUP(Table323[[#This Row],[Census Tract]],'ES Energy Burden'!$B$2:$E$914,4,FALSE)</f>
        <v>Yes</v>
      </c>
    </row>
    <row r="385" spans="1:17" x14ac:dyDescent="0.2">
      <c r="A385" s="101">
        <v>9003514900</v>
      </c>
      <c r="B385" s="102" t="s">
        <v>2798</v>
      </c>
      <c r="C385" s="104" t="s">
        <v>944</v>
      </c>
      <c r="D385" s="69">
        <v>46407.520434240003</v>
      </c>
      <c r="E385" s="69">
        <v>37234.143300000003</v>
      </c>
      <c r="F385" s="13">
        <f>[1]!Table323[[#This Row],[Single Family]]+[1]!Table323[[#This Row],[2-4 Units]]+[1]!Table323[[#This Row],[&gt;4 Units]]</f>
        <v>23</v>
      </c>
      <c r="G385" s="13">
        <v>23</v>
      </c>
      <c r="H385" s="13">
        <v>0</v>
      </c>
      <c r="I385" s="13">
        <v>0</v>
      </c>
      <c r="J385" s="68">
        <v>20497.723300000001</v>
      </c>
      <c r="K385">
        <f t="shared" si="5"/>
        <v>0</v>
      </c>
      <c r="L385" s="13">
        <v>0</v>
      </c>
      <c r="M385" s="13">
        <v>0</v>
      </c>
      <c r="N385" s="13">
        <v>0</v>
      </c>
      <c r="O385" s="68">
        <v>0</v>
      </c>
      <c r="P385" s="155">
        <f>VLOOKUP(Table323[[#This Row],[Census Tract]],'Population and Diversity Data'!$B$2:$K$823,10,FALSE)</f>
        <v>3</v>
      </c>
      <c r="Q385" s="155" t="str">
        <f>VLOOKUP(Table323[[#This Row],[Census Tract]],'ES Energy Burden'!$B$2:$E$914,4,FALSE)</f>
        <v>No</v>
      </c>
    </row>
    <row r="386" spans="1:17" x14ac:dyDescent="0.2">
      <c r="A386" s="101">
        <v>9003515000</v>
      </c>
      <c r="B386" s="102" t="s">
        <v>2798</v>
      </c>
      <c r="C386" s="104" t="s">
        <v>944</v>
      </c>
      <c r="D386" s="69">
        <v>54351.689230079995</v>
      </c>
      <c r="E386" s="69">
        <v>14280.3079</v>
      </c>
      <c r="F386" s="13">
        <f>[1]!Table323[[#This Row],[Single Family]]+[1]!Table323[[#This Row],[2-4 Units]]+[1]!Table323[[#This Row],[&gt;4 Units]]</f>
        <v>18</v>
      </c>
      <c r="G386" s="13">
        <v>18</v>
      </c>
      <c r="H386" s="13">
        <v>0</v>
      </c>
      <c r="I386" s="13">
        <v>0</v>
      </c>
      <c r="J386" s="68">
        <v>12755.8379</v>
      </c>
      <c r="K386">
        <f t="shared" si="5"/>
        <v>0</v>
      </c>
      <c r="L386" s="13">
        <v>0</v>
      </c>
      <c r="M386" s="13">
        <v>0</v>
      </c>
      <c r="N386" s="13">
        <v>0</v>
      </c>
      <c r="O386" s="68">
        <v>0</v>
      </c>
      <c r="P386" s="155">
        <f>VLOOKUP(Table323[[#This Row],[Census Tract]],'Population and Diversity Data'!$B$2:$K$823,10,FALSE)</f>
        <v>4</v>
      </c>
      <c r="Q386" s="155" t="str">
        <f>VLOOKUP(Table323[[#This Row],[Census Tract]],'ES Energy Burden'!$B$2:$E$914,4,FALSE)</f>
        <v>No</v>
      </c>
    </row>
    <row r="387" spans="1:17" x14ac:dyDescent="0.2">
      <c r="A387" s="101">
        <v>9003515101</v>
      </c>
      <c r="B387" s="102" t="s">
        <v>2798</v>
      </c>
      <c r="C387" s="104" t="s">
        <v>944</v>
      </c>
      <c r="D387" s="69">
        <v>38263.875379200006</v>
      </c>
      <c r="E387" s="69">
        <v>5126.2425000000003</v>
      </c>
      <c r="F387" s="13">
        <f>[1]!Table323[[#This Row],[Single Family]]+[1]!Table323[[#This Row],[2-4 Units]]+[1]!Table323[[#This Row],[&gt;4 Units]]</f>
        <v>8</v>
      </c>
      <c r="G387" s="13">
        <v>8</v>
      </c>
      <c r="H387" s="13">
        <v>0</v>
      </c>
      <c r="I387" s="13">
        <v>0</v>
      </c>
      <c r="J387" s="68">
        <v>3132.5925000000002</v>
      </c>
      <c r="K387">
        <f t="shared" si="5"/>
        <v>0</v>
      </c>
      <c r="L387" s="13">
        <v>0</v>
      </c>
      <c r="M387" s="13">
        <v>0</v>
      </c>
      <c r="N387" s="13">
        <v>0</v>
      </c>
      <c r="O387" s="68">
        <v>0</v>
      </c>
      <c r="P387" s="155">
        <f>VLOOKUP(Table323[[#This Row],[Census Tract]],'Population and Diversity Data'!$B$2:$K$823,10,FALSE)</f>
        <v>3</v>
      </c>
      <c r="Q387" s="155" t="str">
        <f>VLOOKUP(Table323[[#This Row],[Census Tract]],'ES Energy Burden'!$B$2:$E$914,4,FALSE)</f>
        <v>No</v>
      </c>
    </row>
    <row r="388" spans="1:17" x14ac:dyDescent="0.2">
      <c r="A388" s="101">
        <v>9003515102</v>
      </c>
      <c r="B388" s="102" t="s">
        <v>2798</v>
      </c>
      <c r="C388" s="104" t="s">
        <v>944</v>
      </c>
      <c r="D388" s="69">
        <v>77689.852358400007</v>
      </c>
      <c r="E388" s="69">
        <v>17970.6512</v>
      </c>
      <c r="F388" s="13">
        <f>[1]!Table323[[#This Row],[Single Family]]+[1]!Table323[[#This Row],[2-4 Units]]+[1]!Table323[[#This Row],[&gt;4 Units]]</f>
        <v>26</v>
      </c>
      <c r="G388" s="13">
        <v>26</v>
      </c>
      <c r="H388" s="13">
        <v>0</v>
      </c>
      <c r="I388" s="13">
        <v>0</v>
      </c>
      <c r="J388" s="68">
        <v>11255.501200000001</v>
      </c>
      <c r="K388">
        <f t="shared" si="5"/>
        <v>0</v>
      </c>
      <c r="L388" s="13">
        <v>0</v>
      </c>
      <c r="M388" s="13">
        <v>0</v>
      </c>
      <c r="N388" s="13">
        <v>0</v>
      </c>
      <c r="O388" s="68">
        <v>0</v>
      </c>
      <c r="P388" s="155">
        <f>VLOOKUP(Table323[[#This Row],[Census Tract]],'Population and Diversity Data'!$B$2:$K$823,10,FALSE)</f>
        <v>5</v>
      </c>
      <c r="Q388" s="155" t="str">
        <f>VLOOKUP(Table323[[#This Row],[Census Tract]],'ES Energy Burden'!$B$2:$E$914,4,FALSE)</f>
        <v>No</v>
      </c>
    </row>
    <row r="389" spans="1:17" x14ac:dyDescent="0.2">
      <c r="A389" s="101">
        <v>9003515200</v>
      </c>
      <c r="B389" s="102" t="s">
        <v>2798</v>
      </c>
      <c r="C389" s="104" t="s">
        <v>944</v>
      </c>
      <c r="D389" s="69">
        <v>65201.310581760001</v>
      </c>
      <c r="E389" s="69">
        <v>11137.36</v>
      </c>
      <c r="F389" s="13">
        <f>[1]!Table323[[#This Row],[Single Family]]+[1]!Table323[[#This Row],[2-4 Units]]+[1]!Table323[[#This Row],[&gt;4 Units]]</f>
        <v>15</v>
      </c>
      <c r="G389" s="13">
        <v>15</v>
      </c>
      <c r="H389" s="13">
        <v>0</v>
      </c>
      <c r="I389" s="13">
        <v>0</v>
      </c>
      <c r="J389" s="68">
        <v>10096.48</v>
      </c>
      <c r="K389">
        <f t="shared" si="5"/>
        <v>0</v>
      </c>
      <c r="L389" s="13">
        <v>0</v>
      </c>
      <c r="M389" s="13">
        <v>0</v>
      </c>
      <c r="N389" s="13">
        <v>0</v>
      </c>
      <c r="O389" s="68">
        <v>0</v>
      </c>
      <c r="P389" s="155">
        <f>VLOOKUP(Table323[[#This Row],[Census Tract]],'Population and Diversity Data'!$B$2:$K$823,10,FALSE)</f>
        <v>4</v>
      </c>
      <c r="Q389" s="155" t="str">
        <f>VLOOKUP(Table323[[#This Row],[Census Tract]],'ES Energy Burden'!$B$2:$E$914,4,FALSE)</f>
        <v>No</v>
      </c>
    </row>
    <row r="390" spans="1:17" x14ac:dyDescent="0.2">
      <c r="A390" s="101">
        <v>9003520100</v>
      </c>
      <c r="B390" s="102" t="s">
        <v>2798</v>
      </c>
      <c r="C390" s="104" t="s">
        <v>944</v>
      </c>
      <c r="D390" s="69">
        <v>138.59544959999999</v>
      </c>
      <c r="E390" s="69">
        <v>0</v>
      </c>
      <c r="F390" s="13">
        <f>[1]!Table323[[#This Row],[Single Family]]+[1]!Table323[[#This Row],[2-4 Units]]+[1]!Table323[[#This Row],[&gt;4 Units]]</f>
        <v>0</v>
      </c>
      <c r="G390" s="13">
        <v>0</v>
      </c>
      <c r="H390" s="13">
        <v>0</v>
      </c>
      <c r="I390" s="13">
        <v>0</v>
      </c>
      <c r="J390" s="68">
        <v>0</v>
      </c>
      <c r="K390">
        <f t="shared" ref="K390:K453" si="6">L390+M390+N390</f>
        <v>0</v>
      </c>
      <c r="L390" s="13">
        <v>0</v>
      </c>
      <c r="M390" s="13">
        <v>0</v>
      </c>
      <c r="N390" s="13">
        <v>0</v>
      </c>
      <c r="O390" s="68">
        <v>0</v>
      </c>
      <c r="P390" s="155">
        <f>VLOOKUP(Table323[[#This Row],[Census Tract]],'Population and Diversity Data'!$B$2:$K$823,10,FALSE)</f>
        <v>4</v>
      </c>
      <c r="Q390" s="155" t="str">
        <f>VLOOKUP(Table323[[#This Row],[Census Tract]],'ES Energy Burden'!$B$2:$E$914,4,FALSE)</f>
        <v>No</v>
      </c>
    </row>
    <row r="391" spans="1:17" x14ac:dyDescent="0.2">
      <c r="A391" s="101">
        <v>9013530500</v>
      </c>
      <c r="B391" s="102" t="s">
        <v>2798</v>
      </c>
      <c r="C391" s="104" t="s">
        <v>944</v>
      </c>
      <c r="D391" s="69">
        <v>26.200108799999999</v>
      </c>
      <c r="E391" s="69">
        <v>0</v>
      </c>
      <c r="F391" s="13">
        <f>[1]!Table323[[#This Row],[Single Family]]+[1]!Table323[[#This Row],[2-4 Units]]+[1]!Table323[[#This Row],[&gt;4 Units]]</f>
        <v>0</v>
      </c>
      <c r="G391" s="13">
        <v>0</v>
      </c>
      <c r="H391" s="13">
        <v>0</v>
      </c>
      <c r="I391" s="13">
        <v>0</v>
      </c>
      <c r="J391" s="68">
        <v>0</v>
      </c>
      <c r="K391">
        <f t="shared" si="6"/>
        <v>0</v>
      </c>
      <c r="L391" s="13">
        <v>0</v>
      </c>
      <c r="M391" s="13">
        <v>0</v>
      </c>
      <c r="N391" s="13">
        <v>0</v>
      </c>
      <c r="O391" s="68">
        <v>0</v>
      </c>
      <c r="P391" s="155">
        <f>VLOOKUP(Table323[[#This Row],[Census Tract]],'Population and Diversity Data'!$B$2:$K$823,10,FALSE)</f>
        <v>4</v>
      </c>
      <c r="Q391" s="155" t="str">
        <f>VLOOKUP(Table323[[#This Row],[Census Tract]],'ES Energy Burden'!$B$2:$E$914,4,FALSE)</f>
        <v>No</v>
      </c>
    </row>
    <row r="392" spans="1:17" x14ac:dyDescent="0.2">
      <c r="A392" s="101">
        <v>9013840100</v>
      </c>
      <c r="B392" s="102" t="s">
        <v>2799</v>
      </c>
      <c r="C392" s="104" t="s">
        <v>944</v>
      </c>
      <c r="D392" s="69">
        <v>135.83419199999997</v>
      </c>
      <c r="E392" s="69">
        <v>0</v>
      </c>
      <c r="F392" s="13">
        <f>[1]!Table323[[#This Row],[Single Family]]+[1]!Table323[[#This Row],[2-4 Units]]+[1]!Table323[[#This Row],[&gt;4 Units]]</f>
        <v>0</v>
      </c>
      <c r="G392" s="13">
        <v>0</v>
      </c>
      <c r="H392" s="13">
        <v>0</v>
      </c>
      <c r="I392" s="13">
        <v>0</v>
      </c>
      <c r="J392" s="68">
        <v>0</v>
      </c>
      <c r="K392">
        <f t="shared" si="6"/>
        <v>0</v>
      </c>
      <c r="L392" s="13">
        <v>0</v>
      </c>
      <c r="M392" s="13">
        <v>0</v>
      </c>
      <c r="N392" s="13">
        <v>0</v>
      </c>
      <c r="O392" s="68">
        <v>0</v>
      </c>
      <c r="P392" s="155">
        <f>VLOOKUP(Table323[[#This Row],[Census Tract]],'Population and Diversity Data'!$B$2:$K$823,10,FALSE)</f>
        <v>4</v>
      </c>
      <c r="Q392" s="155" t="str">
        <f>VLOOKUP(Table323[[#This Row],[Census Tract]],'ES Energy Burden'!$B$2:$E$914,4,FALSE)</f>
        <v>No</v>
      </c>
    </row>
    <row r="393" spans="1:17" x14ac:dyDescent="0.2">
      <c r="A393" s="101">
        <v>9013881100</v>
      </c>
      <c r="B393" s="102" t="s">
        <v>2799</v>
      </c>
      <c r="C393" s="104" t="s">
        <v>944</v>
      </c>
      <c r="D393" s="69">
        <v>88594.930414079994</v>
      </c>
      <c r="E393" s="69">
        <v>31198.000400000001</v>
      </c>
      <c r="F393" s="13">
        <f>[1]!Table323[[#This Row],[Single Family]]+[1]!Table323[[#This Row],[2-4 Units]]+[1]!Table323[[#This Row],[&gt;4 Units]]</f>
        <v>22</v>
      </c>
      <c r="G393" s="13">
        <v>22</v>
      </c>
      <c r="H393" s="13">
        <v>0</v>
      </c>
      <c r="I393" s="13">
        <v>0</v>
      </c>
      <c r="J393" s="68">
        <v>16254.680399999999</v>
      </c>
      <c r="K393">
        <f t="shared" si="6"/>
        <v>0</v>
      </c>
      <c r="L393" s="13">
        <v>0</v>
      </c>
      <c r="M393" s="13">
        <v>0</v>
      </c>
      <c r="N393" s="13">
        <v>0</v>
      </c>
      <c r="O393" s="68">
        <v>0</v>
      </c>
      <c r="P393" s="155">
        <f>VLOOKUP(Table323[[#This Row],[Census Tract]],'Population and Diversity Data'!$B$2:$K$823,10,FALSE)</f>
        <v>4</v>
      </c>
      <c r="Q393" s="155" t="str">
        <f>VLOOKUP(Table323[[#This Row],[Census Tract]],'ES Energy Burden'!$B$2:$E$914,4,FALSE)</f>
        <v>No</v>
      </c>
    </row>
    <row r="394" spans="1:17" x14ac:dyDescent="0.2">
      <c r="A394" s="101">
        <v>9013881200</v>
      </c>
      <c r="B394" s="102" t="s">
        <v>2799</v>
      </c>
      <c r="C394" s="104" t="s">
        <v>944</v>
      </c>
      <c r="D394" s="69">
        <v>5767.4219616000009</v>
      </c>
      <c r="E394" s="69">
        <v>154</v>
      </c>
      <c r="F394" s="13">
        <f>[1]!Table323[[#This Row],[Single Family]]+[1]!Table323[[#This Row],[2-4 Units]]+[1]!Table323[[#This Row],[&gt;4 Units]]</f>
        <v>1</v>
      </c>
      <c r="G394" s="13">
        <v>1</v>
      </c>
      <c r="H394" s="13">
        <v>0</v>
      </c>
      <c r="I394" s="13">
        <v>0</v>
      </c>
      <c r="J394" s="68">
        <v>151.34</v>
      </c>
      <c r="K394">
        <f t="shared" si="6"/>
        <v>0</v>
      </c>
      <c r="L394" s="13">
        <v>0</v>
      </c>
      <c r="M394" s="13">
        <v>0</v>
      </c>
      <c r="N394" s="13">
        <v>0</v>
      </c>
      <c r="O394" s="68">
        <v>0</v>
      </c>
      <c r="P394" s="155">
        <f>VLOOKUP(Table323[[#This Row],[Census Tract]],'Population and Diversity Data'!$B$2:$K$823,10,FALSE)</f>
        <v>5</v>
      </c>
      <c r="Q394" s="155" t="str">
        <f>VLOOKUP(Table323[[#This Row],[Census Tract]],'ES Energy Burden'!$B$2:$E$914,4,FALSE)</f>
        <v>No</v>
      </c>
    </row>
    <row r="395" spans="1:17" x14ac:dyDescent="0.2">
      <c r="A395" s="101">
        <v>9013881300</v>
      </c>
      <c r="B395" s="102" t="s">
        <v>2799</v>
      </c>
      <c r="C395" s="104" t="s">
        <v>944</v>
      </c>
      <c r="D395" s="69">
        <v>61596.592404479998</v>
      </c>
      <c r="E395" s="69">
        <v>16521.36</v>
      </c>
      <c r="F395" s="13">
        <f>[1]!Table323[[#This Row],[Single Family]]+[1]!Table323[[#This Row],[2-4 Units]]+[1]!Table323[[#This Row],[&gt;4 Units]]</f>
        <v>16</v>
      </c>
      <c r="G395" s="13">
        <v>16</v>
      </c>
      <c r="H395" s="13">
        <v>0</v>
      </c>
      <c r="I395" s="13">
        <v>0</v>
      </c>
      <c r="J395" s="68">
        <v>15394.06</v>
      </c>
      <c r="K395">
        <f t="shared" si="6"/>
        <v>0</v>
      </c>
      <c r="L395" s="13">
        <v>0</v>
      </c>
      <c r="M395" s="13">
        <v>0</v>
      </c>
      <c r="N395" s="13">
        <v>0</v>
      </c>
      <c r="O395" s="68">
        <v>0</v>
      </c>
      <c r="P395" s="155">
        <f>VLOOKUP(Table323[[#This Row],[Census Tract]],'Population and Diversity Data'!$B$2:$K$823,10,FALSE)</f>
        <v>4</v>
      </c>
      <c r="Q395" s="155" t="str">
        <f>VLOOKUP(Table323[[#This Row],[Census Tract]],'ES Energy Burden'!$B$2:$E$914,4,FALSE)</f>
        <v>No</v>
      </c>
    </row>
    <row r="396" spans="1:17" x14ac:dyDescent="0.2">
      <c r="A396" s="101">
        <v>9013881500</v>
      </c>
      <c r="B396" s="102" t="s">
        <v>2799</v>
      </c>
      <c r="C396" s="104" t="s">
        <v>944</v>
      </c>
      <c r="D396" s="69">
        <v>102936.9654864</v>
      </c>
      <c r="E396" s="69">
        <v>73029.014800000106</v>
      </c>
      <c r="F396" s="13">
        <f>[1]!Table323[[#This Row],[Single Family]]+[1]!Table323[[#This Row],[2-4 Units]]+[1]!Table323[[#This Row],[&gt;4 Units]]</f>
        <v>25</v>
      </c>
      <c r="G396" s="13">
        <v>25</v>
      </c>
      <c r="H396" s="13">
        <v>0</v>
      </c>
      <c r="I396" s="13">
        <v>0</v>
      </c>
      <c r="J396" s="68">
        <v>19106.0808</v>
      </c>
      <c r="K396">
        <f t="shared" si="6"/>
        <v>13</v>
      </c>
      <c r="L396" s="13">
        <v>13</v>
      </c>
      <c r="M396" s="13">
        <v>0</v>
      </c>
      <c r="N396" s="13">
        <v>0</v>
      </c>
      <c r="O396" s="68">
        <v>21773.5</v>
      </c>
      <c r="P396" s="155">
        <f>VLOOKUP(Table323[[#This Row],[Census Tract]],'Population and Diversity Data'!$B$2:$K$823,10,FALSE)</f>
        <v>4</v>
      </c>
      <c r="Q396" s="155" t="str">
        <f>VLOOKUP(Table323[[#This Row],[Census Tract]],'ES Energy Burden'!$B$2:$E$914,4,FALSE)</f>
        <v>No</v>
      </c>
    </row>
    <row r="397" spans="1:17" x14ac:dyDescent="0.2">
      <c r="A397" s="101">
        <v>9015815000</v>
      </c>
      <c r="B397" s="102" t="s">
        <v>2799</v>
      </c>
      <c r="C397" s="104" t="s">
        <v>944</v>
      </c>
      <c r="D397" s="69">
        <v>297.9263808</v>
      </c>
      <c r="E397" s="69">
        <v>0</v>
      </c>
      <c r="F397" s="13">
        <f>[1]!Table323[[#This Row],[Single Family]]+[1]!Table323[[#This Row],[2-4 Units]]+[1]!Table323[[#This Row],[&gt;4 Units]]</f>
        <v>0</v>
      </c>
      <c r="G397" s="13">
        <v>0</v>
      </c>
      <c r="H397" s="13">
        <v>0</v>
      </c>
      <c r="I397" s="13">
        <v>0</v>
      </c>
      <c r="J397" s="68">
        <v>0</v>
      </c>
      <c r="K397">
        <f t="shared" si="6"/>
        <v>0</v>
      </c>
      <c r="L397" s="13">
        <v>0</v>
      </c>
      <c r="M397" s="13">
        <v>0</v>
      </c>
      <c r="N397" s="13">
        <v>0</v>
      </c>
      <c r="O397" s="68">
        <v>0</v>
      </c>
      <c r="P397" s="155">
        <f>VLOOKUP(Table323[[#This Row],[Census Tract]],'Population and Diversity Data'!$B$2:$K$823,10,FALSE)</f>
        <v>5</v>
      </c>
      <c r="Q397" s="155" t="str">
        <f>VLOOKUP(Table323[[#This Row],[Census Tract]],'ES Energy Burden'!$B$2:$E$914,4,FALSE)</f>
        <v>No</v>
      </c>
    </row>
    <row r="398" spans="1:17" x14ac:dyDescent="0.2">
      <c r="A398" s="101">
        <v>9003524100</v>
      </c>
      <c r="B398" s="102" t="s">
        <v>2800</v>
      </c>
      <c r="C398" s="104" t="s">
        <v>944</v>
      </c>
      <c r="D398" s="69">
        <v>136171.01622240001</v>
      </c>
      <c r="E398" s="69">
        <v>32944.274400000002</v>
      </c>
      <c r="F398" s="13">
        <f>[1]!Table323[[#This Row],[Single Family]]+[1]!Table323[[#This Row],[2-4 Units]]+[1]!Table323[[#This Row],[&gt;4 Units]]</f>
        <v>23</v>
      </c>
      <c r="G398" s="13">
        <v>23</v>
      </c>
      <c r="H398" s="13">
        <v>0</v>
      </c>
      <c r="I398" s="13">
        <v>0</v>
      </c>
      <c r="J398" s="68">
        <v>20480.314399999999</v>
      </c>
      <c r="K398">
        <f t="shared" si="6"/>
        <v>2</v>
      </c>
      <c r="L398" s="13">
        <v>2</v>
      </c>
      <c r="M398" s="13">
        <v>0</v>
      </c>
      <c r="N398" s="13">
        <v>0</v>
      </c>
      <c r="O398" s="68">
        <v>1662.55</v>
      </c>
      <c r="P398" s="155">
        <f>VLOOKUP(Table323[[#This Row],[Census Tract]],'Population and Diversity Data'!$B$2:$K$823,10,FALSE)</f>
        <v>1</v>
      </c>
      <c r="Q398" s="155" t="str">
        <f>VLOOKUP(Table323[[#This Row],[Census Tract]],'ES Energy Burden'!$B$2:$E$914,4,FALSE)</f>
        <v>No</v>
      </c>
    </row>
    <row r="399" spans="1:17" x14ac:dyDescent="0.2">
      <c r="A399" s="101">
        <v>9013526101</v>
      </c>
      <c r="B399" s="102" t="s">
        <v>2800</v>
      </c>
      <c r="C399" s="104" t="s">
        <v>944</v>
      </c>
      <c r="D399" s="69">
        <v>514.10911680000004</v>
      </c>
      <c r="E399" s="69">
        <v>0</v>
      </c>
      <c r="F399" s="13">
        <f>[1]!Table323[[#This Row],[Single Family]]+[1]!Table323[[#This Row],[2-4 Units]]+[1]!Table323[[#This Row],[&gt;4 Units]]</f>
        <v>0</v>
      </c>
      <c r="G399" s="13">
        <v>0</v>
      </c>
      <c r="H399" s="13">
        <v>0</v>
      </c>
      <c r="I399" s="13">
        <v>0</v>
      </c>
      <c r="J399" s="68">
        <v>0</v>
      </c>
      <c r="K399">
        <f t="shared" si="6"/>
        <v>0</v>
      </c>
      <c r="L399" s="13">
        <v>0</v>
      </c>
      <c r="M399" s="13">
        <v>0</v>
      </c>
      <c r="N399" s="13">
        <v>0</v>
      </c>
      <c r="O399" s="68">
        <v>0</v>
      </c>
      <c r="P399" s="155">
        <f>VLOOKUP(Table323[[#This Row],[Census Tract]],'Population and Diversity Data'!$B$2:$K$823,10,FALSE)</f>
        <v>2</v>
      </c>
      <c r="Q399" s="155" t="str">
        <f>VLOOKUP(Table323[[#This Row],[Census Tract]],'ES Energy Burden'!$B$2:$E$914,4,FALSE)</f>
        <v>No</v>
      </c>
    </row>
    <row r="400" spans="1:17" x14ac:dyDescent="0.2">
      <c r="A400" s="101">
        <v>9013526102</v>
      </c>
      <c r="B400" s="102" t="s">
        <v>2800</v>
      </c>
      <c r="C400" s="104" t="s">
        <v>944</v>
      </c>
      <c r="D400" s="69">
        <v>656.1315360000001</v>
      </c>
      <c r="E400" s="69">
        <v>0</v>
      </c>
      <c r="F400" s="13">
        <f>[1]!Table323[[#This Row],[Single Family]]+[1]!Table323[[#This Row],[2-4 Units]]+[1]!Table323[[#This Row],[&gt;4 Units]]</f>
        <v>0</v>
      </c>
      <c r="G400" s="13">
        <v>0</v>
      </c>
      <c r="H400" s="13">
        <v>0</v>
      </c>
      <c r="I400" s="13">
        <v>0</v>
      </c>
      <c r="J400" s="68">
        <v>0</v>
      </c>
      <c r="K400">
        <f t="shared" si="6"/>
        <v>0</v>
      </c>
      <c r="L400" s="13">
        <v>0</v>
      </c>
      <c r="M400" s="13">
        <v>0</v>
      </c>
      <c r="N400" s="13">
        <v>0</v>
      </c>
      <c r="O400" s="68">
        <v>0</v>
      </c>
      <c r="P400" s="155">
        <f>VLOOKUP(Table323[[#This Row],[Census Tract]],'Population and Diversity Data'!$B$2:$K$823,10,FALSE)</f>
        <v>1</v>
      </c>
      <c r="Q400" s="155" t="str">
        <f>VLOOKUP(Table323[[#This Row],[Census Tract]],'ES Energy Burden'!$B$2:$E$914,4,FALSE)</f>
        <v>No</v>
      </c>
    </row>
    <row r="401" spans="1:17" x14ac:dyDescent="0.2">
      <c r="A401" s="101">
        <v>9003430301</v>
      </c>
      <c r="B401" s="102" t="s">
        <v>991</v>
      </c>
      <c r="C401" s="104" t="s">
        <v>944</v>
      </c>
      <c r="D401" s="69">
        <v>2211.6110400000002</v>
      </c>
      <c r="E401" s="69">
        <v>176.8</v>
      </c>
      <c r="F401" s="13">
        <f>[1]!Table323[[#This Row],[Single Family]]+[1]!Table323[[#This Row],[2-4 Units]]+[1]!Table323[[#This Row],[&gt;4 Units]]</f>
        <v>1</v>
      </c>
      <c r="G401" s="13">
        <v>1</v>
      </c>
      <c r="H401" s="13">
        <v>0</v>
      </c>
      <c r="I401" s="13">
        <v>0</v>
      </c>
      <c r="J401" s="68">
        <v>159.61000000000001</v>
      </c>
      <c r="K401">
        <f t="shared" si="6"/>
        <v>0</v>
      </c>
      <c r="L401" s="13">
        <v>0</v>
      </c>
      <c r="M401" s="13">
        <v>0</v>
      </c>
      <c r="N401" s="13">
        <v>0</v>
      </c>
      <c r="O401" s="68">
        <v>0</v>
      </c>
      <c r="P401" s="155">
        <f>VLOOKUP(Table323[[#This Row],[Census Tract]],'Population and Diversity Data'!$B$2:$K$823,10,FALSE)</f>
        <v>1</v>
      </c>
      <c r="Q401" s="155" t="str">
        <f>VLOOKUP(Table323[[#This Row],[Census Tract]],'ES Energy Burden'!$B$2:$E$914,4,FALSE)</f>
        <v>No</v>
      </c>
    </row>
    <row r="402" spans="1:17" x14ac:dyDescent="0.2">
      <c r="A402" s="101">
        <v>9009170100</v>
      </c>
      <c r="B402" s="102" t="s">
        <v>991</v>
      </c>
      <c r="C402" s="104" t="s">
        <v>936</v>
      </c>
      <c r="D402" s="69">
        <v>15409.842909120001</v>
      </c>
      <c r="E402" s="69">
        <v>24.64</v>
      </c>
      <c r="F402" s="13">
        <f>[1]!Table323[[#This Row],[Single Family]]+[1]!Table323[[#This Row],[2-4 Units]]+[1]!Table323[[#This Row],[&gt;4 Units]]</f>
        <v>0</v>
      </c>
      <c r="G402" s="13">
        <v>0</v>
      </c>
      <c r="H402" s="13">
        <v>0</v>
      </c>
      <c r="I402" s="13">
        <v>0</v>
      </c>
      <c r="J402" s="68">
        <v>0</v>
      </c>
      <c r="K402">
        <f t="shared" si="6"/>
        <v>0</v>
      </c>
      <c r="L402" s="13">
        <v>0</v>
      </c>
      <c r="M402" s="13">
        <v>0</v>
      </c>
      <c r="N402" s="13">
        <v>0</v>
      </c>
      <c r="O402" s="68">
        <v>0</v>
      </c>
      <c r="P402" s="155">
        <f>VLOOKUP(Table323[[#This Row],[Census Tract]],'Population and Diversity Data'!$B$2:$K$823,10,FALSE)</f>
        <v>5</v>
      </c>
      <c r="Q402" s="155" t="e">
        <f>VLOOKUP(Table323[[#This Row],[Census Tract]],'ES Energy Burden'!$B$2:$E$914,4,FALSE)</f>
        <v>#N/A</v>
      </c>
    </row>
    <row r="403" spans="1:17" x14ac:dyDescent="0.2">
      <c r="A403" s="101">
        <v>9009170200</v>
      </c>
      <c r="B403" s="102" t="s">
        <v>991</v>
      </c>
      <c r="C403" s="104" t="s">
        <v>944</v>
      </c>
      <c r="D403" s="69">
        <v>27634.187327039999</v>
      </c>
      <c r="E403" s="69">
        <v>10720.27</v>
      </c>
      <c r="F403" s="13">
        <f>[1]!Table323[[#This Row],[Single Family]]+[1]!Table323[[#This Row],[2-4 Units]]+[1]!Table323[[#This Row],[&gt;4 Units]]</f>
        <v>0</v>
      </c>
      <c r="G403" s="13">
        <v>0</v>
      </c>
      <c r="H403" s="13">
        <v>0</v>
      </c>
      <c r="I403" s="13">
        <v>0</v>
      </c>
      <c r="J403" s="68">
        <v>0</v>
      </c>
      <c r="K403">
        <f t="shared" si="6"/>
        <v>0</v>
      </c>
      <c r="L403" s="13">
        <v>0</v>
      </c>
      <c r="M403" s="13">
        <v>0</v>
      </c>
      <c r="N403" s="13">
        <v>0</v>
      </c>
      <c r="O403" s="68">
        <v>0</v>
      </c>
      <c r="P403" s="155">
        <f>VLOOKUP(Table323[[#This Row],[Census Tract]],'Population and Diversity Data'!$B$2:$K$823,10,FALSE)</f>
        <v>5</v>
      </c>
      <c r="Q403" s="155" t="str">
        <f>VLOOKUP(Table323[[#This Row],[Census Tract]],'ES Energy Burden'!$B$2:$E$914,4,FALSE)</f>
        <v>No</v>
      </c>
    </row>
    <row r="404" spans="1:17" x14ac:dyDescent="0.2">
      <c r="A404" s="101">
        <v>9009170300</v>
      </c>
      <c r="B404" s="102" t="s">
        <v>991</v>
      </c>
      <c r="C404" s="104" t="s">
        <v>944</v>
      </c>
      <c r="D404" s="69">
        <v>26998.412106239997</v>
      </c>
      <c r="E404" s="69">
        <v>10029.17</v>
      </c>
      <c r="F404" s="13">
        <f>[1]!Table323[[#This Row],[Single Family]]+[1]!Table323[[#This Row],[2-4 Units]]+[1]!Table323[[#This Row],[&gt;4 Units]]</f>
        <v>3</v>
      </c>
      <c r="G404" s="13">
        <v>3</v>
      </c>
      <c r="H404" s="13">
        <v>0</v>
      </c>
      <c r="I404" s="13">
        <v>0</v>
      </c>
      <c r="J404" s="68">
        <v>1426.79</v>
      </c>
      <c r="K404">
        <f t="shared" si="6"/>
        <v>0</v>
      </c>
      <c r="L404" s="13">
        <v>0</v>
      </c>
      <c r="M404" s="13">
        <v>0</v>
      </c>
      <c r="N404" s="13">
        <v>0</v>
      </c>
      <c r="O404" s="68">
        <v>0</v>
      </c>
      <c r="P404" s="155">
        <f>VLOOKUP(Table323[[#This Row],[Census Tract]],'Population and Diversity Data'!$B$2:$K$823,10,FALSE)</f>
        <v>4</v>
      </c>
      <c r="Q404" s="155" t="str">
        <f>VLOOKUP(Table323[[#This Row],[Census Tract]],'ES Energy Burden'!$B$2:$E$914,4,FALSE)</f>
        <v>No</v>
      </c>
    </row>
    <row r="405" spans="1:17" x14ac:dyDescent="0.2">
      <c r="A405" s="101">
        <v>9009170400</v>
      </c>
      <c r="B405" s="102" t="s">
        <v>991</v>
      </c>
      <c r="C405" s="104" t="s">
        <v>944</v>
      </c>
      <c r="D405" s="69">
        <v>25467.548316479999</v>
      </c>
      <c r="E405" s="69">
        <v>90980.7</v>
      </c>
      <c r="F405" s="13">
        <f>[1]!Table323[[#This Row],[Single Family]]+[1]!Table323[[#This Row],[2-4 Units]]+[1]!Table323[[#This Row],[&gt;4 Units]]</f>
        <v>3</v>
      </c>
      <c r="G405" s="13">
        <v>3</v>
      </c>
      <c r="H405" s="13">
        <v>0</v>
      </c>
      <c r="I405" s="13">
        <v>0</v>
      </c>
      <c r="J405" s="68">
        <v>3007.49</v>
      </c>
      <c r="K405">
        <f t="shared" si="6"/>
        <v>0</v>
      </c>
      <c r="L405" s="13">
        <v>0</v>
      </c>
      <c r="M405" s="13">
        <v>0</v>
      </c>
      <c r="N405" s="13">
        <v>0</v>
      </c>
      <c r="O405" s="68">
        <v>0</v>
      </c>
      <c r="P405" s="155">
        <f>VLOOKUP(Table323[[#This Row],[Census Tract]],'Population and Diversity Data'!$B$2:$K$823,10,FALSE)</f>
        <v>5</v>
      </c>
      <c r="Q405" s="155" t="str">
        <f>VLOOKUP(Table323[[#This Row],[Census Tract]],'ES Energy Burden'!$B$2:$E$914,4,FALSE)</f>
        <v>No</v>
      </c>
    </row>
    <row r="406" spans="1:17" x14ac:dyDescent="0.2">
      <c r="A406" s="101">
        <v>9009170500</v>
      </c>
      <c r="B406" s="102" t="s">
        <v>991</v>
      </c>
      <c r="C406" s="104" t="s">
        <v>944</v>
      </c>
      <c r="D406" s="69">
        <v>96969.884918399999</v>
      </c>
      <c r="E406" s="69">
        <v>50845.675799999997</v>
      </c>
      <c r="F406" s="13">
        <f>[1]!Table323[[#This Row],[Single Family]]+[1]!Table323[[#This Row],[2-4 Units]]+[1]!Table323[[#This Row],[&gt;4 Units]]</f>
        <v>27</v>
      </c>
      <c r="G406" s="13">
        <v>27</v>
      </c>
      <c r="H406" s="13">
        <v>0</v>
      </c>
      <c r="I406" s="13">
        <v>0</v>
      </c>
      <c r="J406" s="68">
        <v>22222.805799999998</v>
      </c>
      <c r="K406">
        <f t="shared" si="6"/>
        <v>0</v>
      </c>
      <c r="L406" s="13">
        <v>0</v>
      </c>
      <c r="M406" s="13">
        <v>0</v>
      </c>
      <c r="N406" s="13">
        <v>0</v>
      </c>
      <c r="O406" s="68">
        <v>0</v>
      </c>
      <c r="P406" s="155">
        <f>VLOOKUP(Table323[[#This Row],[Census Tract]],'Population and Diversity Data'!$B$2:$K$823,10,FALSE)</f>
        <v>4</v>
      </c>
      <c r="Q406" s="155" t="str">
        <f>VLOOKUP(Table323[[#This Row],[Census Tract]],'ES Energy Burden'!$B$2:$E$914,4,FALSE)</f>
        <v>No</v>
      </c>
    </row>
    <row r="407" spans="1:17" x14ac:dyDescent="0.2">
      <c r="A407" s="101">
        <v>9009170600</v>
      </c>
      <c r="B407" s="102" t="s">
        <v>991</v>
      </c>
      <c r="C407" s="104" t="s">
        <v>944</v>
      </c>
      <c r="D407" s="69">
        <v>38795.349159359997</v>
      </c>
      <c r="E407" s="69">
        <v>5765.8999000000003</v>
      </c>
      <c r="F407" s="13">
        <f>[1]!Table323[[#This Row],[Single Family]]+[1]!Table323[[#This Row],[2-4 Units]]+[1]!Table323[[#This Row],[&gt;4 Units]]</f>
        <v>7</v>
      </c>
      <c r="G407" s="13">
        <v>7</v>
      </c>
      <c r="H407" s="13">
        <v>0</v>
      </c>
      <c r="I407" s="13">
        <v>0</v>
      </c>
      <c r="J407" s="68">
        <v>2079.3798999999999</v>
      </c>
      <c r="K407">
        <f t="shared" si="6"/>
        <v>0</v>
      </c>
      <c r="L407" s="13">
        <v>0</v>
      </c>
      <c r="M407" s="13">
        <v>0</v>
      </c>
      <c r="N407" s="13">
        <v>0</v>
      </c>
      <c r="O407" s="68">
        <v>0</v>
      </c>
      <c r="P407" s="155">
        <f>VLOOKUP(Table323[[#This Row],[Census Tract]],'Population and Diversity Data'!$B$2:$K$823,10,FALSE)</f>
        <v>3</v>
      </c>
      <c r="Q407" s="155" t="str">
        <f>VLOOKUP(Table323[[#This Row],[Census Tract]],'ES Energy Burden'!$B$2:$E$914,4,FALSE)</f>
        <v>No</v>
      </c>
    </row>
    <row r="408" spans="1:17" x14ac:dyDescent="0.2">
      <c r="A408" s="101">
        <v>9009170700</v>
      </c>
      <c r="B408" s="102" t="s">
        <v>991</v>
      </c>
      <c r="C408" s="104" t="s">
        <v>944</v>
      </c>
      <c r="D408" s="69">
        <v>41239.000774079999</v>
      </c>
      <c r="E408" s="69">
        <v>16580.21</v>
      </c>
      <c r="F408" s="13">
        <f>[1]!Table323[[#This Row],[Single Family]]+[1]!Table323[[#This Row],[2-4 Units]]+[1]!Table323[[#This Row],[&gt;4 Units]]</f>
        <v>10</v>
      </c>
      <c r="G408" s="13">
        <v>10</v>
      </c>
      <c r="H408" s="13">
        <v>0</v>
      </c>
      <c r="I408" s="13">
        <v>0</v>
      </c>
      <c r="J408" s="68">
        <v>7226.91</v>
      </c>
      <c r="K408">
        <f t="shared" si="6"/>
        <v>0</v>
      </c>
      <c r="L408" s="13">
        <v>0</v>
      </c>
      <c r="M408" s="13">
        <v>0</v>
      </c>
      <c r="N408" s="13">
        <v>0</v>
      </c>
      <c r="O408" s="68">
        <v>0</v>
      </c>
      <c r="P408" s="155">
        <f>VLOOKUP(Table323[[#This Row],[Census Tract]],'Population and Diversity Data'!$B$2:$K$823,10,FALSE)</f>
        <v>4</v>
      </c>
      <c r="Q408" s="155" t="str">
        <f>VLOOKUP(Table323[[#This Row],[Census Tract]],'ES Energy Burden'!$B$2:$E$914,4,FALSE)</f>
        <v>No</v>
      </c>
    </row>
    <row r="409" spans="1:17" x14ac:dyDescent="0.2">
      <c r="A409" s="101">
        <v>9009170800</v>
      </c>
      <c r="B409" s="102" t="s">
        <v>991</v>
      </c>
      <c r="C409" s="104" t="s">
        <v>944</v>
      </c>
      <c r="D409" s="69">
        <v>78850.006606080002</v>
      </c>
      <c r="E409" s="69">
        <v>25700.38</v>
      </c>
      <c r="F409" s="13">
        <f>[1]!Table323[[#This Row],[Single Family]]+[1]!Table323[[#This Row],[2-4 Units]]+[1]!Table323[[#This Row],[&gt;4 Units]]</f>
        <v>10</v>
      </c>
      <c r="G409" s="13">
        <v>10</v>
      </c>
      <c r="H409" s="13">
        <v>0</v>
      </c>
      <c r="I409" s="13">
        <v>0</v>
      </c>
      <c r="J409" s="68">
        <v>4995.01</v>
      </c>
      <c r="K409">
        <f t="shared" si="6"/>
        <v>0</v>
      </c>
      <c r="L409" s="13">
        <v>0</v>
      </c>
      <c r="M409" s="13">
        <v>0</v>
      </c>
      <c r="N409" s="13">
        <v>0</v>
      </c>
      <c r="O409" s="68">
        <v>0</v>
      </c>
      <c r="P409" s="155">
        <f>VLOOKUP(Table323[[#This Row],[Census Tract]],'Population and Diversity Data'!$B$2:$K$823,10,FALSE)</f>
        <v>3</v>
      </c>
      <c r="Q409" s="155" t="str">
        <f>VLOOKUP(Table323[[#This Row],[Census Tract]],'ES Energy Burden'!$B$2:$E$914,4,FALSE)</f>
        <v>No</v>
      </c>
    </row>
    <row r="410" spans="1:17" x14ac:dyDescent="0.2">
      <c r="A410" s="101">
        <v>9009170900</v>
      </c>
      <c r="B410" s="102" t="s">
        <v>991</v>
      </c>
      <c r="C410" s="104" t="s">
        <v>944</v>
      </c>
      <c r="D410" s="69">
        <v>25729.242598079996</v>
      </c>
      <c r="E410" s="69">
        <v>4202.71</v>
      </c>
      <c r="F410" s="13">
        <f>[1]!Table323[[#This Row],[Single Family]]+[1]!Table323[[#This Row],[2-4 Units]]+[1]!Table323[[#This Row],[&gt;4 Units]]</f>
        <v>3</v>
      </c>
      <c r="G410" s="13">
        <v>3</v>
      </c>
      <c r="H410" s="13">
        <v>0</v>
      </c>
      <c r="I410" s="13">
        <v>0</v>
      </c>
      <c r="J410" s="68">
        <v>2380.9899999999998</v>
      </c>
      <c r="K410">
        <f t="shared" si="6"/>
        <v>0</v>
      </c>
      <c r="L410" s="13">
        <v>0</v>
      </c>
      <c r="M410" s="13">
        <v>0</v>
      </c>
      <c r="N410" s="13">
        <v>0</v>
      </c>
      <c r="O410" s="68">
        <v>0</v>
      </c>
      <c r="P410" s="155">
        <f>VLOOKUP(Table323[[#This Row],[Census Tract]],'Population and Diversity Data'!$B$2:$K$823,10,FALSE)</f>
        <v>4</v>
      </c>
      <c r="Q410" s="155" t="str">
        <f>VLOOKUP(Table323[[#This Row],[Census Tract]],'ES Energy Burden'!$B$2:$E$914,4,FALSE)</f>
        <v>No</v>
      </c>
    </row>
    <row r="411" spans="1:17" x14ac:dyDescent="0.2">
      <c r="A411" s="101">
        <v>9009171000</v>
      </c>
      <c r="B411" s="102" t="s">
        <v>991</v>
      </c>
      <c r="C411" s="104" t="s">
        <v>944</v>
      </c>
      <c r="D411" s="69">
        <v>21095.331353280002</v>
      </c>
      <c r="E411" s="69">
        <v>11921.13</v>
      </c>
      <c r="F411" s="13">
        <f>[1]!Table323[[#This Row],[Single Family]]+[1]!Table323[[#This Row],[2-4 Units]]+[1]!Table323[[#This Row],[&gt;4 Units]]</f>
        <v>0</v>
      </c>
      <c r="G411" s="13">
        <v>0</v>
      </c>
      <c r="H411" s="13">
        <v>0</v>
      </c>
      <c r="I411" s="13">
        <v>0</v>
      </c>
      <c r="J411" s="68">
        <v>0</v>
      </c>
      <c r="K411">
        <f t="shared" si="6"/>
        <v>0</v>
      </c>
      <c r="L411" s="13">
        <v>0</v>
      </c>
      <c r="M411" s="13">
        <v>0</v>
      </c>
      <c r="N411" s="13">
        <v>0</v>
      </c>
      <c r="O411" s="68">
        <v>0</v>
      </c>
      <c r="P411" s="155">
        <f>VLOOKUP(Table323[[#This Row],[Census Tract]],'Population and Diversity Data'!$B$2:$K$823,10,FALSE)</f>
        <v>5</v>
      </c>
      <c r="Q411" s="155" t="str">
        <f>VLOOKUP(Table323[[#This Row],[Census Tract]],'ES Energy Burden'!$B$2:$E$914,4,FALSE)</f>
        <v>No</v>
      </c>
    </row>
    <row r="412" spans="1:17" x14ac:dyDescent="0.2">
      <c r="A412" s="101">
        <v>9009171100</v>
      </c>
      <c r="B412" s="102" t="s">
        <v>991</v>
      </c>
      <c r="C412" s="104" t="s">
        <v>944</v>
      </c>
      <c r="D412" s="69">
        <v>86641.140948479995</v>
      </c>
      <c r="E412" s="69">
        <v>71986.295199999993</v>
      </c>
      <c r="F412" s="13">
        <f>[1]!Table323[[#This Row],[Single Family]]+[1]!Table323[[#This Row],[2-4 Units]]+[1]!Table323[[#This Row],[&gt;4 Units]]</f>
        <v>21</v>
      </c>
      <c r="G412" s="13">
        <v>21</v>
      </c>
      <c r="H412" s="13">
        <v>0</v>
      </c>
      <c r="I412" s="13">
        <v>0</v>
      </c>
      <c r="J412" s="68">
        <v>16884.945199999998</v>
      </c>
      <c r="K412">
        <f t="shared" si="6"/>
        <v>0</v>
      </c>
      <c r="L412" s="13">
        <v>0</v>
      </c>
      <c r="M412" s="13">
        <v>0</v>
      </c>
      <c r="N412" s="13">
        <v>0</v>
      </c>
      <c r="O412" s="68">
        <v>0</v>
      </c>
      <c r="P412" s="155">
        <f>VLOOKUP(Table323[[#This Row],[Census Tract]],'Population and Diversity Data'!$B$2:$K$823,10,FALSE)</f>
        <v>3</v>
      </c>
      <c r="Q412" s="155" t="str">
        <f>VLOOKUP(Table323[[#This Row],[Census Tract]],'ES Energy Burden'!$B$2:$E$914,4,FALSE)</f>
        <v>No</v>
      </c>
    </row>
    <row r="413" spans="1:17" x14ac:dyDescent="0.2">
      <c r="A413" s="101">
        <v>9009171200</v>
      </c>
      <c r="B413" s="102" t="s">
        <v>991</v>
      </c>
      <c r="C413" s="104" t="s">
        <v>944</v>
      </c>
      <c r="D413" s="69">
        <v>174906.93235104001</v>
      </c>
      <c r="E413" s="69">
        <v>483872.49900000001</v>
      </c>
      <c r="F413" s="13">
        <f>[1]!Table323[[#This Row],[Single Family]]+[1]!Table323[[#This Row],[2-4 Units]]+[1]!Table323[[#This Row],[&gt;4 Units]]</f>
        <v>252</v>
      </c>
      <c r="G413" s="13">
        <v>47</v>
      </c>
      <c r="H413" s="13">
        <v>1</v>
      </c>
      <c r="I413" s="13">
        <v>204</v>
      </c>
      <c r="J413" s="68">
        <v>93160.575700000001</v>
      </c>
      <c r="K413">
        <f t="shared" si="6"/>
        <v>366</v>
      </c>
      <c r="L413" s="13">
        <v>323</v>
      </c>
      <c r="M413" s="13">
        <v>1</v>
      </c>
      <c r="N413" s="13">
        <v>42</v>
      </c>
      <c r="O413" s="68">
        <v>390709</v>
      </c>
      <c r="P413" s="155">
        <f>VLOOKUP(Table323[[#This Row],[Census Tract]],'Population and Diversity Data'!$B$2:$K$823,10,FALSE)</f>
        <v>3</v>
      </c>
      <c r="Q413" s="155" t="str">
        <f>VLOOKUP(Table323[[#This Row],[Census Tract]],'ES Energy Burden'!$B$2:$E$914,4,FALSE)</f>
        <v>No</v>
      </c>
    </row>
    <row r="414" spans="1:17" x14ac:dyDescent="0.2">
      <c r="A414" s="101">
        <v>9009171300</v>
      </c>
      <c r="B414" s="102" t="s">
        <v>991</v>
      </c>
      <c r="C414" s="104" t="s">
        <v>944</v>
      </c>
      <c r="D414" s="69">
        <v>72013.899225600006</v>
      </c>
      <c r="E414" s="69">
        <v>39596.46</v>
      </c>
      <c r="F414" s="13">
        <f>[1]!Table323[[#This Row],[Single Family]]+[1]!Table323[[#This Row],[2-4 Units]]+[1]!Table323[[#This Row],[&gt;4 Units]]</f>
        <v>5</v>
      </c>
      <c r="G414" s="13">
        <v>5</v>
      </c>
      <c r="H414" s="13">
        <v>0</v>
      </c>
      <c r="I414" s="13">
        <v>0</v>
      </c>
      <c r="J414" s="68">
        <v>4160.26</v>
      </c>
      <c r="K414">
        <f t="shared" si="6"/>
        <v>0</v>
      </c>
      <c r="L414" s="13">
        <v>0</v>
      </c>
      <c r="M414" s="13">
        <v>0</v>
      </c>
      <c r="N414" s="13">
        <v>0</v>
      </c>
      <c r="O414" s="68">
        <v>0</v>
      </c>
      <c r="P414" s="155">
        <f>VLOOKUP(Table323[[#This Row],[Census Tract]],'Population and Diversity Data'!$B$2:$K$823,10,FALSE)</f>
        <v>2</v>
      </c>
      <c r="Q414" s="155" t="str">
        <f>VLOOKUP(Table323[[#This Row],[Census Tract]],'ES Energy Burden'!$B$2:$E$914,4,FALSE)</f>
        <v>No</v>
      </c>
    </row>
    <row r="415" spans="1:17" x14ac:dyDescent="0.2">
      <c r="A415" s="101">
        <v>9009171400</v>
      </c>
      <c r="B415" s="102" t="s">
        <v>991</v>
      </c>
      <c r="C415" s="104" t="s">
        <v>944</v>
      </c>
      <c r="D415" s="69">
        <v>25513.065071999998</v>
      </c>
      <c r="E415" s="69">
        <v>677.99</v>
      </c>
      <c r="F415" s="13">
        <f>[1]!Table323[[#This Row],[Single Family]]+[1]!Table323[[#This Row],[2-4 Units]]+[1]!Table323[[#This Row],[&gt;4 Units]]</f>
        <v>0</v>
      </c>
      <c r="G415" s="13">
        <v>0</v>
      </c>
      <c r="H415" s="13">
        <v>0</v>
      </c>
      <c r="I415" s="13">
        <v>0</v>
      </c>
      <c r="J415" s="68">
        <v>0</v>
      </c>
      <c r="K415">
        <f t="shared" si="6"/>
        <v>0</v>
      </c>
      <c r="L415" s="13">
        <v>0</v>
      </c>
      <c r="M415" s="13">
        <v>0</v>
      </c>
      <c r="N415" s="13">
        <v>0</v>
      </c>
      <c r="O415" s="68">
        <v>0</v>
      </c>
      <c r="P415" s="155">
        <f>VLOOKUP(Table323[[#This Row],[Census Tract]],'Population and Diversity Data'!$B$2:$K$823,10,FALSE)</f>
        <v>5</v>
      </c>
      <c r="Q415" s="155" t="str">
        <f>VLOOKUP(Table323[[#This Row],[Census Tract]],'ES Energy Burden'!$B$2:$E$914,4,FALSE)</f>
        <v>No</v>
      </c>
    </row>
    <row r="416" spans="1:17" x14ac:dyDescent="0.2">
      <c r="A416" s="101">
        <v>9009171500</v>
      </c>
      <c r="B416" s="102" t="s">
        <v>991</v>
      </c>
      <c r="C416" s="104" t="s">
        <v>944</v>
      </c>
      <c r="D416" s="69">
        <v>39338.779705920009</v>
      </c>
      <c r="E416" s="69">
        <v>134145.59239999999</v>
      </c>
      <c r="F416" s="13">
        <f>[1]!Table323[[#This Row],[Single Family]]+[1]!Table323[[#This Row],[2-4 Units]]+[1]!Table323[[#This Row],[&gt;4 Units]]</f>
        <v>6</v>
      </c>
      <c r="G416" s="13">
        <v>6</v>
      </c>
      <c r="H416" s="13">
        <v>0</v>
      </c>
      <c r="I416" s="13">
        <v>0</v>
      </c>
      <c r="J416" s="68">
        <v>1380.4123999999999</v>
      </c>
      <c r="K416">
        <f t="shared" si="6"/>
        <v>0</v>
      </c>
      <c r="L416" s="13">
        <v>0</v>
      </c>
      <c r="M416" s="13">
        <v>0</v>
      </c>
      <c r="N416" s="13">
        <v>0</v>
      </c>
      <c r="O416" s="68">
        <v>0</v>
      </c>
      <c r="P416" s="155">
        <f>VLOOKUP(Table323[[#This Row],[Census Tract]],'Population and Diversity Data'!$B$2:$K$823,10,FALSE)</f>
        <v>5</v>
      </c>
      <c r="Q416" s="155" t="str">
        <f>VLOOKUP(Table323[[#This Row],[Census Tract]],'ES Energy Burden'!$B$2:$E$914,4,FALSE)</f>
        <v>No</v>
      </c>
    </row>
    <row r="417" spans="1:17" x14ac:dyDescent="0.2">
      <c r="A417" s="101">
        <v>9009171600</v>
      </c>
      <c r="B417" s="102" t="s">
        <v>991</v>
      </c>
      <c r="C417" s="104" t="s">
        <v>944</v>
      </c>
      <c r="D417" s="69">
        <v>74736.719772479992</v>
      </c>
      <c r="E417" s="69">
        <v>22467.59</v>
      </c>
      <c r="F417" s="13">
        <f>[1]!Table323[[#This Row],[Single Family]]+[1]!Table323[[#This Row],[2-4 Units]]+[1]!Table323[[#This Row],[&gt;4 Units]]</f>
        <v>10</v>
      </c>
      <c r="G417" s="13">
        <v>9</v>
      </c>
      <c r="H417" s="13">
        <v>1</v>
      </c>
      <c r="I417" s="13">
        <v>0</v>
      </c>
      <c r="J417" s="68">
        <v>7432.65</v>
      </c>
      <c r="K417">
        <f t="shared" si="6"/>
        <v>0</v>
      </c>
      <c r="L417" s="13">
        <v>0</v>
      </c>
      <c r="M417" s="13">
        <v>0</v>
      </c>
      <c r="N417" s="13">
        <v>0</v>
      </c>
      <c r="O417" s="68">
        <v>0</v>
      </c>
      <c r="P417" s="155">
        <f>VLOOKUP(Table323[[#This Row],[Census Tract]],'Population and Diversity Data'!$B$2:$K$823,10,FALSE)</f>
        <v>3</v>
      </c>
      <c r="Q417" s="155" t="str">
        <f>VLOOKUP(Table323[[#This Row],[Census Tract]],'ES Energy Burden'!$B$2:$E$914,4,FALSE)</f>
        <v>No</v>
      </c>
    </row>
    <row r="418" spans="1:17" x14ac:dyDescent="0.2">
      <c r="A418" s="101">
        <v>9009171700</v>
      </c>
      <c r="B418" s="102" t="s">
        <v>991</v>
      </c>
      <c r="C418" s="104" t="s">
        <v>944</v>
      </c>
      <c r="D418" s="69">
        <v>71849.104246079994</v>
      </c>
      <c r="E418" s="69">
        <v>40708.639999999999</v>
      </c>
      <c r="F418" s="13">
        <f>[1]!Table323[[#This Row],[Single Family]]+[1]!Table323[[#This Row],[2-4 Units]]+[1]!Table323[[#This Row],[&gt;4 Units]]</f>
        <v>33</v>
      </c>
      <c r="G418" s="13">
        <v>33</v>
      </c>
      <c r="H418" s="13">
        <v>0</v>
      </c>
      <c r="I418" s="13">
        <v>0</v>
      </c>
      <c r="J418" s="68">
        <v>24755.91</v>
      </c>
      <c r="K418">
        <f t="shared" si="6"/>
        <v>0</v>
      </c>
      <c r="L418" s="13">
        <v>0</v>
      </c>
      <c r="M418" s="13">
        <v>0</v>
      </c>
      <c r="N418" s="13">
        <v>0</v>
      </c>
      <c r="O418" s="68">
        <v>0</v>
      </c>
      <c r="P418" s="155">
        <f>VLOOKUP(Table323[[#This Row],[Census Tract]],'Population and Diversity Data'!$B$2:$K$823,10,FALSE)</f>
        <v>2</v>
      </c>
      <c r="Q418" s="155" t="str">
        <f>VLOOKUP(Table323[[#This Row],[Census Tract]],'ES Energy Burden'!$B$2:$E$914,4,FALSE)</f>
        <v>No</v>
      </c>
    </row>
    <row r="419" spans="1:17" x14ac:dyDescent="0.2">
      <c r="A419" s="101">
        <v>9009175400</v>
      </c>
      <c r="B419" s="102" t="s">
        <v>991</v>
      </c>
      <c r="C419" s="104" t="s">
        <v>944</v>
      </c>
      <c r="D419" s="69">
        <v>95.069462399999992</v>
      </c>
      <c r="E419" s="69">
        <v>0</v>
      </c>
      <c r="F419" s="13">
        <f>[1]!Table323[[#This Row],[Single Family]]+[1]!Table323[[#This Row],[2-4 Units]]+[1]!Table323[[#This Row],[&gt;4 Units]]</f>
        <v>0</v>
      </c>
      <c r="G419" s="13">
        <v>0</v>
      </c>
      <c r="H419" s="13">
        <v>0</v>
      </c>
      <c r="I419" s="13">
        <v>0</v>
      </c>
      <c r="J419" s="68">
        <v>0</v>
      </c>
      <c r="K419">
        <f t="shared" si="6"/>
        <v>0</v>
      </c>
      <c r="L419" s="13">
        <v>0</v>
      </c>
      <c r="M419" s="13">
        <v>0</v>
      </c>
      <c r="N419" s="13">
        <v>0</v>
      </c>
      <c r="O419" s="68">
        <v>0</v>
      </c>
      <c r="P419" s="155">
        <f>VLOOKUP(Table323[[#This Row],[Census Tract]],'Population and Diversity Data'!$B$2:$K$823,10,FALSE)</f>
        <v>4</v>
      </c>
      <c r="Q419" s="155" t="str">
        <f>VLOOKUP(Table323[[#This Row],[Census Tract]],'ES Energy Burden'!$B$2:$E$914,4,FALSE)</f>
        <v>No</v>
      </c>
    </row>
    <row r="420" spans="1:17" x14ac:dyDescent="0.2">
      <c r="A420" s="101">
        <v>9009175700</v>
      </c>
      <c r="B420" s="102" t="s">
        <v>991</v>
      </c>
      <c r="C420" s="104" t="s">
        <v>944</v>
      </c>
      <c r="D420" s="69">
        <v>292.10284799999999</v>
      </c>
      <c r="E420" s="69">
        <v>264.70999999999998</v>
      </c>
      <c r="F420" s="13">
        <f>[1]!Table323[[#This Row],[Single Family]]+[1]!Table323[[#This Row],[2-4 Units]]+[1]!Table323[[#This Row],[&gt;4 Units]]</f>
        <v>1</v>
      </c>
      <c r="G420" s="13">
        <v>1</v>
      </c>
      <c r="H420" s="13">
        <v>0</v>
      </c>
      <c r="I420" s="13">
        <v>0</v>
      </c>
      <c r="J420" s="68">
        <v>261.52</v>
      </c>
      <c r="K420">
        <f t="shared" si="6"/>
        <v>0</v>
      </c>
      <c r="L420" s="13">
        <v>0</v>
      </c>
      <c r="M420" s="13">
        <v>0</v>
      </c>
      <c r="N420" s="13">
        <v>0</v>
      </c>
      <c r="O420" s="68">
        <v>0</v>
      </c>
      <c r="P420" s="155">
        <f>VLOOKUP(Table323[[#This Row],[Census Tract]],'Population and Diversity Data'!$B$2:$K$823,10,FALSE)</f>
        <v>2</v>
      </c>
      <c r="Q420" s="155" t="str">
        <f>VLOOKUP(Table323[[#This Row],[Census Tract]],'ES Energy Burden'!$B$2:$E$914,4,FALSE)</f>
        <v>No</v>
      </c>
    </row>
    <row r="421" spans="1:17" x14ac:dyDescent="0.2">
      <c r="A421" s="101">
        <v>9009343101</v>
      </c>
      <c r="B421" s="102" t="s">
        <v>991</v>
      </c>
      <c r="C421" s="104" t="s">
        <v>944</v>
      </c>
      <c r="D421" s="69">
        <v>718.03117440000005</v>
      </c>
      <c r="E421" s="69">
        <v>0</v>
      </c>
      <c r="F421" s="13">
        <f>[1]!Table323[[#This Row],[Single Family]]+[1]!Table323[[#This Row],[2-4 Units]]+[1]!Table323[[#This Row],[&gt;4 Units]]</f>
        <v>0</v>
      </c>
      <c r="G421" s="13">
        <v>0</v>
      </c>
      <c r="H421" s="13">
        <v>0</v>
      </c>
      <c r="I421" s="13">
        <v>0</v>
      </c>
      <c r="J421" s="68">
        <v>0</v>
      </c>
      <c r="K421">
        <f t="shared" si="6"/>
        <v>0</v>
      </c>
      <c r="L421" s="13">
        <v>0</v>
      </c>
      <c r="M421" s="13">
        <v>0</v>
      </c>
      <c r="N421" s="13">
        <v>0</v>
      </c>
      <c r="O421" s="68">
        <v>0</v>
      </c>
      <c r="P421" s="155">
        <f>VLOOKUP(Table323[[#This Row],[Census Tract]],'Population and Diversity Data'!$B$2:$K$823,10,FALSE)</f>
        <v>4</v>
      </c>
      <c r="Q421" s="155" t="str">
        <f>VLOOKUP(Table323[[#This Row],[Census Tract]],'ES Energy Burden'!$B$2:$E$914,4,FALSE)</f>
        <v>No</v>
      </c>
    </row>
    <row r="422" spans="1:17" x14ac:dyDescent="0.2">
      <c r="A422" s="101">
        <v>9009344100</v>
      </c>
      <c r="B422" s="102" t="s">
        <v>2801</v>
      </c>
      <c r="C422" s="104" t="s">
        <v>944</v>
      </c>
      <c r="D422" s="69">
        <v>107042.57984448002</v>
      </c>
      <c r="E422" s="69">
        <v>48404.012999999999</v>
      </c>
      <c r="F422" s="13">
        <f>[1]!Table323[[#This Row],[Single Family]]+[1]!Table323[[#This Row],[2-4 Units]]+[1]!Table323[[#This Row],[&gt;4 Units]]</f>
        <v>26</v>
      </c>
      <c r="G422" s="13">
        <v>26</v>
      </c>
      <c r="H422" s="13">
        <v>0</v>
      </c>
      <c r="I422" s="13">
        <v>0</v>
      </c>
      <c r="J422" s="68">
        <v>27858.343000000001</v>
      </c>
      <c r="K422">
        <f t="shared" si="6"/>
        <v>8</v>
      </c>
      <c r="L422" s="13">
        <v>8</v>
      </c>
      <c r="M422" s="13">
        <v>0</v>
      </c>
      <c r="N422" s="13">
        <v>0</v>
      </c>
      <c r="O422" s="68">
        <v>10237</v>
      </c>
      <c r="P422" s="155">
        <f>VLOOKUP(Table323[[#This Row],[Census Tract]],'Population and Diversity Data'!$B$2:$K$823,10,FALSE)</f>
        <v>2</v>
      </c>
      <c r="Q422" s="155" t="str">
        <f>VLOOKUP(Table323[[#This Row],[Census Tract]],'ES Energy Burden'!$B$2:$E$914,4,FALSE)</f>
        <v>No</v>
      </c>
    </row>
    <row r="423" spans="1:17" x14ac:dyDescent="0.2">
      <c r="A423" s="101">
        <v>9009344200</v>
      </c>
      <c r="B423" s="102" t="s">
        <v>2801</v>
      </c>
      <c r="C423" s="104" t="s">
        <v>944</v>
      </c>
      <c r="D423" s="69">
        <v>66473.724133440017</v>
      </c>
      <c r="E423" s="69">
        <v>18638.996200000001</v>
      </c>
      <c r="F423" s="13">
        <f>[1]!Table323[[#This Row],[Single Family]]+[1]!Table323[[#This Row],[2-4 Units]]+[1]!Table323[[#This Row],[&gt;4 Units]]</f>
        <v>20</v>
      </c>
      <c r="G423" s="13">
        <v>20</v>
      </c>
      <c r="H423" s="13">
        <v>0</v>
      </c>
      <c r="I423" s="13">
        <v>0</v>
      </c>
      <c r="J423" s="68">
        <v>13039.8262</v>
      </c>
      <c r="K423">
        <f t="shared" si="6"/>
        <v>0</v>
      </c>
      <c r="L423" s="13">
        <v>0</v>
      </c>
      <c r="M423" s="13">
        <v>0</v>
      </c>
      <c r="N423" s="13">
        <v>0</v>
      </c>
      <c r="O423" s="68">
        <v>0</v>
      </c>
      <c r="P423" s="155">
        <f>VLOOKUP(Table323[[#This Row],[Census Tract]],'Population and Diversity Data'!$B$2:$K$823,10,FALSE)</f>
        <v>3</v>
      </c>
      <c r="Q423" s="155" t="str">
        <f>VLOOKUP(Table323[[#This Row],[Census Tract]],'ES Energy Burden'!$B$2:$E$914,4,FALSE)</f>
        <v>No</v>
      </c>
    </row>
    <row r="424" spans="1:17" x14ac:dyDescent="0.2">
      <c r="A424" s="101">
        <v>9009345400</v>
      </c>
      <c r="B424" s="102" t="s">
        <v>2801</v>
      </c>
      <c r="C424" s="104" t="s">
        <v>944</v>
      </c>
      <c r="D424" s="69">
        <v>381.09985920000003</v>
      </c>
      <c r="E424" s="69">
        <v>0</v>
      </c>
      <c r="F424" s="13">
        <f>[1]!Table323[[#This Row],[Single Family]]+[1]!Table323[[#This Row],[2-4 Units]]+[1]!Table323[[#This Row],[&gt;4 Units]]</f>
        <v>0</v>
      </c>
      <c r="G424" s="13">
        <v>0</v>
      </c>
      <c r="H424" s="13">
        <v>0</v>
      </c>
      <c r="I424" s="13">
        <v>0</v>
      </c>
      <c r="J424" s="68">
        <v>0</v>
      </c>
      <c r="K424">
        <f t="shared" si="6"/>
        <v>0</v>
      </c>
      <c r="L424" s="13">
        <v>0</v>
      </c>
      <c r="M424" s="13">
        <v>0</v>
      </c>
      <c r="N424" s="13">
        <v>0</v>
      </c>
      <c r="O424" s="68">
        <v>0</v>
      </c>
      <c r="P424" s="155">
        <f>VLOOKUP(Table323[[#This Row],[Census Tract]],'Population and Diversity Data'!$B$2:$K$823,10,FALSE)</f>
        <v>4</v>
      </c>
      <c r="Q424" s="155" t="str">
        <f>VLOOKUP(Table323[[#This Row],[Census Tract]],'ES Energy Burden'!$B$2:$E$914,4,FALSE)</f>
        <v>No</v>
      </c>
    </row>
    <row r="425" spans="1:17" x14ac:dyDescent="0.2">
      <c r="A425" s="101">
        <v>9007580100</v>
      </c>
      <c r="B425" s="102" t="s">
        <v>2802</v>
      </c>
      <c r="C425" s="104" t="s">
        <v>944</v>
      </c>
      <c r="D425" s="69">
        <v>98224.217153280013</v>
      </c>
      <c r="E425" s="69">
        <v>53267.192600000002</v>
      </c>
      <c r="F425" s="13">
        <f>[1]!Table323[[#This Row],[Single Family]]+[1]!Table323[[#This Row],[2-4 Units]]+[1]!Table323[[#This Row],[&gt;4 Units]]</f>
        <v>42</v>
      </c>
      <c r="G425" s="13">
        <v>22</v>
      </c>
      <c r="H425" s="13">
        <v>0</v>
      </c>
      <c r="I425" s="13">
        <v>20</v>
      </c>
      <c r="J425" s="68">
        <v>22272.012699999999</v>
      </c>
      <c r="K425">
        <f t="shared" si="6"/>
        <v>6</v>
      </c>
      <c r="L425" s="13">
        <v>6</v>
      </c>
      <c r="M425" s="13">
        <v>0</v>
      </c>
      <c r="N425" s="13">
        <v>0</v>
      </c>
      <c r="O425" s="68">
        <v>15974.6</v>
      </c>
      <c r="P425" s="155">
        <f>VLOOKUP(Table323[[#This Row],[Census Tract]],'Population and Diversity Data'!$B$2:$K$823,10,FALSE)</f>
        <v>1</v>
      </c>
      <c r="Q425" s="155" t="str">
        <f>VLOOKUP(Table323[[#This Row],[Census Tract]],'ES Energy Burden'!$B$2:$E$914,4,FALSE)</f>
        <v>No</v>
      </c>
    </row>
    <row r="426" spans="1:17" x14ac:dyDescent="0.2">
      <c r="A426" s="101">
        <v>9007585100</v>
      </c>
      <c r="B426" s="102" t="s">
        <v>2802</v>
      </c>
      <c r="C426" s="104" t="s">
        <v>944</v>
      </c>
      <c r="D426" s="69">
        <v>395.59501440000003</v>
      </c>
      <c r="E426" s="69">
        <v>0</v>
      </c>
      <c r="F426" s="13">
        <f>[1]!Table323[[#This Row],[Single Family]]+[1]!Table323[[#This Row],[2-4 Units]]+[1]!Table323[[#This Row],[&gt;4 Units]]</f>
        <v>0</v>
      </c>
      <c r="G426" s="13">
        <v>0</v>
      </c>
      <c r="H426" s="13">
        <v>0</v>
      </c>
      <c r="I426" s="13">
        <v>0</v>
      </c>
      <c r="J426" s="68">
        <v>0</v>
      </c>
      <c r="K426">
        <f t="shared" si="6"/>
        <v>0</v>
      </c>
      <c r="L426" s="13">
        <v>0</v>
      </c>
      <c r="M426" s="13">
        <v>0</v>
      </c>
      <c r="N426" s="13">
        <v>0</v>
      </c>
      <c r="O426" s="68">
        <v>0</v>
      </c>
      <c r="P426" s="155">
        <f>VLOOKUP(Table323[[#This Row],[Census Tract]],'Population and Diversity Data'!$B$2:$K$823,10,FALSE)</f>
        <v>1</v>
      </c>
      <c r="Q426" s="155" t="str">
        <f>VLOOKUP(Table323[[#This Row],[Census Tract]],'ES Energy Burden'!$B$2:$E$914,4,FALSE)</f>
        <v>No</v>
      </c>
    </row>
    <row r="427" spans="1:17" x14ac:dyDescent="0.2">
      <c r="A427" s="101">
        <v>9007541100</v>
      </c>
      <c r="B427" s="102" t="s">
        <v>2803</v>
      </c>
      <c r="C427" s="104" t="s">
        <v>944</v>
      </c>
      <c r="D427" s="69">
        <v>32734.81420416</v>
      </c>
      <c r="E427" s="69">
        <v>3801.79</v>
      </c>
      <c r="F427" s="13">
        <f>[1]!Table323[[#This Row],[Single Family]]+[1]!Table323[[#This Row],[2-4 Units]]+[1]!Table323[[#This Row],[&gt;4 Units]]</f>
        <v>7</v>
      </c>
      <c r="G427" s="13">
        <v>7</v>
      </c>
      <c r="H427" s="13">
        <v>0</v>
      </c>
      <c r="I427" s="13">
        <v>0</v>
      </c>
      <c r="J427" s="68">
        <v>2899.41</v>
      </c>
      <c r="K427">
        <f t="shared" si="6"/>
        <v>0</v>
      </c>
      <c r="L427" s="13">
        <v>0</v>
      </c>
      <c r="M427" s="13">
        <v>0</v>
      </c>
      <c r="N427" s="13">
        <v>0</v>
      </c>
      <c r="O427" s="68">
        <v>0</v>
      </c>
      <c r="P427" s="155">
        <f>VLOOKUP(Table323[[#This Row],[Census Tract]],'Population and Diversity Data'!$B$2:$K$823,10,FALSE)</f>
        <v>4</v>
      </c>
      <c r="Q427" s="155" t="str">
        <f>VLOOKUP(Table323[[#This Row],[Census Tract]],'ES Energy Burden'!$B$2:$E$914,4,FALSE)</f>
        <v>Yes</v>
      </c>
    </row>
    <row r="428" spans="1:17" x14ac:dyDescent="0.2">
      <c r="A428" s="101">
        <v>9007541200</v>
      </c>
      <c r="B428" s="102" t="s">
        <v>2803</v>
      </c>
      <c r="C428" s="104" t="s">
        <v>944</v>
      </c>
      <c r="D428" s="69">
        <v>93768.011069760003</v>
      </c>
      <c r="E428" s="69">
        <v>34895.177799999998</v>
      </c>
      <c r="F428" s="13">
        <f>[1]!Table323[[#This Row],[Single Family]]+[1]!Table323[[#This Row],[2-4 Units]]+[1]!Table323[[#This Row],[&gt;4 Units]]</f>
        <v>30</v>
      </c>
      <c r="G428" s="13">
        <v>30</v>
      </c>
      <c r="H428" s="13">
        <v>0</v>
      </c>
      <c r="I428" s="13">
        <v>0</v>
      </c>
      <c r="J428" s="68">
        <v>16292.497799999999</v>
      </c>
      <c r="K428">
        <f t="shared" si="6"/>
        <v>0</v>
      </c>
      <c r="L428" s="13">
        <v>0</v>
      </c>
      <c r="M428" s="13">
        <v>0</v>
      </c>
      <c r="N428" s="13">
        <v>0</v>
      </c>
      <c r="O428" s="68">
        <v>0</v>
      </c>
      <c r="P428" s="155">
        <f>VLOOKUP(Table323[[#This Row],[Census Tract]],'Population and Diversity Data'!$B$2:$K$823,10,FALSE)</f>
        <v>4</v>
      </c>
      <c r="Q428" s="155" t="str">
        <f>VLOOKUP(Table323[[#This Row],[Census Tract]],'ES Energy Burden'!$B$2:$E$914,4,FALSE)</f>
        <v>No</v>
      </c>
    </row>
    <row r="429" spans="1:17" x14ac:dyDescent="0.2">
      <c r="A429" s="101">
        <v>9007541300</v>
      </c>
      <c r="B429" s="102" t="s">
        <v>2803</v>
      </c>
      <c r="C429" s="104" t="s">
        <v>944</v>
      </c>
      <c r="D429" s="69">
        <v>160261.99079328001</v>
      </c>
      <c r="E429" s="69">
        <v>356256.52659999998</v>
      </c>
      <c r="F429" s="13">
        <f>[1]!Table323[[#This Row],[Single Family]]+[1]!Table323[[#This Row],[2-4 Units]]+[1]!Table323[[#This Row],[&gt;4 Units]]</f>
        <v>510</v>
      </c>
      <c r="G429" s="13">
        <v>12</v>
      </c>
      <c r="H429" s="13">
        <v>3</v>
      </c>
      <c r="I429" s="13">
        <v>495</v>
      </c>
      <c r="J429" s="68">
        <v>106144.0543</v>
      </c>
      <c r="K429">
        <f t="shared" si="6"/>
        <v>464</v>
      </c>
      <c r="L429" s="13">
        <v>141</v>
      </c>
      <c r="M429" s="13">
        <v>2</v>
      </c>
      <c r="N429" s="13">
        <v>321</v>
      </c>
      <c r="O429" s="68">
        <v>250108</v>
      </c>
      <c r="P429" s="155">
        <f>VLOOKUP(Table323[[#This Row],[Census Tract]],'Population and Diversity Data'!$B$2:$K$823,10,FALSE)</f>
        <v>4</v>
      </c>
      <c r="Q429" s="155" t="str">
        <f>VLOOKUP(Table323[[#This Row],[Census Tract]],'ES Energy Burden'!$B$2:$E$914,4,FALSE)</f>
        <v>No</v>
      </c>
    </row>
    <row r="430" spans="1:17" x14ac:dyDescent="0.2">
      <c r="A430" s="101">
        <v>9007541401</v>
      </c>
      <c r="B430" s="102" t="s">
        <v>2803</v>
      </c>
      <c r="C430" s="104" t="s">
        <v>944</v>
      </c>
      <c r="D430" s="69">
        <v>69095.818402559991</v>
      </c>
      <c r="E430" s="69">
        <v>17537.349699999999</v>
      </c>
      <c r="F430" s="13">
        <f>[1]!Table323[[#This Row],[Single Family]]+[1]!Table323[[#This Row],[2-4 Units]]+[1]!Table323[[#This Row],[&gt;4 Units]]</f>
        <v>26</v>
      </c>
      <c r="G430" s="13">
        <v>26</v>
      </c>
      <c r="H430" s="13">
        <v>0</v>
      </c>
      <c r="I430" s="13">
        <v>0</v>
      </c>
      <c r="J430" s="68">
        <v>13799.4997</v>
      </c>
      <c r="K430">
        <f t="shared" si="6"/>
        <v>0</v>
      </c>
      <c r="L430" s="13">
        <v>0</v>
      </c>
      <c r="M430" s="13">
        <v>0</v>
      </c>
      <c r="N430" s="13">
        <v>0</v>
      </c>
      <c r="O430" s="68">
        <v>0</v>
      </c>
      <c r="P430" s="155">
        <f>VLOOKUP(Table323[[#This Row],[Census Tract]],'Population and Diversity Data'!$B$2:$K$823,10,FALSE)</f>
        <v>2</v>
      </c>
      <c r="Q430" s="155" t="str">
        <f>VLOOKUP(Table323[[#This Row],[Census Tract]],'ES Energy Burden'!$B$2:$E$914,4,FALSE)</f>
        <v>No</v>
      </c>
    </row>
    <row r="431" spans="1:17" x14ac:dyDescent="0.2">
      <c r="A431" s="101">
        <v>9007541402</v>
      </c>
      <c r="B431" s="102" t="s">
        <v>2803</v>
      </c>
      <c r="C431" s="104" t="s">
        <v>944</v>
      </c>
      <c r="D431" s="69">
        <v>112928.96280384</v>
      </c>
      <c r="E431" s="69">
        <v>285103.42810000002</v>
      </c>
      <c r="F431" s="13">
        <f>[1]!Table323[[#This Row],[Single Family]]+[1]!Table323[[#This Row],[2-4 Units]]+[1]!Table323[[#This Row],[&gt;4 Units]]</f>
        <v>20</v>
      </c>
      <c r="G431" s="13">
        <v>20</v>
      </c>
      <c r="H431" s="13">
        <v>0</v>
      </c>
      <c r="I431" s="13">
        <v>0</v>
      </c>
      <c r="J431" s="68">
        <v>14949.7788</v>
      </c>
      <c r="K431">
        <f t="shared" si="6"/>
        <v>0</v>
      </c>
      <c r="L431" s="13">
        <v>0</v>
      </c>
      <c r="M431" s="13">
        <v>0</v>
      </c>
      <c r="N431" s="13">
        <v>0</v>
      </c>
      <c r="O431" s="68">
        <v>0</v>
      </c>
      <c r="P431" s="155">
        <f>VLOOKUP(Table323[[#This Row],[Census Tract]],'Population and Diversity Data'!$B$2:$K$823,10,FALSE)</f>
        <v>2</v>
      </c>
      <c r="Q431" s="155" t="str">
        <f>VLOOKUP(Table323[[#This Row],[Census Tract]],'ES Energy Burden'!$B$2:$E$914,4,FALSE)</f>
        <v>No</v>
      </c>
    </row>
    <row r="432" spans="1:17" x14ac:dyDescent="0.2">
      <c r="A432" s="101">
        <v>9007541500</v>
      </c>
      <c r="B432" s="102" t="s">
        <v>2803</v>
      </c>
      <c r="C432" s="104" t="s">
        <v>944</v>
      </c>
      <c r="D432" s="69">
        <v>21092.82943392</v>
      </c>
      <c r="E432" s="69">
        <v>7092.3125</v>
      </c>
      <c r="F432" s="13">
        <f>[1]!Table323[[#This Row],[Single Family]]+[1]!Table323[[#This Row],[2-4 Units]]+[1]!Table323[[#This Row],[&gt;4 Units]]</f>
        <v>14</v>
      </c>
      <c r="G432" s="13">
        <v>12</v>
      </c>
      <c r="H432" s="13">
        <v>2</v>
      </c>
      <c r="I432" s="13">
        <v>0</v>
      </c>
      <c r="J432" s="68">
        <v>5800.0524999999998</v>
      </c>
      <c r="K432">
        <f t="shared" si="6"/>
        <v>0</v>
      </c>
      <c r="L432" s="13">
        <v>0</v>
      </c>
      <c r="M432" s="13">
        <v>0</v>
      </c>
      <c r="N432" s="13">
        <v>0</v>
      </c>
      <c r="O432" s="68">
        <v>0</v>
      </c>
      <c r="P432" s="155">
        <f>VLOOKUP(Table323[[#This Row],[Census Tract]],'Population and Diversity Data'!$B$2:$K$823,10,FALSE)</f>
        <v>5</v>
      </c>
      <c r="Q432" s="155" t="str">
        <f>VLOOKUP(Table323[[#This Row],[Census Tract]],'ES Energy Burden'!$B$2:$E$914,4,FALSE)</f>
        <v>No</v>
      </c>
    </row>
    <row r="433" spans="1:17" x14ac:dyDescent="0.2">
      <c r="A433" s="101">
        <v>9007541600</v>
      </c>
      <c r="B433" s="102" t="s">
        <v>2803</v>
      </c>
      <c r="C433" s="104" t="s">
        <v>944</v>
      </c>
      <c r="D433" s="69">
        <v>15013.82183904</v>
      </c>
      <c r="E433" s="69">
        <v>37706.81</v>
      </c>
      <c r="F433" s="13">
        <f>[1]!Table323[[#This Row],[Single Family]]+[1]!Table323[[#This Row],[2-4 Units]]+[1]!Table323[[#This Row],[&gt;4 Units]]</f>
        <v>0</v>
      </c>
      <c r="G433" s="13">
        <v>0</v>
      </c>
      <c r="H433" s="13">
        <v>0</v>
      </c>
      <c r="I433" s="13">
        <v>0</v>
      </c>
      <c r="J433" s="68">
        <v>0</v>
      </c>
      <c r="K433">
        <f t="shared" si="6"/>
        <v>0</v>
      </c>
      <c r="L433" s="13">
        <v>0</v>
      </c>
      <c r="M433" s="13">
        <v>0</v>
      </c>
      <c r="N433" s="13">
        <v>0</v>
      </c>
      <c r="O433" s="68">
        <v>0</v>
      </c>
      <c r="P433" s="155">
        <f>VLOOKUP(Table323[[#This Row],[Census Tract]],'Population and Diversity Data'!$B$2:$K$823,10,FALSE)</f>
        <v>5</v>
      </c>
      <c r="Q433" s="155" t="str">
        <f>VLOOKUP(Table323[[#This Row],[Census Tract]],'ES Energy Burden'!$B$2:$E$914,4,FALSE)</f>
        <v>Yes</v>
      </c>
    </row>
    <row r="434" spans="1:17" x14ac:dyDescent="0.2">
      <c r="A434" s="101">
        <v>9007541700</v>
      </c>
      <c r="B434" s="102" t="s">
        <v>2803</v>
      </c>
      <c r="C434" s="104" t="s">
        <v>944</v>
      </c>
      <c r="D434" s="69">
        <v>36521.771909760006</v>
      </c>
      <c r="E434" s="69">
        <v>4608.43</v>
      </c>
      <c r="F434" s="13">
        <f>[1]!Table323[[#This Row],[Single Family]]+[1]!Table323[[#This Row],[2-4 Units]]+[1]!Table323[[#This Row],[&gt;4 Units]]</f>
        <v>6</v>
      </c>
      <c r="G434" s="13">
        <v>5</v>
      </c>
      <c r="H434" s="13">
        <v>1</v>
      </c>
      <c r="I434" s="13">
        <v>0</v>
      </c>
      <c r="J434" s="68">
        <v>2847.05</v>
      </c>
      <c r="K434">
        <f t="shared" si="6"/>
        <v>0</v>
      </c>
      <c r="L434" s="13">
        <v>0</v>
      </c>
      <c r="M434" s="13">
        <v>0</v>
      </c>
      <c r="N434" s="13">
        <v>0</v>
      </c>
      <c r="O434" s="68">
        <v>0</v>
      </c>
      <c r="P434" s="155">
        <f>VLOOKUP(Table323[[#This Row],[Census Tract]],'Population and Diversity Data'!$B$2:$K$823,10,FALSE)</f>
        <v>4</v>
      </c>
      <c r="Q434" s="155" t="str">
        <f>VLOOKUP(Table323[[#This Row],[Census Tract]],'ES Energy Burden'!$B$2:$E$914,4,FALSE)</f>
        <v>Yes</v>
      </c>
    </row>
    <row r="435" spans="1:17" x14ac:dyDescent="0.2">
      <c r="A435" s="101">
        <v>9007542000</v>
      </c>
      <c r="B435" s="102" t="s">
        <v>2803</v>
      </c>
      <c r="C435" s="104" t="s">
        <v>944</v>
      </c>
      <c r="D435" s="69">
        <v>71103.73662144001</v>
      </c>
      <c r="E435" s="69">
        <v>22533.360000000001</v>
      </c>
      <c r="F435" s="13">
        <f>[1]!Table323[[#This Row],[Single Family]]+[1]!Table323[[#This Row],[2-4 Units]]+[1]!Table323[[#This Row],[&gt;4 Units]]</f>
        <v>20</v>
      </c>
      <c r="G435" s="13">
        <v>20</v>
      </c>
      <c r="H435" s="13">
        <v>0</v>
      </c>
      <c r="I435" s="13">
        <v>0</v>
      </c>
      <c r="J435" s="68">
        <v>14793.35</v>
      </c>
      <c r="K435">
        <f t="shared" si="6"/>
        <v>0</v>
      </c>
      <c r="L435" s="13">
        <v>0</v>
      </c>
      <c r="M435" s="13">
        <v>0</v>
      </c>
      <c r="N435" s="13">
        <v>0</v>
      </c>
      <c r="O435" s="68">
        <v>0</v>
      </c>
      <c r="P435" s="155">
        <f>VLOOKUP(Table323[[#This Row],[Census Tract]],'Population and Diversity Data'!$B$2:$K$823,10,FALSE)</f>
        <v>2</v>
      </c>
      <c r="Q435" s="155" t="str">
        <f>VLOOKUP(Table323[[#This Row],[Census Tract]],'ES Energy Burden'!$B$2:$E$914,4,FALSE)</f>
        <v>No</v>
      </c>
    </row>
    <row r="436" spans="1:17" x14ac:dyDescent="0.2">
      <c r="A436" s="101">
        <v>9007542100</v>
      </c>
      <c r="B436" s="102" t="s">
        <v>2803</v>
      </c>
      <c r="C436" s="104" t="s">
        <v>944</v>
      </c>
      <c r="D436" s="69">
        <v>59097.286108800006</v>
      </c>
      <c r="E436" s="69">
        <v>30046.16</v>
      </c>
      <c r="F436" s="13">
        <f>[1]!Table323[[#This Row],[Single Family]]+[1]!Table323[[#This Row],[2-4 Units]]+[1]!Table323[[#This Row],[&gt;4 Units]]</f>
        <v>15</v>
      </c>
      <c r="G436" s="13">
        <v>15</v>
      </c>
      <c r="H436" s="13">
        <v>0</v>
      </c>
      <c r="I436" s="13">
        <v>0</v>
      </c>
      <c r="J436" s="68">
        <v>6797.01</v>
      </c>
      <c r="K436">
        <f t="shared" si="6"/>
        <v>0</v>
      </c>
      <c r="L436" s="13">
        <v>0</v>
      </c>
      <c r="M436" s="13">
        <v>0</v>
      </c>
      <c r="N436" s="13">
        <v>0</v>
      </c>
      <c r="O436" s="68">
        <v>0</v>
      </c>
      <c r="P436" s="155">
        <f>VLOOKUP(Table323[[#This Row],[Census Tract]],'Population and Diversity Data'!$B$2:$K$823,10,FALSE)</f>
        <v>4</v>
      </c>
      <c r="Q436" s="155" t="str">
        <f>VLOOKUP(Table323[[#This Row],[Census Tract]],'ES Energy Burden'!$B$2:$E$914,4,FALSE)</f>
        <v>No</v>
      </c>
    </row>
    <row r="437" spans="1:17" x14ac:dyDescent="0.2">
      <c r="A437" s="101">
        <v>9007542200</v>
      </c>
      <c r="B437" s="102" t="s">
        <v>2803</v>
      </c>
      <c r="C437" s="104" t="s">
        <v>944</v>
      </c>
      <c r="D437" s="69">
        <v>46529.618961600005</v>
      </c>
      <c r="E437" s="69">
        <v>11053.972100000001</v>
      </c>
      <c r="F437" s="13">
        <f>[1]!Table323[[#This Row],[Single Family]]+[1]!Table323[[#This Row],[2-4 Units]]+[1]!Table323[[#This Row],[&gt;4 Units]]</f>
        <v>15</v>
      </c>
      <c r="G437" s="13">
        <v>15</v>
      </c>
      <c r="H437" s="13">
        <v>0</v>
      </c>
      <c r="I437" s="13">
        <v>0</v>
      </c>
      <c r="J437" s="68">
        <v>11053.042100000001</v>
      </c>
      <c r="K437">
        <f t="shared" si="6"/>
        <v>0</v>
      </c>
      <c r="L437" s="13">
        <v>0</v>
      </c>
      <c r="M437" s="13">
        <v>0</v>
      </c>
      <c r="N437" s="13">
        <v>0</v>
      </c>
      <c r="O437" s="68">
        <v>0</v>
      </c>
      <c r="P437" s="155">
        <f>VLOOKUP(Table323[[#This Row],[Census Tract]],'Population and Diversity Data'!$B$2:$K$823,10,FALSE)</f>
        <v>3</v>
      </c>
      <c r="Q437" s="155" t="str">
        <f>VLOOKUP(Table323[[#This Row],[Census Tract]],'ES Energy Burden'!$B$2:$E$914,4,FALSE)</f>
        <v>No</v>
      </c>
    </row>
    <row r="438" spans="1:17" x14ac:dyDescent="0.2">
      <c r="A438" s="101">
        <v>9007580100</v>
      </c>
      <c r="B438" s="102" t="s">
        <v>2803</v>
      </c>
      <c r="C438" s="104" t="s">
        <v>944</v>
      </c>
      <c r="D438" s="69">
        <v>289.41684480000004</v>
      </c>
      <c r="E438" s="69">
        <v>0</v>
      </c>
      <c r="F438" s="13">
        <f>[1]!Table323[[#This Row],[Single Family]]+[1]!Table323[[#This Row],[2-4 Units]]+[1]!Table323[[#This Row],[&gt;4 Units]]</f>
        <v>0</v>
      </c>
      <c r="G438" s="13">
        <v>0</v>
      </c>
      <c r="H438" s="13">
        <v>0</v>
      </c>
      <c r="I438" s="13">
        <v>0</v>
      </c>
      <c r="J438" s="68">
        <v>0</v>
      </c>
      <c r="K438">
        <f t="shared" si="6"/>
        <v>0</v>
      </c>
      <c r="L438" s="13">
        <v>0</v>
      </c>
      <c r="M438" s="13">
        <v>0</v>
      </c>
      <c r="N438" s="13">
        <v>0</v>
      </c>
      <c r="O438" s="68">
        <v>0</v>
      </c>
      <c r="P438" s="155">
        <f>VLOOKUP(Table323[[#This Row],[Census Tract]],'Population and Diversity Data'!$B$2:$K$823,10,FALSE)</f>
        <v>1</v>
      </c>
      <c r="Q438" s="155" t="str">
        <f>VLOOKUP(Table323[[#This Row],[Census Tract]],'ES Energy Burden'!$B$2:$E$914,4,FALSE)</f>
        <v>No</v>
      </c>
    </row>
    <row r="439" spans="1:17" x14ac:dyDescent="0.2">
      <c r="A439" s="101">
        <v>9007590100</v>
      </c>
      <c r="B439" s="102" t="s">
        <v>2803</v>
      </c>
      <c r="C439" s="104" t="s">
        <v>944</v>
      </c>
      <c r="D439" s="69">
        <v>599.83545600000002</v>
      </c>
      <c r="E439" s="69">
        <v>0</v>
      </c>
      <c r="F439" s="13">
        <f>[1]!Table323[[#This Row],[Single Family]]+[1]!Table323[[#This Row],[2-4 Units]]+[1]!Table323[[#This Row],[&gt;4 Units]]</f>
        <v>0</v>
      </c>
      <c r="G439" s="13">
        <v>0</v>
      </c>
      <c r="H439" s="13">
        <v>0</v>
      </c>
      <c r="I439" s="13">
        <v>0</v>
      </c>
      <c r="J439" s="68">
        <v>0</v>
      </c>
      <c r="K439">
        <f t="shared" si="6"/>
        <v>0</v>
      </c>
      <c r="L439" s="13">
        <v>0</v>
      </c>
      <c r="M439" s="13">
        <v>0</v>
      </c>
      <c r="N439" s="13">
        <v>0</v>
      </c>
      <c r="O439" s="68">
        <v>0</v>
      </c>
      <c r="P439" s="155">
        <f>VLOOKUP(Table323[[#This Row],[Census Tract]],'Population and Diversity Data'!$B$2:$K$823,10,FALSE)</f>
        <v>1</v>
      </c>
      <c r="Q439" s="155" t="str">
        <f>VLOOKUP(Table323[[#This Row],[Census Tract]],'ES Energy Burden'!$B$2:$E$914,4,FALSE)</f>
        <v>No</v>
      </c>
    </row>
    <row r="440" spans="1:17" x14ac:dyDescent="0.2">
      <c r="A440" s="101">
        <v>9007680200</v>
      </c>
      <c r="B440" s="102" t="s">
        <v>2803</v>
      </c>
      <c r="C440" s="104" t="s">
        <v>944</v>
      </c>
      <c r="D440" s="69">
        <v>109151.62550496</v>
      </c>
      <c r="E440" s="69">
        <v>359384.16</v>
      </c>
      <c r="F440" s="13">
        <f>[1]!Table323[[#This Row],[Single Family]]+[1]!Table323[[#This Row],[2-4 Units]]+[1]!Table323[[#This Row],[&gt;4 Units]]</f>
        <v>37</v>
      </c>
      <c r="G440" s="13">
        <v>37</v>
      </c>
      <c r="H440" s="13">
        <v>0</v>
      </c>
      <c r="I440" s="13">
        <v>0</v>
      </c>
      <c r="J440" s="68">
        <v>35186.730000000003</v>
      </c>
      <c r="K440">
        <f t="shared" si="6"/>
        <v>0</v>
      </c>
      <c r="L440" s="13">
        <v>0</v>
      </c>
      <c r="M440" s="13">
        <v>0</v>
      </c>
      <c r="N440" s="13">
        <v>0</v>
      </c>
      <c r="O440" s="68">
        <v>0</v>
      </c>
      <c r="P440" s="155">
        <f>VLOOKUP(Table323[[#This Row],[Census Tract]],'Population and Diversity Data'!$B$2:$K$823,10,FALSE)</f>
        <v>2</v>
      </c>
      <c r="Q440" s="155" t="str">
        <f>VLOOKUP(Table323[[#This Row],[Census Tract]],'ES Energy Burden'!$B$2:$E$914,4,FALSE)</f>
        <v>No</v>
      </c>
    </row>
    <row r="441" spans="1:17" x14ac:dyDescent="0.2">
      <c r="A441" s="101">
        <v>9001100100</v>
      </c>
      <c r="B441" s="102" t="s">
        <v>2804</v>
      </c>
      <c r="C441" s="104" t="s">
        <v>944</v>
      </c>
      <c r="D441" s="69">
        <v>100563.03417888001</v>
      </c>
      <c r="E441" s="69">
        <v>20403.166799999999</v>
      </c>
      <c r="F441" s="13">
        <f>[1]!Table323[[#This Row],[Single Family]]+[1]!Table323[[#This Row],[2-4 Units]]+[1]!Table323[[#This Row],[&gt;4 Units]]</f>
        <v>14</v>
      </c>
      <c r="G441" s="13">
        <v>14</v>
      </c>
      <c r="H441" s="13">
        <v>0</v>
      </c>
      <c r="I441" s="13">
        <v>0</v>
      </c>
      <c r="J441" s="68">
        <v>10862.6368</v>
      </c>
      <c r="K441">
        <f t="shared" si="6"/>
        <v>0</v>
      </c>
      <c r="L441" s="13">
        <v>0</v>
      </c>
      <c r="M441" s="13">
        <v>0</v>
      </c>
      <c r="N441" s="13">
        <v>0</v>
      </c>
      <c r="O441" s="68">
        <v>0</v>
      </c>
      <c r="P441" s="155">
        <f>VLOOKUP(Table323[[#This Row],[Census Tract]],'Population and Diversity Data'!$B$2:$K$823,10,FALSE)</f>
        <v>3</v>
      </c>
      <c r="Q441" s="155" t="str">
        <f>VLOOKUP(Table323[[#This Row],[Census Tract]],'ES Energy Burden'!$B$2:$E$914,4,FALSE)</f>
        <v>No</v>
      </c>
    </row>
    <row r="442" spans="1:17" x14ac:dyDescent="0.2">
      <c r="A442" s="101">
        <v>9001100200</v>
      </c>
      <c r="B442" s="102" t="s">
        <v>2804</v>
      </c>
      <c r="C442" s="104" t="s">
        <v>944</v>
      </c>
      <c r="D442" s="69">
        <v>133580.15600255999</v>
      </c>
      <c r="E442" s="69">
        <v>32119.5658</v>
      </c>
      <c r="F442" s="13">
        <f>[1]!Table323[[#This Row],[Single Family]]+[1]!Table323[[#This Row],[2-4 Units]]+[1]!Table323[[#This Row],[&gt;4 Units]]</f>
        <v>24</v>
      </c>
      <c r="G442" s="13">
        <v>24</v>
      </c>
      <c r="H442" s="13">
        <v>0</v>
      </c>
      <c r="I442" s="13">
        <v>0</v>
      </c>
      <c r="J442" s="68">
        <v>23647.355800000001</v>
      </c>
      <c r="K442">
        <f t="shared" si="6"/>
        <v>0</v>
      </c>
      <c r="L442" s="13">
        <v>0</v>
      </c>
      <c r="M442" s="13">
        <v>0</v>
      </c>
      <c r="N442" s="13">
        <v>0</v>
      </c>
      <c r="O442" s="68">
        <v>0</v>
      </c>
      <c r="P442" s="155">
        <f>VLOOKUP(Table323[[#This Row],[Census Tract]],'Population and Diversity Data'!$B$2:$K$823,10,FALSE)</f>
        <v>4</v>
      </c>
      <c r="Q442" s="155" t="str">
        <f>VLOOKUP(Table323[[#This Row],[Census Tract]],'ES Energy Burden'!$B$2:$E$914,4,FALSE)</f>
        <v>No</v>
      </c>
    </row>
    <row r="443" spans="1:17" x14ac:dyDescent="0.2">
      <c r="A443" s="101">
        <v>9001100300</v>
      </c>
      <c r="B443" s="102" t="s">
        <v>2804</v>
      </c>
      <c r="C443" s="104" t="s">
        <v>944</v>
      </c>
      <c r="D443" s="69">
        <v>139355.86752576</v>
      </c>
      <c r="E443" s="69">
        <v>96915.585000000006</v>
      </c>
      <c r="F443" s="13">
        <f>[1]!Table323[[#This Row],[Single Family]]+[1]!Table323[[#This Row],[2-4 Units]]+[1]!Table323[[#This Row],[&gt;4 Units]]</f>
        <v>24</v>
      </c>
      <c r="G443" s="13">
        <v>24</v>
      </c>
      <c r="H443" s="13">
        <v>0</v>
      </c>
      <c r="I443" s="13">
        <v>0</v>
      </c>
      <c r="J443" s="68">
        <v>17456.03</v>
      </c>
      <c r="K443">
        <f t="shared" si="6"/>
        <v>24</v>
      </c>
      <c r="L443" s="13">
        <v>24</v>
      </c>
      <c r="M443" s="13">
        <v>0</v>
      </c>
      <c r="N443" s="13">
        <v>0</v>
      </c>
      <c r="O443" s="68">
        <v>37376</v>
      </c>
      <c r="P443" s="155">
        <f>VLOOKUP(Table323[[#This Row],[Census Tract]],'Population and Diversity Data'!$B$2:$K$823,10,FALSE)</f>
        <v>2</v>
      </c>
      <c r="Q443" s="155" t="str">
        <f>VLOOKUP(Table323[[#This Row],[Census Tract]],'ES Energy Burden'!$B$2:$E$914,4,FALSE)</f>
        <v>No</v>
      </c>
    </row>
    <row r="444" spans="1:17" x14ac:dyDescent="0.2">
      <c r="A444" s="101">
        <v>9001105200</v>
      </c>
      <c r="B444" s="102" t="s">
        <v>2804</v>
      </c>
      <c r="C444" s="104" t="s">
        <v>944</v>
      </c>
      <c r="D444" s="69">
        <v>279.45432000000005</v>
      </c>
      <c r="E444" s="69">
        <v>0</v>
      </c>
      <c r="F444" s="13">
        <f>[1]!Table323[[#This Row],[Single Family]]+[1]!Table323[[#This Row],[2-4 Units]]+[1]!Table323[[#This Row],[&gt;4 Units]]</f>
        <v>0</v>
      </c>
      <c r="G444" s="13">
        <v>0</v>
      </c>
      <c r="H444" s="13">
        <v>0</v>
      </c>
      <c r="I444" s="13">
        <v>0</v>
      </c>
      <c r="J444" s="68">
        <v>0</v>
      </c>
      <c r="K444">
        <f t="shared" si="6"/>
        <v>0</v>
      </c>
      <c r="L444" s="13">
        <v>0</v>
      </c>
      <c r="M444" s="13">
        <v>0</v>
      </c>
      <c r="N444" s="13">
        <v>0</v>
      </c>
      <c r="O444" s="68">
        <v>0</v>
      </c>
      <c r="P444" s="155">
        <f>VLOOKUP(Table323[[#This Row],[Census Tract]],'Population and Diversity Data'!$B$2:$K$823,10,FALSE)</f>
        <v>3</v>
      </c>
      <c r="Q444" s="155" t="str">
        <f>VLOOKUP(Table323[[#This Row],[Census Tract]],'ES Energy Burden'!$B$2:$E$914,4,FALSE)</f>
        <v>No</v>
      </c>
    </row>
    <row r="445" spans="1:17" x14ac:dyDescent="0.2">
      <c r="A445" s="101">
        <v>9001110500</v>
      </c>
      <c r="B445" s="102" t="s">
        <v>2804</v>
      </c>
      <c r="C445" s="104" t="s">
        <v>944</v>
      </c>
      <c r="D445" s="69">
        <v>763.01015040000004</v>
      </c>
      <c r="E445" s="69">
        <v>0</v>
      </c>
      <c r="F445" s="13">
        <f>[1]!Table323[[#This Row],[Single Family]]+[1]!Table323[[#This Row],[2-4 Units]]+[1]!Table323[[#This Row],[&gt;4 Units]]</f>
        <v>0</v>
      </c>
      <c r="G445" s="13">
        <v>0</v>
      </c>
      <c r="H445" s="13">
        <v>0</v>
      </c>
      <c r="I445" s="13">
        <v>0</v>
      </c>
      <c r="J445" s="68">
        <v>0</v>
      </c>
      <c r="K445">
        <f t="shared" si="6"/>
        <v>0</v>
      </c>
      <c r="L445" s="13">
        <v>0</v>
      </c>
      <c r="M445" s="13">
        <v>0</v>
      </c>
      <c r="N445" s="13">
        <v>0</v>
      </c>
      <c r="O445" s="68">
        <v>0</v>
      </c>
      <c r="P445" s="155">
        <f>VLOOKUP(Table323[[#This Row],[Census Tract]],'Population and Diversity Data'!$B$2:$K$823,10,FALSE)</f>
        <v>1</v>
      </c>
      <c r="Q445" s="155" t="str">
        <f>VLOOKUP(Table323[[#This Row],[Census Tract]],'ES Energy Burden'!$B$2:$E$914,4,FALSE)</f>
        <v>No</v>
      </c>
    </row>
    <row r="446" spans="1:17" x14ac:dyDescent="0.2">
      <c r="A446" s="101">
        <v>9001230400</v>
      </c>
      <c r="B446" s="102" t="s">
        <v>2804</v>
      </c>
      <c r="C446" s="104" t="s">
        <v>944</v>
      </c>
      <c r="D446" s="69">
        <v>408.54455999999999</v>
      </c>
      <c r="E446" s="69">
        <v>1374.16</v>
      </c>
      <c r="F446" s="13">
        <f>[1]!Table323[[#This Row],[Single Family]]+[1]!Table323[[#This Row],[2-4 Units]]+[1]!Table323[[#This Row],[&gt;4 Units]]</f>
        <v>0</v>
      </c>
      <c r="G446" s="13">
        <v>0</v>
      </c>
      <c r="H446" s="13">
        <v>0</v>
      </c>
      <c r="I446" s="13">
        <v>0</v>
      </c>
      <c r="J446" s="68">
        <v>0</v>
      </c>
      <c r="K446">
        <f t="shared" si="6"/>
        <v>0</v>
      </c>
      <c r="L446" s="13">
        <v>0</v>
      </c>
      <c r="M446" s="13">
        <v>0</v>
      </c>
      <c r="N446" s="13">
        <v>0</v>
      </c>
      <c r="O446" s="68">
        <v>0</v>
      </c>
      <c r="P446" s="155">
        <f>VLOOKUP(Table323[[#This Row],[Census Tract]],'Population and Diversity Data'!$B$2:$K$823,10,FALSE)</f>
        <v>2</v>
      </c>
      <c r="Q446" s="155" t="str">
        <f>VLOOKUP(Table323[[#This Row],[Census Tract]],'ES Energy Burden'!$B$2:$E$914,4,FALSE)</f>
        <v>No</v>
      </c>
    </row>
    <row r="447" spans="1:17" x14ac:dyDescent="0.2">
      <c r="A447" s="101">
        <v>9011693600</v>
      </c>
      <c r="B447" s="102" t="s">
        <v>2805</v>
      </c>
      <c r="C447" s="104" t="s">
        <v>944</v>
      </c>
      <c r="D447" s="69">
        <v>386.32135679999999</v>
      </c>
      <c r="E447" s="69">
        <v>467.33</v>
      </c>
      <c r="F447" s="13">
        <f>[1]!Table323[[#This Row],[Single Family]]+[1]!Table323[[#This Row],[2-4 Units]]+[1]!Table323[[#This Row],[&gt;4 Units]]</f>
        <v>1</v>
      </c>
      <c r="G447" s="13">
        <v>1</v>
      </c>
      <c r="H447" s="13">
        <v>0</v>
      </c>
      <c r="I447" s="13">
        <v>0</v>
      </c>
      <c r="J447" s="68">
        <v>465.14</v>
      </c>
      <c r="K447">
        <f t="shared" si="6"/>
        <v>0</v>
      </c>
      <c r="L447" s="13">
        <v>0</v>
      </c>
      <c r="M447" s="13">
        <v>0</v>
      </c>
      <c r="N447" s="13">
        <v>0</v>
      </c>
      <c r="O447" s="68">
        <v>0</v>
      </c>
      <c r="P447" s="155">
        <f>VLOOKUP(Table323[[#This Row],[Census Tract]],'Population and Diversity Data'!$B$2:$K$823,10,FALSE)</f>
        <v>2</v>
      </c>
      <c r="Q447" s="155" t="str">
        <f>VLOOKUP(Table323[[#This Row],[Census Tract]],'ES Energy Burden'!$B$2:$E$914,4,FALSE)</f>
        <v>No</v>
      </c>
    </row>
    <row r="448" spans="1:17" x14ac:dyDescent="0.2">
      <c r="A448" s="101">
        <v>9011695201</v>
      </c>
      <c r="B448" s="102" t="s">
        <v>2805</v>
      </c>
      <c r="C448" s="104" t="s">
        <v>944</v>
      </c>
      <c r="D448" s="69">
        <v>106350.08885568001</v>
      </c>
      <c r="E448" s="69">
        <v>162569.386</v>
      </c>
      <c r="F448" s="13">
        <f>[1]!Table323[[#This Row],[Single Family]]+[1]!Table323[[#This Row],[2-4 Units]]+[1]!Table323[[#This Row],[&gt;4 Units]]</f>
        <v>28</v>
      </c>
      <c r="G448" s="13">
        <v>27</v>
      </c>
      <c r="H448" s="13">
        <v>1</v>
      </c>
      <c r="I448" s="13">
        <v>0</v>
      </c>
      <c r="J448" s="68">
        <v>22611.7</v>
      </c>
      <c r="K448">
        <f t="shared" si="6"/>
        <v>11</v>
      </c>
      <c r="L448" s="13">
        <v>11</v>
      </c>
      <c r="M448" s="13">
        <v>0</v>
      </c>
      <c r="N448" s="13">
        <v>0</v>
      </c>
      <c r="O448" s="68">
        <v>7505.95</v>
      </c>
      <c r="P448" s="155">
        <f>VLOOKUP(Table323[[#This Row],[Census Tract]],'Population and Diversity Data'!$B$2:$K$823,10,FALSE)</f>
        <v>3</v>
      </c>
      <c r="Q448" s="155" t="str">
        <f>VLOOKUP(Table323[[#This Row],[Census Tract]],'ES Energy Burden'!$B$2:$E$914,4,FALSE)</f>
        <v>No</v>
      </c>
    </row>
    <row r="449" spans="1:17" x14ac:dyDescent="0.2">
      <c r="A449" s="101">
        <v>9011695202</v>
      </c>
      <c r="B449" s="102" t="s">
        <v>2805</v>
      </c>
      <c r="C449" s="104" t="s">
        <v>944</v>
      </c>
      <c r="D449" s="69">
        <v>99676.927511999995</v>
      </c>
      <c r="E449" s="69">
        <v>14638.392099999999</v>
      </c>
      <c r="F449" s="13">
        <f>[1]!Table323[[#This Row],[Single Family]]+[1]!Table323[[#This Row],[2-4 Units]]+[1]!Table323[[#This Row],[&gt;4 Units]]</f>
        <v>27</v>
      </c>
      <c r="G449" s="13">
        <v>27</v>
      </c>
      <c r="H449" s="13">
        <v>0</v>
      </c>
      <c r="I449" s="13">
        <v>0</v>
      </c>
      <c r="J449" s="68">
        <v>14152.402099999999</v>
      </c>
      <c r="K449">
        <f t="shared" si="6"/>
        <v>0</v>
      </c>
      <c r="L449" s="13">
        <v>0</v>
      </c>
      <c r="M449" s="13">
        <v>0</v>
      </c>
      <c r="N449" s="13">
        <v>0</v>
      </c>
      <c r="O449" s="68">
        <v>0</v>
      </c>
      <c r="P449" s="155">
        <f>VLOOKUP(Table323[[#This Row],[Census Tract]],'Population and Diversity Data'!$B$2:$K$823,10,FALSE)</f>
        <v>3</v>
      </c>
      <c r="Q449" s="155" t="str">
        <f>VLOOKUP(Table323[[#This Row],[Census Tract]],'ES Energy Burden'!$B$2:$E$914,4,FALSE)</f>
        <v>No</v>
      </c>
    </row>
    <row r="450" spans="1:17" x14ac:dyDescent="0.2">
      <c r="A450" s="101">
        <v>9011715100</v>
      </c>
      <c r="B450" s="102" t="s">
        <v>2805</v>
      </c>
      <c r="C450" s="104" t="s">
        <v>944</v>
      </c>
      <c r="D450" s="69">
        <v>663.31543680000004</v>
      </c>
      <c r="E450" s="69">
        <v>0</v>
      </c>
      <c r="F450" s="13">
        <f>[1]!Table323[[#This Row],[Single Family]]+[1]!Table323[[#This Row],[2-4 Units]]+[1]!Table323[[#This Row],[&gt;4 Units]]</f>
        <v>0</v>
      </c>
      <c r="G450" s="13">
        <v>0</v>
      </c>
      <c r="H450" s="13">
        <v>0</v>
      </c>
      <c r="I450" s="13">
        <v>0</v>
      </c>
      <c r="J450" s="68">
        <v>0</v>
      </c>
      <c r="K450">
        <f t="shared" si="6"/>
        <v>0</v>
      </c>
      <c r="L450" s="13">
        <v>0</v>
      </c>
      <c r="M450" s="13">
        <v>0</v>
      </c>
      <c r="N450" s="13">
        <v>0</v>
      </c>
      <c r="O450" s="68">
        <v>0</v>
      </c>
      <c r="P450" s="155">
        <f>VLOOKUP(Table323[[#This Row],[Census Tract]],'Population and Diversity Data'!$B$2:$K$823,10,FALSE)</f>
        <v>3</v>
      </c>
      <c r="Q450" s="155" t="str">
        <f>VLOOKUP(Table323[[#This Row],[Census Tract]],'ES Energy Burden'!$B$2:$E$914,4,FALSE)</f>
        <v>No</v>
      </c>
    </row>
    <row r="451" spans="1:17" x14ac:dyDescent="0.2">
      <c r="A451" s="101">
        <v>9011716102</v>
      </c>
      <c r="B451" s="102" t="s">
        <v>2805</v>
      </c>
      <c r="C451" s="104" t="s">
        <v>944</v>
      </c>
      <c r="D451" s="69">
        <v>658.65545280000003</v>
      </c>
      <c r="E451" s="69">
        <v>0</v>
      </c>
      <c r="F451" s="13">
        <f>[1]!Table323[[#This Row],[Single Family]]+[1]!Table323[[#This Row],[2-4 Units]]+[1]!Table323[[#This Row],[&gt;4 Units]]</f>
        <v>0</v>
      </c>
      <c r="G451" s="13">
        <v>0</v>
      </c>
      <c r="H451" s="13">
        <v>0</v>
      </c>
      <c r="I451" s="13">
        <v>0</v>
      </c>
      <c r="J451" s="68">
        <v>0</v>
      </c>
      <c r="K451">
        <f t="shared" si="6"/>
        <v>0</v>
      </c>
      <c r="L451" s="13">
        <v>0</v>
      </c>
      <c r="M451" s="13">
        <v>0</v>
      </c>
      <c r="N451" s="13">
        <v>0</v>
      </c>
      <c r="O451" s="68">
        <v>0</v>
      </c>
      <c r="P451" s="155">
        <f>VLOOKUP(Table323[[#This Row],[Census Tract]],'Population and Diversity Data'!$B$2:$K$823,10,FALSE)</f>
        <v>4</v>
      </c>
      <c r="Q451" s="155" t="str">
        <f>VLOOKUP(Table323[[#This Row],[Census Tract]],'ES Energy Burden'!$B$2:$E$914,4,FALSE)</f>
        <v>No</v>
      </c>
    </row>
    <row r="452" spans="1:17" x14ac:dyDescent="0.2">
      <c r="A452" s="101">
        <v>9011870501</v>
      </c>
      <c r="B452" s="102" t="s">
        <v>2805</v>
      </c>
      <c r="C452" s="104" t="s">
        <v>944</v>
      </c>
      <c r="D452" s="69">
        <v>80574.145113599996</v>
      </c>
      <c r="E452" s="69">
        <v>31425.54</v>
      </c>
      <c r="F452" s="13">
        <f>[1]!Table323[[#This Row],[Single Family]]+[1]!Table323[[#This Row],[2-4 Units]]+[1]!Table323[[#This Row],[&gt;4 Units]]</f>
        <v>38</v>
      </c>
      <c r="G452" s="13">
        <v>38</v>
      </c>
      <c r="H452" s="13">
        <v>0</v>
      </c>
      <c r="I452" s="13">
        <v>0</v>
      </c>
      <c r="J452" s="68">
        <v>29718.23</v>
      </c>
      <c r="K452">
        <f t="shared" si="6"/>
        <v>0</v>
      </c>
      <c r="L452" s="13">
        <v>0</v>
      </c>
      <c r="M452" s="13">
        <v>0</v>
      </c>
      <c r="N452" s="13">
        <v>0</v>
      </c>
      <c r="O452" s="68">
        <v>0</v>
      </c>
      <c r="P452" s="155">
        <f>VLOOKUP(Table323[[#This Row],[Census Tract]],'Population and Diversity Data'!$B$2:$K$823,10,FALSE)</f>
        <v>5</v>
      </c>
      <c r="Q452" s="155" t="str">
        <f>VLOOKUP(Table323[[#This Row],[Census Tract]],'ES Energy Burden'!$B$2:$E$914,4,FALSE)</f>
        <v>No</v>
      </c>
    </row>
    <row r="453" spans="1:17" x14ac:dyDescent="0.2">
      <c r="A453" s="101">
        <v>9011870502</v>
      </c>
      <c r="B453" s="102" t="s">
        <v>2805</v>
      </c>
      <c r="C453" s="104" t="s">
        <v>944</v>
      </c>
      <c r="D453" s="69">
        <v>40248.384848640002</v>
      </c>
      <c r="E453" s="69">
        <v>10395.2546</v>
      </c>
      <c r="F453" s="13">
        <f>[1]!Table323[[#This Row],[Single Family]]+[1]!Table323[[#This Row],[2-4 Units]]+[1]!Table323[[#This Row],[&gt;4 Units]]</f>
        <v>12</v>
      </c>
      <c r="G453" s="13">
        <v>12</v>
      </c>
      <c r="H453" s="13">
        <v>0</v>
      </c>
      <c r="I453" s="13">
        <v>0</v>
      </c>
      <c r="J453" s="68">
        <v>10184.524600000001</v>
      </c>
      <c r="K453">
        <f t="shared" si="6"/>
        <v>0</v>
      </c>
      <c r="L453" s="13">
        <v>0</v>
      </c>
      <c r="M453" s="13">
        <v>0</v>
      </c>
      <c r="N453" s="13">
        <v>0</v>
      </c>
      <c r="O453" s="68">
        <v>0</v>
      </c>
      <c r="P453" s="155">
        <f>VLOOKUP(Table323[[#This Row],[Census Tract]],'Population and Diversity Data'!$B$2:$K$823,10,FALSE)</f>
        <v>5</v>
      </c>
      <c r="Q453" s="155" t="str">
        <f>VLOOKUP(Table323[[#This Row],[Census Tract]],'ES Energy Burden'!$B$2:$E$914,4,FALSE)</f>
        <v>No</v>
      </c>
    </row>
    <row r="454" spans="1:17" x14ac:dyDescent="0.2">
      <c r="A454" s="101">
        <v>9005300100</v>
      </c>
      <c r="B454" s="102" t="s">
        <v>2806</v>
      </c>
      <c r="C454" s="104" t="s">
        <v>944</v>
      </c>
      <c r="D454" s="69">
        <v>536.4886176</v>
      </c>
      <c r="E454" s="69">
        <v>0</v>
      </c>
      <c r="F454" s="13">
        <f>[1]!Table323[[#This Row],[Single Family]]+[1]!Table323[[#This Row],[2-4 Units]]+[1]!Table323[[#This Row],[&gt;4 Units]]</f>
        <v>0</v>
      </c>
      <c r="G454" s="13">
        <v>0</v>
      </c>
      <c r="H454" s="13">
        <v>0</v>
      </c>
      <c r="I454" s="13">
        <v>0</v>
      </c>
      <c r="J454" s="68">
        <v>0</v>
      </c>
      <c r="K454">
        <f t="shared" ref="K454:K517" si="7">L454+M454+N454</f>
        <v>0</v>
      </c>
      <c r="L454" s="13">
        <v>0</v>
      </c>
      <c r="M454" s="13">
        <v>0</v>
      </c>
      <c r="N454" s="13">
        <v>0</v>
      </c>
      <c r="O454" s="68">
        <v>0</v>
      </c>
      <c r="P454" s="155">
        <f>VLOOKUP(Table323[[#This Row],[Census Tract]],'Population and Diversity Data'!$B$2:$K$823,10,FALSE)</f>
        <v>1</v>
      </c>
      <c r="Q454" s="155" t="str">
        <f>VLOOKUP(Table323[[#This Row],[Census Tract]],'ES Energy Burden'!$B$2:$E$914,4,FALSE)</f>
        <v>No</v>
      </c>
    </row>
    <row r="455" spans="1:17" x14ac:dyDescent="0.2">
      <c r="A455" s="101">
        <v>9005303100</v>
      </c>
      <c r="B455" s="102" t="s">
        <v>2806</v>
      </c>
      <c r="C455" s="104" t="s">
        <v>944</v>
      </c>
      <c r="D455" s="69">
        <v>58713.956403840006</v>
      </c>
      <c r="E455" s="69">
        <v>31889.019799999998</v>
      </c>
      <c r="F455" s="13">
        <f>[1]!Table323[[#This Row],[Single Family]]+[1]!Table323[[#This Row],[2-4 Units]]+[1]!Table323[[#This Row],[&gt;4 Units]]</f>
        <v>25</v>
      </c>
      <c r="G455" s="13">
        <v>25</v>
      </c>
      <c r="H455" s="13">
        <v>0</v>
      </c>
      <c r="I455" s="13">
        <v>0</v>
      </c>
      <c r="J455" s="68">
        <v>20374.376799999998</v>
      </c>
      <c r="K455">
        <f t="shared" si="7"/>
        <v>1</v>
      </c>
      <c r="L455" s="13">
        <v>1</v>
      </c>
      <c r="M455" s="13">
        <v>0</v>
      </c>
      <c r="N455" s="13">
        <v>0</v>
      </c>
      <c r="O455" s="68">
        <v>852.7</v>
      </c>
      <c r="P455" s="155">
        <f>VLOOKUP(Table323[[#This Row],[Census Tract]],'Population and Diversity Data'!$B$2:$K$823,10,FALSE)</f>
        <v>1</v>
      </c>
      <c r="Q455" s="155" t="str">
        <f>VLOOKUP(Table323[[#This Row],[Census Tract]],'ES Energy Burden'!$B$2:$E$914,4,FALSE)</f>
        <v>No</v>
      </c>
    </row>
    <row r="456" spans="1:17" x14ac:dyDescent="0.2">
      <c r="A456" s="101">
        <v>9009344100</v>
      </c>
      <c r="B456" s="102" t="s">
        <v>2807</v>
      </c>
      <c r="C456" s="104" t="s">
        <v>944</v>
      </c>
      <c r="D456" s="69">
        <v>231.36675839999998</v>
      </c>
      <c r="E456" s="69">
        <v>0</v>
      </c>
      <c r="F456" s="13">
        <f>[1]!Table323[[#This Row],[Single Family]]+[1]!Table323[[#This Row],[2-4 Units]]+[1]!Table323[[#This Row],[&gt;4 Units]]</f>
        <v>0</v>
      </c>
      <c r="G456" s="13">
        <v>0</v>
      </c>
      <c r="H456" s="13">
        <v>0</v>
      </c>
      <c r="I456" s="13">
        <v>0</v>
      </c>
      <c r="J456" s="68">
        <v>0</v>
      </c>
      <c r="K456">
        <f t="shared" si="7"/>
        <v>0</v>
      </c>
      <c r="L456" s="13">
        <v>0</v>
      </c>
      <c r="M456" s="13">
        <v>0</v>
      </c>
      <c r="N456" s="13">
        <v>0</v>
      </c>
      <c r="O456" s="68">
        <v>0</v>
      </c>
      <c r="P456" s="155">
        <f>VLOOKUP(Table323[[#This Row],[Census Tract]],'Population and Diversity Data'!$B$2:$K$823,10,FALSE)</f>
        <v>2</v>
      </c>
      <c r="Q456" s="155" t="str">
        <f>VLOOKUP(Table323[[#This Row],[Census Tract]],'ES Energy Burden'!$B$2:$E$914,4,FALSE)</f>
        <v>No</v>
      </c>
    </row>
    <row r="457" spans="1:17" x14ac:dyDescent="0.2">
      <c r="A457" s="101">
        <v>9009345100</v>
      </c>
      <c r="B457" s="102" t="s">
        <v>2807</v>
      </c>
      <c r="C457" s="104" t="s">
        <v>944</v>
      </c>
      <c r="D457" s="69">
        <v>115340.70307968001</v>
      </c>
      <c r="E457" s="69">
        <v>53359.099099999999</v>
      </c>
      <c r="F457" s="13">
        <f>[1]!Table323[[#This Row],[Single Family]]+[1]!Table323[[#This Row],[2-4 Units]]+[1]!Table323[[#This Row],[&gt;4 Units]]</f>
        <v>23</v>
      </c>
      <c r="G457" s="13">
        <v>23</v>
      </c>
      <c r="H457" s="13">
        <v>0</v>
      </c>
      <c r="I457" s="13">
        <v>0</v>
      </c>
      <c r="J457" s="68">
        <v>16613.419099999999</v>
      </c>
      <c r="K457">
        <f t="shared" si="7"/>
        <v>0</v>
      </c>
      <c r="L457" s="13">
        <v>0</v>
      </c>
      <c r="M457" s="13">
        <v>0</v>
      </c>
      <c r="N457" s="13">
        <v>0</v>
      </c>
      <c r="O457" s="68">
        <v>0</v>
      </c>
      <c r="P457" s="155">
        <f>VLOOKUP(Table323[[#This Row],[Census Tract]],'Population and Diversity Data'!$B$2:$K$823,10,FALSE)</f>
        <v>2</v>
      </c>
      <c r="Q457" s="155" t="str">
        <f>VLOOKUP(Table323[[#This Row],[Census Tract]],'ES Energy Burden'!$B$2:$E$914,4,FALSE)</f>
        <v>No</v>
      </c>
    </row>
    <row r="458" spans="1:17" x14ac:dyDescent="0.2">
      <c r="A458" s="101">
        <v>9009345201</v>
      </c>
      <c r="B458" s="102" t="s">
        <v>2807</v>
      </c>
      <c r="C458" s="104" t="s">
        <v>944</v>
      </c>
      <c r="D458" s="69">
        <v>120430.25714015999</v>
      </c>
      <c r="E458" s="69">
        <v>55301.3724</v>
      </c>
      <c r="F458" s="13">
        <f>[1]!Table323[[#This Row],[Single Family]]+[1]!Table323[[#This Row],[2-4 Units]]+[1]!Table323[[#This Row],[&gt;4 Units]]</f>
        <v>52</v>
      </c>
      <c r="G458" s="13">
        <v>45</v>
      </c>
      <c r="H458" s="13">
        <v>7</v>
      </c>
      <c r="I458" s="13">
        <v>0</v>
      </c>
      <c r="J458" s="68">
        <v>40285.402399999999</v>
      </c>
      <c r="K458">
        <f t="shared" si="7"/>
        <v>0</v>
      </c>
      <c r="L458" s="13">
        <v>0</v>
      </c>
      <c r="M458" s="13">
        <v>0</v>
      </c>
      <c r="N458" s="13">
        <v>0</v>
      </c>
      <c r="O458" s="68">
        <v>0</v>
      </c>
      <c r="P458" s="155">
        <f>VLOOKUP(Table323[[#This Row],[Census Tract]],'Population and Diversity Data'!$B$2:$K$823,10,FALSE)</f>
        <v>4</v>
      </c>
      <c r="Q458" s="155" t="str">
        <f>VLOOKUP(Table323[[#This Row],[Census Tract]],'ES Energy Burden'!$B$2:$E$914,4,FALSE)</f>
        <v>No</v>
      </c>
    </row>
    <row r="459" spans="1:17" x14ac:dyDescent="0.2">
      <c r="A459" s="101">
        <v>9009345202</v>
      </c>
      <c r="B459" s="102" t="s">
        <v>2807</v>
      </c>
      <c r="C459" s="104" t="s">
        <v>944</v>
      </c>
      <c r="D459" s="69">
        <v>76552.852731840016</v>
      </c>
      <c r="E459" s="69">
        <v>51535.862300000001</v>
      </c>
      <c r="F459" s="13">
        <f>[1]!Table323[[#This Row],[Single Family]]+[1]!Table323[[#This Row],[2-4 Units]]+[1]!Table323[[#This Row],[&gt;4 Units]]</f>
        <v>26</v>
      </c>
      <c r="G459" s="13">
        <v>25</v>
      </c>
      <c r="H459" s="13">
        <v>1</v>
      </c>
      <c r="I459" s="13">
        <v>0</v>
      </c>
      <c r="J459" s="68">
        <v>16787.272300000001</v>
      </c>
      <c r="K459">
        <f t="shared" si="7"/>
        <v>0</v>
      </c>
      <c r="L459" s="13">
        <v>0</v>
      </c>
      <c r="M459" s="13">
        <v>0</v>
      </c>
      <c r="N459" s="13">
        <v>0</v>
      </c>
      <c r="O459" s="68">
        <v>0</v>
      </c>
      <c r="P459" s="155">
        <f>VLOOKUP(Table323[[#This Row],[Census Tract]],'Population and Diversity Data'!$B$2:$K$823,10,FALSE)</f>
        <v>3</v>
      </c>
      <c r="Q459" s="155" t="str">
        <f>VLOOKUP(Table323[[#This Row],[Census Tract]],'ES Energy Burden'!$B$2:$E$914,4,FALSE)</f>
        <v>No</v>
      </c>
    </row>
    <row r="460" spans="1:17" x14ac:dyDescent="0.2">
      <c r="A460" s="101">
        <v>9009345300</v>
      </c>
      <c r="B460" s="102" t="s">
        <v>2807</v>
      </c>
      <c r="C460" s="104" t="s">
        <v>944</v>
      </c>
      <c r="D460" s="69">
        <v>93771.541079999995</v>
      </c>
      <c r="E460" s="69">
        <v>25594.8802</v>
      </c>
      <c r="F460" s="13">
        <f>[1]!Table323[[#This Row],[Single Family]]+[1]!Table323[[#This Row],[2-4 Units]]+[1]!Table323[[#This Row],[&gt;4 Units]]</f>
        <v>27</v>
      </c>
      <c r="G460" s="13">
        <v>26</v>
      </c>
      <c r="H460" s="13">
        <v>1</v>
      </c>
      <c r="I460" s="13">
        <v>0</v>
      </c>
      <c r="J460" s="68">
        <v>15631.120199999999</v>
      </c>
      <c r="K460">
        <f t="shared" si="7"/>
        <v>0</v>
      </c>
      <c r="L460" s="13">
        <v>0</v>
      </c>
      <c r="M460" s="13">
        <v>0</v>
      </c>
      <c r="N460" s="13">
        <v>0</v>
      </c>
      <c r="O460" s="68">
        <v>0</v>
      </c>
      <c r="P460" s="155">
        <f>VLOOKUP(Table323[[#This Row],[Census Tract]],'Population and Diversity Data'!$B$2:$K$823,10,FALSE)</f>
        <v>4</v>
      </c>
      <c r="Q460" s="155" t="str">
        <f>VLOOKUP(Table323[[#This Row],[Census Tract]],'ES Energy Burden'!$B$2:$E$914,4,FALSE)</f>
        <v>No</v>
      </c>
    </row>
    <row r="461" spans="1:17" x14ac:dyDescent="0.2">
      <c r="A461" s="101">
        <v>9009345400</v>
      </c>
      <c r="B461" s="102" t="s">
        <v>2807</v>
      </c>
      <c r="C461" s="104" t="s">
        <v>944</v>
      </c>
      <c r="D461" s="69">
        <v>141079.32990144001</v>
      </c>
      <c r="E461" s="69">
        <v>1079229.5663000001</v>
      </c>
      <c r="F461" s="13">
        <f>[1]!Table323[[#This Row],[Single Family]]+[1]!Table323[[#This Row],[2-4 Units]]+[1]!Table323[[#This Row],[&gt;4 Units]]</f>
        <v>374</v>
      </c>
      <c r="G461" s="13">
        <v>51</v>
      </c>
      <c r="H461" s="13">
        <v>4</v>
      </c>
      <c r="I461" s="13">
        <v>319</v>
      </c>
      <c r="J461" s="68">
        <v>46516.534399999997</v>
      </c>
      <c r="K461">
        <f t="shared" si="7"/>
        <v>331</v>
      </c>
      <c r="L461" s="13">
        <v>107</v>
      </c>
      <c r="M461" s="13">
        <v>6</v>
      </c>
      <c r="N461" s="13">
        <v>218</v>
      </c>
      <c r="O461" s="68">
        <v>994053</v>
      </c>
      <c r="P461" s="155">
        <f>VLOOKUP(Table323[[#This Row],[Census Tract]],'Population and Diversity Data'!$B$2:$K$823,10,FALSE)</f>
        <v>4</v>
      </c>
      <c r="Q461" s="155" t="str">
        <f>VLOOKUP(Table323[[#This Row],[Census Tract]],'ES Energy Burden'!$B$2:$E$914,4,FALSE)</f>
        <v>No</v>
      </c>
    </row>
    <row r="462" spans="1:17" x14ac:dyDescent="0.2">
      <c r="A462" s="101">
        <v>9009346102</v>
      </c>
      <c r="B462" s="102" t="s">
        <v>2807</v>
      </c>
      <c r="C462" s="104" t="s">
        <v>944</v>
      </c>
      <c r="D462" s="69">
        <v>364.28918399999998</v>
      </c>
      <c r="E462" s="69">
        <v>0</v>
      </c>
      <c r="F462" s="13">
        <f>[1]!Table323[[#This Row],[Single Family]]+[1]!Table323[[#This Row],[2-4 Units]]+[1]!Table323[[#This Row],[&gt;4 Units]]</f>
        <v>0</v>
      </c>
      <c r="G462" s="13">
        <v>0</v>
      </c>
      <c r="H462" s="13">
        <v>0</v>
      </c>
      <c r="I462" s="13">
        <v>0</v>
      </c>
      <c r="J462" s="68">
        <v>0</v>
      </c>
      <c r="K462">
        <f t="shared" si="7"/>
        <v>0</v>
      </c>
      <c r="L462" s="13">
        <v>0</v>
      </c>
      <c r="M462" s="13">
        <v>0</v>
      </c>
      <c r="N462" s="13">
        <v>0</v>
      </c>
      <c r="O462" s="68">
        <v>0</v>
      </c>
      <c r="P462" s="155">
        <f>VLOOKUP(Table323[[#This Row],[Census Tract]],'Population and Diversity Data'!$B$2:$K$823,10,FALSE)</f>
        <v>2</v>
      </c>
      <c r="Q462" s="155" t="str">
        <f>VLOOKUP(Table323[[#This Row],[Census Tract]],'ES Energy Burden'!$B$2:$E$914,4,FALSE)</f>
        <v>No</v>
      </c>
    </row>
    <row r="463" spans="1:17" x14ac:dyDescent="0.2">
      <c r="A463" s="101">
        <v>9009347200</v>
      </c>
      <c r="B463" s="102" t="s">
        <v>2807</v>
      </c>
      <c r="C463" s="104" t="s">
        <v>944</v>
      </c>
      <c r="D463" s="69">
        <v>782.27527680000003</v>
      </c>
      <c r="E463" s="69">
        <v>0</v>
      </c>
      <c r="F463" s="13">
        <f>[1]!Table323[[#This Row],[Single Family]]+[1]!Table323[[#This Row],[2-4 Units]]+[1]!Table323[[#This Row],[&gt;4 Units]]</f>
        <v>0</v>
      </c>
      <c r="G463" s="13">
        <v>0</v>
      </c>
      <c r="H463" s="13">
        <v>0</v>
      </c>
      <c r="I463" s="13">
        <v>0</v>
      </c>
      <c r="J463" s="68">
        <v>0</v>
      </c>
      <c r="K463">
        <f t="shared" si="7"/>
        <v>0</v>
      </c>
      <c r="L463" s="13">
        <v>0</v>
      </c>
      <c r="M463" s="13">
        <v>0</v>
      </c>
      <c r="N463" s="13">
        <v>0</v>
      </c>
      <c r="O463" s="68">
        <v>0</v>
      </c>
      <c r="P463" s="155">
        <f>VLOOKUP(Table323[[#This Row],[Census Tract]],'Population and Diversity Data'!$B$2:$K$823,10,FALSE)</f>
        <v>2</v>
      </c>
      <c r="Q463" s="155" t="str">
        <f>VLOOKUP(Table323[[#This Row],[Census Tract]],'ES Energy Burden'!$B$2:$E$914,4,FALSE)</f>
        <v>No</v>
      </c>
    </row>
    <row r="464" spans="1:17" x14ac:dyDescent="0.2">
      <c r="A464" s="101">
        <v>9009351900</v>
      </c>
      <c r="B464" s="102" t="s">
        <v>2807</v>
      </c>
      <c r="C464" s="104" t="s">
        <v>944</v>
      </c>
      <c r="D464" s="69">
        <v>679.60511999999994</v>
      </c>
      <c r="E464" s="69">
        <v>0</v>
      </c>
      <c r="F464" s="13">
        <f>[1]!Table323[[#This Row],[Single Family]]+[1]!Table323[[#This Row],[2-4 Units]]+[1]!Table323[[#This Row],[&gt;4 Units]]</f>
        <v>0</v>
      </c>
      <c r="G464" s="13">
        <v>0</v>
      </c>
      <c r="H464" s="13">
        <v>0</v>
      </c>
      <c r="I464" s="13">
        <v>0</v>
      </c>
      <c r="J464" s="68">
        <v>0</v>
      </c>
      <c r="K464">
        <f t="shared" si="7"/>
        <v>0</v>
      </c>
      <c r="L464" s="13">
        <v>0</v>
      </c>
      <c r="M464" s="13">
        <v>0</v>
      </c>
      <c r="N464" s="13">
        <v>0</v>
      </c>
      <c r="O464" s="68">
        <v>0</v>
      </c>
      <c r="P464" s="155">
        <f>VLOOKUP(Table323[[#This Row],[Census Tract]],'Population and Diversity Data'!$B$2:$K$823,10,FALSE)</f>
        <v>4</v>
      </c>
      <c r="Q464" s="155" t="str">
        <f>VLOOKUP(Table323[[#This Row],[Census Tract]],'ES Energy Burden'!$B$2:$E$914,4,FALSE)</f>
        <v>No</v>
      </c>
    </row>
    <row r="465" spans="1:17" x14ac:dyDescent="0.2">
      <c r="A465" s="101">
        <v>9003400300</v>
      </c>
      <c r="B465" s="102" t="s">
        <v>985</v>
      </c>
      <c r="C465" s="104" t="s">
        <v>944</v>
      </c>
      <c r="D465" s="69">
        <v>617.43919679999999</v>
      </c>
      <c r="E465" s="69">
        <v>436.28</v>
      </c>
      <c r="F465" s="13">
        <f>[1]!Table323[[#This Row],[Single Family]]+[1]!Table323[[#This Row],[2-4 Units]]+[1]!Table323[[#This Row],[&gt;4 Units]]</f>
        <v>0</v>
      </c>
      <c r="G465" s="13">
        <v>0</v>
      </c>
      <c r="H465" s="13">
        <v>0</v>
      </c>
      <c r="I465" s="13">
        <v>0</v>
      </c>
      <c r="J465" s="68">
        <v>0</v>
      </c>
      <c r="K465">
        <f t="shared" si="7"/>
        <v>0</v>
      </c>
      <c r="L465" s="13">
        <v>0</v>
      </c>
      <c r="M465" s="13">
        <v>0</v>
      </c>
      <c r="N465" s="13">
        <v>0</v>
      </c>
      <c r="O465" s="68">
        <v>0</v>
      </c>
      <c r="P465" s="155">
        <f>VLOOKUP(Table323[[#This Row],[Census Tract]],'Population and Diversity Data'!$B$2:$K$823,10,FALSE)</f>
        <v>2</v>
      </c>
      <c r="Q465" s="155" t="str">
        <f>VLOOKUP(Table323[[#This Row],[Census Tract]],'ES Energy Burden'!$B$2:$E$914,4,FALSE)</f>
        <v>No</v>
      </c>
    </row>
    <row r="466" spans="1:17" x14ac:dyDescent="0.2">
      <c r="A466" s="101">
        <v>9003415300</v>
      </c>
      <c r="B466" s="102" t="s">
        <v>985</v>
      </c>
      <c r="C466" s="104" t="s">
        <v>944</v>
      </c>
      <c r="D466" s="69">
        <v>61846.119786240008</v>
      </c>
      <c r="E466" s="69">
        <v>907.27</v>
      </c>
      <c r="F466" s="13">
        <f>[1]!Table323[[#This Row],[Single Family]]+[1]!Table323[[#This Row],[2-4 Units]]+[1]!Table323[[#This Row],[&gt;4 Units]]</f>
        <v>3</v>
      </c>
      <c r="G466" s="13">
        <v>2</v>
      </c>
      <c r="H466" s="13">
        <v>1</v>
      </c>
      <c r="I466" s="13">
        <v>0</v>
      </c>
      <c r="J466" s="68">
        <v>620.98</v>
      </c>
      <c r="K466">
        <f t="shared" si="7"/>
        <v>0</v>
      </c>
      <c r="L466" s="13">
        <v>0</v>
      </c>
      <c r="M466" s="13">
        <v>0</v>
      </c>
      <c r="N466" s="13">
        <v>0</v>
      </c>
      <c r="O466" s="68">
        <v>0</v>
      </c>
      <c r="P466" s="155">
        <f>VLOOKUP(Table323[[#This Row],[Census Tract]],'Population and Diversity Data'!$B$2:$K$823,10,FALSE)</f>
        <v>5</v>
      </c>
      <c r="Q466" s="155" t="str">
        <f>VLOOKUP(Table323[[#This Row],[Census Tract]],'ES Energy Burden'!$B$2:$E$914,4,FALSE)</f>
        <v>Yes</v>
      </c>
    </row>
    <row r="467" spans="1:17" x14ac:dyDescent="0.2">
      <c r="A467" s="101">
        <v>9003415400</v>
      </c>
      <c r="B467" s="102" t="s">
        <v>985</v>
      </c>
      <c r="C467" s="104" t="s">
        <v>944</v>
      </c>
      <c r="D467" s="69">
        <v>60029.682335999998</v>
      </c>
      <c r="E467" s="69">
        <v>7314.39</v>
      </c>
      <c r="F467" s="13">
        <f>[1]!Table323[[#This Row],[Single Family]]+[1]!Table323[[#This Row],[2-4 Units]]+[1]!Table323[[#This Row],[&gt;4 Units]]</f>
        <v>11</v>
      </c>
      <c r="G467" s="13">
        <v>10</v>
      </c>
      <c r="H467" s="13">
        <v>1</v>
      </c>
      <c r="I467" s="13">
        <v>0</v>
      </c>
      <c r="J467" s="68">
        <v>2665.31</v>
      </c>
      <c r="K467">
        <f t="shared" si="7"/>
        <v>0</v>
      </c>
      <c r="L467" s="13">
        <v>0</v>
      </c>
      <c r="M467" s="13">
        <v>0</v>
      </c>
      <c r="N467" s="13">
        <v>0</v>
      </c>
      <c r="O467" s="68">
        <v>0</v>
      </c>
      <c r="P467" s="155">
        <f>VLOOKUP(Table323[[#This Row],[Census Tract]],'Population and Diversity Data'!$B$2:$K$823,10,FALSE)</f>
        <v>3</v>
      </c>
      <c r="Q467" s="155" t="str">
        <f>VLOOKUP(Table323[[#This Row],[Census Tract]],'ES Energy Burden'!$B$2:$E$914,4,FALSE)</f>
        <v>Yes</v>
      </c>
    </row>
    <row r="468" spans="1:17" x14ac:dyDescent="0.2">
      <c r="A468" s="101">
        <v>9003415500</v>
      </c>
      <c r="B468" s="102" t="s">
        <v>985</v>
      </c>
      <c r="C468" s="104" t="s">
        <v>944</v>
      </c>
      <c r="D468" s="69">
        <v>30047.905635839998</v>
      </c>
      <c r="E468" s="69">
        <v>2366.27</v>
      </c>
      <c r="F468" s="13">
        <f>[1]!Table323[[#This Row],[Single Family]]+[1]!Table323[[#This Row],[2-4 Units]]+[1]!Table323[[#This Row],[&gt;4 Units]]</f>
        <v>2</v>
      </c>
      <c r="G468" s="13">
        <v>2</v>
      </c>
      <c r="H468" s="13">
        <v>0</v>
      </c>
      <c r="I468" s="13">
        <v>0</v>
      </c>
      <c r="J468" s="68">
        <v>1385.66</v>
      </c>
      <c r="K468">
        <f t="shared" si="7"/>
        <v>0</v>
      </c>
      <c r="L468" s="13">
        <v>0</v>
      </c>
      <c r="M468" s="13">
        <v>0</v>
      </c>
      <c r="N468" s="13">
        <v>0</v>
      </c>
      <c r="O468" s="68">
        <v>0</v>
      </c>
      <c r="P468" s="155">
        <f>VLOOKUP(Table323[[#This Row],[Census Tract]],'Population and Diversity Data'!$B$2:$K$823,10,FALSE)</f>
        <v>4</v>
      </c>
      <c r="Q468" s="155" t="str">
        <f>VLOOKUP(Table323[[#This Row],[Census Tract]],'ES Energy Burden'!$B$2:$E$914,4,FALSE)</f>
        <v>Yes</v>
      </c>
    </row>
    <row r="469" spans="1:17" x14ac:dyDescent="0.2">
      <c r="A469" s="101">
        <v>9003415600</v>
      </c>
      <c r="B469" s="102" t="s">
        <v>985</v>
      </c>
      <c r="C469" s="104" t="s">
        <v>944</v>
      </c>
      <c r="D469" s="69">
        <v>37751.387126400004</v>
      </c>
      <c r="E469" s="69">
        <v>1307.4318000000001</v>
      </c>
      <c r="F469" s="13">
        <f>[1]!Table323[[#This Row],[Single Family]]+[1]!Table323[[#This Row],[2-4 Units]]+[1]!Table323[[#This Row],[&gt;4 Units]]</f>
        <v>3</v>
      </c>
      <c r="G469" s="13">
        <v>3</v>
      </c>
      <c r="H469" s="13">
        <v>0</v>
      </c>
      <c r="I469" s="13">
        <v>0</v>
      </c>
      <c r="J469" s="68">
        <v>971.07180000000005</v>
      </c>
      <c r="K469">
        <f t="shared" si="7"/>
        <v>0</v>
      </c>
      <c r="L469" s="13">
        <v>0</v>
      </c>
      <c r="M469" s="13">
        <v>0</v>
      </c>
      <c r="N469" s="13">
        <v>0</v>
      </c>
      <c r="O469" s="68">
        <v>0</v>
      </c>
      <c r="P469" s="155">
        <f>VLOOKUP(Table323[[#This Row],[Census Tract]],'Population and Diversity Data'!$B$2:$K$823,10,FALSE)</f>
        <v>5</v>
      </c>
      <c r="Q469" s="155" t="str">
        <f>VLOOKUP(Table323[[#This Row],[Census Tract]],'ES Energy Burden'!$B$2:$E$914,4,FALSE)</f>
        <v>No</v>
      </c>
    </row>
    <row r="470" spans="1:17" x14ac:dyDescent="0.2">
      <c r="A470" s="101">
        <v>9003415700</v>
      </c>
      <c r="B470" s="102" t="s">
        <v>985</v>
      </c>
      <c r="C470" s="104" t="s">
        <v>944</v>
      </c>
      <c r="D470" s="69">
        <v>35649.427536000003</v>
      </c>
      <c r="E470" s="69">
        <v>7072.64</v>
      </c>
      <c r="F470" s="13">
        <f>[1]!Table323[[#This Row],[Single Family]]+[1]!Table323[[#This Row],[2-4 Units]]+[1]!Table323[[#This Row],[&gt;4 Units]]</f>
        <v>1</v>
      </c>
      <c r="G470" s="13">
        <v>0</v>
      </c>
      <c r="H470" s="13">
        <v>1</v>
      </c>
      <c r="I470" s="13">
        <v>0</v>
      </c>
      <c r="J470" s="68">
        <v>284.02999999999997</v>
      </c>
      <c r="K470">
        <f t="shared" si="7"/>
        <v>0</v>
      </c>
      <c r="L470" s="13">
        <v>0</v>
      </c>
      <c r="M470" s="13">
        <v>0</v>
      </c>
      <c r="N470" s="13">
        <v>0</v>
      </c>
      <c r="O470" s="68">
        <v>0</v>
      </c>
      <c r="P470" s="155">
        <f>VLOOKUP(Table323[[#This Row],[Census Tract]],'Population and Diversity Data'!$B$2:$K$823,10,FALSE)</f>
        <v>4</v>
      </c>
      <c r="Q470" s="155" t="str">
        <f>VLOOKUP(Table323[[#This Row],[Census Tract]],'ES Energy Burden'!$B$2:$E$914,4,FALSE)</f>
        <v>No</v>
      </c>
    </row>
    <row r="471" spans="1:17" x14ac:dyDescent="0.2">
      <c r="A471" s="101">
        <v>9003415800</v>
      </c>
      <c r="B471" s="102" t="s">
        <v>985</v>
      </c>
      <c r="C471" s="104" t="s">
        <v>944</v>
      </c>
      <c r="D471" s="69">
        <v>33526.124061120005</v>
      </c>
      <c r="E471" s="69">
        <v>4495.78</v>
      </c>
      <c r="F471" s="13">
        <f>[1]!Table323[[#This Row],[Single Family]]+[1]!Table323[[#This Row],[2-4 Units]]+[1]!Table323[[#This Row],[&gt;4 Units]]</f>
        <v>3</v>
      </c>
      <c r="G471" s="13">
        <v>3</v>
      </c>
      <c r="H471" s="13">
        <v>0</v>
      </c>
      <c r="I471" s="13">
        <v>0</v>
      </c>
      <c r="J471" s="68">
        <v>1062.1300000000001</v>
      </c>
      <c r="K471">
        <f t="shared" si="7"/>
        <v>0</v>
      </c>
      <c r="L471" s="13">
        <v>0</v>
      </c>
      <c r="M471" s="13">
        <v>0</v>
      </c>
      <c r="N471" s="13">
        <v>0</v>
      </c>
      <c r="O471" s="68">
        <v>0</v>
      </c>
      <c r="P471" s="155">
        <f>VLOOKUP(Table323[[#This Row],[Census Tract]],'Population and Diversity Data'!$B$2:$K$823,10,FALSE)</f>
        <v>3</v>
      </c>
      <c r="Q471" s="155" t="str">
        <f>VLOOKUP(Table323[[#This Row],[Census Tract]],'ES Energy Burden'!$B$2:$E$914,4,FALSE)</f>
        <v>No</v>
      </c>
    </row>
    <row r="472" spans="1:17" x14ac:dyDescent="0.2">
      <c r="A472" s="101">
        <v>9003415900</v>
      </c>
      <c r="B472" s="102" t="s">
        <v>985</v>
      </c>
      <c r="C472" s="104" t="s">
        <v>936</v>
      </c>
      <c r="D472" s="69">
        <v>13994.03441376</v>
      </c>
      <c r="E472" s="69">
        <v>1500.57</v>
      </c>
      <c r="F472" s="13">
        <f>[1]!Table323[[#This Row],[Single Family]]+[1]!Table323[[#This Row],[2-4 Units]]+[1]!Table323[[#This Row],[&gt;4 Units]]</f>
        <v>2</v>
      </c>
      <c r="G472" s="13">
        <v>2</v>
      </c>
      <c r="H472" s="13">
        <v>0</v>
      </c>
      <c r="I472" s="13">
        <v>0</v>
      </c>
      <c r="J472" s="68">
        <v>1418.55</v>
      </c>
      <c r="K472">
        <f t="shared" si="7"/>
        <v>0</v>
      </c>
      <c r="L472" s="13">
        <v>0</v>
      </c>
      <c r="M472" s="13">
        <v>0</v>
      </c>
      <c r="N472" s="13">
        <v>0</v>
      </c>
      <c r="O472" s="68">
        <v>0</v>
      </c>
      <c r="P472" s="155">
        <f>VLOOKUP(Table323[[#This Row],[Census Tract]],'Population and Diversity Data'!$B$2:$K$823,10,FALSE)</f>
        <v>3</v>
      </c>
      <c r="Q472" s="155" t="e">
        <f>VLOOKUP(Table323[[#This Row],[Census Tract]],'ES Energy Burden'!$B$2:$E$914,4,FALSE)</f>
        <v>#N/A</v>
      </c>
    </row>
    <row r="473" spans="1:17" x14ac:dyDescent="0.2">
      <c r="A473" s="101">
        <v>9003416000</v>
      </c>
      <c r="B473" s="102" t="s">
        <v>985</v>
      </c>
      <c r="C473" s="104" t="s">
        <v>944</v>
      </c>
      <c r="D473" s="69">
        <v>53175.932429759996</v>
      </c>
      <c r="E473" s="69">
        <v>772.94</v>
      </c>
      <c r="F473" s="13">
        <f>[1]!Table323[[#This Row],[Single Family]]+[1]!Table323[[#This Row],[2-4 Units]]+[1]!Table323[[#This Row],[&gt;4 Units]]</f>
        <v>1</v>
      </c>
      <c r="G473" s="13">
        <v>1</v>
      </c>
      <c r="H473" s="13">
        <v>0</v>
      </c>
      <c r="I473" s="13">
        <v>0</v>
      </c>
      <c r="J473" s="68">
        <v>66.400000000000006</v>
      </c>
      <c r="K473">
        <f t="shared" si="7"/>
        <v>0</v>
      </c>
      <c r="L473" s="13">
        <v>0</v>
      </c>
      <c r="M473" s="13">
        <v>0</v>
      </c>
      <c r="N473" s="13">
        <v>0</v>
      </c>
      <c r="O473" s="68">
        <v>0</v>
      </c>
      <c r="P473" s="155">
        <f>VLOOKUP(Table323[[#This Row],[Census Tract]],'Population and Diversity Data'!$B$2:$K$823,10,FALSE)</f>
        <v>3</v>
      </c>
      <c r="Q473" s="155" t="str">
        <f>VLOOKUP(Table323[[#This Row],[Census Tract]],'ES Energy Burden'!$B$2:$E$914,4,FALSE)</f>
        <v>Yes</v>
      </c>
    </row>
    <row r="474" spans="1:17" x14ac:dyDescent="0.2">
      <c r="A474" s="101">
        <v>9003416100</v>
      </c>
      <c r="B474" s="102" t="s">
        <v>985</v>
      </c>
      <c r="C474" s="104" t="s">
        <v>944</v>
      </c>
      <c r="D474" s="69">
        <v>45937.126019520001</v>
      </c>
      <c r="E474" s="69">
        <v>2835.0911999999998</v>
      </c>
      <c r="F474" s="13">
        <f>[1]!Table323[[#This Row],[Single Family]]+[1]!Table323[[#This Row],[2-4 Units]]+[1]!Table323[[#This Row],[&gt;4 Units]]</f>
        <v>6</v>
      </c>
      <c r="G474" s="13">
        <v>6</v>
      </c>
      <c r="H474" s="13">
        <v>0</v>
      </c>
      <c r="I474" s="13">
        <v>0</v>
      </c>
      <c r="J474" s="68">
        <v>1935.5812000000001</v>
      </c>
      <c r="K474">
        <f t="shared" si="7"/>
        <v>0</v>
      </c>
      <c r="L474" s="13">
        <v>0</v>
      </c>
      <c r="M474" s="13">
        <v>0</v>
      </c>
      <c r="N474" s="13">
        <v>0</v>
      </c>
      <c r="O474" s="68">
        <v>0</v>
      </c>
      <c r="P474" s="155">
        <f>VLOOKUP(Table323[[#This Row],[Census Tract]],'Population and Diversity Data'!$B$2:$K$823,10,FALSE)</f>
        <v>5</v>
      </c>
      <c r="Q474" s="155" t="str">
        <f>VLOOKUP(Table323[[#This Row],[Census Tract]],'ES Energy Burden'!$B$2:$E$914,4,FALSE)</f>
        <v>Yes</v>
      </c>
    </row>
    <row r="475" spans="1:17" x14ac:dyDescent="0.2">
      <c r="A475" s="101">
        <v>9003416200</v>
      </c>
      <c r="B475" s="102" t="s">
        <v>985</v>
      </c>
      <c r="C475" s="104" t="s">
        <v>944</v>
      </c>
      <c r="D475" s="69">
        <v>25037.862480000003</v>
      </c>
      <c r="E475" s="69">
        <v>31916.26</v>
      </c>
      <c r="F475" s="13">
        <f>[1]!Table323[[#This Row],[Single Family]]+[1]!Table323[[#This Row],[2-4 Units]]+[1]!Table323[[#This Row],[&gt;4 Units]]</f>
        <v>0</v>
      </c>
      <c r="G475" s="13">
        <v>0</v>
      </c>
      <c r="H475" s="13">
        <v>0</v>
      </c>
      <c r="I475" s="13">
        <v>0</v>
      </c>
      <c r="J475" s="68">
        <v>0</v>
      </c>
      <c r="K475">
        <f t="shared" si="7"/>
        <v>0</v>
      </c>
      <c r="L475" s="13">
        <v>0</v>
      </c>
      <c r="M475" s="13">
        <v>0</v>
      </c>
      <c r="N475" s="13">
        <v>0</v>
      </c>
      <c r="O475" s="68">
        <v>0</v>
      </c>
      <c r="P475" s="155">
        <f>VLOOKUP(Table323[[#This Row],[Census Tract]],'Population and Diversity Data'!$B$2:$K$823,10,FALSE)</f>
        <v>4</v>
      </c>
      <c r="Q475" s="155" t="str">
        <f>VLOOKUP(Table323[[#This Row],[Census Tract]],'ES Energy Burden'!$B$2:$E$914,4,FALSE)</f>
        <v>Yes</v>
      </c>
    </row>
    <row r="476" spans="1:17" x14ac:dyDescent="0.2">
      <c r="A476" s="101">
        <v>9003416300</v>
      </c>
      <c r="B476" s="102" t="s">
        <v>985</v>
      </c>
      <c r="C476" s="104" t="s">
        <v>944</v>
      </c>
      <c r="D476" s="69">
        <v>46612.013846400005</v>
      </c>
      <c r="E476" s="69">
        <v>7464.55</v>
      </c>
      <c r="F476" s="13">
        <f>[1]!Table323[[#This Row],[Single Family]]+[1]!Table323[[#This Row],[2-4 Units]]+[1]!Table323[[#This Row],[&gt;4 Units]]</f>
        <v>8</v>
      </c>
      <c r="G476" s="13">
        <v>8</v>
      </c>
      <c r="H476" s="13">
        <v>0</v>
      </c>
      <c r="I476" s="13">
        <v>0</v>
      </c>
      <c r="J476" s="68">
        <v>3940.8</v>
      </c>
      <c r="K476">
        <f t="shared" si="7"/>
        <v>0</v>
      </c>
      <c r="L476" s="13">
        <v>0</v>
      </c>
      <c r="M476" s="13">
        <v>0</v>
      </c>
      <c r="N476" s="13">
        <v>0</v>
      </c>
      <c r="O476" s="68">
        <v>0</v>
      </c>
      <c r="P476" s="155">
        <f>VLOOKUP(Table323[[#This Row],[Census Tract]],'Population and Diversity Data'!$B$2:$K$823,10,FALSE)</f>
        <v>4</v>
      </c>
      <c r="Q476" s="155" t="str">
        <f>VLOOKUP(Table323[[#This Row],[Census Tract]],'ES Energy Burden'!$B$2:$E$914,4,FALSE)</f>
        <v>Yes</v>
      </c>
    </row>
    <row r="477" spans="1:17" x14ac:dyDescent="0.2">
      <c r="A477" s="101">
        <v>9003416400</v>
      </c>
      <c r="B477" s="102" t="s">
        <v>985</v>
      </c>
      <c r="C477" s="104" t="s">
        <v>944</v>
      </c>
      <c r="D477" s="69">
        <v>55528.130845440013</v>
      </c>
      <c r="E477" s="69">
        <v>6996.7744000000002</v>
      </c>
      <c r="F477" s="13">
        <f>[1]!Table323[[#This Row],[Single Family]]+[1]!Table323[[#This Row],[2-4 Units]]+[1]!Table323[[#This Row],[&gt;4 Units]]</f>
        <v>14</v>
      </c>
      <c r="G477" s="13">
        <v>14</v>
      </c>
      <c r="H477" s="13">
        <v>0</v>
      </c>
      <c r="I477" s="13">
        <v>0</v>
      </c>
      <c r="J477" s="68">
        <v>5722.2043999999996</v>
      </c>
      <c r="K477">
        <f t="shared" si="7"/>
        <v>0</v>
      </c>
      <c r="L477" s="13">
        <v>0</v>
      </c>
      <c r="M477" s="13">
        <v>0</v>
      </c>
      <c r="N477" s="13">
        <v>0</v>
      </c>
      <c r="O477" s="68">
        <v>0</v>
      </c>
      <c r="P477" s="155">
        <f>VLOOKUP(Table323[[#This Row],[Census Tract]],'Population and Diversity Data'!$B$2:$K$823,10,FALSE)</f>
        <v>3</v>
      </c>
      <c r="Q477" s="155" t="str">
        <f>VLOOKUP(Table323[[#This Row],[Census Tract]],'ES Energy Burden'!$B$2:$E$914,4,FALSE)</f>
        <v>No</v>
      </c>
    </row>
    <row r="478" spans="1:17" x14ac:dyDescent="0.2">
      <c r="A478" s="101">
        <v>9003416500</v>
      </c>
      <c r="B478" s="102" t="s">
        <v>985</v>
      </c>
      <c r="C478" s="104" t="s">
        <v>944</v>
      </c>
      <c r="D478" s="69">
        <v>58902.579241920001</v>
      </c>
      <c r="E478" s="69">
        <v>9258.3799999999992</v>
      </c>
      <c r="F478" s="13">
        <f>[1]!Table323[[#This Row],[Single Family]]+[1]!Table323[[#This Row],[2-4 Units]]+[1]!Table323[[#This Row],[&gt;4 Units]]</f>
        <v>18</v>
      </c>
      <c r="G478" s="13">
        <v>18</v>
      </c>
      <c r="H478" s="13">
        <v>0</v>
      </c>
      <c r="I478" s="13">
        <v>0</v>
      </c>
      <c r="J478" s="68">
        <v>7415.66</v>
      </c>
      <c r="K478">
        <f t="shared" si="7"/>
        <v>0</v>
      </c>
      <c r="L478" s="13">
        <v>0</v>
      </c>
      <c r="M478" s="13">
        <v>0</v>
      </c>
      <c r="N478" s="13">
        <v>0</v>
      </c>
      <c r="O478" s="68">
        <v>0</v>
      </c>
      <c r="P478" s="155">
        <f>VLOOKUP(Table323[[#This Row],[Census Tract]],'Population and Diversity Data'!$B$2:$K$823,10,FALSE)</f>
        <v>3</v>
      </c>
      <c r="Q478" s="155" t="str">
        <f>VLOOKUP(Table323[[#This Row],[Census Tract]],'ES Energy Burden'!$B$2:$E$914,4,FALSE)</f>
        <v>No</v>
      </c>
    </row>
    <row r="479" spans="1:17" x14ac:dyDescent="0.2">
      <c r="A479" s="101">
        <v>9003416600</v>
      </c>
      <c r="B479" s="102" t="s">
        <v>985</v>
      </c>
      <c r="C479" s="104" t="s">
        <v>944</v>
      </c>
      <c r="D479" s="69">
        <v>21919.58064</v>
      </c>
      <c r="E479" s="69">
        <v>3646.41</v>
      </c>
      <c r="F479" s="13">
        <f>[1]!Table323[[#This Row],[Single Family]]+[1]!Table323[[#This Row],[2-4 Units]]+[1]!Table323[[#This Row],[&gt;4 Units]]</f>
        <v>2</v>
      </c>
      <c r="G479" s="13">
        <v>2</v>
      </c>
      <c r="H479" s="13">
        <v>0</v>
      </c>
      <c r="I479" s="13">
        <v>0</v>
      </c>
      <c r="J479" s="68">
        <v>3554.94</v>
      </c>
      <c r="K479">
        <f t="shared" si="7"/>
        <v>0</v>
      </c>
      <c r="L479" s="13">
        <v>0</v>
      </c>
      <c r="M479" s="13">
        <v>0</v>
      </c>
      <c r="N479" s="13">
        <v>0</v>
      </c>
      <c r="O479" s="68">
        <v>0</v>
      </c>
      <c r="P479" s="155">
        <f>VLOOKUP(Table323[[#This Row],[Census Tract]],'Population and Diversity Data'!$B$2:$K$823,10,FALSE)</f>
        <v>4</v>
      </c>
      <c r="Q479" s="155" t="str">
        <f>VLOOKUP(Table323[[#This Row],[Census Tract]],'ES Energy Burden'!$B$2:$E$914,4,FALSE)</f>
        <v>Yes</v>
      </c>
    </row>
    <row r="480" spans="1:17" x14ac:dyDescent="0.2">
      <c r="A480" s="101">
        <v>9003416700</v>
      </c>
      <c r="B480" s="102" t="s">
        <v>985</v>
      </c>
      <c r="C480" s="104" t="s">
        <v>944</v>
      </c>
      <c r="D480" s="69">
        <v>134497.11755232001</v>
      </c>
      <c r="E480" s="69">
        <v>572786.77769999998</v>
      </c>
      <c r="F480" s="13">
        <f>[1]!Table323[[#This Row],[Single Family]]+[1]!Table323[[#This Row],[2-4 Units]]+[1]!Table323[[#This Row],[&gt;4 Units]]</f>
        <v>358</v>
      </c>
      <c r="G480" s="13">
        <v>22</v>
      </c>
      <c r="H480" s="13">
        <v>2</v>
      </c>
      <c r="I480" s="13">
        <v>334</v>
      </c>
      <c r="J480" s="68">
        <v>126359.5722</v>
      </c>
      <c r="K480">
        <f t="shared" si="7"/>
        <v>1025</v>
      </c>
      <c r="L480" s="13">
        <v>100</v>
      </c>
      <c r="M480" s="13">
        <v>2</v>
      </c>
      <c r="N480" s="13">
        <v>923</v>
      </c>
      <c r="O480" s="68">
        <v>446346</v>
      </c>
      <c r="P480" s="155">
        <f>VLOOKUP(Table323[[#This Row],[Census Tract]],'Population and Diversity Data'!$B$2:$K$823,10,FALSE)</f>
        <v>5</v>
      </c>
      <c r="Q480" s="155" t="str">
        <f>VLOOKUP(Table323[[#This Row],[Census Tract]],'ES Energy Burden'!$B$2:$E$914,4,FALSE)</f>
        <v>No</v>
      </c>
    </row>
    <row r="481" spans="1:17" x14ac:dyDescent="0.2">
      <c r="A481" s="101">
        <v>9003416800</v>
      </c>
      <c r="B481" s="102" t="s">
        <v>985</v>
      </c>
      <c r="C481" s="104" t="s">
        <v>944</v>
      </c>
      <c r="D481" s="69">
        <v>37524.223036800002</v>
      </c>
      <c r="E481" s="69">
        <v>42090.9902</v>
      </c>
      <c r="F481" s="13">
        <f>[1]!Table323[[#This Row],[Single Family]]+[1]!Table323[[#This Row],[2-4 Units]]+[1]!Table323[[#This Row],[&gt;4 Units]]</f>
        <v>9</v>
      </c>
      <c r="G481" s="13">
        <v>9</v>
      </c>
      <c r="H481" s="13">
        <v>0</v>
      </c>
      <c r="I481" s="13">
        <v>0</v>
      </c>
      <c r="J481" s="68">
        <v>2611.8501999999999</v>
      </c>
      <c r="K481">
        <f t="shared" si="7"/>
        <v>0</v>
      </c>
      <c r="L481" s="13">
        <v>0</v>
      </c>
      <c r="M481" s="13">
        <v>0</v>
      </c>
      <c r="N481" s="13">
        <v>0</v>
      </c>
      <c r="O481" s="68">
        <v>0</v>
      </c>
      <c r="P481" s="155">
        <f>VLOOKUP(Table323[[#This Row],[Census Tract]],'Population and Diversity Data'!$B$2:$K$823,10,FALSE)</f>
        <v>5</v>
      </c>
      <c r="Q481" s="155" t="str">
        <f>VLOOKUP(Table323[[#This Row],[Census Tract]],'ES Energy Burden'!$B$2:$E$914,4,FALSE)</f>
        <v>No</v>
      </c>
    </row>
    <row r="482" spans="1:17" x14ac:dyDescent="0.2">
      <c r="A482" s="101">
        <v>9003417100</v>
      </c>
      <c r="B482" s="102" t="s">
        <v>985</v>
      </c>
      <c r="C482" s="104" t="s">
        <v>936</v>
      </c>
      <c r="D482" s="69">
        <v>18956.984523840001</v>
      </c>
      <c r="E482" s="69">
        <v>1649.1361999999999</v>
      </c>
      <c r="F482" s="13">
        <f>[1]!Table323[[#This Row],[Single Family]]+[1]!Table323[[#This Row],[2-4 Units]]+[1]!Table323[[#This Row],[&gt;4 Units]]</f>
        <v>2</v>
      </c>
      <c r="G482" s="13">
        <v>2</v>
      </c>
      <c r="H482" s="13">
        <v>0</v>
      </c>
      <c r="I482" s="13">
        <v>0</v>
      </c>
      <c r="J482" s="68">
        <v>982.43619999999999</v>
      </c>
      <c r="K482">
        <f t="shared" si="7"/>
        <v>0</v>
      </c>
      <c r="L482" s="13">
        <v>0</v>
      </c>
      <c r="M482" s="13">
        <v>0</v>
      </c>
      <c r="N482" s="13">
        <v>0</v>
      </c>
      <c r="O482" s="68">
        <v>0</v>
      </c>
      <c r="P482" s="155">
        <f>VLOOKUP(Table323[[#This Row],[Census Tract]],'Population and Diversity Data'!$B$2:$K$823,10,FALSE)</f>
        <v>4</v>
      </c>
      <c r="Q482" s="155" t="e">
        <f>VLOOKUP(Table323[[#This Row],[Census Tract]],'ES Energy Burden'!$B$2:$E$914,4,FALSE)</f>
        <v>#N/A</v>
      </c>
    </row>
    <row r="483" spans="1:17" x14ac:dyDescent="0.2">
      <c r="A483" s="101">
        <v>9003417200</v>
      </c>
      <c r="B483" s="102" t="s">
        <v>985</v>
      </c>
      <c r="C483" s="104" t="s">
        <v>944</v>
      </c>
      <c r="D483" s="69">
        <v>25307.12677536</v>
      </c>
      <c r="E483" s="69">
        <v>29318.762900000002</v>
      </c>
      <c r="F483" s="13">
        <f>[1]!Table323[[#This Row],[Single Family]]+[1]!Table323[[#This Row],[2-4 Units]]+[1]!Table323[[#This Row],[&gt;4 Units]]</f>
        <v>2</v>
      </c>
      <c r="G483" s="13">
        <v>2</v>
      </c>
      <c r="H483" s="13">
        <v>0</v>
      </c>
      <c r="I483" s="13">
        <v>0</v>
      </c>
      <c r="J483" s="68">
        <v>1590.7928999999999</v>
      </c>
      <c r="K483">
        <f t="shared" si="7"/>
        <v>0</v>
      </c>
      <c r="L483" s="13">
        <v>0</v>
      </c>
      <c r="M483" s="13">
        <v>0</v>
      </c>
      <c r="N483" s="13">
        <v>0</v>
      </c>
      <c r="O483" s="68">
        <v>0</v>
      </c>
      <c r="P483" s="155">
        <f>VLOOKUP(Table323[[#This Row],[Census Tract]],'Population and Diversity Data'!$B$2:$K$823,10,FALSE)</f>
        <v>5</v>
      </c>
      <c r="Q483" s="155" t="e">
        <f>VLOOKUP(Table323[[#This Row],[Census Tract]],'ES Energy Burden'!$B$2:$E$914,4,FALSE)</f>
        <v>#N/A</v>
      </c>
    </row>
    <row r="484" spans="1:17" x14ac:dyDescent="0.2">
      <c r="A484" s="101">
        <v>9003417300</v>
      </c>
      <c r="B484" s="102" t="s">
        <v>985</v>
      </c>
      <c r="C484" s="104" t="s">
        <v>936</v>
      </c>
      <c r="D484" s="69">
        <v>1344.3822288000001</v>
      </c>
      <c r="E484" s="69">
        <v>0</v>
      </c>
      <c r="F484" s="13">
        <f>[1]!Table323[[#This Row],[Single Family]]+[1]!Table323[[#This Row],[2-4 Units]]+[1]!Table323[[#This Row],[&gt;4 Units]]</f>
        <v>0</v>
      </c>
      <c r="G484" s="13">
        <v>0</v>
      </c>
      <c r="H484" s="13">
        <v>0</v>
      </c>
      <c r="I484" s="13">
        <v>0</v>
      </c>
      <c r="J484" s="68">
        <v>0</v>
      </c>
      <c r="K484">
        <f t="shared" si="7"/>
        <v>0</v>
      </c>
      <c r="L484" s="13">
        <v>0</v>
      </c>
      <c r="M484" s="13">
        <v>0</v>
      </c>
      <c r="N484" s="13">
        <v>0</v>
      </c>
      <c r="O484" s="68">
        <v>0</v>
      </c>
      <c r="P484" s="155" t="e">
        <f>VLOOKUP(Table323[[#This Row],[Census Tract]],'Population and Diversity Data'!$B$2:$K$823,10,FALSE)</f>
        <v>#N/A</v>
      </c>
      <c r="Q484" s="155" t="e">
        <f>VLOOKUP(Table323[[#This Row],[Census Tract]],'ES Energy Burden'!$B$2:$E$914,4,FALSE)</f>
        <v>#N/A</v>
      </c>
    </row>
    <row r="485" spans="1:17" x14ac:dyDescent="0.2">
      <c r="A485" s="101">
        <v>9003417400</v>
      </c>
      <c r="B485" s="102" t="s">
        <v>985</v>
      </c>
      <c r="C485" s="104" t="s">
        <v>944</v>
      </c>
      <c r="D485" s="69">
        <v>42183.385027200005</v>
      </c>
      <c r="E485" s="69">
        <v>6750.4196000000002</v>
      </c>
      <c r="F485" s="13">
        <f>[1]!Table323[[#This Row],[Single Family]]+[1]!Table323[[#This Row],[2-4 Units]]+[1]!Table323[[#This Row],[&gt;4 Units]]</f>
        <v>11</v>
      </c>
      <c r="G485" s="13">
        <v>11</v>
      </c>
      <c r="H485" s="13">
        <v>0</v>
      </c>
      <c r="I485" s="13">
        <v>0</v>
      </c>
      <c r="J485" s="68">
        <v>6622.0096000000003</v>
      </c>
      <c r="K485">
        <f t="shared" si="7"/>
        <v>0</v>
      </c>
      <c r="L485" s="13">
        <v>0</v>
      </c>
      <c r="M485" s="13">
        <v>0</v>
      </c>
      <c r="N485" s="13">
        <v>0</v>
      </c>
      <c r="O485" s="68">
        <v>0</v>
      </c>
      <c r="P485" s="155">
        <f>VLOOKUP(Table323[[#This Row],[Census Tract]],'Population and Diversity Data'!$B$2:$K$823,10,FALSE)</f>
        <v>4</v>
      </c>
      <c r="Q485" s="155" t="str">
        <f>VLOOKUP(Table323[[#This Row],[Census Tract]],'ES Energy Burden'!$B$2:$E$914,4,FALSE)</f>
        <v>No</v>
      </c>
    </row>
    <row r="486" spans="1:17" x14ac:dyDescent="0.2">
      <c r="A486" s="101">
        <v>9003417500</v>
      </c>
      <c r="B486" s="102" t="s">
        <v>985</v>
      </c>
      <c r="C486" s="104" t="s">
        <v>944</v>
      </c>
      <c r="D486" s="69">
        <v>60109.840428480005</v>
      </c>
      <c r="E486" s="69">
        <v>6313.4265999999998</v>
      </c>
      <c r="F486" s="13">
        <f>[1]!Table323[[#This Row],[Single Family]]+[1]!Table323[[#This Row],[2-4 Units]]+[1]!Table323[[#This Row],[&gt;4 Units]]</f>
        <v>12</v>
      </c>
      <c r="G486" s="13">
        <v>12</v>
      </c>
      <c r="H486" s="13">
        <v>0</v>
      </c>
      <c r="I486" s="13">
        <v>0</v>
      </c>
      <c r="J486" s="68">
        <v>5297.0266000000001</v>
      </c>
      <c r="K486">
        <f t="shared" si="7"/>
        <v>0</v>
      </c>
      <c r="L486" s="13">
        <v>0</v>
      </c>
      <c r="M486" s="13">
        <v>0</v>
      </c>
      <c r="N486" s="13">
        <v>0</v>
      </c>
      <c r="O486" s="68">
        <v>0</v>
      </c>
      <c r="P486" s="155">
        <f>VLOOKUP(Table323[[#This Row],[Census Tract]],'Population and Diversity Data'!$B$2:$K$823,10,FALSE)</f>
        <v>4</v>
      </c>
      <c r="Q486" s="155" t="str">
        <f>VLOOKUP(Table323[[#This Row],[Census Tract]],'ES Energy Burden'!$B$2:$E$914,4,FALSE)</f>
        <v>No</v>
      </c>
    </row>
    <row r="487" spans="1:17" x14ac:dyDescent="0.2">
      <c r="A487" s="101">
        <v>9003460100</v>
      </c>
      <c r="B487" s="102" t="s">
        <v>985</v>
      </c>
      <c r="C487" s="104" t="s">
        <v>944</v>
      </c>
      <c r="D487" s="69">
        <v>481.512384</v>
      </c>
      <c r="E487" s="69">
        <v>0</v>
      </c>
      <c r="F487" s="13">
        <f>[1]!Table323[[#This Row],[Single Family]]+[1]!Table323[[#This Row],[2-4 Units]]+[1]!Table323[[#This Row],[&gt;4 Units]]</f>
        <v>0</v>
      </c>
      <c r="G487" s="13">
        <v>0</v>
      </c>
      <c r="H487" s="13">
        <v>0</v>
      </c>
      <c r="I487" s="13">
        <v>0</v>
      </c>
      <c r="J487" s="68">
        <v>0</v>
      </c>
      <c r="K487">
        <f t="shared" si="7"/>
        <v>0</v>
      </c>
      <c r="L487" s="13">
        <v>0</v>
      </c>
      <c r="M487" s="13">
        <v>0</v>
      </c>
      <c r="N487" s="13">
        <v>0</v>
      </c>
      <c r="O487" s="68">
        <v>0</v>
      </c>
      <c r="P487" s="155">
        <f>VLOOKUP(Table323[[#This Row],[Census Tract]],'Population and Diversity Data'!$B$2:$K$823,10,FALSE)</f>
        <v>3</v>
      </c>
      <c r="Q487" s="155" t="str">
        <f>VLOOKUP(Table323[[#This Row],[Census Tract]],'ES Energy Burden'!$B$2:$E$914,4,FALSE)</f>
        <v>No</v>
      </c>
    </row>
    <row r="488" spans="1:17" x14ac:dyDescent="0.2">
      <c r="A488" s="101">
        <v>9003460202</v>
      </c>
      <c r="B488" s="102" t="s">
        <v>985</v>
      </c>
      <c r="C488" s="104" t="s">
        <v>944</v>
      </c>
      <c r="D488" s="69">
        <v>647.01417600000002</v>
      </c>
      <c r="E488" s="69">
        <v>5360.46</v>
      </c>
      <c r="F488" s="13">
        <f>[1]!Table323[[#This Row],[Single Family]]+[1]!Table323[[#This Row],[2-4 Units]]+[1]!Table323[[#This Row],[&gt;4 Units]]</f>
        <v>0</v>
      </c>
      <c r="G488" s="13">
        <v>0</v>
      </c>
      <c r="H488" s="13">
        <v>0</v>
      </c>
      <c r="I488" s="13">
        <v>0</v>
      </c>
      <c r="J488" s="68">
        <v>222.14</v>
      </c>
      <c r="K488">
        <f t="shared" si="7"/>
        <v>0</v>
      </c>
      <c r="L488" s="13">
        <v>0</v>
      </c>
      <c r="M488" s="13">
        <v>0</v>
      </c>
      <c r="N488" s="13">
        <v>0</v>
      </c>
      <c r="O488" s="68">
        <v>0</v>
      </c>
      <c r="P488" s="155">
        <f>VLOOKUP(Table323[[#This Row],[Census Tract]],'Population and Diversity Data'!$B$2:$K$823,10,FALSE)</f>
        <v>4</v>
      </c>
      <c r="Q488" s="155" t="str">
        <f>VLOOKUP(Table323[[#This Row],[Census Tract]],'ES Energy Burden'!$B$2:$E$914,4,FALSE)</f>
        <v>No</v>
      </c>
    </row>
    <row r="489" spans="1:17" x14ac:dyDescent="0.2">
      <c r="A489" s="101">
        <v>9003494300</v>
      </c>
      <c r="B489" s="102" t="s">
        <v>985</v>
      </c>
      <c r="C489" s="104" t="s">
        <v>944</v>
      </c>
      <c r="D489" s="69">
        <v>144.546336</v>
      </c>
      <c r="E489" s="69">
        <v>0</v>
      </c>
      <c r="F489" s="13">
        <f>[1]!Table323[[#This Row],[Single Family]]+[1]!Table323[[#This Row],[2-4 Units]]+[1]!Table323[[#This Row],[&gt;4 Units]]</f>
        <v>0</v>
      </c>
      <c r="G489" s="13">
        <v>0</v>
      </c>
      <c r="H489" s="13">
        <v>0</v>
      </c>
      <c r="I489" s="13">
        <v>0</v>
      </c>
      <c r="J489" s="68">
        <v>0</v>
      </c>
      <c r="K489">
        <f t="shared" si="7"/>
        <v>0</v>
      </c>
      <c r="L489" s="13">
        <v>0</v>
      </c>
      <c r="M489" s="13">
        <v>0</v>
      </c>
      <c r="N489" s="13">
        <v>0</v>
      </c>
      <c r="O489" s="68">
        <v>0</v>
      </c>
      <c r="P489" s="155">
        <f>VLOOKUP(Table323[[#This Row],[Census Tract]],'Population and Diversity Data'!$B$2:$K$823,10,FALSE)</f>
        <v>3</v>
      </c>
      <c r="Q489" s="155" t="str">
        <f>VLOOKUP(Table323[[#This Row],[Census Tract]],'ES Energy Burden'!$B$2:$E$914,4,FALSE)</f>
        <v>No</v>
      </c>
    </row>
    <row r="490" spans="1:17" x14ac:dyDescent="0.2">
      <c r="A490" s="101">
        <v>9001035100</v>
      </c>
      <c r="B490" s="102" t="s">
        <v>2808</v>
      </c>
      <c r="C490" s="104" t="s">
        <v>944</v>
      </c>
      <c r="D490" s="69">
        <v>247121.76314016001</v>
      </c>
      <c r="E490" s="69">
        <v>87927.7071</v>
      </c>
      <c r="F490" s="13">
        <f>[1]!Table323[[#This Row],[Single Family]]+[1]!Table323[[#This Row],[2-4 Units]]+[1]!Table323[[#This Row],[&gt;4 Units]]</f>
        <v>43</v>
      </c>
      <c r="G490" s="13">
        <v>40</v>
      </c>
      <c r="H490" s="13">
        <v>3</v>
      </c>
      <c r="I490" s="13">
        <v>0</v>
      </c>
      <c r="J490" s="68">
        <v>33443.722099999999</v>
      </c>
      <c r="K490">
        <f t="shared" si="7"/>
        <v>3</v>
      </c>
      <c r="L490" s="13">
        <v>3</v>
      </c>
      <c r="M490" s="13">
        <v>0</v>
      </c>
      <c r="N490" s="13">
        <v>0</v>
      </c>
      <c r="O490" s="68">
        <v>23905.9</v>
      </c>
      <c r="P490" s="155">
        <f>VLOOKUP(Table323[[#This Row],[Census Tract]],'Population and Diversity Data'!$B$2:$K$823,10,FALSE)</f>
        <v>2</v>
      </c>
      <c r="Q490" s="155" t="str">
        <f>VLOOKUP(Table323[[#This Row],[Census Tract]],'ES Energy Burden'!$B$2:$E$914,4,FALSE)</f>
        <v>No</v>
      </c>
    </row>
    <row r="491" spans="1:17" x14ac:dyDescent="0.2">
      <c r="A491" s="101">
        <v>9001035200</v>
      </c>
      <c r="B491" s="102" t="s">
        <v>2808</v>
      </c>
      <c r="C491" s="104" t="s">
        <v>944</v>
      </c>
      <c r="D491" s="69">
        <v>168416.02037664002</v>
      </c>
      <c r="E491" s="69">
        <v>16177.38</v>
      </c>
      <c r="F491" s="13">
        <f>[1]!Table323[[#This Row],[Single Family]]+[1]!Table323[[#This Row],[2-4 Units]]+[1]!Table323[[#This Row],[&gt;4 Units]]</f>
        <v>11</v>
      </c>
      <c r="G491" s="13">
        <v>11</v>
      </c>
      <c r="H491" s="13">
        <v>0</v>
      </c>
      <c r="I491" s="13">
        <v>0</v>
      </c>
      <c r="J491" s="68">
        <v>16176.650000000001</v>
      </c>
      <c r="K491">
        <f t="shared" si="7"/>
        <v>0</v>
      </c>
      <c r="L491" s="13">
        <v>0</v>
      </c>
      <c r="M491" s="13">
        <v>0</v>
      </c>
      <c r="N491" s="13">
        <v>0</v>
      </c>
      <c r="O491" s="68">
        <v>0</v>
      </c>
      <c r="P491" s="155">
        <f>VLOOKUP(Table323[[#This Row],[Census Tract]],'Population and Diversity Data'!$B$2:$K$823,10,FALSE)</f>
        <v>2</v>
      </c>
      <c r="Q491" s="155" t="str">
        <f>VLOOKUP(Table323[[#This Row],[Census Tract]],'ES Energy Burden'!$B$2:$E$914,4,FALSE)</f>
        <v>No</v>
      </c>
    </row>
    <row r="492" spans="1:17" x14ac:dyDescent="0.2">
      <c r="A492" s="101">
        <v>9001035300</v>
      </c>
      <c r="B492" s="102" t="s">
        <v>2808</v>
      </c>
      <c r="C492" s="104" t="s">
        <v>944</v>
      </c>
      <c r="D492" s="69">
        <v>138484.17728639999</v>
      </c>
      <c r="E492" s="69">
        <v>18915.32</v>
      </c>
      <c r="F492" s="13">
        <f>[1]!Table323[[#This Row],[Single Family]]+[1]!Table323[[#This Row],[2-4 Units]]+[1]!Table323[[#This Row],[&gt;4 Units]]</f>
        <v>16</v>
      </c>
      <c r="G492" s="13">
        <v>16</v>
      </c>
      <c r="H492" s="13">
        <v>0</v>
      </c>
      <c r="I492" s="13">
        <v>0</v>
      </c>
      <c r="J492" s="68">
        <v>18909.53</v>
      </c>
      <c r="K492">
        <f t="shared" si="7"/>
        <v>0</v>
      </c>
      <c r="L492" s="13">
        <v>0</v>
      </c>
      <c r="M492" s="13">
        <v>0</v>
      </c>
      <c r="N492" s="13">
        <v>0</v>
      </c>
      <c r="O492" s="68">
        <v>0</v>
      </c>
      <c r="P492" s="155">
        <f>VLOOKUP(Table323[[#This Row],[Census Tract]],'Population and Diversity Data'!$B$2:$K$823,10,FALSE)</f>
        <v>3</v>
      </c>
      <c r="Q492" s="155" t="str">
        <f>VLOOKUP(Table323[[#This Row],[Census Tract]],'ES Energy Burden'!$B$2:$E$914,4,FALSE)</f>
        <v>No</v>
      </c>
    </row>
    <row r="493" spans="1:17" x14ac:dyDescent="0.2">
      <c r="A493" s="101">
        <v>9001035400</v>
      </c>
      <c r="B493" s="102" t="s">
        <v>2808</v>
      </c>
      <c r="C493" s="104" t="s">
        <v>944</v>
      </c>
      <c r="D493" s="69">
        <v>198378.27666432</v>
      </c>
      <c r="E493" s="69">
        <v>65011.672400000003</v>
      </c>
      <c r="F493" s="13">
        <f>[1]!Table323[[#This Row],[Single Family]]+[1]!Table323[[#This Row],[2-4 Units]]+[1]!Table323[[#This Row],[&gt;4 Units]]</f>
        <v>24</v>
      </c>
      <c r="G493" s="13">
        <v>24</v>
      </c>
      <c r="H493" s="13">
        <v>0</v>
      </c>
      <c r="I493" s="13">
        <v>0</v>
      </c>
      <c r="J493" s="68">
        <v>38194.862399999998</v>
      </c>
      <c r="K493">
        <f t="shared" si="7"/>
        <v>0</v>
      </c>
      <c r="L493" s="13">
        <v>0</v>
      </c>
      <c r="M493" s="13">
        <v>0</v>
      </c>
      <c r="N493" s="13">
        <v>0</v>
      </c>
      <c r="O493" s="68">
        <v>0</v>
      </c>
      <c r="P493" s="155">
        <f>VLOOKUP(Table323[[#This Row],[Census Tract]],'Population and Diversity Data'!$B$2:$K$823,10,FALSE)</f>
        <v>2</v>
      </c>
      <c r="Q493" s="155" t="str">
        <f>VLOOKUP(Table323[[#This Row],[Census Tract]],'ES Energy Burden'!$B$2:$E$914,4,FALSE)</f>
        <v>No</v>
      </c>
    </row>
    <row r="494" spans="1:17" x14ac:dyDescent="0.2">
      <c r="A494" s="101">
        <v>9001210900</v>
      </c>
      <c r="B494" s="102" t="s">
        <v>2809</v>
      </c>
      <c r="C494" s="104" t="s">
        <v>944</v>
      </c>
      <c r="D494" s="69">
        <v>1348.85928672</v>
      </c>
      <c r="E494" s="69">
        <v>0</v>
      </c>
      <c r="F494" s="13">
        <f>[1]!Table323[[#This Row],[Single Family]]+[1]!Table323[[#This Row],[2-4 Units]]+[1]!Table323[[#This Row],[&gt;4 Units]]</f>
        <v>0</v>
      </c>
      <c r="G494" s="13">
        <v>0</v>
      </c>
      <c r="H494" s="13">
        <v>0</v>
      </c>
      <c r="I494" s="13">
        <v>0</v>
      </c>
      <c r="J494" s="68">
        <v>0</v>
      </c>
      <c r="K494">
        <f t="shared" si="7"/>
        <v>0</v>
      </c>
      <c r="L494" s="13">
        <v>0</v>
      </c>
      <c r="M494" s="13">
        <v>0</v>
      </c>
      <c r="N494" s="13">
        <v>0</v>
      </c>
      <c r="O494" s="68">
        <v>0</v>
      </c>
      <c r="P494" s="155">
        <f>VLOOKUP(Table323[[#This Row],[Census Tract]],'Population and Diversity Data'!$B$2:$K$823,10,FALSE)</f>
        <v>4</v>
      </c>
      <c r="Q494" s="155" t="str">
        <f>VLOOKUP(Table323[[#This Row],[Census Tract]],'ES Energy Burden'!$B$2:$E$914,4,FALSE)</f>
        <v>No</v>
      </c>
    </row>
    <row r="495" spans="1:17" x14ac:dyDescent="0.2">
      <c r="A495" s="101">
        <v>9001211000</v>
      </c>
      <c r="B495" s="102" t="s">
        <v>2809</v>
      </c>
      <c r="C495" s="104" t="s">
        <v>944</v>
      </c>
      <c r="D495" s="69">
        <v>2135.6677728000004</v>
      </c>
      <c r="E495" s="69">
        <v>0</v>
      </c>
      <c r="F495" s="13">
        <f>[1]!Table323[[#This Row],[Single Family]]+[1]!Table323[[#This Row],[2-4 Units]]+[1]!Table323[[#This Row],[&gt;4 Units]]</f>
        <v>0</v>
      </c>
      <c r="G495" s="13">
        <v>0</v>
      </c>
      <c r="H495" s="13">
        <v>0</v>
      </c>
      <c r="I495" s="13">
        <v>0</v>
      </c>
      <c r="J495" s="68">
        <v>0</v>
      </c>
      <c r="K495">
        <f t="shared" si="7"/>
        <v>0</v>
      </c>
      <c r="L495" s="13">
        <v>0</v>
      </c>
      <c r="M495" s="13">
        <v>0</v>
      </c>
      <c r="N495" s="13">
        <v>0</v>
      </c>
      <c r="O495" s="68">
        <v>0</v>
      </c>
      <c r="P495" s="155">
        <f>VLOOKUP(Table323[[#This Row],[Census Tract]],'Population and Diversity Data'!$B$2:$K$823,10,FALSE)</f>
        <v>5</v>
      </c>
      <c r="Q495" s="155" t="str">
        <f>VLOOKUP(Table323[[#This Row],[Census Tract]],'ES Energy Burden'!$B$2:$E$914,4,FALSE)</f>
        <v>No</v>
      </c>
    </row>
    <row r="496" spans="1:17" x14ac:dyDescent="0.2">
      <c r="A496" s="101">
        <v>9001220100</v>
      </c>
      <c r="B496" s="102" t="s">
        <v>2809</v>
      </c>
      <c r="C496" s="104" t="s">
        <v>944</v>
      </c>
      <c r="D496" s="69">
        <v>108677.484</v>
      </c>
      <c r="E496" s="69">
        <v>12699.62</v>
      </c>
      <c r="F496" s="13">
        <f>[1]!Table323[[#This Row],[Single Family]]+[1]!Table323[[#This Row],[2-4 Units]]+[1]!Table323[[#This Row],[&gt;4 Units]]</f>
        <v>9</v>
      </c>
      <c r="G496" s="13">
        <v>9</v>
      </c>
      <c r="H496" s="13">
        <v>0</v>
      </c>
      <c r="I496" s="13">
        <v>0</v>
      </c>
      <c r="J496" s="68">
        <v>7759.99</v>
      </c>
      <c r="K496">
        <f t="shared" si="7"/>
        <v>0</v>
      </c>
      <c r="L496" s="13">
        <v>0</v>
      </c>
      <c r="M496" s="13">
        <v>0</v>
      </c>
      <c r="N496" s="13">
        <v>0</v>
      </c>
      <c r="O496" s="68">
        <v>0</v>
      </c>
      <c r="P496" s="155">
        <f>VLOOKUP(Table323[[#This Row],[Census Tract]],'Population and Diversity Data'!$B$2:$K$823,10,FALSE)</f>
        <v>2</v>
      </c>
      <c r="Q496" s="155" t="str">
        <f>VLOOKUP(Table323[[#This Row],[Census Tract]],'ES Energy Burden'!$B$2:$E$914,4,FALSE)</f>
        <v>No</v>
      </c>
    </row>
    <row r="497" spans="1:17" x14ac:dyDescent="0.2">
      <c r="A497" s="101">
        <v>9001220200</v>
      </c>
      <c r="B497" s="102" t="s">
        <v>2809</v>
      </c>
      <c r="C497" s="104" t="s">
        <v>944</v>
      </c>
      <c r="D497" s="69">
        <v>129933.76251744</v>
      </c>
      <c r="E497" s="69">
        <v>41482.424299999999</v>
      </c>
      <c r="F497" s="13">
        <f>[1]!Table323[[#This Row],[Single Family]]+[1]!Table323[[#This Row],[2-4 Units]]+[1]!Table323[[#This Row],[&gt;4 Units]]</f>
        <v>12</v>
      </c>
      <c r="G497" s="13">
        <v>12</v>
      </c>
      <c r="H497" s="13">
        <v>0</v>
      </c>
      <c r="I497" s="13">
        <v>0</v>
      </c>
      <c r="J497" s="68">
        <v>10225.9</v>
      </c>
      <c r="K497">
        <f t="shared" si="7"/>
        <v>4</v>
      </c>
      <c r="L497" s="13">
        <v>4</v>
      </c>
      <c r="M497" s="13">
        <v>0</v>
      </c>
      <c r="N497" s="13">
        <v>0</v>
      </c>
      <c r="O497" s="68">
        <v>5550.6</v>
      </c>
      <c r="P497" s="155">
        <f>VLOOKUP(Table323[[#This Row],[Census Tract]],'Population and Diversity Data'!$B$2:$K$823,10,FALSE)</f>
        <v>3</v>
      </c>
      <c r="Q497" s="155" t="str">
        <f>VLOOKUP(Table323[[#This Row],[Census Tract]],'ES Energy Burden'!$B$2:$E$914,4,FALSE)</f>
        <v>No</v>
      </c>
    </row>
    <row r="498" spans="1:17" x14ac:dyDescent="0.2">
      <c r="A498" s="101">
        <v>9001220300</v>
      </c>
      <c r="B498" s="102" t="s">
        <v>2809</v>
      </c>
      <c r="C498" s="104" t="s">
        <v>944</v>
      </c>
      <c r="D498" s="69">
        <v>102730.65265440001</v>
      </c>
      <c r="E498" s="69">
        <v>5080.6705000000002</v>
      </c>
      <c r="F498" s="13">
        <f>[1]!Table323[[#This Row],[Single Family]]+[1]!Table323[[#This Row],[2-4 Units]]+[1]!Table323[[#This Row],[&gt;4 Units]]</f>
        <v>6</v>
      </c>
      <c r="G498" s="13">
        <v>6</v>
      </c>
      <c r="H498" s="13">
        <v>0</v>
      </c>
      <c r="I498" s="13">
        <v>0</v>
      </c>
      <c r="J498" s="68">
        <v>5070.8504999999996</v>
      </c>
      <c r="K498">
        <f t="shared" si="7"/>
        <v>0</v>
      </c>
      <c r="L498" s="13">
        <v>0</v>
      </c>
      <c r="M498" s="13">
        <v>0</v>
      </c>
      <c r="N498" s="13">
        <v>0</v>
      </c>
      <c r="O498" s="68">
        <v>0</v>
      </c>
      <c r="P498" s="155">
        <f>VLOOKUP(Table323[[#This Row],[Census Tract]],'Population and Diversity Data'!$B$2:$K$823,10,FALSE)</f>
        <v>2</v>
      </c>
      <c r="Q498" s="155" t="str">
        <f>VLOOKUP(Table323[[#This Row],[Census Tract]],'ES Energy Burden'!$B$2:$E$914,4,FALSE)</f>
        <v>No</v>
      </c>
    </row>
    <row r="499" spans="1:17" x14ac:dyDescent="0.2">
      <c r="A499" s="101">
        <v>9001257100</v>
      </c>
      <c r="B499" s="102" t="s">
        <v>2809</v>
      </c>
      <c r="C499" s="104" t="s">
        <v>944</v>
      </c>
      <c r="D499" s="69">
        <v>2100.1940064</v>
      </c>
      <c r="E499" s="69">
        <v>0</v>
      </c>
      <c r="F499" s="13">
        <f>[1]!Table323[[#This Row],[Single Family]]+[1]!Table323[[#This Row],[2-4 Units]]+[1]!Table323[[#This Row],[&gt;4 Units]]</f>
        <v>0</v>
      </c>
      <c r="G499" s="13">
        <v>0</v>
      </c>
      <c r="H499" s="13">
        <v>0</v>
      </c>
      <c r="I499" s="13">
        <v>0</v>
      </c>
      <c r="J499" s="68">
        <v>0</v>
      </c>
      <c r="K499">
        <f t="shared" si="7"/>
        <v>0</v>
      </c>
      <c r="L499" s="13">
        <v>0</v>
      </c>
      <c r="M499" s="13">
        <v>0</v>
      </c>
      <c r="N499" s="13">
        <v>0</v>
      </c>
      <c r="O499" s="68">
        <v>0</v>
      </c>
      <c r="P499" s="155">
        <f>VLOOKUP(Table323[[#This Row],[Census Tract]],'Population and Diversity Data'!$B$2:$K$823,10,FALSE)</f>
        <v>1</v>
      </c>
      <c r="Q499" s="155" t="str">
        <f>VLOOKUP(Table323[[#This Row],[Census Tract]],'ES Energy Burden'!$B$2:$E$914,4,FALSE)</f>
        <v>No</v>
      </c>
    </row>
    <row r="500" spans="1:17" x14ac:dyDescent="0.2">
      <c r="A500" s="101">
        <v>9005290100</v>
      </c>
      <c r="B500" s="102" t="s">
        <v>2810</v>
      </c>
      <c r="C500" s="104" t="s">
        <v>944</v>
      </c>
      <c r="D500" s="69">
        <v>265.45121280000001</v>
      </c>
      <c r="E500" s="69">
        <v>0</v>
      </c>
      <c r="F500" s="13">
        <f>[1]!Table323[[#This Row],[Single Family]]+[1]!Table323[[#This Row],[2-4 Units]]+[1]!Table323[[#This Row],[&gt;4 Units]]</f>
        <v>0</v>
      </c>
      <c r="G500" s="13">
        <v>0</v>
      </c>
      <c r="H500" s="13">
        <v>0</v>
      </c>
      <c r="I500" s="13">
        <v>0</v>
      </c>
      <c r="J500" s="68">
        <v>0</v>
      </c>
      <c r="K500">
        <f t="shared" si="7"/>
        <v>0</v>
      </c>
      <c r="L500" s="13">
        <v>0</v>
      </c>
      <c r="M500" s="13">
        <v>0</v>
      </c>
      <c r="N500" s="13">
        <v>0</v>
      </c>
      <c r="O500" s="68">
        <v>0</v>
      </c>
      <c r="P500" s="155">
        <f>VLOOKUP(Table323[[#This Row],[Census Tract]],'Population and Diversity Data'!$B$2:$K$823,10,FALSE)</f>
        <v>2</v>
      </c>
      <c r="Q500" s="155" t="str">
        <f>VLOOKUP(Table323[[#This Row],[Census Tract]],'ES Energy Burden'!$B$2:$E$914,4,FALSE)</f>
        <v>No</v>
      </c>
    </row>
    <row r="501" spans="1:17" x14ac:dyDescent="0.2">
      <c r="A501" s="101">
        <v>9005306100</v>
      </c>
      <c r="B501" s="102" t="s">
        <v>2810</v>
      </c>
      <c r="C501" s="104" t="s">
        <v>944</v>
      </c>
      <c r="D501" s="69">
        <v>143068.34421504001</v>
      </c>
      <c r="E501" s="69">
        <v>178001.4547</v>
      </c>
      <c r="F501" s="13">
        <f>[1]!Table323[[#This Row],[Single Family]]+[1]!Table323[[#This Row],[2-4 Units]]+[1]!Table323[[#This Row],[&gt;4 Units]]</f>
        <v>43</v>
      </c>
      <c r="G501" s="13">
        <v>26</v>
      </c>
      <c r="H501" s="13">
        <v>0</v>
      </c>
      <c r="I501" s="13">
        <v>17</v>
      </c>
      <c r="J501" s="68">
        <v>29231.165300000001</v>
      </c>
      <c r="K501">
        <f t="shared" si="7"/>
        <v>3</v>
      </c>
      <c r="L501" s="13">
        <v>3</v>
      </c>
      <c r="M501" s="13">
        <v>0</v>
      </c>
      <c r="N501" s="13">
        <v>0</v>
      </c>
      <c r="O501" s="68">
        <v>10070.5</v>
      </c>
      <c r="P501" s="155">
        <f>VLOOKUP(Table323[[#This Row],[Census Tract]],'Population and Diversity Data'!$B$2:$K$823,10,FALSE)</f>
        <v>1</v>
      </c>
      <c r="Q501" s="155" t="str">
        <f>VLOOKUP(Table323[[#This Row],[Census Tract]],'ES Energy Burden'!$B$2:$E$914,4,FALSE)</f>
        <v>No</v>
      </c>
    </row>
    <row r="502" spans="1:17" x14ac:dyDescent="0.2">
      <c r="A502" s="101">
        <v>9011690300</v>
      </c>
      <c r="B502" s="102" t="s">
        <v>2811</v>
      </c>
      <c r="C502" s="104" t="s">
        <v>944</v>
      </c>
      <c r="D502" s="69">
        <v>79342.157646720007</v>
      </c>
      <c r="E502" s="69">
        <v>20285.972600000001</v>
      </c>
      <c r="F502" s="13">
        <f>[1]!Table323[[#This Row],[Single Family]]+[1]!Table323[[#This Row],[2-4 Units]]+[1]!Table323[[#This Row],[&gt;4 Units]]</f>
        <v>21</v>
      </c>
      <c r="G502" s="13">
        <v>19</v>
      </c>
      <c r="H502" s="13">
        <v>2</v>
      </c>
      <c r="I502" s="13">
        <v>0</v>
      </c>
      <c r="J502" s="68">
        <v>9729.7126000000007</v>
      </c>
      <c r="K502">
        <f t="shared" si="7"/>
        <v>0</v>
      </c>
      <c r="L502" s="13">
        <v>0</v>
      </c>
      <c r="M502" s="13">
        <v>0</v>
      </c>
      <c r="N502" s="13">
        <v>0</v>
      </c>
      <c r="O502" s="68">
        <v>0</v>
      </c>
      <c r="P502" s="155">
        <f>VLOOKUP(Table323[[#This Row],[Census Tract]],'Population and Diversity Data'!$B$2:$K$823,10,FALSE)</f>
        <v>5</v>
      </c>
      <c r="Q502" s="155" t="str">
        <f>VLOOKUP(Table323[[#This Row],[Census Tract]],'ES Energy Burden'!$B$2:$E$914,4,FALSE)</f>
        <v>No</v>
      </c>
    </row>
    <row r="503" spans="1:17" x14ac:dyDescent="0.2">
      <c r="A503" s="101">
        <v>9011690400</v>
      </c>
      <c r="B503" s="102" t="s">
        <v>2811</v>
      </c>
      <c r="C503" s="104" t="s">
        <v>944</v>
      </c>
      <c r="D503" s="69">
        <v>39959.697971520007</v>
      </c>
      <c r="E503" s="69">
        <v>4461.97</v>
      </c>
      <c r="F503" s="13">
        <f>[1]!Table323[[#This Row],[Single Family]]+[1]!Table323[[#This Row],[2-4 Units]]+[1]!Table323[[#This Row],[&gt;4 Units]]</f>
        <v>8</v>
      </c>
      <c r="G503" s="13">
        <v>4</v>
      </c>
      <c r="H503" s="13">
        <v>4</v>
      </c>
      <c r="I503" s="13">
        <v>0</v>
      </c>
      <c r="J503" s="68">
        <v>3830.49</v>
      </c>
      <c r="K503">
        <f t="shared" si="7"/>
        <v>0</v>
      </c>
      <c r="L503" s="13">
        <v>0</v>
      </c>
      <c r="M503" s="13">
        <v>0</v>
      </c>
      <c r="N503" s="13">
        <v>0</v>
      </c>
      <c r="O503" s="68">
        <v>0</v>
      </c>
      <c r="P503" s="155">
        <f>VLOOKUP(Table323[[#This Row],[Census Tract]],'Population and Diversity Data'!$B$2:$K$823,10,FALSE)</f>
        <v>5</v>
      </c>
      <c r="Q503" s="155" t="str">
        <f>VLOOKUP(Table323[[#This Row],[Census Tract]],'ES Energy Burden'!$B$2:$E$914,4,FALSE)</f>
        <v>No</v>
      </c>
    </row>
    <row r="504" spans="1:17" x14ac:dyDescent="0.2">
      <c r="A504" s="101">
        <v>9011690500</v>
      </c>
      <c r="B504" s="102" t="s">
        <v>2811</v>
      </c>
      <c r="C504" s="104" t="s">
        <v>944</v>
      </c>
      <c r="D504" s="69">
        <v>41927.549011199997</v>
      </c>
      <c r="E504" s="69">
        <v>16842.5</v>
      </c>
      <c r="F504" s="13">
        <f>[1]!Table323[[#This Row],[Single Family]]+[1]!Table323[[#This Row],[2-4 Units]]+[1]!Table323[[#This Row],[&gt;4 Units]]</f>
        <v>8</v>
      </c>
      <c r="G504" s="13">
        <v>4</v>
      </c>
      <c r="H504" s="13">
        <v>4</v>
      </c>
      <c r="I504" s="13">
        <v>0</v>
      </c>
      <c r="J504" s="68">
        <v>2723.16</v>
      </c>
      <c r="K504">
        <f t="shared" si="7"/>
        <v>0</v>
      </c>
      <c r="L504" s="13">
        <v>0</v>
      </c>
      <c r="M504" s="13">
        <v>0</v>
      </c>
      <c r="N504" s="13">
        <v>0</v>
      </c>
      <c r="O504" s="68">
        <v>0</v>
      </c>
      <c r="P504" s="155">
        <f>VLOOKUP(Table323[[#This Row],[Census Tract]],'Population and Diversity Data'!$B$2:$K$823,10,FALSE)</f>
        <v>5</v>
      </c>
      <c r="Q504" s="155" t="str">
        <f>VLOOKUP(Table323[[#This Row],[Census Tract]],'ES Energy Burden'!$B$2:$E$914,4,FALSE)</f>
        <v>No</v>
      </c>
    </row>
    <row r="505" spans="1:17" x14ac:dyDescent="0.2">
      <c r="A505" s="101">
        <v>9011690700</v>
      </c>
      <c r="B505" s="102" t="s">
        <v>2811</v>
      </c>
      <c r="C505" s="104" t="s">
        <v>944</v>
      </c>
      <c r="D505" s="69">
        <v>14847.8146848</v>
      </c>
      <c r="E505" s="69">
        <v>4541.3999999999996</v>
      </c>
      <c r="F505" s="13">
        <f>[1]!Table323[[#This Row],[Single Family]]+[1]!Table323[[#This Row],[2-4 Units]]+[1]!Table323[[#This Row],[&gt;4 Units]]</f>
        <v>5</v>
      </c>
      <c r="G505" s="13">
        <v>5</v>
      </c>
      <c r="H505" s="13">
        <v>0</v>
      </c>
      <c r="I505" s="13">
        <v>0</v>
      </c>
      <c r="J505" s="68">
        <v>3722.43</v>
      </c>
      <c r="K505">
        <f t="shared" si="7"/>
        <v>0</v>
      </c>
      <c r="L505" s="13">
        <v>0</v>
      </c>
      <c r="M505" s="13">
        <v>0</v>
      </c>
      <c r="N505" s="13">
        <v>0</v>
      </c>
      <c r="O505" s="68">
        <v>0</v>
      </c>
      <c r="P505" s="155">
        <f>VLOOKUP(Table323[[#This Row],[Census Tract]],'Population and Diversity Data'!$B$2:$K$823,10,FALSE)</f>
        <v>5</v>
      </c>
      <c r="Q505" s="155" t="str">
        <f>VLOOKUP(Table323[[#This Row],[Census Tract]],'ES Energy Burden'!$B$2:$E$914,4,FALSE)</f>
        <v>No</v>
      </c>
    </row>
    <row r="506" spans="1:17" x14ac:dyDescent="0.2">
      <c r="A506" s="101">
        <v>9011690800</v>
      </c>
      <c r="B506" s="102" t="s">
        <v>2811</v>
      </c>
      <c r="C506" s="104" t="s">
        <v>944</v>
      </c>
      <c r="D506" s="69">
        <v>43011.512809920001</v>
      </c>
      <c r="E506" s="69">
        <v>11641.346100000001</v>
      </c>
      <c r="F506" s="13">
        <f>[1]!Table323[[#This Row],[Single Family]]+[1]!Table323[[#This Row],[2-4 Units]]+[1]!Table323[[#This Row],[&gt;4 Units]]</f>
        <v>9</v>
      </c>
      <c r="G506" s="13">
        <v>9</v>
      </c>
      <c r="H506" s="13">
        <v>0</v>
      </c>
      <c r="I506" s="13">
        <v>0</v>
      </c>
      <c r="J506" s="68">
        <v>3961.4160999999999</v>
      </c>
      <c r="K506">
        <f t="shared" si="7"/>
        <v>0</v>
      </c>
      <c r="L506" s="13">
        <v>0</v>
      </c>
      <c r="M506" s="13">
        <v>0</v>
      </c>
      <c r="N506" s="13">
        <v>0</v>
      </c>
      <c r="O506" s="68">
        <v>0</v>
      </c>
      <c r="P506" s="155">
        <f>VLOOKUP(Table323[[#This Row],[Census Tract]],'Population and Diversity Data'!$B$2:$K$823,10,FALSE)</f>
        <v>5</v>
      </c>
      <c r="Q506" s="155" t="str">
        <f>VLOOKUP(Table323[[#This Row],[Census Tract]],'ES Energy Burden'!$B$2:$E$914,4,FALSE)</f>
        <v>Yes</v>
      </c>
    </row>
    <row r="507" spans="1:17" x14ac:dyDescent="0.2">
      <c r="A507" s="101">
        <v>9011690900</v>
      </c>
      <c r="B507" s="102" t="s">
        <v>2811</v>
      </c>
      <c r="C507" s="104" t="s">
        <v>944</v>
      </c>
      <c r="D507" s="69">
        <v>104774.03190432</v>
      </c>
      <c r="E507" s="69">
        <v>113608.8646</v>
      </c>
      <c r="F507" s="13">
        <f>[1]!Table323[[#This Row],[Single Family]]+[1]!Table323[[#This Row],[2-4 Units]]+[1]!Table323[[#This Row],[&gt;4 Units]]</f>
        <v>433</v>
      </c>
      <c r="G507" s="13">
        <v>31</v>
      </c>
      <c r="H507" s="13">
        <v>2</v>
      </c>
      <c r="I507" s="13">
        <v>400</v>
      </c>
      <c r="J507" s="68">
        <v>62332.984199999999</v>
      </c>
      <c r="K507">
        <f t="shared" si="7"/>
        <v>128</v>
      </c>
      <c r="L507" s="13">
        <v>26</v>
      </c>
      <c r="M507" s="13">
        <v>1</v>
      </c>
      <c r="N507" s="13">
        <v>101</v>
      </c>
      <c r="O507" s="68">
        <v>51275.5</v>
      </c>
      <c r="P507" s="155">
        <f>VLOOKUP(Table323[[#This Row],[Census Tract]],'Population and Diversity Data'!$B$2:$K$823,10,FALSE)</f>
        <v>5</v>
      </c>
      <c r="Q507" s="155" t="str">
        <f>VLOOKUP(Table323[[#This Row],[Census Tract]],'ES Energy Burden'!$B$2:$E$914,4,FALSE)</f>
        <v>No</v>
      </c>
    </row>
    <row r="508" spans="1:17" x14ac:dyDescent="0.2">
      <c r="A508" s="101">
        <v>9011693400</v>
      </c>
      <c r="B508" s="102" t="s">
        <v>2811</v>
      </c>
      <c r="C508" s="104" t="s">
        <v>944</v>
      </c>
      <c r="D508" s="69">
        <v>472.06506239999999</v>
      </c>
      <c r="E508" s="69">
        <v>0</v>
      </c>
      <c r="F508" s="13">
        <f>[1]!Table323[[#This Row],[Single Family]]+[1]!Table323[[#This Row],[2-4 Units]]+[1]!Table323[[#This Row],[&gt;4 Units]]</f>
        <v>0</v>
      </c>
      <c r="G508" s="13">
        <v>0</v>
      </c>
      <c r="H508" s="13">
        <v>0</v>
      </c>
      <c r="I508" s="13">
        <v>0</v>
      </c>
      <c r="J508" s="68">
        <v>0</v>
      </c>
      <c r="K508">
        <f t="shared" si="7"/>
        <v>0</v>
      </c>
      <c r="L508" s="13">
        <v>0</v>
      </c>
      <c r="M508" s="13">
        <v>0</v>
      </c>
      <c r="N508" s="13">
        <v>0</v>
      </c>
      <c r="O508" s="68">
        <v>0</v>
      </c>
      <c r="P508" s="155">
        <f>VLOOKUP(Table323[[#This Row],[Census Tract]],'Population and Diversity Data'!$B$2:$K$823,10,FALSE)</f>
        <v>3</v>
      </c>
      <c r="Q508" s="155" t="str">
        <f>VLOOKUP(Table323[[#This Row],[Census Tract]],'ES Energy Burden'!$B$2:$E$914,4,FALSE)</f>
        <v>No</v>
      </c>
    </row>
    <row r="509" spans="1:17" x14ac:dyDescent="0.2">
      <c r="A509" s="101">
        <v>9011693600</v>
      </c>
      <c r="B509" s="102" t="s">
        <v>2811</v>
      </c>
      <c r="C509" s="104" t="s">
        <v>944</v>
      </c>
      <c r="D509" s="69">
        <v>117.425808</v>
      </c>
      <c r="E509" s="69">
        <v>0</v>
      </c>
      <c r="F509" s="13">
        <f>[1]!Table323[[#This Row],[Single Family]]+[1]!Table323[[#This Row],[2-4 Units]]+[1]!Table323[[#This Row],[&gt;4 Units]]</f>
        <v>0</v>
      </c>
      <c r="G509" s="13">
        <v>0</v>
      </c>
      <c r="H509" s="13">
        <v>0</v>
      </c>
      <c r="I509" s="13">
        <v>0</v>
      </c>
      <c r="J509" s="68">
        <v>0</v>
      </c>
      <c r="K509">
        <f t="shared" si="7"/>
        <v>0</v>
      </c>
      <c r="L509" s="13">
        <v>0</v>
      </c>
      <c r="M509" s="13">
        <v>0</v>
      </c>
      <c r="N509" s="13">
        <v>0</v>
      </c>
      <c r="O509" s="68">
        <v>0</v>
      </c>
      <c r="P509" s="155">
        <f>VLOOKUP(Table323[[#This Row],[Census Tract]],'Population and Diversity Data'!$B$2:$K$823,10,FALSE)</f>
        <v>2</v>
      </c>
      <c r="Q509" s="155" t="str">
        <f>VLOOKUP(Table323[[#This Row],[Census Tract]],'ES Energy Burden'!$B$2:$E$914,4,FALSE)</f>
        <v>No</v>
      </c>
    </row>
    <row r="510" spans="1:17" x14ac:dyDescent="0.2">
      <c r="A510" s="101">
        <v>9011870300</v>
      </c>
      <c r="B510" s="102" t="s">
        <v>2811</v>
      </c>
      <c r="C510" s="104" t="s">
        <v>944</v>
      </c>
      <c r="D510" s="69">
        <v>41310.163071360003</v>
      </c>
      <c r="E510" s="69">
        <v>21513.050299999999</v>
      </c>
      <c r="F510" s="13">
        <f>[1]!Table323[[#This Row],[Single Family]]+[1]!Table323[[#This Row],[2-4 Units]]+[1]!Table323[[#This Row],[&gt;4 Units]]</f>
        <v>2</v>
      </c>
      <c r="G510" s="13">
        <v>2</v>
      </c>
      <c r="H510" s="13">
        <v>0</v>
      </c>
      <c r="I510" s="13">
        <v>0</v>
      </c>
      <c r="J510" s="68">
        <v>1607.07</v>
      </c>
      <c r="K510">
        <f t="shared" si="7"/>
        <v>0</v>
      </c>
      <c r="L510" s="13">
        <v>0</v>
      </c>
      <c r="M510" s="13">
        <v>0</v>
      </c>
      <c r="N510" s="13">
        <v>0</v>
      </c>
      <c r="O510" s="68">
        <v>0</v>
      </c>
      <c r="P510" s="155">
        <f>VLOOKUP(Table323[[#This Row],[Census Tract]],'Population and Diversity Data'!$B$2:$K$823,10,FALSE)</f>
        <v>5</v>
      </c>
      <c r="Q510" s="155" t="str">
        <f>VLOOKUP(Table323[[#This Row],[Census Tract]],'ES Energy Burden'!$B$2:$E$914,4,FALSE)</f>
        <v>No</v>
      </c>
    </row>
    <row r="511" spans="1:17" x14ac:dyDescent="0.2">
      <c r="A511" s="101">
        <v>9005253100</v>
      </c>
      <c r="B511" s="102" t="s">
        <v>2812</v>
      </c>
      <c r="C511" s="104" t="s">
        <v>944</v>
      </c>
      <c r="D511" s="69">
        <v>96741.50344416</v>
      </c>
      <c r="E511" s="69">
        <v>48216.78</v>
      </c>
      <c r="F511" s="13">
        <f>[1]!Table323[[#This Row],[Single Family]]+[1]!Table323[[#This Row],[2-4 Units]]+[1]!Table323[[#This Row],[&gt;4 Units]]</f>
        <v>8</v>
      </c>
      <c r="G511" s="13">
        <v>8</v>
      </c>
      <c r="H511" s="13">
        <v>0</v>
      </c>
      <c r="I511" s="13">
        <v>0</v>
      </c>
      <c r="J511" s="68">
        <v>9355.99</v>
      </c>
      <c r="K511">
        <f t="shared" si="7"/>
        <v>0</v>
      </c>
      <c r="L511" s="13">
        <v>0</v>
      </c>
      <c r="M511" s="13">
        <v>0</v>
      </c>
      <c r="N511" s="13">
        <v>0</v>
      </c>
      <c r="O511" s="68">
        <v>0</v>
      </c>
      <c r="P511" s="155">
        <f>VLOOKUP(Table323[[#This Row],[Census Tract]],'Population and Diversity Data'!$B$2:$K$823,10,FALSE)</f>
        <v>4</v>
      </c>
      <c r="Q511" s="155" t="str">
        <f>VLOOKUP(Table323[[#This Row],[Census Tract]],'ES Energy Burden'!$B$2:$E$914,4,FALSE)</f>
        <v>No</v>
      </c>
    </row>
    <row r="512" spans="1:17" x14ac:dyDescent="0.2">
      <c r="A512" s="101">
        <v>9005253200</v>
      </c>
      <c r="B512" s="102" t="s">
        <v>2812</v>
      </c>
      <c r="C512" s="104" t="s">
        <v>944</v>
      </c>
      <c r="D512" s="69">
        <v>182694.0880512</v>
      </c>
      <c r="E512" s="69">
        <v>376294.26130000001</v>
      </c>
      <c r="F512" s="13">
        <f>[1]!Table323[[#This Row],[Single Family]]+[1]!Table323[[#This Row],[2-4 Units]]+[1]!Table323[[#This Row],[&gt;4 Units]]</f>
        <v>22</v>
      </c>
      <c r="G512" s="13">
        <v>22</v>
      </c>
      <c r="H512" s="13">
        <v>0</v>
      </c>
      <c r="I512" s="13">
        <v>0</v>
      </c>
      <c r="J512" s="68">
        <v>22153.32</v>
      </c>
      <c r="K512">
        <f t="shared" si="7"/>
        <v>163</v>
      </c>
      <c r="L512" s="13">
        <v>30</v>
      </c>
      <c r="M512" s="13">
        <v>1</v>
      </c>
      <c r="N512" s="13">
        <v>132</v>
      </c>
      <c r="O512" s="68">
        <v>304709</v>
      </c>
      <c r="P512" s="155">
        <f>VLOOKUP(Table323[[#This Row],[Census Tract]],'Population and Diversity Data'!$B$2:$K$823,10,FALSE)</f>
        <v>4</v>
      </c>
      <c r="Q512" s="155" t="str">
        <f>VLOOKUP(Table323[[#This Row],[Census Tract]],'ES Energy Burden'!$B$2:$E$914,4,FALSE)</f>
        <v>No</v>
      </c>
    </row>
    <row r="513" spans="1:17" x14ac:dyDescent="0.2">
      <c r="A513" s="101">
        <v>9005253300</v>
      </c>
      <c r="B513" s="102" t="s">
        <v>2812</v>
      </c>
      <c r="C513" s="104" t="s">
        <v>944</v>
      </c>
      <c r="D513" s="69">
        <v>51696.375353280004</v>
      </c>
      <c r="E513" s="69">
        <v>13320.82</v>
      </c>
      <c r="F513" s="13">
        <f>[1]!Table323[[#This Row],[Single Family]]+[1]!Table323[[#This Row],[2-4 Units]]+[1]!Table323[[#This Row],[&gt;4 Units]]</f>
        <v>3</v>
      </c>
      <c r="G513" s="13">
        <v>3</v>
      </c>
      <c r="H513" s="13">
        <v>0</v>
      </c>
      <c r="I513" s="13">
        <v>0</v>
      </c>
      <c r="J513" s="68">
        <v>3164.02</v>
      </c>
      <c r="K513">
        <f t="shared" si="7"/>
        <v>0</v>
      </c>
      <c r="L513" s="13">
        <v>0</v>
      </c>
      <c r="M513" s="13">
        <v>0</v>
      </c>
      <c r="N513" s="13">
        <v>0</v>
      </c>
      <c r="O513" s="68">
        <v>0</v>
      </c>
      <c r="P513" s="155">
        <f>VLOOKUP(Table323[[#This Row],[Census Tract]],'Population and Diversity Data'!$B$2:$K$823,10,FALSE)</f>
        <v>3</v>
      </c>
      <c r="Q513" s="155" t="str">
        <f>VLOOKUP(Table323[[#This Row],[Census Tract]],'ES Energy Burden'!$B$2:$E$914,4,FALSE)</f>
        <v>No</v>
      </c>
    </row>
    <row r="514" spans="1:17" x14ac:dyDescent="0.2">
      <c r="A514" s="101">
        <v>9005253400</v>
      </c>
      <c r="B514" s="102" t="s">
        <v>2812</v>
      </c>
      <c r="C514" s="104" t="s">
        <v>944</v>
      </c>
      <c r="D514" s="69">
        <v>154010.8821744</v>
      </c>
      <c r="E514" s="69">
        <v>19810.52</v>
      </c>
      <c r="F514" s="13">
        <f>[1]!Table323[[#This Row],[Single Family]]+[1]!Table323[[#This Row],[2-4 Units]]+[1]!Table323[[#This Row],[&gt;4 Units]]</f>
        <v>18</v>
      </c>
      <c r="G514" s="13">
        <v>18</v>
      </c>
      <c r="H514" s="13">
        <v>0</v>
      </c>
      <c r="I514" s="13">
        <v>0</v>
      </c>
      <c r="J514" s="68">
        <v>14580.28</v>
      </c>
      <c r="K514">
        <f t="shared" si="7"/>
        <v>0</v>
      </c>
      <c r="L514" s="13">
        <v>0</v>
      </c>
      <c r="M514" s="13">
        <v>0</v>
      </c>
      <c r="N514" s="13">
        <v>0</v>
      </c>
      <c r="O514" s="68">
        <v>0</v>
      </c>
      <c r="P514" s="155">
        <f>VLOOKUP(Table323[[#This Row],[Census Tract]],'Population and Diversity Data'!$B$2:$K$823,10,FALSE)</f>
        <v>2</v>
      </c>
      <c r="Q514" s="155" t="str">
        <f>VLOOKUP(Table323[[#This Row],[Census Tract]],'ES Energy Burden'!$B$2:$E$914,4,FALSE)</f>
        <v>No</v>
      </c>
    </row>
    <row r="515" spans="1:17" x14ac:dyDescent="0.2">
      <c r="A515" s="101">
        <v>9005253500</v>
      </c>
      <c r="B515" s="102" t="s">
        <v>2812</v>
      </c>
      <c r="C515" s="104" t="s">
        <v>944</v>
      </c>
      <c r="D515" s="69">
        <v>147618.1887696</v>
      </c>
      <c r="E515" s="69">
        <v>29305.079600000001</v>
      </c>
      <c r="F515" s="13">
        <f>[1]!Table323[[#This Row],[Single Family]]+[1]!Table323[[#This Row],[2-4 Units]]+[1]!Table323[[#This Row],[&gt;4 Units]]</f>
        <v>32</v>
      </c>
      <c r="G515" s="13">
        <v>32</v>
      </c>
      <c r="H515" s="13">
        <v>0</v>
      </c>
      <c r="I515" s="13">
        <v>0</v>
      </c>
      <c r="J515" s="68">
        <v>21172.869600000002</v>
      </c>
      <c r="K515">
        <f t="shared" si="7"/>
        <v>0</v>
      </c>
      <c r="L515" s="13">
        <v>0</v>
      </c>
      <c r="M515" s="13">
        <v>0</v>
      </c>
      <c r="N515" s="13">
        <v>0</v>
      </c>
      <c r="O515" s="68">
        <v>0</v>
      </c>
      <c r="P515" s="155">
        <f>VLOOKUP(Table323[[#This Row],[Census Tract]],'Population and Diversity Data'!$B$2:$K$823,10,FALSE)</f>
        <v>4</v>
      </c>
      <c r="Q515" s="155" t="str">
        <f>VLOOKUP(Table323[[#This Row],[Census Tract]],'ES Energy Burden'!$B$2:$E$914,4,FALSE)</f>
        <v>No</v>
      </c>
    </row>
    <row r="516" spans="1:17" x14ac:dyDescent="0.2">
      <c r="A516" s="101">
        <v>9005253600</v>
      </c>
      <c r="B516" s="102" t="s">
        <v>2812</v>
      </c>
      <c r="C516" s="104" t="s">
        <v>944</v>
      </c>
      <c r="D516" s="69">
        <v>49566.037328640006</v>
      </c>
      <c r="E516" s="69">
        <v>7377.73</v>
      </c>
      <c r="F516" s="13">
        <f>[1]!Table323[[#This Row],[Single Family]]+[1]!Table323[[#This Row],[2-4 Units]]+[1]!Table323[[#This Row],[&gt;4 Units]]</f>
        <v>3</v>
      </c>
      <c r="G516" s="13">
        <v>3</v>
      </c>
      <c r="H516" s="13">
        <v>0</v>
      </c>
      <c r="I516" s="13">
        <v>0</v>
      </c>
      <c r="J516" s="68">
        <v>1479.62</v>
      </c>
      <c r="K516">
        <f t="shared" si="7"/>
        <v>0</v>
      </c>
      <c r="L516" s="13">
        <v>0</v>
      </c>
      <c r="M516" s="13">
        <v>0</v>
      </c>
      <c r="N516" s="13">
        <v>0</v>
      </c>
      <c r="O516" s="68">
        <v>0</v>
      </c>
      <c r="P516" s="155">
        <f>VLOOKUP(Table323[[#This Row],[Census Tract]],'Population and Diversity Data'!$B$2:$K$823,10,FALSE)</f>
        <v>4</v>
      </c>
      <c r="Q516" s="155" t="str">
        <f>VLOOKUP(Table323[[#This Row],[Census Tract]],'ES Energy Burden'!$B$2:$E$914,4,FALSE)</f>
        <v>No</v>
      </c>
    </row>
    <row r="517" spans="1:17" x14ac:dyDescent="0.2">
      <c r="A517" s="101">
        <v>9005266100</v>
      </c>
      <c r="B517" s="102" t="s">
        <v>2812</v>
      </c>
      <c r="C517" s="104" t="s">
        <v>944</v>
      </c>
      <c r="D517" s="69">
        <v>101.72079360000001</v>
      </c>
      <c r="E517" s="69">
        <v>0</v>
      </c>
      <c r="F517" s="13">
        <f>[1]!Table323[[#This Row],[Single Family]]+[1]!Table323[[#This Row],[2-4 Units]]+[1]!Table323[[#This Row],[&gt;4 Units]]</f>
        <v>0</v>
      </c>
      <c r="G517" s="13">
        <v>0</v>
      </c>
      <c r="H517" s="13">
        <v>0</v>
      </c>
      <c r="I517" s="13">
        <v>0</v>
      </c>
      <c r="J517" s="68">
        <v>0</v>
      </c>
      <c r="K517">
        <f t="shared" si="7"/>
        <v>0</v>
      </c>
      <c r="L517" s="13">
        <v>0</v>
      </c>
      <c r="M517" s="13">
        <v>0</v>
      </c>
      <c r="N517" s="13">
        <v>0</v>
      </c>
      <c r="O517" s="68">
        <v>0</v>
      </c>
      <c r="P517" s="155">
        <f>VLOOKUP(Table323[[#This Row],[Census Tract]],'Population and Diversity Data'!$B$2:$K$823,10,FALSE)</f>
        <v>2</v>
      </c>
      <c r="Q517" s="155" t="str">
        <f>VLOOKUP(Table323[[#This Row],[Census Tract]],'ES Energy Burden'!$B$2:$E$914,4,FALSE)</f>
        <v>No</v>
      </c>
    </row>
    <row r="518" spans="1:17" x14ac:dyDescent="0.2">
      <c r="A518" s="101">
        <v>9005267100</v>
      </c>
      <c r="B518" s="102" t="s">
        <v>2812</v>
      </c>
      <c r="C518" s="104" t="s">
        <v>944</v>
      </c>
      <c r="D518" s="69">
        <v>644.94757440000012</v>
      </c>
      <c r="E518" s="69">
        <v>0</v>
      </c>
      <c r="F518" s="13">
        <f>[1]!Table323[[#This Row],[Single Family]]+[1]!Table323[[#This Row],[2-4 Units]]+[1]!Table323[[#This Row],[&gt;4 Units]]</f>
        <v>0</v>
      </c>
      <c r="G518" s="13">
        <v>0</v>
      </c>
      <c r="H518" s="13">
        <v>0</v>
      </c>
      <c r="I518" s="13">
        <v>0</v>
      </c>
      <c r="J518" s="68">
        <v>0</v>
      </c>
      <c r="K518">
        <f t="shared" ref="K518:K581" si="8">L518+M518+N518</f>
        <v>0</v>
      </c>
      <c r="L518" s="13">
        <v>0</v>
      </c>
      <c r="M518" s="13">
        <v>0</v>
      </c>
      <c r="N518" s="13">
        <v>0</v>
      </c>
      <c r="O518" s="68">
        <v>0</v>
      </c>
      <c r="P518" s="155">
        <f>VLOOKUP(Table323[[#This Row],[Census Tract]],'Population and Diversity Data'!$B$2:$K$823,10,FALSE)</f>
        <v>3</v>
      </c>
      <c r="Q518" s="155" t="str">
        <f>VLOOKUP(Table323[[#This Row],[Census Tract]],'ES Energy Burden'!$B$2:$E$914,4,FALSE)</f>
        <v>No</v>
      </c>
    </row>
    <row r="519" spans="1:17" x14ac:dyDescent="0.2">
      <c r="A519" s="101">
        <v>9005268100</v>
      </c>
      <c r="B519" s="102" t="s">
        <v>2812</v>
      </c>
      <c r="C519" s="104" t="s">
        <v>944</v>
      </c>
      <c r="D519" s="69">
        <v>82.426723199999998</v>
      </c>
      <c r="E519" s="69">
        <v>0</v>
      </c>
      <c r="F519" s="13">
        <f>[1]!Table323[[#This Row],[Single Family]]+[1]!Table323[[#This Row],[2-4 Units]]+[1]!Table323[[#This Row],[&gt;4 Units]]</f>
        <v>0</v>
      </c>
      <c r="G519" s="13">
        <v>0</v>
      </c>
      <c r="H519" s="13">
        <v>0</v>
      </c>
      <c r="I519" s="13">
        <v>0</v>
      </c>
      <c r="J519" s="68">
        <v>0</v>
      </c>
      <c r="K519">
        <f t="shared" si="8"/>
        <v>0</v>
      </c>
      <c r="L519" s="13">
        <v>0</v>
      </c>
      <c r="M519" s="13">
        <v>0</v>
      </c>
      <c r="N519" s="13">
        <v>0</v>
      </c>
      <c r="O519" s="68">
        <v>0</v>
      </c>
      <c r="P519" s="155">
        <f>VLOOKUP(Table323[[#This Row],[Census Tract]],'Population and Diversity Data'!$B$2:$K$823,10,FALSE)</f>
        <v>1</v>
      </c>
      <c r="Q519" s="155" t="str">
        <f>VLOOKUP(Table323[[#This Row],[Census Tract]],'ES Energy Burden'!$B$2:$E$914,4,FALSE)</f>
        <v>No</v>
      </c>
    </row>
    <row r="520" spans="1:17" x14ac:dyDescent="0.2">
      <c r="A520" s="101">
        <v>9003400100</v>
      </c>
      <c r="B520" s="102" t="s">
        <v>2813</v>
      </c>
      <c r="C520" s="104" t="s">
        <v>944</v>
      </c>
      <c r="D520" s="69">
        <v>585.9944352</v>
      </c>
      <c r="E520" s="69">
        <v>0</v>
      </c>
      <c r="F520" s="13">
        <f>[1]!Table323[[#This Row],[Single Family]]+[1]!Table323[[#This Row],[2-4 Units]]+[1]!Table323[[#This Row],[&gt;4 Units]]</f>
        <v>0</v>
      </c>
      <c r="G520" s="13">
        <v>0</v>
      </c>
      <c r="H520" s="13">
        <v>0</v>
      </c>
      <c r="I520" s="13">
        <v>0</v>
      </c>
      <c r="J520" s="68">
        <v>0</v>
      </c>
      <c r="K520">
        <f t="shared" si="8"/>
        <v>0</v>
      </c>
      <c r="L520" s="13">
        <v>0</v>
      </c>
      <c r="M520" s="13">
        <v>0</v>
      </c>
      <c r="N520" s="13">
        <v>0</v>
      </c>
      <c r="O520" s="68">
        <v>0</v>
      </c>
      <c r="P520" s="155">
        <f>VLOOKUP(Table323[[#This Row],[Census Tract]],'Population and Diversity Data'!$B$2:$K$823,10,FALSE)</f>
        <v>2</v>
      </c>
      <c r="Q520" s="155" t="str">
        <f>VLOOKUP(Table323[[#This Row],[Census Tract]],'ES Energy Burden'!$B$2:$E$914,4,FALSE)</f>
        <v>No</v>
      </c>
    </row>
    <row r="521" spans="1:17" x14ac:dyDescent="0.2">
      <c r="A521" s="101">
        <v>9003416300</v>
      </c>
      <c r="B521" s="102" t="s">
        <v>2813</v>
      </c>
      <c r="C521" s="104" t="s">
        <v>944</v>
      </c>
      <c r="D521" s="69">
        <v>152.5175136</v>
      </c>
      <c r="E521" s="69">
        <v>0</v>
      </c>
      <c r="F521" s="13">
        <f>[1]!Table323[[#This Row],[Single Family]]+[1]!Table323[[#This Row],[2-4 Units]]+[1]!Table323[[#This Row],[&gt;4 Units]]</f>
        <v>0</v>
      </c>
      <c r="G521" s="13">
        <v>0</v>
      </c>
      <c r="H521" s="13">
        <v>0</v>
      </c>
      <c r="I521" s="13">
        <v>0</v>
      </c>
      <c r="J521" s="68">
        <v>0</v>
      </c>
      <c r="K521">
        <f t="shared" si="8"/>
        <v>0</v>
      </c>
      <c r="L521" s="13">
        <v>0</v>
      </c>
      <c r="M521" s="13">
        <v>0</v>
      </c>
      <c r="N521" s="13">
        <v>0</v>
      </c>
      <c r="O521" s="68">
        <v>0</v>
      </c>
      <c r="P521" s="155">
        <f>VLOOKUP(Table323[[#This Row],[Census Tract]],'Population and Diversity Data'!$B$2:$K$823,10,FALSE)</f>
        <v>4</v>
      </c>
      <c r="Q521" s="155" t="str">
        <f>VLOOKUP(Table323[[#This Row],[Census Tract]],'ES Energy Burden'!$B$2:$E$914,4,FALSE)</f>
        <v>Yes</v>
      </c>
    </row>
    <row r="522" spans="1:17" x14ac:dyDescent="0.2">
      <c r="A522" s="101">
        <v>9003492600</v>
      </c>
      <c r="B522" s="102" t="s">
        <v>2813</v>
      </c>
      <c r="C522" s="104" t="s">
        <v>944</v>
      </c>
      <c r="D522" s="69">
        <v>234.1974816</v>
      </c>
      <c r="E522" s="69">
        <v>0</v>
      </c>
      <c r="F522" s="13">
        <f>[1]!Table323[[#This Row],[Single Family]]+[1]!Table323[[#This Row],[2-4 Units]]+[1]!Table323[[#This Row],[&gt;4 Units]]</f>
        <v>0</v>
      </c>
      <c r="G522" s="13">
        <v>0</v>
      </c>
      <c r="H522" s="13">
        <v>0</v>
      </c>
      <c r="I522" s="13">
        <v>0</v>
      </c>
      <c r="J522" s="68">
        <v>0</v>
      </c>
      <c r="K522">
        <f t="shared" si="8"/>
        <v>0</v>
      </c>
      <c r="L522" s="13">
        <v>0</v>
      </c>
      <c r="M522" s="13">
        <v>0</v>
      </c>
      <c r="N522" s="13">
        <v>0</v>
      </c>
      <c r="O522" s="68">
        <v>0</v>
      </c>
      <c r="P522" s="155">
        <f>VLOOKUP(Table323[[#This Row],[Census Tract]],'Population and Diversity Data'!$B$2:$K$823,10,FALSE)</f>
        <v>1</v>
      </c>
      <c r="Q522" s="155" t="str">
        <f>VLOOKUP(Table323[[#This Row],[Census Tract]],'ES Energy Burden'!$B$2:$E$914,4,FALSE)</f>
        <v>No</v>
      </c>
    </row>
    <row r="523" spans="1:17" x14ac:dyDescent="0.2">
      <c r="A523" s="101">
        <v>9003494100</v>
      </c>
      <c r="B523" s="102" t="s">
        <v>2813</v>
      </c>
      <c r="C523" s="104" t="s">
        <v>944</v>
      </c>
      <c r="D523" s="69">
        <v>100798.62502464</v>
      </c>
      <c r="E523" s="69">
        <v>230400.13449999999</v>
      </c>
      <c r="F523" s="13">
        <f>[1]!Table323[[#This Row],[Single Family]]+[1]!Table323[[#This Row],[2-4 Units]]+[1]!Table323[[#This Row],[&gt;4 Units]]</f>
        <v>23</v>
      </c>
      <c r="G523" s="13">
        <v>22</v>
      </c>
      <c r="H523" s="13">
        <v>1</v>
      </c>
      <c r="I523" s="13">
        <v>0</v>
      </c>
      <c r="J523" s="68">
        <v>21210.649099999999</v>
      </c>
      <c r="K523">
        <f t="shared" si="8"/>
        <v>72</v>
      </c>
      <c r="L523" s="13">
        <v>32</v>
      </c>
      <c r="M523" s="13">
        <v>0</v>
      </c>
      <c r="N523" s="13">
        <v>40</v>
      </c>
      <c r="O523" s="68">
        <v>167979.8</v>
      </c>
      <c r="P523" s="155">
        <f>VLOOKUP(Table323[[#This Row],[Census Tract]],'Population and Diversity Data'!$B$2:$K$823,10,FALSE)</f>
        <v>4</v>
      </c>
      <c r="Q523" s="155" t="str">
        <f>VLOOKUP(Table323[[#This Row],[Census Tract]],'ES Energy Burden'!$B$2:$E$914,4,FALSE)</f>
        <v>No</v>
      </c>
    </row>
    <row r="524" spans="1:17" x14ac:dyDescent="0.2">
      <c r="A524" s="101">
        <v>9003494201</v>
      </c>
      <c r="B524" s="102" t="s">
        <v>2813</v>
      </c>
      <c r="C524" s="104" t="s">
        <v>944</v>
      </c>
      <c r="D524" s="69">
        <v>75520.036454400019</v>
      </c>
      <c r="E524" s="69">
        <v>9254.0817000000006</v>
      </c>
      <c r="F524" s="13">
        <f>[1]!Table323[[#This Row],[Single Family]]+[1]!Table323[[#This Row],[2-4 Units]]+[1]!Table323[[#This Row],[&gt;4 Units]]</f>
        <v>17</v>
      </c>
      <c r="G524" s="13">
        <v>15</v>
      </c>
      <c r="H524" s="13">
        <v>2</v>
      </c>
      <c r="I524" s="13">
        <v>0</v>
      </c>
      <c r="J524" s="68">
        <v>5578.2217000000001</v>
      </c>
      <c r="K524">
        <f t="shared" si="8"/>
        <v>0</v>
      </c>
      <c r="L524" s="13">
        <v>0</v>
      </c>
      <c r="M524" s="13">
        <v>0</v>
      </c>
      <c r="N524" s="13">
        <v>0</v>
      </c>
      <c r="O524" s="68">
        <v>0</v>
      </c>
      <c r="P524" s="155">
        <f>VLOOKUP(Table323[[#This Row],[Census Tract]],'Population and Diversity Data'!$B$2:$K$823,10,FALSE)</f>
        <v>4</v>
      </c>
      <c r="Q524" s="155" t="str">
        <f>VLOOKUP(Table323[[#This Row],[Census Tract]],'ES Energy Burden'!$B$2:$E$914,4,FALSE)</f>
        <v>No</v>
      </c>
    </row>
    <row r="525" spans="1:17" x14ac:dyDescent="0.2">
      <c r="A525" s="101">
        <v>9003494202</v>
      </c>
      <c r="B525" s="102" t="s">
        <v>2813</v>
      </c>
      <c r="C525" s="104" t="s">
        <v>944</v>
      </c>
      <c r="D525" s="69">
        <v>49848.942931199999</v>
      </c>
      <c r="E525" s="69">
        <v>7119.7650000000003</v>
      </c>
      <c r="F525" s="13">
        <f>[1]!Table323[[#This Row],[Single Family]]+[1]!Table323[[#This Row],[2-4 Units]]+[1]!Table323[[#This Row],[&gt;4 Units]]</f>
        <v>12</v>
      </c>
      <c r="G525" s="13">
        <v>12</v>
      </c>
      <c r="H525" s="13">
        <v>0</v>
      </c>
      <c r="I525" s="13">
        <v>0</v>
      </c>
      <c r="J525" s="68">
        <v>5569.0249999999996</v>
      </c>
      <c r="K525">
        <f t="shared" si="8"/>
        <v>0</v>
      </c>
      <c r="L525" s="13">
        <v>0</v>
      </c>
      <c r="M525" s="13">
        <v>0</v>
      </c>
      <c r="N525" s="13">
        <v>0</v>
      </c>
      <c r="O525" s="68">
        <v>0</v>
      </c>
      <c r="P525" s="155">
        <f>VLOOKUP(Table323[[#This Row],[Census Tract]],'Population and Diversity Data'!$B$2:$K$823,10,FALSE)</f>
        <v>4</v>
      </c>
      <c r="Q525" s="155" t="str">
        <f>VLOOKUP(Table323[[#This Row],[Census Tract]],'ES Energy Burden'!$B$2:$E$914,4,FALSE)</f>
        <v>No</v>
      </c>
    </row>
    <row r="526" spans="1:17" x14ac:dyDescent="0.2">
      <c r="A526" s="101">
        <v>9003494300</v>
      </c>
      <c r="B526" s="102" t="s">
        <v>2813</v>
      </c>
      <c r="C526" s="104" t="s">
        <v>944</v>
      </c>
      <c r="D526" s="69">
        <v>64243.089359999998</v>
      </c>
      <c r="E526" s="69">
        <v>12201.13</v>
      </c>
      <c r="F526" s="13">
        <f>[1]!Table323[[#This Row],[Single Family]]+[1]!Table323[[#This Row],[2-4 Units]]+[1]!Table323[[#This Row],[&gt;4 Units]]</f>
        <v>9</v>
      </c>
      <c r="G526" s="13">
        <v>9</v>
      </c>
      <c r="H526" s="13">
        <v>0</v>
      </c>
      <c r="I526" s="13">
        <v>0</v>
      </c>
      <c r="J526" s="68">
        <v>4663.5200000000004</v>
      </c>
      <c r="K526">
        <f t="shared" si="8"/>
        <v>0</v>
      </c>
      <c r="L526" s="13">
        <v>0</v>
      </c>
      <c r="M526" s="13">
        <v>0</v>
      </c>
      <c r="N526" s="13">
        <v>0</v>
      </c>
      <c r="O526" s="68">
        <v>0</v>
      </c>
      <c r="P526" s="155">
        <f>VLOOKUP(Table323[[#This Row],[Census Tract]],'Population and Diversity Data'!$B$2:$K$823,10,FALSE)</f>
        <v>3</v>
      </c>
      <c r="Q526" s="155" t="str">
        <f>VLOOKUP(Table323[[#This Row],[Census Tract]],'ES Energy Burden'!$B$2:$E$914,4,FALSE)</f>
        <v>No</v>
      </c>
    </row>
    <row r="527" spans="1:17" x14ac:dyDescent="0.2">
      <c r="A527" s="101">
        <v>9003494400</v>
      </c>
      <c r="B527" s="102" t="s">
        <v>2813</v>
      </c>
      <c r="C527" s="104" t="s">
        <v>944</v>
      </c>
      <c r="D527" s="69">
        <v>83406.999749759998</v>
      </c>
      <c r="E527" s="69">
        <v>52850.414900000003</v>
      </c>
      <c r="F527" s="13">
        <f>[1]!Table323[[#This Row],[Single Family]]+[1]!Table323[[#This Row],[2-4 Units]]+[1]!Table323[[#This Row],[&gt;4 Units]]</f>
        <v>22</v>
      </c>
      <c r="G527" s="13">
        <v>22</v>
      </c>
      <c r="H527" s="13">
        <v>0</v>
      </c>
      <c r="I527" s="13">
        <v>0</v>
      </c>
      <c r="J527" s="68">
        <v>12058.054899999999</v>
      </c>
      <c r="K527">
        <f t="shared" si="8"/>
        <v>0</v>
      </c>
      <c r="L527" s="13">
        <v>0</v>
      </c>
      <c r="M527" s="13">
        <v>0</v>
      </c>
      <c r="N527" s="13">
        <v>0</v>
      </c>
      <c r="O527" s="68">
        <v>0</v>
      </c>
      <c r="P527" s="155">
        <f>VLOOKUP(Table323[[#This Row],[Census Tract]],'Population and Diversity Data'!$B$2:$K$823,10,FALSE)</f>
        <v>4</v>
      </c>
      <c r="Q527" s="155" t="str">
        <f>VLOOKUP(Table323[[#This Row],[Census Tract]],'ES Energy Burden'!$B$2:$E$914,4,FALSE)</f>
        <v>No</v>
      </c>
    </row>
    <row r="528" spans="1:17" x14ac:dyDescent="0.2">
      <c r="A528" s="101">
        <v>9003494500</v>
      </c>
      <c r="B528" s="102" t="s">
        <v>2813</v>
      </c>
      <c r="C528" s="104" t="s">
        <v>944</v>
      </c>
      <c r="D528" s="69">
        <v>67984.732339200011</v>
      </c>
      <c r="E528" s="69">
        <v>18676.55</v>
      </c>
      <c r="F528" s="13">
        <f>[1]!Table323[[#This Row],[Single Family]]+[1]!Table323[[#This Row],[2-4 Units]]+[1]!Table323[[#This Row],[&gt;4 Units]]</f>
        <v>22</v>
      </c>
      <c r="G528" s="13">
        <v>22</v>
      </c>
      <c r="H528" s="13">
        <v>0</v>
      </c>
      <c r="I528" s="13">
        <v>0</v>
      </c>
      <c r="J528" s="68">
        <v>13992.57</v>
      </c>
      <c r="K528">
        <f t="shared" si="8"/>
        <v>0</v>
      </c>
      <c r="L528" s="13">
        <v>0</v>
      </c>
      <c r="M528" s="13">
        <v>0</v>
      </c>
      <c r="N528" s="13">
        <v>0</v>
      </c>
      <c r="O528" s="68">
        <v>0</v>
      </c>
      <c r="P528" s="155">
        <f>VLOOKUP(Table323[[#This Row],[Census Tract]],'Population and Diversity Data'!$B$2:$K$823,10,FALSE)</f>
        <v>4</v>
      </c>
      <c r="Q528" s="155" t="str">
        <f>VLOOKUP(Table323[[#This Row],[Census Tract]],'ES Energy Burden'!$B$2:$E$914,4,FALSE)</f>
        <v>No</v>
      </c>
    </row>
    <row r="529" spans="1:17" x14ac:dyDescent="0.2">
      <c r="A529" s="101">
        <v>9003494600</v>
      </c>
      <c r="B529" s="102" t="s">
        <v>2813</v>
      </c>
      <c r="C529" s="104" t="s">
        <v>944</v>
      </c>
      <c r="D529" s="69">
        <v>56666.718339840008</v>
      </c>
      <c r="E529" s="69">
        <v>14589.277</v>
      </c>
      <c r="F529" s="13">
        <f>[1]!Table323[[#This Row],[Single Family]]+[1]!Table323[[#This Row],[2-4 Units]]+[1]!Table323[[#This Row],[&gt;4 Units]]</f>
        <v>22</v>
      </c>
      <c r="G529" s="13">
        <v>22</v>
      </c>
      <c r="H529" s="13">
        <v>0</v>
      </c>
      <c r="I529" s="13">
        <v>0</v>
      </c>
      <c r="J529" s="68">
        <v>8331.4171000000006</v>
      </c>
      <c r="K529">
        <f t="shared" si="8"/>
        <v>0</v>
      </c>
      <c r="L529" s="13">
        <v>0</v>
      </c>
      <c r="M529" s="13">
        <v>0</v>
      </c>
      <c r="N529" s="13">
        <v>0</v>
      </c>
      <c r="O529" s="68">
        <v>0</v>
      </c>
      <c r="P529" s="155">
        <f>VLOOKUP(Table323[[#This Row],[Census Tract]],'Population and Diversity Data'!$B$2:$K$823,10,FALSE)</f>
        <v>3</v>
      </c>
      <c r="Q529" s="155" t="str">
        <f>VLOOKUP(Table323[[#This Row],[Census Tract]],'ES Energy Burden'!$B$2:$E$914,4,FALSE)</f>
        <v>No</v>
      </c>
    </row>
    <row r="530" spans="1:17" x14ac:dyDescent="0.2">
      <c r="A530" s="101">
        <v>9001100100</v>
      </c>
      <c r="B530" s="102" t="s">
        <v>2814</v>
      </c>
      <c r="C530" s="104" t="s">
        <v>944</v>
      </c>
      <c r="D530" s="69">
        <v>355.06762559999999</v>
      </c>
      <c r="E530" s="69">
        <v>0</v>
      </c>
      <c r="F530" s="13">
        <f>[1]!Table323[[#This Row],[Single Family]]+[1]!Table323[[#This Row],[2-4 Units]]+[1]!Table323[[#This Row],[&gt;4 Units]]</f>
        <v>0</v>
      </c>
      <c r="G530" s="13">
        <v>0</v>
      </c>
      <c r="H530" s="13">
        <v>0</v>
      </c>
      <c r="I530" s="13">
        <v>0</v>
      </c>
      <c r="J530" s="68">
        <v>0</v>
      </c>
      <c r="K530">
        <f t="shared" si="8"/>
        <v>0</v>
      </c>
      <c r="L530" s="13">
        <v>0</v>
      </c>
      <c r="M530" s="13">
        <v>0</v>
      </c>
      <c r="N530" s="13">
        <v>0</v>
      </c>
      <c r="O530" s="68">
        <v>0</v>
      </c>
      <c r="P530" s="155">
        <f>VLOOKUP(Table323[[#This Row],[Census Tract]],'Population and Diversity Data'!$B$2:$K$823,10,FALSE)</f>
        <v>3</v>
      </c>
      <c r="Q530" s="155" t="str">
        <f>VLOOKUP(Table323[[#This Row],[Census Tract]],'ES Energy Burden'!$B$2:$E$914,4,FALSE)</f>
        <v>No</v>
      </c>
    </row>
    <row r="531" spans="1:17" x14ac:dyDescent="0.2">
      <c r="A531" s="101">
        <v>9001100300</v>
      </c>
      <c r="B531" s="102" t="s">
        <v>2814</v>
      </c>
      <c r="C531" s="104" t="s">
        <v>944</v>
      </c>
      <c r="D531" s="69">
        <v>1648.5344640000001</v>
      </c>
      <c r="E531" s="69">
        <v>0</v>
      </c>
      <c r="F531" s="13">
        <f>[1]!Table323[[#This Row],[Single Family]]+[1]!Table323[[#This Row],[2-4 Units]]+[1]!Table323[[#This Row],[&gt;4 Units]]</f>
        <v>0</v>
      </c>
      <c r="G531" s="13">
        <v>0</v>
      </c>
      <c r="H531" s="13">
        <v>0</v>
      </c>
      <c r="I531" s="13">
        <v>0</v>
      </c>
      <c r="J531" s="68">
        <v>0</v>
      </c>
      <c r="K531">
        <f t="shared" si="8"/>
        <v>0</v>
      </c>
      <c r="L531" s="13">
        <v>0</v>
      </c>
      <c r="M531" s="13">
        <v>0</v>
      </c>
      <c r="N531" s="13">
        <v>0</v>
      </c>
      <c r="O531" s="68">
        <v>0</v>
      </c>
      <c r="P531" s="155">
        <f>VLOOKUP(Table323[[#This Row],[Census Tract]],'Population and Diversity Data'!$B$2:$K$823,10,FALSE)</f>
        <v>2</v>
      </c>
      <c r="Q531" s="155" t="str">
        <f>VLOOKUP(Table323[[#This Row],[Census Tract]],'ES Energy Burden'!$B$2:$E$914,4,FALSE)</f>
        <v>No</v>
      </c>
    </row>
    <row r="532" spans="1:17" x14ac:dyDescent="0.2">
      <c r="A532" s="101">
        <v>9001200302</v>
      </c>
      <c r="B532" s="102" t="s">
        <v>2814</v>
      </c>
      <c r="C532" s="104" t="s">
        <v>944</v>
      </c>
      <c r="D532" s="69">
        <v>293.72371199999998</v>
      </c>
      <c r="E532" s="69">
        <v>0</v>
      </c>
      <c r="F532" s="13">
        <f>[1]!Table323[[#This Row],[Single Family]]+[1]!Table323[[#This Row],[2-4 Units]]+[1]!Table323[[#This Row],[&gt;4 Units]]</f>
        <v>0</v>
      </c>
      <c r="G532" s="13">
        <v>0</v>
      </c>
      <c r="H532" s="13">
        <v>0</v>
      </c>
      <c r="I532" s="13">
        <v>0</v>
      </c>
      <c r="J532" s="68">
        <v>0</v>
      </c>
      <c r="K532">
        <f t="shared" si="8"/>
        <v>0</v>
      </c>
      <c r="L532" s="13">
        <v>0</v>
      </c>
      <c r="M532" s="13">
        <v>0</v>
      </c>
      <c r="N532" s="13">
        <v>0</v>
      </c>
      <c r="O532" s="68">
        <v>0</v>
      </c>
      <c r="P532" s="155">
        <f>VLOOKUP(Table323[[#This Row],[Census Tract]],'Population and Diversity Data'!$B$2:$K$823,10,FALSE)</f>
        <v>1</v>
      </c>
      <c r="Q532" s="155" t="str">
        <f>VLOOKUP(Table323[[#This Row],[Census Tract]],'ES Energy Burden'!$B$2:$E$914,4,FALSE)</f>
        <v>No</v>
      </c>
    </row>
    <row r="533" spans="1:17" x14ac:dyDescent="0.2">
      <c r="A533" s="101">
        <v>9001205200</v>
      </c>
      <c r="B533" s="102" t="s">
        <v>2814</v>
      </c>
      <c r="C533" s="104" t="s">
        <v>944</v>
      </c>
      <c r="D533" s="69">
        <v>816.99071040000001</v>
      </c>
      <c r="E533" s="69">
        <v>0</v>
      </c>
      <c r="F533" s="13">
        <f>[1]!Table323[[#This Row],[Single Family]]+[1]!Table323[[#This Row],[2-4 Units]]+[1]!Table323[[#This Row],[&gt;4 Units]]</f>
        <v>0</v>
      </c>
      <c r="G533" s="13">
        <v>0</v>
      </c>
      <c r="H533" s="13">
        <v>0</v>
      </c>
      <c r="I533" s="13">
        <v>0</v>
      </c>
      <c r="J533" s="68">
        <v>0</v>
      </c>
      <c r="K533">
        <f t="shared" si="8"/>
        <v>0</v>
      </c>
      <c r="L533" s="13">
        <v>0</v>
      </c>
      <c r="M533" s="13">
        <v>0</v>
      </c>
      <c r="N533" s="13">
        <v>0</v>
      </c>
      <c r="O533" s="68">
        <v>0</v>
      </c>
      <c r="P533" s="155">
        <f>VLOOKUP(Table323[[#This Row],[Census Tract]],'Population and Diversity Data'!$B$2:$K$823,10,FALSE)</f>
        <v>1</v>
      </c>
      <c r="Q533" s="155" t="str">
        <f>VLOOKUP(Table323[[#This Row],[Census Tract]],'ES Energy Burden'!$B$2:$E$914,4,FALSE)</f>
        <v>No</v>
      </c>
    </row>
    <row r="534" spans="1:17" x14ac:dyDescent="0.2">
      <c r="A534" s="101">
        <v>9001205300</v>
      </c>
      <c r="B534" s="102" t="s">
        <v>2814</v>
      </c>
      <c r="C534" s="104" t="s">
        <v>944</v>
      </c>
      <c r="D534" s="69">
        <v>755.54259840000009</v>
      </c>
      <c r="E534" s="69">
        <v>0</v>
      </c>
      <c r="F534" s="13">
        <f>[1]!Table323[[#This Row],[Single Family]]+[1]!Table323[[#This Row],[2-4 Units]]+[1]!Table323[[#This Row],[&gt;4 Units]]</f>
        <v>0</v>
      </c>
      <c r="G534" s="13">
        <v>0</v>
      </c>
      <c r="H534" s="13">
        <v>0</v>
      </c>
      <c r="I534" s="13">
        <v>0</v>
      </c>
      <c r="J534" s="68">
        <v>0</v>
      </c>
      <c r="K534">
        <f t="shared" si="8"/>
        <v>0</v>
      </c>
      <c r="L534" s="13">
        <v>0</v>
      </c>
      <c r="M534" s="13">
        <v>0</v>
      </c>
      <c r="N534" s="13">
        <v>0</v>
      </c>
      <c r="O534" s="68">
        <v>0</v>
      </c>
      <c r="P534" s="155">
        <f>VLOOKUP(Table323[[#This Row],[Census Tract]],'Population and Diversity Data'!$B$2:$K$823,10,FALSE)</f>
        <v>4</v>
      </c>
      <c r="Q534" s="155" t="str">
        <f>VLOOKUP(Table323[[#This Row],[Census Tract]],'ES Energy Burden'!$B$2:$E$914,4,FALSE)</f>
        <v>No</v>
      </c>
    </row>
    <row r="535" spans="1:17" x14ac:dyDescent="0.2">
      <c r="A535" s="101">
        <v>9001230100</v>
      </c>
      <c r="B535" s="102" t="s">
        <v>2814</v>
      </c>
      <c r="C535" s="104" t="s">
        <v>944</v>
      </c>
      <c r="D535" s="69">
        <v>176786.57828736003</v>
      </c>
      <c r="E535" s="69">
        <v>93877.471000000005</v>
      </c>
      <c r="F535" s="13">
        <f>[1]!Table323[[#This Row],[Single Family]]+[1]!Table323[[#This Row],[2-4 Units]]+[1]!Table323[[#This Row],[&gt;4 Units]]</f>
        <v>24</v>
      </c>
      <c r="G535" s="13">
        <v>24</v>
      </c>
      <c r="H535" s="13">
        <v>0</v>
      </c>
      <c r="I535" s="13">
        <v>0</v>
      </c>
      <c r="J535" s="68">
        <v>18104.113000000001</v>
      </c>
      <c r="K535">
        <f t="shared" si="8"/>
        <v>10</v>
      </c>
      <c r="L535" s="13">
        <v>10</v>
      </c>
      <c r="M535" s="13">
        <v>0</v>
      </c>
      <c r="N535" s="13">
        <v>0</v>
      </c>
      <c r="O535" s="68">
        <v>12073.1</v>
      </c>
      <c r="P535" s="155">
        <f>VLOOKUP(Table323[[#This Row],[Census Tract]],'Population and Diversity Data'!$B$2:$K$823,10,FALSE)</f>
        <v>2</v>
      </c>
      <c r="Q535" s="155" t="str">
        <f>VLOOKUP(Table323[[#This Row],[Census Tract]],'ES Energy Burden'!$B$2:$E$914,4,FALSE)</f>
        <v>No</v>
      </c>
    </row>
    <row r="536" spans="1:17" x14ac:dyDescent="0.2">
      <c r="A536" s="101">
        <v>9001230200</v>
      </c>
      <c r="B536" s="102" t="s">
        <v>2814</v>
      </c>
      <c r="C536" s="104" t="s">
        <v>944</v>
      </c>
      <c r="D536" s="69">
        <v>46297.806465599999</v>
      </c>
      <c r="E536" s="69">
        <v>12190.543</v>
      </c>
      <c r="F536" s="13">
        <f>[1]!Table323[[#This Row],[Single Family]]+[1]!Table323[[#This Row],[2-4 Units]]+[1]!Table323[[#This Row],[&gt;4 Units]]</f>
        <v>9</v>
      </c>
      <c r="G536" s="13">
        <v>9</v>
      </c>
      <c r="H536" s="13">
        <v>0</v>
      </c>
      <c r="I536" s="13">
        <v>0</v>
      </c>
      <c r="J536" s="68">
        <v>9195.7929999999997</v>
      </c>
      <c r="K536">
        <f t="shared" si="8"/>
        <v>0</v>
      </c>
      <c r="L536" s="13">
        <v>0</v>
      </c>
      <c r="M536" s="13">
        <v>0</v>
      </c>
      <c r="N536" s="13">
        <v>0</v>
      </c>
      <c r="O536" s="68">
        <v>0</v>
      </c>
      <c r="P536" s="155">
        <f>VLOOKUP(Table323[[#This Row],[Census Tract]],'Population and Diversity Data'!$B$2:$K$823,10,FALSE)</f>
        <v>2</v>
      </c>
      <c r="Q536" s="155" t="str">
        <f>VLOOKUP(Table323[[#This Row],[Census Tract]],'ES Energy Burden'!$B$2:$E$914,4,FALSE)</f>
        <v>No</v>
      </c>
    </row>
    <row r="537" spans="1:17" x14ac:dyDescent="0.2">
      <c r="A537" s="101">
        <v>9001230300</v>
      </c>
      <c r="B537" s="102" t="s">
        <v>2814</v>
      </c>
      <c r="C537" s="104" t="s">
        <v>944</v>
      </c>
      <c r="D537" s="69">
        <v>78817.512913920014</v>
      </c>
      <c r="E537" s="69">
        <v>22507.883300000001</v>
      </c>
      <c r="F537" s="13">
        <f>[1]!Table323[[#This Row],[Single Family]]+[1]!Table323[[#This Row],[2-4 Units]]+[1]!Table323[[#This Row],[&gt;4 Units]]</f>
        <v>20</v>
      </c>
      <c r="G537" s="13">
        <v>20</v>
      </c>
      <c r="H537" s="13">
        <v>0</v>
      </c>
      <c r="I537" s="13">
        <v>0</v>
      </c>
      <c r="J537" s="68">
        <v>22506.433300000001</v>
      </c>
      <c r="K537">
        <f t="shared" si="8"/>
        <v>0</v>
      </c>
      <c r="L537" s="13">
        <v>0</v>
      </c>
      <c r="M537" s="13">
        <v>0</v>
      </c>
      <c r="N537" s="13">
        <v>0</v>
      </c>
      <c r="O537" s="68">
        <v>0</v>
      </c>
      <c r="P537" s="155">
        <f>VLOOKUP(Table323[[#This Row],[Census Tract]],'Population and Diversity Data'!$B$2:$K$823,10,FALSE)</f>
        <v>1</v>
      </c>
      <c r="Q537" s="155" t="str">
        <f>VLOOKUP(Table323[[#This Row],[Census Tract]],'ES Energy Burden'!$B$2:$E$914,4,FALSE)</f>
        <v>No</v>
      </c>
    </row>
    <row r="538" spans="1:17" x14ac:dyDescent="0.2">
      <c r="A538" s="101">
        <v>9001230400</v>
      </c>
      <c r="B538" s="102" t="s">
        <v>2814</v>
      </c>
      <c r="C538" s="104" t="s">
        <v>944</v>
      </c>
      <c r="D538" s="69">
        <v>125089.12448064002</v>
      </c>
      <c r="E538" s="69">
        <v>19995.774300000001</v>
      </c>
      <c r="F538" s="13">
        <f>[1]!Table323[[#This Row],[Single Family]]+[1]!Table323[[#This Row],[2-4 Units]]+[1]!Table323[[#This Row],[&gt;4 Units]]</f>
        <v>19</v>
      </c>
      <c r="G538" s="13">
        <v>19</v>
      </c>
      <c r="H538" s="13">
        <v>0</v>
      </c>
      <c r="I538" s="13">
        <v>0</v>
      </c>
      <c r="J538" s="68">
        <v>15110.7243</v>
      </c>
      <c r="K538">
        <f t="shared" si="8"/>
        <v>0</v>
      </c>
      <c r="L538" s="13">
        <v>0</v>
      </c>
      <c r="M538" s="13">
        <v>0</v>
      </c>
      <c r="N538" s="13">
        <v>0</v>
      </c>
      <c r="O538" s="68">
        <v>0</v>
      </c>
      <c r="P538" s="155">
        <f>VLOOKUP(Table323[[#This Row],[Census Tract]],'Population and Diversity Data'!$B$2:$K$823,10,FALSE)</f>
        <v>2</v>
      </c>
      <c r="Q538" s="155" t="str">
        <f>VLOOKUP(Table323[[#This Row],[Census Tract]],'ES Energy Burden'!$B$2:$E$914,4,FALSE)</f>
        <v>No</v>
      </c>
    </row>
    <row r="539" spans="1:17" x14ac:dyDescent="0.2">
      <c r="A539" s="101">
        <v>9001230501</v>
      </c>
      <c r="B539" s="102" t="s">
        <v>2814</v>
      </c>
      <c r="C539" s="104" t="s">
        <v>944</v>
      </c>
      <c r="D539" s="69">
        <v>88437.196612800006</v>
      </c>
      <c r="E539" s="69">
        <v>18717.475399999999</v>
      </c>
      <c r="F539" s="13">
        <f>[1]!Table323[[#This Row],[Single Family]]+[1]!Table323[[#This Row],[2-4 Units]]+[1]!Table323[[#This Row],[&gt;4 Units]]</f>
        <v>17</v>
      </c>
      <c r="G539" s="13">
        <v>17</v>
      </c>
      <c r="H539" s="13">
        <v>0</v>
      </c>
      <c r="I539" s="13">
        <v>0</v>
      </c>
      <c r="J539" s="68">
        <v>18714.225399999999</v>
      </c>
      <c r="K539">
        <f t="shared" si="8"/>
        <v>0</v>
      </c>
      <c r="L539" s="13">
        <v>0</v>
      </c>
      <c r="M539" s="13">
        <v>0</v>
      </c>
      <c r="N539" s="13">
        <v>0</v>
      </c>
      <c r="O539" s="68">
        <v>0</v>
      </c>
      <c r="P539" s="155">
        <f>VLOOKUP(Table323[[#This Row],[Census Tract]],'Population and Diversity Data'!$B$2:$K$823,10,FALSE)</f>
        <v>2</v>
      </c>
      <c r="Q539" s="155" t="str">
        <f>VLOOKUP(Table323[[#This Row],[Census Tract]],'ES Energy Burden'!$B$2:$E$914,4,FALSE)</f>
        <v>No</v>
      </c>
    </row>
    <row r="540" spans="1:17" x14ac:dyDescent="0.2">
      <c r="A540" s="101">
        <v>9001230502</v>
      </c>
      <c r="B540" s="102" t="s">
        <v>2814</v>
      </c>
      <c r="C540" s="104" t="s">
        <v>944</v>
      </c>
      <c r="D540" s="69">
        <v>84605.596839359991</v>
      </c>
      <c r="E540" s="69">
        <v>9151.4843000000001</v>
      </c>
      <c r="F540" s="13">
        <f>[1]!Table323[[#This Row],[Single Family]]+[1]!Table323[[#This Row],[2-4 Units]]+[1]!Table323[[#This Row],[&gt;4 Units]]</f>
        <v>9</v>
      </c>
      <c r="G540" s="13">
        <v>9</v>
      </c>
      <c r="H540" s="13">
        <v>0</v>
      </c>
      <c r="I540" s="13">
        <v>0</v>
      </c>
      <c r="J540" s="68">
        <v>9150.0943000000007</v>
      </c>
      <c r="K540">
        <f t="shared" si="8"/>
        <v>0</v>
      </c>
      <c r="L540" s="13">
        <v>0</v>
      </c>
      <c r="M540" s="13">
        <v>0</v>
      </c>
      <c r="N540" s="13">
        <v>0</v>
      </c>
      <c r="O540" s="68">
        <v>0</v>
      </c>
      <c r="P540" s="155">
        <f>VLOOKUP(Table323[[#This Row],[Census Tract]],'Population and Diversity Data'!$B$2:$K$823,10,FALSE)</f>
        <v>2</v>
      </c>
      <c r="Q540" s="155" t="str">
        <f>VLOOKUP(Table323[[#This Row],[Census Tract]],'ES Energy Burden'!$B$2:$E$914,4,FALSE)</f>
        <v>No</v>
      </c>
    </row>
    <row r="541" spans="1:17" x14ac:dyDescent="0.2">
      <c r="A541" s="101">
        <v>9005296100</v>
      </c>
      <c r="B541" s="102" t="s">
        <v>2815</v>
      </c>
      <c r="C541" s="104" t="s">
        <v>944</v>
      </c>
      <c r="D541" s="69">
        <v>153.95313599999997</v>
      </c>
      <c r="E541" s="69">
        <v>0</v>
      </c>
      <c r="F541" s="13">
        <f>[1]!Table323[[#This Row],[Single Family]]+[1]!Table323[[#This Row],[2-4 Units]]+[1]!Table323[[#This Row],[&gt;4 Units]]</f>
        <v>0</v>
      </c>
      <c r="G541" s="13">
        <v>0</v>
      </c>
      <c r="H541" s="13">
        <v>0</v>
      </c>
      <c r="I541" s="13">
        <v>0</v>
      </c>
      <c r="J541" s="68">
        <v>0</v>
      </c>
      <c r="K541">
        <f t="shared" si="8"/>
        <v>0</v>
      </c>
      <c r="L541" s="13">
        <v>0</v>
      </c>
      <c r="M541" s="13">
        <v>0</v>
      </c>
      <c r="N541" s="13">
        <v>0</v>
      </c>
      <c r="O541" s="68">
        <v>0</v>
      </c>
      <c r="P541" s="155">
        <f>VLOOKUP(Table323[[#This Row],[Census Tract]],'Population and Diversity Data'!$B$2:$K$823,10,FALSE)</f>
        <v>3</v>
      </c>
      <c r="Q541" s="155" t="str">
        <f>VLOOKUP(Table323[[#This Row],[Census Tract]],'ES Energy Burden'!$B$2:$E$914,4,FALSE)</f>
        <v>No</v>
      </c>
    </row>
    <row r="542" spans="1:17" x14ac:dyDescent="0.2">
      <c r="A542" s="101">
        <v>9005425600</v>
      </c>
      <c r="B542" s="102" t="s">
        <v>2815</v>
      </c>
      <c r="C542" s="104" t="s">
        <v>944</v>
      </c>
      <c r="D542" s="69">
        <v>40182.115245120003</v>
      </c>
      <c r="E542" s="69">
        <v>13119.833199999999</v>
      </c>
      <c r="F542" s="13">
        <f>[1]!Table323[[#This Row],[Single Family]]+[1]!Table323[[#This Row],[2-4 Units]]+[1]!Table323[[#This Row],[&gt;4 Units]]</f>
        <v>5</v>
      </c>
      <c r="G542" s="13">
        <v>5</v>
      </c>
      <c r="H542" s="13">
        <v>0</v>
      </c>
      <c r="I542" s="13">
        <v>0</v>
      </c>
      <c r="J542" s="68">
        <v>6733.3832000000002</v>
      </c>
      <c r="K542">
        <f t="shared" si="8"/>
        <v>5</v>
      </c>
      <c r="L542" s="13">
        <v>5</v>
      </c>
      <c r="M542" s="13">
        <v>0</v>
      </c>
      <c r="N542" s="13">
        <v>0</v>
      </c>
      <c r="O542" s="68">
        <v>5247.91</v>
      </c>
      <c r="P542" s="155">
        <f>VLOOKUP(Table323[[#This Row],[Census Tract]],'Population and Diversity Data'!$B$2:$K$823,10,FALSE)</f>
        <v>1</v>
      </c>
      <c r="Q542" s="155" t="str">
        <f>VLOOKUP(Table323[[#This Row],[Census Tract]],'ES Energy Burden'!$B$2:$E$914,4,FALSE)</f>
        <v>No</v>
      </c>
    </row>
    <row r="543" spans="1:17" x14ac:dyDescent="0.2">
      <c r="A543" s="101">
        <v>9005260200</v>
      </c>
      <c r="B543" s="102" t="s">
        <v>2816</v>
      </c>
      <c r="C543" s="104" t="s">
        <v>944</v>
      </c>
      <c r="D543" s="69">
        <v>54207.331608959998</v>
      </c>
      <c r="E543" s="69">
        <v>18834.362000000001</v>
      </c>
      <c r="F543" s="13">
        <f>[1]!Table323[[#This Row],[Single Family]]+[1]!Table323[[#This Row],[2-4 Units]]+[1]!Table323[[#This Row],[&gt;4 Units]]</f>
        <v>1</v>
      </c>
      <c r="G543" s="13">
        <v>1</v>
      </c>
      <c r="H543" s="13">
        <v>0</v>
      </c>
      <c r="I543" s="13">
        <v>0</v>
      </c>
      <c r="J543" s="68">
        <v>4243.05</v>
      </c>
      <c r="K543">
        <f t="shared" si="8"/>
        <v>4</v>
      </c>
      <c r="L543" s="13">
        <v>4</v>
      </c>
      <c r="M543" s="13">
        <v>0</v>
      </c>
      <c r="N543" s="13">
        <v>0</v>
      </c>
      <c r="O543" s="68">
        <v>10571.7</v>
      </c>
      <c r="P543" s="155">
        <f>VLOOKUP(Table323[[#This Row],[Census Tract]],'Population and Diversity Data'!$B$2:$K$823,10,FALSE)</f>
        <v>1</v>
      </c>
      <c r="Q543" s="155" t="str">
        <f>VLOOKUP(Table323[[#This Row],[Census Tract]],'ES Energy Burden'!$B$2:$E$914,4,FALSE)</f>
        <v>No</v>
      </c>
    </row>
    <row r="544" spans="1:17" x14ac:dyDescent="0.2">
      <c r="A544" s="101">
        <v>9011707100</v>
      </c>
      <c r="B544" s="102" t="s">
        <v>2817</v>
      </c>
      <c r="C544" s="104" t="s">
        <v>944</v>
      </c>
      <c r="D544" s="69">
        <v>113517.0539424</v>
      </c>
      <c r="E544" s="69">
        <v>51278.805999999997</v>
      </c>
      <c r="F544" s="13">
        <f>[1]!Table323[[#This Row],[Single Family]]+[1]!Table323[[#This Row],[2-4 Units]]+[1]!Table323[[#This Row],[&gt;4 Units]]</f>
        <v>30</v>
      </c>
      <c r="G544" s="13">
        <v>30</v>
      </c>
      <c r="H544" s="13">
        <v>0</v>
      </c>
      <c r="I544" s="13">
        <v>0</v>
      </c>
      <c r="J544" s="68">
        <v>19357.905999999999</v>
      </c>
      <c r="K544">
        <f t="shared" si="8"/>
        <v>1</v>
      </c>
      <c r="L544" s="13">
        <v>1</v>
      </c>
      <c r="M544" s="13">
        <v>0</v>
      </c>
      <c r="N544" s="13">
        <v>0</v>
      </c>
      <c r="O544" s="68">
        <v>499.36</v>
      </c>
      <c r="P544" s="155">
        <f>VLOOKUP(Table323[[#This Row],[Census Tract]],'Population and Diversity Data'!$B$2:$K$823,10,FALSE)</f>
        <v>3</v>
      </c>
      <c r="Q544" s="155" t="str">
        <f>VLOOKUP(Table323[[#This Row],[Census Tract]],'ES Energy Burden'!$B$2:$E$914,4,FALSE)</f>
        <v>No</v>
      </c>
    </row>
    <row r="545" spans="1:17" x14ac:dyDescent="0.2">
      <c r="A545" s="101">
        <v>9011708100</v>
      </c>
      <c r="B545" s="102" t="s">
        <v>2817</v>
      </c>
      <c r="C545" s="104" t="s">
        <v>944</v>
      </c>
      <c r="D545" s="69">
        <v>176.22264960000001</v>
      </c>
      <c r="E545" s="69">
        <v>0</v>
      </c>
      <c r="F545" s="13">
        <f>[1]!Table323[[#This Row],[Single Family]]+[1]!Table323[[#This Row],[2-4 Units]]+[1]!Table323[[#This Row],[&gt;4 Units]]</f>
        <v>0</v>
      </c>
      <c r="G545" s="13">
        <v>0</v>
      </c>
      <c r="H545" s="13">
        <v>0</v>
      </c>
      <c r="I545" s="13">
        <v>0</v>
      </c>
      <c r="J545" s="68">
        <v>0</v>
      </c>
      <c r="K545">
        <f t="shared" si="8"/>
        <v>0</v>
      </c>
      <c r="L545" s="13">
        <v>0</v>
      </c>
      <c r="M545" s="13">
        <v>0</v>
      </c>
      <c r="N545" s="13">
        <v>0</v>
      </c>
      <c r="O545" s="68">
        <v>0</v>
      </c>
      <c r="P545" s="155">
        <f>VLOOKUP(Table323[[#This Row],[Census Tract]],'Population and Diversity Data'!$B$2:$K$823,10,FALSE)</f>
        <v>2</v>
      </c>
      <c r="Q545" s="155" t="str">
        <f>VLOOKUP(Table323[[#This Row],[Census Tract]],'ES Energy Burden'!$B$2:$E$914,4,FALSE)</f>
        <v>No</v>
      </c>
    </row>
    <row r="546" spans="1:17" x14ac:dyDescent="0.2">
      <c r="A546" s="101">
        <v>9001035300</v>
      </c>
      <c r="B546" s="102" t="s">
        <v>2818</v>
      </c>
      <c r="C546" s="104" t="s">
        <v>944</v>
      </c>
      <c r="D546" s="69">
        <v>1061.2722816</v>
      </c>
      <c r="E546" s="69">
        <v>0</v>
      </c>
      <c r="F546" s="13">
        <f>[1]!Table323[[#This Row],[Single Family]]+[1]!Table323[[#This Row],[2-4 Units]]+[1]!Table323[[#This Row],[&gt;4 Units]]</f>
        <v>0</v>
      </c>
      <c r="G546" s="13">
        <v>0</v>
      </c>
      <c r="H546" s="13">
        <v>0</v>
      </c>
      <c r="I546" s="13">
        <v>0</v>
      </c>
      <c r="J546" s="68">
        <v>0</v>
      </c>
      <c r="K546">
        <f t="shared" si="8"/>
        <v>0</v>
      </c>
      <c r="L546" s="13">
        <v>0</v>
      </c>
      <c r="M546" s="13">
        <v>0</v>
      </c>
      <c r="N546" s="13">
        <v>0</v>
      </c>
      <c r="O546" s="68">
        <v>0</v>
      </c>
      <c r="P546" s="155">
        <f>VLOOKUP(Table323[[#This Row],[Census Tract]],'Population and Diversity Data'!$B$2:$K$823,10,FALSE)</f>
        <v>3</v>
      </c>
      <c r="Q546" s="155" t="str">
        <f>VLOOKUP(Table323[[#This Row],[Census Tract]],'ES Energy Burden'!$B$2:$E$914,4,FALSE)</f>
        <v>No</v>
      </c>
    </row>
    <row r="547" spans="1:17" x14ac:dyDescent="0.2">
      <c r="A547" s="101">
        <v>9001035400</v>
      </c>
      <c r="B547" s="102" t="s">
        <v>2818</v>
      </c>
      <c r="C547" s="104" t="s">
        <v>944</v>
      </c>
      <c r="D547" s="69">
        <v>3028.5282326400002</v>
      </c>
      <c r="E547" s="69">
        <v>0</v>
      </c>
      <c r="F547" s="13">
        <f>[1]!Table323[[#This Row],[Single Family]]+[1]!Table323[[#This Row],[2-4 Units]]+[1]!Table323[[#This Row],[&gt;4 Units]]</f>
        <v>0</v>
      </c>
      <c r="G547" s="13">
        <v>0</v>
      </c>
      <c r="H547" s="13">
        <v>0</v>
      </c>
      <c r="I547" s="13">
        <v>0</v>
      </c>
      <c r="J547" s="68">
        <v>0</v>
      </c>
      <c r="K547">
        <f t="shared" si="8"/>
        <v>0</v>
      </c>
      <c r="L547" s="13">
        <v>0</v>
      </c>
      <c r="M547" s="13">
        <v>0</v>
      </c>
      <c r="N547" s="13">
        <v>0</v>
      </c>
      <c r="O547" s="68">
        <v>0</v>
      </c>
      <c r="P547" s="155">
        <f>VLOOKUP(Table323[[#This Row],[Census Tract]],'Population and Diversity Data'!$B$2:$K$823,10,FALSE)</f>
        <v>2</v>
      </c>
      <c r="Q547" s="155" t="str">
        <f>VLOOKUP(Table323[[#This Row],[Census Tract]],'ES Energy Burden'!$B$2:$E$914,4,FALSE)</f>
        <v>No</v>
      </c>
    </row>
    <row r="548" spans="1:17" x14ac:dyDescent="0.2">
      <c r="A548" s="101">
        <v>9001042500</v>
      </c>
      <c r="B548" s="102" t="s">
        <v>2818</v>
      </c>
      <c r="C548" s="104" t="s">
        <v>944</v>
      </c>
      <c r="D548" s="69">
        <v>83103.254467200008</v>
      </c>
      <c r="E548" s="69">
        <v>25488.235000000001</v>
      </c>
      <c r="F548" s="13">
        <f>[1]!Table323[[#This Row],[Single Family]]+[1]!Table323[[#This Row],[2-4 Units]]+[1]!Table323[[#This Row],[&gt;4 Units]]</f>
        <v>11</v>
      </c>
      <c r="G548" s="13">
        <v>11</v>
      </c>
      <c r="H548" s="13">
        <v>0</v>
      </c>
      <c r="I548" s="13">
        <v>0</v>
      </c>
      <c r="J548" s="68">
        <v>14094.434999999999</v>
      </c>
      <c r="K548">
        <f t="shared" si="8"/>
        <v>0</v>
      </c>
      <c r="L548" s="13">
        <v>0</v>
      </c>
      <c r="M548" s="13">
        <v>0</v>
      </c>
      <c r="N548" s="13">
        <v>0</v>
      </c>
      <c r="O548" s="68">
        <v>0</v>
      </c>
      <c r="P548" s="155">
        <f>VLOOKUP(Table323[[#This Row],[Census Tract]],'Population and Diversity Data'!$B$2:$K$823,10,FALSE)</f>
        <v>1</v>
      </c>
      <c r="Q548" s="155" t="str">
        <f>VLOOKUP(Table323[[#This Row],[Census Tract]],'ES Energy Burden'!$B$2:$E$914,4,FALSE)</f>
        <v>No</v>
      </c>
    </row>
    <row r="549" spans="1:17" x14ac:dyDescent="0.2">
      <c r="A549" s="101">
        <v>9001042600</v>
      </c>
      <c r="B549" s="102" t="s">
        <v>2818</v>
      </c>
      <c r="C549" s="104" t="s">
        <v>944</v>
      </c>
      <c r="D549" s="69">
        <v>81284.181955200009</v>
      </c>
      <c r="E549" s="69">
        <v>15735.29</v>
      </c>
      <c r="F549" s="13">
        <f>[1]!Table323[[#This Row],[Single Family]]+[1]!Table323[[#This Row],[2-4 Units]]+[1]!Table323[[#This Row],[&gt;4 Units]]</f>
        <v>15</v>
      </c>
      <c r="G549" s="13">
        <v>14</v>
      </c>
      <c r="H549" s="13">
        <v>1</v>
      </c>
      <c r="I549" s="13">
        <v>0</v>
      </c>
      <c r="J549" s="68">
        <v>15732.74</v>
      </c>
      <c r="K549">
        <f t="shared" si="8"/>
        <v>0</v>
      </c>
      <c r="L549" s="13">
        <v>0</v>
      </c>
      <c r="M549" s="13">
        <v>0</v>
      </c>
      <c r="N549" s="13">
        <v>0</v>
      </c>
      <c r="O549" s="68">
        <v>0</v>
      </c>
      <c r="P549" s="155">
        <f>VLOOKUP(Table323[[#This Row],[Census Tract]],'Population and Diversity Data'!$B$2:$K$823,10,FALSE)</f>
        <v>3</v>
      </c>
      <c r="Q549" s="155" t="str">
        <f>VLOOKUP(Table323[[#This Row],[Census Tract]],'ES Energy Burden'!$B$2:$E$914,4,FALSE)</f>
        <v>No</v>
      </c>
    </row>
    <row r="550" spans="1:17" x14ac:dyDescent="0.2">
      <c r="A550" s="101">
        <v>9001042700</v>
      </c>
      <c r="B550" s="102" t="s">
        <v>2818</v>
      </c>
      <c r="C550" s="104" t="s">
        <v>944</v>
      </c>
      <c r="D550" s="69">
        <v>85645.313366399991</v>
      </c>
      <c r="E550" s="69">
        <v>11611.1448</v>
      </c>
      <c r="F550" s="13">
        <f>[1]!Table323[[#This Row],[Single Family]]+[1]!Table323[[#This Row],[2-4 Units]]+[1]!Table323[[#This Row],[&gt;4 Units]]</f>
        <v>8</v>
      </c>
      <c r="G550" s="13">
        <v>8</v>
      </c>
      <c r="H550" s="13">
        <v>0</v>
      </c>
      <c r="I550" s="13">
        <v>0</v>
      </c>
      <c r="J550" s="68">
        <v>10908.3748</v>
      </c>
      <c r="K550">
        <f t="shared" si="8"/>
        <v>0</v>
      </c>
      <c r="L550" s="13">
        <v>0</v>
      </c>
      <c r="M550" s="13">
        <v>0</v>
      </c>
      <c r="N550" s="13">
        <v>0</v>
      </c>
      <c r="O550" s="68">
        <v>0</v>
      </c>
      <c r="P550" s="155">
        <f>VLOOKUP(Table323[[#This Row],[Census Tract]],'Population and Diversity Data'!$B$2:$K$823,10,FALSE)</f>
        <v>4</v>
      </c>
      <c r="Q550" s="155" t="str">
        <f>VLOOKUP(Table323[[#This Row],[Census Tract]],'ES Energy Burden'!$B$2:$E$914,4,FALSE)</f>
        <v>No</v>
      </c>
    </row>
    <row r="551" spans="1:17" x14ac:dyDescent="0.2">
      <c r="A551" s="101">
        <v>9001042800</v>
      </c>
      <c r="B551" s="102" t="s">
        <v>2818</v>
      </c>
      <c r="C551" s="104" t="s">
        <v>944</v>
      </c>
      <c r="D551" s="69">
        <v>115974.89911584</v>
      </c>
      <c r="E551" s="69">
        <v>22248.071899999999</v>
      </c>
      <c r="F551" s="13">
        <f>[1]!Table323[[#This Row],[Single Family]]+[1]!Table323[[#This Row],[2-4 Units]]+[1]!Table323[[#This Row],[&gt;4 Units]]</f>
        <v>16</v>
      </c>
      <c r="G551" s="13">
        <v>16</v>
      </c>
      <c r="H551" s="13">
        <v>0</v>
      </c>
      <c r="I551" s="13">
        <v>0</v>
      </c>
      <c r="J551" s="68">
        <v>14726.231900000001</v>
      </c>
      <c r="K551">
        <f t="shared" si="8"/>
        <v>0</v>
      </c>
      <c r="L551" s="13">
        <v>0</v>
      </c>
      <c r="M551" s="13">
        <v>0</v>
      </c>
      <c r="N551" s="13">
        <v>0</v>
      </c>
      <c r="O551" s="68">
        <v>0</v>
      </c>
      <c r="P551" s="155">
        <f>VLOOKUP(Table323[[#This Row],[Census Tract]],'Population and Diversity Data'!$B$2:$K$823,10,FALSE)</f>
        <v>3</v>
      </c>
      <c r="Q551" s="155" t="str">
        <f>VLOOKUP(Table323[[#This Row],[Census Tract]],'ES Energy Burden'!$B$2:$E$914,4,FALSE)</f>
        <v>No</v>
      </c>
    </row>
    <row r="552" spans="1:17" x14ac:dyDescent="0.2">
      <c r="A552" s="101">
        <v>9001042900</v>
      </c>
      <c r="B552" s="102" t="s">
        <v>2818</v>
      </c>
      <c r="C552" s="104" t="s">
        <v>944</v>
      </c>
      <c r="D552" s="69">
        <v>41161.070211839993</v>
      </c>
      <c r="E552" s="69">
        <v>22228.298200000001</v>
      </c>
      <c r="F552" s="13">
        <f>[1]!Table323[[#This Row],[Single Family]]+[1]!Table323[[#This Row],[2-4 Units]]+[1]!Table323[[#This Row],[&gt;4 Units]]</f>
        <v>11</v>
      </c>
      <c r="G552" s="13">
        <v>11</v>
      </c>
      <c r="H552" s="13">
        <v>0</v>
      </c>
      <c r="I552" s="13">
        <v>0</v>
      </c>
      <c r="J552" s="68">
        <v>12179.698200000001</v>
      </c>
      <c r="K552">
        <f t="shared" si="8"/>
        <v>0</v>
      </c>
      <c r="L552" s="13">
        <v>0</v>
      </c>
      <c r="M552" s="13">
        <v>0</v>
      </c>
      <c r="N552" s="13">
        <v>0</v>
      </c>
      <c r="O552" s="68">
        <v>0</v>
      </c>
      <c r="P552" s="155">
        <f>VLOOKUP(Table323[[#This Row],[Census Tract]],'Population and Diversity Data'!$B$2:$K$823,10,FALSE)</f>
        <v>1</v>
      </c>
      <c r="Q552" s="155" t="str">
        <f>VLOOKUP(Table323[[#This Row],[Census Tract]],'ES Energy Burden'!$B$2:$E$914,4,FALSE)</f>
        <v>No</v>
      </c>
    </row>
    <row r="553" spans="1:17" x14ac:dyDescent="0.2">
      <c r="A553" s="101">
        <v>9001043000</v>
      </c>
      <c r="B553" s="102" t="s">
        <v>2818</v>
      </c>
      <c r="C553" s="104" t="s">
        <v>944</v>
      </c>
      <c r="D553" s="69">
        <v>63115.726927679993</v>
      </c>
      <c r="E553" s="69">
        <v>13700.7127</v>
      </c>
      <c r="F553" s="13">
        <f>[1]!Table323[[#This Row],[Single Family]]+[1]!Table323[[#This Row],[2-4 Units]]+[1]!Table323[[#This Row],[&gt;4 Units]]</f>
        <v>15</v>
      </c>
      <c r="G553" s="13">
        <v>15</v>
      </c>
      <c r="H553" s="13">
        <v>0</v>
      </c>
      <c r="I553" s="13">
        <v>0</v>
      </c>
      <c r="J553" s="68">
        <v>13700.172699999999</v>
      </c>
      <c r="K553">
        <f t="shared" si="8"/>
        <v>0</v>
      </c>
      <c r="L553" s="13">
        <v>0</v>
      </c>
      <c r="M553" s="13">
        <v>0</v>
      </c>
      <c r="N553" s="13">
        <v>0</v>
      </c>
      <c r="O553" s="68">
        <v>0</v>
      </c>
      <c r="P553" s="155">
        <f>VLOOKUP(Table323[[#This Row],[Census Tract]],'Population and Diversity Data'!$B$2:$K$823,10,FALSE)</f>
        <v>3</v>
      </c>
      <c r="Q553" s="155" t="str">
        <f>VLOOKUP(Table323[[#This Row],[Census Tract]],'ES Energy Burden'!$B$2:$E$914,4,FALSE)</f>
        <v>No</v>
      </c>
    </row>
    <row r="554" spans="1:17" x14ac:dyDescent="0.2">
      <c r="A554" s="101">
        <v>9001043100</v>
      </c>
      <c r="B554" s="102" t="s">
        <v>2818</v>
      </c>
      <c r="C554" s="104" t="s">
        <v>944</v>
      </c>
      <c r="D554" s="69">
        <v>104499.4986432</v>
      </c>
      <c r="E554" s="69">
        <v>28444.488799999999</v>
      </c>
      <c r="F554" s="13">
        <f>[1]!Table323[[#This Row],[Single Family]]+[1]!Table323[[#This Row],[2-4 Units]]+[1]!Table323[[#This Row],[&gt;4 Units]]</f>
        <v>17</v>
      </c>
      <c r="G554" s="13">
        <v>17</v>
      </c>
      <c r="H554" s="13">
        <v>0</v>
      </c>
      <c r="I554" s="13">
        <v>0</v>
      </c>
      <c r="J554" s="68">
        <v>20558.578799999999</v>
      </c>
      <c r="K554">
        <f t="shared" si="8"/>
        <v>0</v>
      </c>
      <c r="L554" s="13">
        <v>0</v>
      </c>
      <c r="M554" s="13">
        <v>0</v>
      </c>
      <c r="N554" s="13">
        <v>0</v>
      </c>
      <c r="O554" s="68">
        <v>0</v>
      </c>
      <c r="P554" s="155">
        <f>VLOOKUP(Table323[[#This Row],[Census Tract]],'Population and Diversity Data'!$B$2:$K$823,10,FALSE)</f>
        <v>5</v>
      </c>
      <c r="Q554" s="155" t="str">
        <f>VLOOKUP(Table323[[#This Row],[Census Tract]],'ES Energy Burden'!$B$2:$E$914,4,FALSE)</f>
        <v>No</v>
      </c>
    </row>
    <row r="555" spans="1:17" x14ac:dyDescent="0.2">
      <c r="A555" s="101">
        <v>9001043200</v>
      </c>
      <c r="B555" s="102" t="s">
        <v>2818</v>
      </c>
      <c r="C555" s="104" t="s">
        <v>944</v>
      </c>
      <c r="D555" s="69">
        <v>59452.694694720005</v>
      </c>
      <c r="E555" s="69">
        <v>4285.76</v>
      </c>
      <c r="F555" s="13">
        <f>[1]!Table323[[#This Row],[Single Family]]+[1]!Table323[[#This Row],[2-4 Units]]+[1]!Table323[[#This Row],[&gt;4 Units]]</f>
        <v>5</v>
      </c>
      <c r="G555" s="13">
        <v>5</v>
      </c>
      <c r="H555" s="13">
        <v>0</v>
      </c>
      <c r="I555" s="13">
        <v>0</v>
      </c>
      <c r="J555" s="68">
        <v>4278.71</v>
      </c>
      <c r="K555">
        <f t="shared" si="8"/>
        <v>0</v>
      </c>
      <c r="L555" s="13">
        <v>0</v>
      </c>
      <c r="M555" s="13">
        <v>0</v>
      </c>
      <c r="N555" s="13">
        <v>0</v>
      </c>
      <c r="O555" s="68">
        <v>0</v>
      </c>
      <c r="P555" s="155">
        <f>VLOOKUP(Table323[[#This Row],[Census Tract]],'Population and Diversity Data'!$B$2:$K$823,10,FALSE)</f>
        <v>3</v>
      </c>
      <c r="Q555" s="155" t="str">
        <f>VLOOKUP(Table323[[#This Row],[Census Tract]],'ES Energy Burden'!$B$2:$E$914,4,FALSE)</f>
        <v>No</v>
      </c>
    </row>
    <row r="556" spans="1:17" x14ac:dyDescent="0.2">
      <c r="A556" s="101">
        <v>9001043300</v>
      </c>
      <c r="B556" s="102" t="s">
        <v>2818</v>
      </c>
      <c r="C556" s="104" t="s">
        <v>944</v>
      </c>
      <c r="D556" s="69">
        <v>64142.895072960004</v>
      </c>
      <c r="E556" s="69">
        <v>25985.81</v>
      </c>
      <c r="F556" s="13">
        <f>[1]!Table323[[#This Row],[Single Family]]+[1]!Table323[[#This Row],[2-4 Units]]+[1]!Table323[[#This Row],[&gt;4 Units]]</f>
        <v>10</v>
      </c>
      <c r="G556" s="13">
        <v>10</v>
      </c>
      <c r="H556" s="13">
        <v>0</v>
      </c>
      <c r="I556" s="13">
        <v>0</v>
      </c>
      <c r="J556" s="68">
        <v>7910.63</v>
      </c>
      <c r="K556">
        <f t="shared" si="8"/>
        <v>0</v>
      </c>
      <c r="L556" s="13">
        <v>0</v>
      </c>
      <c r="M556" s="13">
        <v>0</v>
      </c>
      <c r="N556" s="13">
        <v>0</v>
      </c>
      <c r="O556" s="68">
        <v>0</v>
      </c>
      <c r="P556" s="155">
        <f>VLOOKUP(Table323[[#This Row],[Census Tract]],'Population and Diversity Data'!$B$2:$K$823,10,FALSE)</f>
        <v>4</v>
      </c>
      <c r="Q556" s="155" t="str">
        <f>VLOOKUP(Table323[[#This Row],[Census Tract]],'ES Energy Burden'!$B$2:$E$914,4,FALSE)</f>
        <v>No</v>
      </c>
    </row>
    <row r="557" spans="1:17" x14ac:dyDescent="0.2">
      <c r="A557" s="101">
        <v>9001043400</v>
      </c>
      <c r="B557" s="102" t="s">
        <v>2818</v>
      </c>
      <c r="C557" s="104" t="s">
        <v>944</v>
      </c>
      <c r="D557" s="69">
        <v>65534.864711040005</v>
      </c>
      <c r="E557" s="69">
        <v>6121.5024000000003</v>
      </c>
      <c r="F557" s="13">
        <f>[1]!Table323[[#This Row],[Single Family]]+[1]!Table323[[#This Row],[2-4 Units]]+[1]!Table323[[#This Row],[&gt;4 Units]]</f>
        <v>1</v>
      </c>
      <c r="G557" s="13">
        <v>1</v>
      </c>
      <c r="H557" s="13">
        <v>0</v>
      </c>
      <c r="I557" s="13">
        <v>0</v>
      </c>
      <c r="J557" s="68">
        <v>76.260000000000005</v>
      </c>
      <c r="K557">
        <f t="shared" si="8"/>
        <v>0</v>
      </c>
      <c r="L557" s="13">
        <v>0</v>
      </c>
      <c r="M557" s="13">
        <v>0</v>
      </c>
      <c r="N557" s="13">
        <v>0</v>
      </c>
      <c r="O557" s="68">
        <v>0</v>
      </c>
      <c r="P557" s="155">
        <f>VLOOKUP(Table323[[#This Row],[Census Tract]],'Population and Diversity Data'!$B$2:$K$823,10,FALSE)</f>
        <v>5</v>
      </c>
      <c r="Q557" s="155" t="str">
        <f>VLOOKUP(Table323[[#This Row],[Census Tract]],'ES Energy Burden'!$B$2:$E$914,4,FALSE)</f>
        <v>No</v>
      </c>
    </row>
    <row r="558" spans="1:17" x14ac:dyDescent="0.2">
      <c r="A558" s="101">
        <v>9001043500</v>
      </c>
      <c r="B558" s="102" t="s">
        <v>2818</v>
      </c>
      <c r="C558" s="104" t="s">
        <v>944</v>
      </c>
      <c r="D558" s="69">
        <v>43101.77930496</v>
      </c>
      <c r="E558" s="69">
        <v>5348.7452000000003</v>
      </c>
      <c r="F558" s="13">
        <f>[1]!Table323[[#This Row],[Single Family]]+[1]!Table323[[#This Row],[2-4 Units]]+[1]!Table323[[#This Row],[&gt;4 Units]]</f>
        <v>6</v>
      </c>
      <c r="G558" s="13">
        <v>6</v>
      </c>
      <c r="H558" s="13">
        <v>0</v>
      </c>
      <c r="I558" s="13">
        <v>0</v>
      </c>
      <c r="J558" s="68">
        <v>2973.5952000000002</v>
      </c>
      <c r="K558">
        <f t="shared" si="8"/>
        <v>0</v>
      </c>
      <c r="L558" s="13">
        <v>0</v>
      </c>
      <c r="M558" s="13">
        <v>0</v>
      </c>
      <c r="N558" s="13">
        <v>0</v>
      </c>
      <c r="O558" s="68">
        <v>0</v>
      </c>
      <c r="P558" s="155">
        <f>VLOOKUP(Table323[[#This Row],[Census Tract]],'Population and Diversity Data'!$B$2:$K$823,10,FALSE)</f>
        <v>1</v>
      </c>
      <c r="Q558" s="155" t="str">
        <f>VLOOKUP(Table323[[#This Row],[Census Tract]],'ES Energy Burden'!$B$2:$E$914,4,FALSE)</f>
        <v>No</v>
      </c>
    </row>
    <row r="559" spans="1:17" x14ac:dyDescent="0.2">
      <c r="A559" s="101">
        <v>9001043600</v>
      </c>
      <c r="B559" s="102" t="s">
        <v>2818</v>
      </c>
      <c r="C559" s="104" t="s">
        <v>944</v>
      </c>
      <c r="D559" s="69">
        <v>52708.824316800004</v>
      </c>
      <c r="E559" s="69">
        <v>17760.28</v>
      </c>
      <c r="F559" s="13">
        <f>[1]!Table323[[#This Row],[Single Family]]+[1]!Table323[[#This Row],[2-4 Units]]+[1]!Table323[[#This Row],[&gt;4 Units]]</f>
        <v>12</v>
      </c>
      <c r="G559" s="13">
        <v>12</v>
      </c>
      <c r="H559" s="13">
        <v>0</v>
      </c>
      <c r="I559" s="13">
        <v>0</v>
      </c>
      <c r="J559" s="68">
        <v>7302.55</v>
      </c>
      <c r="K559">
        <f t="shared" si="8"/>
        <v>0</v>
      </c>
      <c r="L559" s="13">
        <v>0</v>
      </c>
      <c r="M559" s="13">
        <v>0</v>
      </c>
      <c r="N559" s="13">
        <v>0</v>
      </c>
      <c r="O559" s="68">
        <v>0</v>
      </c>
      <c r="P559" s="155">
        <f>VLOOKUP(Table323[[#This Row],[Census Tract]],'Population and Diversity Data'!$B$2:$K$823,10,FALSE)</f>
        <v>4</v>
      </c>
      <c r="Q559" s="155" t="str">
        <f>VLOOKUP(Table323[[#This Row],[Census Tract]],'ES Energy Burden'!$B$2:$E$914,4,FALSE)</f>
        <v>No</v>
      </c>
    </row>
    <row r="560" spans="1:17" x14ac:dyDescent="0.2">
      <c r="A560" s="101">
        <v>9001043700</v>
      </c>
      <c r="B560" s="102" t="s">
        <v>2818</v>
      </c>
      <c r="C560" s="104" t="s">
        <v>944</v>
      </c>
      <c r="D560" s="69">
        <v>48043.2251808</v>
      </c>
      <c r="E560" s="69">
        <v>204.88</v>
      </c>
      <c r="F560" s="13">
        <f>[1]!Table323[[#This Row],[Single Family]]+[1]!Table323[[#This Row],[2-4 Units]]+[1]!Table323[[#This Row],[&gt;4 Units]]</f>
        <v>1</v>
      </c>
      <c r="G560" s="13">
        <v>1</v>
      </c>
      <c r="H560" s="13">
        <v>0</v>
      </c>
      <c r="I560" s="13">
        <v>0</v>
      </c>
      <c r="J560" s="68">
        <v>202.64</v>
      </c>
      <c r="K560">
        <f t="shared" si="8"/>
        <v>0</v>
      </c>
      <c r="L560" s="13">
        <v>0</v>
      </c>
      <c r="M560" s="13">
        <v>0</v>
      </c>
      <c r="N560" s="13">
        <v>0</v>
      </c>
      <c r="O560" s="68">
        <v>0</v>
      </c>
      <c r="P560" s="155">
        <f>VLOOKUP(Table323[[#This Row],[Census Tract]],'Population and Diversity Data'!$B$2:$K$823,10,FALSE)</f>
        <v>4</v>
      </c>
      <c r="Q560" s="155" t="str">
        <f>VLOOKUP(Table323[[#This Row],[Census Tract]],'ES Energy Burden'!$B$2:$E$914,4,FALSE)</f>
        <v>No</v>
      </c>
    </row>
    <row r="561" spans="1:17" x14ac:dyDescent="0.2">
      <c r="A561" s="101">
        <v>9001043800</v>
      </c>
      <c r="B561" s="102" t="s">
        <v>2818</v>
      </c>
      <c r="C561" s="104" t="s">
        <v>944</v>
      </c>
      <c r="D561" s="69">
        <v>111989.26689984</v>
      </c>
      <c r="E561" s="69">
        <v>20916.12</v>
      </c>
      <c r="F561" s="13">
        <f>[1]!Table323[[#This Row],[Single Family]]+[1]!Table323[[#This Row],[2-4 Units]]+[1]!Table323[[#This Row],[&gt;4 Units]]</f>
        <v>14</v>
      </c>
      <c r="G561" s="13">
        <v>13</v>
      </c>
      <c r="H561" s="13">
        <v>1</v>
      </c>
      <c r="I561" s="13">
        <v>0</v>
      </c>
      <c r="J561" s="68">
        <v>10391.48</v>
      </c>
      <c r="K561">
        <f t="shared" si="8"/>
        <v>0</v>
      </c>
      <c r="L561" s="13">
        <v>0</v>
      </c>
      <c r="M561" s="13">
        <v>0</v>
      </c>
      <c r="N561" s="13">
        <v>0</v>
      </c>
      <c r="O561" s="68">
        <v>0</v>
      </c>
      <c r="P561" s="155">
        <f>VLOOKUP(Table323[[#This Row],[Census Tract]],'Population and Diversity Data'!$B$2:$K$823,10,FALSE)</f>
        <v>4</v>
      </c>
      <c r="Q561" s="155" t="str">
        <f>VLOOKUP(Table323[[#This Row],[Census Tract]],'ES Energy Burden'!$B$2:$E$914,4,FALSE)</f>
        <v>No</v>
      </c>
    </row>
    <row r="562" spans="1:17" x14ac:dyDescent="0.2">
      <c r="A562" s="101">
        <v>9001043900</v>
      </c>
      <c r="B562" s="102" t="s">
        <v>2818</v>
      </c>
      <c r="C562" s="104" t="s">
        <v>944</v>
      </c>
      <c r="D562" s="69">
        <v>84960.330451200018</v>
      </c>
      <c r="E562" s="69">
        <v>29575.041700000002</v>
      </c>
      <c r="F562" s="13">
        <f>[1]!Table323[[#This Row],[Single Family]]+[1]!Table323[[#This Row],[2-4 Units]]+[1]!Table323[[#This Row],[&gt;4 Units]]</f>
        <v>19</v>
      </c>
      <c r="G562" s="13">
        <v>18</v>
      </c>
      <c r="H562" s="13">
        <v>1</v>
      </c>
      <c r="I562" s="13">
        <v>0</v>
      </c>
      <c r="J562" s="68">
        <v>15287.1517</v>
      </c>
      <c r="K562">
        <f t="shared" si="8"/>
        <v>0</v>
      </c>
      <c r="L562" s="13">
        <v>0</v>
      </c>
      <c r="M562" s="13">
        <v>0</v>
      </c>
      <c r="N562" s="13">
        <v>0</v>
      </c>
      <c r="O562" s="68">
        <v>0</v>
      </c>
      <c r="P562" s="155">
        <f>VLOOKUP(Table323[[#This Row],[Census Tract]],'Population and Diversity Data'!$B$2:$K$823,10,FALSE)</f>
        <v>5</v>
      </c>
      <c r="Q562" s="155" t="str">
        <f>VLOOKUP(Table323[[#This Row],[Census Tract]],'ES Energy Burden'!$B$2:$E$914,4,FALSE)</f>
        <v>No</v>
      </c>
    </row>
    <row r="563" spans="1:17" x14ac:dyDescent="0.2">
      <c r="A563" s="101">
        <v>9001044000</v>
      </c>
      <c r="B563" s="102" t="s">
        <v>2818</v>
      </c>
      <c r="C563" s="104" t="s">
        <v>944</v>
      </c>
      <c r="D563" s="69">
        <v>9493.4351807999992</v>
      </c>
      <c r="E563" s="69">
        <v>1151.32</v>
      </c>
      <c r="F563" s="13">
        <f>[1]!Table323[[#This Row],[Single Family]]+[1]!Table323[[#This Row],[2-4 Units]]+[1]!Table323[[#This Row],[&gt;4 Units]]</f>
        <v>1</v>
      </c>
      <c r="G563" s="13">
        <v>1</v>
      </c>
      <c r="H563" s="13">
        <v>0</v>
      </c>
      <c r="I563" s="13">
        <v>0</v>
      </c>
      <c r="J563" s="68">
        <v>1143.79</v>
      </c>
      <c r="K563">
        <f t="shared" si="8"/>
        <v>0</v>
      </c>
      <c r="L563" s="13">
        <v>0</v>
      </c>
      <c r="M563" s="13">
        <v>0</v>
      </c>
      <c r="N563" s="13">
        <v>0</v>
      </c>
      <c r="O563" s="68">
        <v>0</v>
      </c>
      <c r="P563" s="155">
        <f>VLOOKUP(Table323[[#This Row],[Census Tract]],'Population and Diversity Data'!$B$2:$K$823,10,FALSE)</f>
        <v>4</v>
      </c>
      <c r="Q563" s="155" t="str">
        <f>VLOOKUP(Table323[[#This Row],[Census Tract]],'ES Energy Burden'!$B$2:$E$914,4,FALSE)</f>
        <v>No</v>
      </c>
    </row>
    <row r="564" spans="1:17" x14ac:dyDescent="0.2">
      <c r="A564" s="101">
        <v>9001044200</v>
      </c>
      <c r="B564" s="102" t="s">
        <v>2818</v>
      </c>
      <c r="C564" s="104" t="s">
        <v>944</v>
      </c>
      <c r="D564" s="69">
        <v>1613.0028096000001</v>
      </c>
      <c r="E564" s="69">
        <v>0</v>
      </c>
      <c r="F564" s="13">
        <f>[1]!Table323[[#This Row],[Single Family]]+[1]!Table323[[#This Row],[2-4 Units]]+[1]!Table323[[#This Row],[&gt;4 Units]]</f>
        <v>0</v>
      </c>
      <c r="G564" s="13">
        <v>0</v>
      </c>
      <c r="H564" s="13">
        <v>0</v>
      </c>
      <c r="I564" s="13">
        <v>0</v>
      </c>
      <c r="J564" s="68">
        <v>0</v>
      </c>
      <c r="K564">
        <f t="shared" si="8"/>
        <v>0</v>
      </c>
      <c r="L564" s="13">
        <v>0</v>
      </c>
      <c r="M564" s="13">
        <v>0</v>
      </c>
      <c r="N564" s="13">
        <v>0</v>
      </c>
      <c r="O564" s="68">
        <v>0</v>
      </c>
      <c r="P564" s="155">
        <f>VLOOKUP(Table323[[#This Row],[Census Tract]],'Population and Diversity Data'!$B$2:$K$823,10,FALSE)</f>
        <v>4</v>
      </c>
      <c r="Q564" s="155" t="str">
        <f>VLOOKUP(Table323[[#This Row],[Census Tract]],'ES Energy Burden'!$B$2:$E$914,4,FALSE)</f>
        <v>No</v>
      </c>
    </row>
    <row r="565" spans="1:17" x14ac:dyDescent="0.2">
      <c r="A565" s="101">
        <v>9001044300</v>
      </c>
      <c r="B565" s="102" t="s">
        <v>2818</v>
      </c>
      <c r="C565" s="104" t="s">
        <v>944</v>
      </c>
      <c r="D565" s="69">
        <v>5216.0098175999992</v>
      </c>
      <c r="E565" s="69">
        <v>0</v>
      </c>
      <c r="F565" s="13">
        <f>[1]!Table323[[#This Row],[Single Family]]+[1]!Table323[[#This Row],[2-4 Units]]+[1]!Table323[[#This Row],[&gt;4 Units]]</f>
        <v>0</v>
      </c>
      <c r="G565" s="13">
        <v>0</v>
      </c>
      <c r="H565" s="13">
        <v>0</v>
      </c>
      <c r="I565" s="13">
        <v>0</v>
      </c>
      <c r="J565" s="68">
        <v>0</v>
      </c>
      <c r="K565">
        <f t="shared" si="8"/>
        <v>0</v>
      </c>
      <c r="L565" s="13">
        <v>0</v>
      </c>
      <c r="M565" s="13">
        <v>0</v>
      </c>
      <c r="N565" s="13">
        <v>0</v>
      </c>
      <c r="O565" s="68">
        <v>0</v>
      </c>
      <c r="P565" s="155">
        <f>VLOOKUP(Table323[[#This Row],[Census Tract]],'Population and Diversity Data'!$B$2:$K$823,10,FALSE)</f>
        <v>3</v>
      </c>
      <c r="Q565" s="155" t="str">
        <f>VLOOKUP(Table323[[#This Row],[Census Tract]],'ES Energy Burden'!$B$2:$E$914,4,FALSE)</f>
        <v>No</v>
      </c>
    </row>
    <row r="566" spans="1:17" x14ac:dyDescent="0.2">
      <c r="A566" s="101">
        <v>9001044400</v>
      </c>
      <c r="B566" s="102" t="s">
        <v>2818</v>
      </c>
      <c r="C566" s="104" t="s">
        <v>944</v>
      </c>
      <c r="D566" s="69">
        <v>12491.628364799999</v>
      </c>
      <c r="E566" s="69">
        <v>297.27</v>
      </c>
      <c r="F566" s="13">
        <f>[1]!Table323[[#This Row],[Single Family]]+[1]!Table323[[#This Row],[2-4 Units]]+[1]!Table323[[#This Row],[&gt;4 Units]]</f>
        <v>1</v>
      </c>
      <c r="G566" s="13">
        <v>1</v>
      </c>
      <c r="H566" s="13">
        <v>0</v>
      </c>
      <c r="I566" s="13">
        <v>0</v>
      </c>
      <c r="J566" s="68">
        <v>296.18</v>
      </c>
      <c r="K566">
        <f t="shared" si="8"/>
        <v>0</v>
      </c>
      <c r="L566" s="13">
        <v>0</v>
      </c>
      <c r="M566" s="13">
        <v>0</v>
      </c>
      <c r="N566" s="13">
        <v>0</v>
      </c>
      <c r="O566" s="68">
        <v>0</v>
      </c>
      <c r="P566" s="155">
        <f>VLOOKUP(Table323[[#This Row],[Census Tract]],'Population and Diversity Data'!$B$2:$K$823,10,FALSE)</f>
        <v>2</v>
      </c>
      <c r="Q566" s="155" t="str">
        <f>VLOOKUP(Table323[[#This Row],[Census Tract]],'ES Energy Burden'!$B$2:$E$914,4,FALSE)</f>
        <v>No</v>
      </c>
    </row>
    <row r="567" spans="1:17" x14ac:dyDescent="0.2">
      <c r="A567" s="101">
        <v>9001044500</v>
      </c>
      <c r="B567" s="102" t="s">
        <v>2818</v>
      </c>
      <c r="C567" s="104" t="s">
        <v>944</v>
      </c>
      <c r="D567" s="69">
        <v>22822.7260608</v>
      </c>
      <c r="E567" s="69">
        <v>1502.88</v>
      </c>
      <c r="F567" s="13">
        <f>[1]!Table323[[#This Row],[Single Family]]+[1]!Table323[[#This Row],[2-4 Units]]+[1]!Table323[[#This Row],[&gt;4 Units]]</f>
        <v>0</v>
      </c>
      <c r="G567" s="13">
        <v>0</v>
      </c>
      <c r="H567" s="13">
        <v>0</v>
      </c>
      <c r="I567" s="13">
        <v>0</v>
      </c>
      <c r="J567" s="68">
        <v>0</v>
      </c>
      <c r="K567">
        <f t="shared" si="8"/>
        <v>0</v>
      </c>
      <c r="L567" s="13">
        <v>0</v>
      </c>
      <c r="M567" s="13">
        <v>0</v>
      </c>
      <c r="N567" s="13">
        <v>0</v>
      </c>
      <c r="O567" s="68">
        <v>0</v>
      </c>
      <c r="P567" s="155">
        <f>VLOOKUP(Table323[[#This Row],[Census Tract]],'Population and Diversity Data'!$B$2:$K$823,10,FALSE)</f>
        <v>3</v>
      </c>
      <c r="Q567" s="155" t="str">
        <f>VLOOKUP(Table323[[#This Row],[Census Tract]],'ES Energy Burden'!$B$2:$E$914,4,FALSE)</f>
        <v>No</v>
      </c>
    </row>
    <row r="568" spans="1:17" x14ac:dyDescent="0.2">
      <c r="A568" s="101">
        <v>9001044600</v>
      </c>
      <c r="B568" s="102" t="s">
        <v>2818</v>
      </c>
      <c r="C568" s="104" t="s">
        <v>944</v>
      </c>
      <c r="D568" s="69">
        <v>156777.56272223999</v>
      </c>
      <c r="E568" s="69">
        <v>950399.07779999904</v>
      </c>
      <c r="F568" s="13">
        <f>[1]!Table323[[#This Row],[Single Family]]+[1]!Table323[[#This Row],[2-4 Units]]+[1]!Table323[[#This Row],[&gt;4 Units]]</f>
        <v>159</v>
      </c>
      <c r="G568" s="13">
        <v>19</v>
      </c>
      <c r="H568" s="13">
        <v>0</v>
      </c>
      <c r="I568" s="13">
        <v>140</v>
      </c>
      <c r="J568" s="68">
        <v>36460.29</v>
      </c>
      <c r="K568">
        <f t="shared" si="8"/>
        <v>98</v>
      </c>
      <c r="L568" s="13">
        <v>71</v>
      </c>
      <c r="M568" s="13">
        <v>0</v>
      </c>
      <c r="N568" s="13">
        <v>27</v>
      </c>
      <c r="O568" s="68">
        <v>683694</v>
      </c>
      <c r="P568" s="155">
        <f>VLOOKUP(Table323[[#This Row],[Census Tract]],'Population and Diversity Data'!$B$2:$K$823,10,FALSE)</f>
        <v>1</v>
      </c>
      <c r="Q568" s="155" t="str">
        <f>VLOOKUP(Table323[[#This Row],[Census Tract]],'ES Energy Burden'!$B$2:$E$914,4,FALSE)</f>
        <v>No</v>
      </c>
    </row>
    <row r="569" spans="1:17" x14ac:dyDescent="0.2">
      <c r="A569" s="101">
        <v>9001045300</v>
      </c>
      <c r="B569" s="102" t="s">
        <v>2818</v>
      </c>
      <c r="C569" s="104" t="s">
        <v>944</v>
      </c>
      <c r="D569" s="69">
        <v>471.47460479999995</v>
      </c>
      <c r="E569" s="69">
        <v>0</v>
      </c>
      <c r="F569" s="13">
        <f>[1]!Table323[[#This Row],[Single Family]]+[1]!Table323[[#This Row],[2-4 Units]]+[1]!Table323[[#This Row],[&gt;4 Units]]</f>
        <v>0</v>
      </c>
      <c r="G569" s="13">
        <v>0</v>
      </c>
      <c r="H569" s="13">
        <v>0</v>
      </c>
      <c r="I569" s="13">
        <v>0</v>
      </c>
      <c r="J569" s="68">
        <v>0</v>
      </c>
      <c r="K569">
        <f t="shared" si="8"/>
        <v>0</v>
      </c>
      <c r="L569" s="13">
        <v>0</v>
      </c>
      <c r="M569" s="13">
        <v>0</v>
      </c>
      <c r="N569" s="13">
        <v>0</v>
      </c>
      <c r="O569" s="68">
        <v>0</v>
      </c>
      <c r="P569" s="155">
        <f>VLOOKUP(Table323[[#This Row],[Census Tract]],'Population and Diversity Data'!$B$2:$K$823,10,FALSE)</f>
        <v>4</v>
      </c>
      <c r="Q569" s="155" t="str">
        <f>VLOOKUP(Table323[[#This Row],[Census Tract]],'ES Energy Burden'!$B$2:$E$914,4,FALSE)</f>
        <v>No</v>
      </c>
    </row>
    <row r="570" spans="1:17" x14ac:dyDescent="0.2">
      <c r="A570" s="101">
        <v>9001045400</v>
      </c>
      <c r="B570" s="102" t="s">
        <v>2818</v>
      </c>
      <c r="C570" s="104" t="s">
        <v>944</v>
      </c>
      <c r="D570" s="69">
        <v>3578.4509184000003</v>
      </c>
      <c r="E570" s="69">
        <v>0</v>
      </c>
      <c r="F570" s="13">
        <f>[1]!Table323[[#This Row],[Single Family]]+[1]!Table323[[#This Row],[2-4 Units]]+[1]!Table323[[#This Row],[&gt;4 Units]]</f>
        <v>0</v>
      </c>
      <c r="G570" s="13">
        <v>0</v>
      </c>
      <c r="H570" s="13">
        <v>0</v>
      </c>
      <c r="I570" s="13">
        <v>0</v>
      </c>
      <c r="J570" s="68">
        <v>0</v>
      </c>
      <c r="K570">
        <f t="shared" si="8"/>
        <v>0</v>
      </c>
      <c r="L570" s="13">
        <v>0</v>
      </c>
      <c r="M570" s="13">
        <v>0</v>
      </c>
      <c r="N570" s="13">
        <v>0</v>
      </c>
      <c r="O570" s="68">
        <v>0</v>
      </c>
      <c r="P570" s="155">
        <f>VLOOKUP(Table323[[#This Row],[Census Tract]],'Population and Diversity Data'!$B$2:$K$823,10,FALSE)</f>
        <v>4</v>
      </c>
      <c r="Q570" s="155" t="str">
        <f>VLOOKUP(Table323[[#This Row],[Census Tract]],'ES Energy Burden'!$B$2:$E$914,4,FALSE)</f>
        <v>No</v>
      </c>
    </row>
    <row r="571" spans="1:17" x14ac:dyDescent="0.2">
      <c r="A571" s="101">
        <v>9001050400</v>
      </c>
      <c r="B571" s="102" t="s">
        <v>2818</v>
      </c>
      <c r="C571" s="104" t="s">
        <v>944</v>
      </c>
      <c r="D571" s="69">
        <v>42.460847999999999</v>
      </c>
      <c r="E571" s="69">
        <v>0</v>
      </c>
      <c r="F571" s="13">
        <f>[1]!Table323[[#This Row],[Single Family]]+[1]!Table323[[#This Row],[2-4 Units]]+[1]!Table323[[#This Row],[&gt;4 Units]]</f>
        <v>0</v>
      </c>
      <c r="G571" s="13">
        <v>0</v>
      </c>
      <c r="H571" s="13">
        <v>0</v>
      </c>
      <c r="I571" s="13">
        <v>0</v>
      </c>
      <c r="J571" s="68">
        <v>0</v>
      </c>
      <c r="K571">
        <f t="shared" si="8"/>
        <v>0</v>
      </c>
      <c r="L571" s="13">
        <v>0</v>
      </c>
      <c r="M571" s="13">
        <v>0</v>
      </c>
      <c r="N571" s="13">
        <v>0</v>
      </c>
      <c r="O571" s="68">
        <v>0</v>
      </c>
      <c r="P571" s="155">
        <f>VLOOKUP(Table323[[#This Row],[Census Tract]],'Population and Diversity Data'!$B$2:$K$823,10,FALSE)</f>
        <v>3</v>
      </c>
      <c r="Q571" s="155" t="str">
        <f>VLOOKUP(Table323[[#This Row],[Census Tract]],'ES Energy Burden'!$B$2:$E$914,4,FALSE)</f>
        <v>No</v>
      </c>
    </row>
    <row r="572" spans="1:17" x14ac:dyDescent="0.2">
      <c r="A572" s="101">
        <v>9011650100</v>
      </c>
      <c r="B572" s="102" t="s">
        <v>2819</v>
      </c>
      <c r="C572" s="104" t="s">
        <v>944</v>
      </c>
      <c r="D572" s="69">
        <v>4295.9437343999998</v>
      </c>
      <c r="E572" s="69">
        <v>4218.2299999999996</v>
      </c>
      <c r="F572" s="13">
        <f>[1]!Table323[[#This Row],[Single Family]]+[1]!Table323[[#This Row],[2-4 Units]]+[1]!Table323[[#This Row],[&gt;4 Units]]</f>
        <v>2</v>
      </c>
      <c r="G572" s="13">
        <v>2</v>
      </c>
      <c r="H572" s="13">
        <v>0</v>
      </c>
      <c r="I572" s="13">
        <v>0</v>
      </c>
      <c r="J572" s="68">
        <v>1376.22</v>
      </c>
      <c r="K572">
        <f t="shared" si="8"/>
        <v>0</v>
      </c>
      <c r="L572" s="13">
        <v>0</v>
      </c>
      <c r="M572" s="13">
        <v>0</v>
      </c>
      <c r="N572" s="13">
        <v>0</v>
      </c>
      <c r="O572" s="68">
        <v>0</v>
      </c>
      <c r="P572" s="155">
        <f>VLOOKUP(Table323[[#This Row],[Census Tract]],'Population and Diversity Data'!$B$2:$K$823,10,FALSE)</f>
        <v>1</v>
      </c>
      <c r="Q572" s="155" t="str">
        <f>VLOOKUP(Table323[[#This Row],[Census Tract]],'ES Energy Burden'!$B$2:$E$914,4,FALSE)</f>
        <v>No</v>
      </c>
    </row>
    <row r="573" spans="1:17" x14ac:dyDescent="0.2">
      <c r="A573" s="101">
        <v>9011660101</v>
      </c>
      <c r="B573" s="102" t="s">
        <v>2819</v>
      </c>
      <c r="C573" s="104" t="s">
        <v>944</v>
      </c>
      <c r="D573" s="69">
        <v>111864.65082335999</v>
      </c>
      <c r="E573" s="69">
        <v>24522.071</v>
      </c>
      <c r="F573" s="13">
        <f>[1]!Table323[[#This Row],[Single Family]]+[1]!Table323[[#This Row],[2-4 Units]]+[1]!Table323[[#This Row],[&gt;4 Units]]</f>
        <v>22</v>
      </c>
      <c r="G573" s="13">
        <v>22</v>
      </c>
      <c r="H573" s="13">
        <v>0</v>
      </c>
      <c r="I573" s="13">
        <v>0</v>
      </c>
      <c r="J573" s="68">
        <v>23137.580999999998</v>
      </c>
      <c r="K573">
        <f t="shared" si="8"/>
        <v>0</v>
      </c>
      <c r="L573" s="13">
        <v>0</v>
      </c>
      <c r="M573" s="13">
        <v>0</v>
      </c>
      <c r="N573" s="13">
        <v>0</v>
      </c>
      <c r="O573" s="68">
        <v>0</v>
      </c>
      <c r="P573" s="155">
        <f>VLOOKUP(Table323[[#This Row],[Census Tract]],'Population and Diversity Data'!$B$2:$K$823,10,FALSE)</f>
        <v>2</v>
      </c>
      <c r="Q573" s="155" t="str">
        <f>VLOOKUP(Table323[[#This Row],[Census Tract]],'ES Energy Burden'!$B$2:$E$914,4,FALSE)</f>
        <v>No</v>
      </c>
    </row>
    <row r="574" spans="1:17" x14ac:dyDescent="0.2">
      <c r="A574" s="101">
        <v>9011660102</v>
      </c>
      <c r="B574" s="102" t="s">
        <v>2819</v>
      </c>
      <c r="C574" s="104" t="s">
        <v>944</v>
      </c>
      <c r="D574" s="69">
        <v>118541.5152624</v>
      </c>
      <c r="E574" s="69">
        <v>90947.921300000002</v>
      </c>
      <c r="F574" s="13">
        <f>[1]!Table323[[#This Row],[Single Family]]+[1]!Table323[[#This Row],[2-4 Units]]+[1]!Table323[[#This Row],[&gt;4 Units]]</f>
        <v>31</v>
      </c>
      <c r="G574" s="13">
        <v>31</v>
      </c>
      <c r="H574" s="13">
        <v>0</v>
      </c>
      <c r="I574" s="13">
        <v>0</v>
      </c>
      <c r="J574" s="68">
        <v>30414.032800000001</v>
      </c>
      <c r="K574">
        <f t="shared" si="8"/>
        <v>6</v>
      </c>
      <c r="L574" s="13">
        <v>6</v>
      </c>
      <c r="M574" s="13">
        <v>0</v>
      </c>
      <c r="N574" s="13">
        <v>0</v>
      </c>
      <c r="O574" s="68">
        <v>10133.200000000001</v>
      </c>
      <c r="P574" s="155">
        <f>VLOOKUP(Table323[[#This Row],[Census Tract]],'Population and Diversity Data'!$B$2:$K$823,10,FALSE)</f>
        <v>1</v>
      </c>
      <c r="Q574" s="155" t="str">
        <f>VLOOKUP(Table323[[#This Row],[Census Tract]],'ES Energy Burden'!$B$2:$E$914,4,FALSE)</f>
        <v>No</v>
      </c>
    </row>
    <row r="575" spans="1:17" x14ac:dyDescent="0.2">
      <c r="A575" s="101">
        <v>9007670100</v>
      </c>
      <c r="B575" s="102" t="s">
        <v>2820</v>
      </c>
      <c r="C575" s="104" t="s">
        <v>944</v>
      </c>
      <c r="D575" s="69">
        <v>123009.35741279999</v>
      </c>
      <c r="E575" s="69">
        <v>22006.809000000001</v>
      </c>
      <c r="F575" s="13">
        <f>[1]!Table323[[#This Row],[Single Family]]+[1]!Table323[[#This Row],[2-4 Units]]+[1]!Table323[[#This Row],[&gt;4 Units]]</f>
        <v>24</v>
      </c>
      <c r="G575" s="13">
        <v>24</v>
      </c>
      <c r="H575" s="13">
        <v>0</v>
      </c>
      <c r="I575" s="13">
        <v>0</v>
      </c>
      <c r="J575" s="68">
        <v>22002.329000000002</v>
      </c>
      <c r="K575">
        <f t="shared" si="8"/>
        <v>0</v>
      </c>
      <c r="L575" s="13">
        <v>0</v>
      </c>
      <c r="M575" s="13">
        <v>0</v>
      </c>
      <c r="N575" s="13">
        <v>0</v>
      </c>
      <c r="O575" s="68">
        <v>0</v>
      </c>
      <c r="P575" s="155">
        <f>VLOOKUP(Table323[[#This Row],[Census Tract]],'Population and Diversity Data'!$B$2:$K$823,10,FALSE)</f>
        <v>2</v>
      </c>
      <c r="Q575" s="155" t="str">
        <f>VLOOKUP(Table323[[#This Row],[Census Tract]],'ES Energy Burden'!$B$2:$E$914,4,FALSE)</f>
        <v>No</v>
      </c>
    </row>
    <row r="576" spans="1:17" x14ac:dyDescent="0.2">
      <c r="A576" s="101">
        <v>9007670200</v>
      </c>
      <c r="B576" s="102" t="s">
        <v>2820</v>
      </c>
      <c r="C576" s="104" t="s">
        <v>944</v>
      </c>
      <c r="D576" s="69">
        <v>157721.84972351999</v>
      </c>
      <c r="E576" s="69">
        <v>155264.5803</v>
      </c>
      <c r="F576" s="13">
        <f>[1]!Table323[[#This Row],[Single Family]]+[1]!Table323[[#This Row],[2-4 Units]]+[1]!Table323[[#This Row],[&gt;4 Units]]</f>
        <v>41</v>
      </c>
      <c r="G576" s="13">
        <v>40</v>
      </c>
      <c r="H576" s="13">
        <v>1</v>
      </c>
      <c r="I576" s="13">
        <v>0</v>
      </c>
      <c r="J576" s="68">
        <v>37150.775500000003</v>
      </c>
      <c r="K576">
        <f t="shared" si="8"/>
        <v>21</v>
      </c>
      <c r="L576" s="13">
        <v>7</v>
      </c>
      <c r="M576" s="13">
        <v>0</v>
      </c>
      <c r="N576" s="13">
        <v>14</v>
      </c>
      <c r="O576" s="68">
        <v>13942</v>
      </c>
      <c r="P576" s="155">
        <f>VLOOKUP(Table323[[#This Row],[Census Tract]],'Population and Diversity Data'!$B$2:$K$823,10,FALSE)</f>
        <v>1</v>
      </c>
      <c r="Q576" s="155" t="str">
        <f>VLOOKUP(Table323[[#This Row],[Census Tract]],'ES Energy Burden'!$B$2:$E$914,4,FALSE)</f>
        <v>No</v>
      </c>
    </row>
    <row r="577" spans="1:17" x14ac:dyDescent="0.2">
      <c r="A577" s="101">
        <v>9009344200</v>
      </c>
      <c r="B577" s="102" t="s">
        <v>2821</v>
      </c>
      <c r="C577" s="104" t="s">
        <v>944</v>
      </c>
      <c r="D577" s="69">
        <v>587.51688960000001</v>
      </c>
      <c r="E577" s="69">
        <v>0</v>
      </c>
      <c r="F577" s="13">
        <f>[1]!Table323[[#This Row],[Single Family]]+[1]!Table323[[#This Row],[2-4 Units]]+[1]!Table323[[#This Row],[&gt;4 Units]]</f>
        <v>0</v>
      </c>
      <c r="G577" s="13">
        <v>0</v>
      </c>
      <c r="H577" s="13">
        <v>0</v>
      </c>
      <c r="I577" s="13">
        <v>0</v>
      </c>
      <c r="J577" s="68">
        <v>0</v>
      </c>
      <c r="K577">
        <f t="shared" si="8"/>
        <v>0</v>
      </c>
      <c r="L577" s="13">
        <v>0</v>
      </c>
      <c r="M577" s="13">
        <v>0</v>
      </c>
      <c r="N577" s="13">
        <v>0</v>
      </c>
      <c r="O577" s="68">
        <v>0</v>
      </c>
      <c r="P577" s="155">
        <f>VLOOKUP(Table323[[#This Row],[Census Tract]],'Population and Diversity Data'!$B$2:$K$823,10,FALSE)</f>
        <v>3</v>
      </c>
      <c r="Q577" s="155" t="str">
        <f>VLOOKUP(Table323[[#This Row],[Census Tract]],'ES Energy Burden'!$B$2:$E$914,4,FALSE)</f>
        <v>No</v>
      </c>
    </row>
    <row r="578" spans="1:17" x14ac:dyDescent="0.2">
      <c r="A578" s="101">
        <v>9009345300</v>
      </c>
      <c r="B578" s="102" t="s">
        <v>2821</v>
      </c>
      <c r="C578" s="104" t="s">
        <v>944</v>
      </c>
      <c r="D578" s="69">
        <v>114.8034816</v>
      </c>
      <c r="E578" s="69">
        <v>0</v>
      </c>
      <c r="F578" s="13">
        <f>[1]!Table323[[#This Row],[Single Family]]+[1]!Table323[[#This Row],[2-4 Units]]+[1]!Table323[[#This Row],[&gt;4 Units]]</f>
        <v>0</v>
      </c>
      <c r="G578" s="13">
        <v>0</v>
      </c>
      <c r="H578" s="13">
        <v>0</v>
      </c>
      <c r="I578" s="13">
        <v>0</v>
      </c>
      <c r="J578" s="68">
        <v>0</v>
      </c>
      <c r="K578">
        <f t="shared" si="8"/>
        <v>0</v>
      </c>
      <c r="L578" s="13">
        <v>0</v>
      </c>
      <c r="M578" s="13">
        <v>0</v>
      </c>
      <c r="N578" s="13">
        <v>0</v>
      </c>
      <c r="O578" s="68">
        <v>0</v>
      </c>
      <c r="P578" s="155">
        <f>VLOOKUP(Table323[[#This Row],[Census Tract]],'Population and Diversity Data'!$B$2:$K$823,10,FALSE)</f>
        <v>4</v>
      </c>
      <c r="Q578" s="155" t="str">
        <f>VLOOKUP(Table323[[#This Row],[Census Tract]],'ES Energy Burden'!$B$2:$E$914,4,FALSE)</f>
        <v>No</v>
      </c>
    </row>
    <row r="579" spans="1:17" x14ac:dyDescent="0.2">
      <c r="A579" s="101">
        <v>9009346101</v>
      </c>
      <c r="B579" s="102" t="s">
        <v>2821</v>
      </c>
      <c r="C579" s="104" t="s">
        <v>944</v>
      </c>
      <c r="D579" s="69">
        <v>140941.94141664001</v>
      </c>
      <c r="E579" s="69">
        <v>109352.74800000001</v>
      </c>
      <c r="F579" s="13">
        <f>[1]!Table323[[#This Row],[Single Family]]+[1]!Table323[[#This Row],[2-4 Units]]+[1]!Table323[[#This Row],[&gt;4 Units]]</f>
        <v>30</v>
      </c>
      <c r="G579" s="13">
        <v>30</v>
      </c>
      <c r="H579" s="13">
        <v>0</v>
      </c>
      <c r="I579" s="13">
        <v>0</v>
      </c>
      <c r="J579" s="68">
        <v>21610.13</v>
      </c>
      <c r="K579">
        <f t="shared" si="8"/>
        <v>12</v>
      </c>
      <c r="L579" s="13">
        <v>12</v>
      </c>
      <c r="M579" s="13">
        <v>0</v>
      </c>
      <c r="N579" s="13">
        <v>0</v>
      </c>
      <c r="O579" s="68">
        <v>50310</v>
      </c>
      <c r="P579" s="155">
        <f>VLOOKUP(Table323[[#This Row],[Census Tract]],'Population and Diversity Data'!$B$2:$K$823,10,FALSE)</f>
        <v>1</v>
      </c>
      <c r="Q579" s="155" t="str">
        <f>VLOOKUP(Table323[[#This Row],[Census Tract]],'ES Energy Burden'!$B$2:$E$914,4,FALSE)</f>
        <v>No</v>
      </c>
    </row>
    <row r="580" spans="1:17" x14ac:dyDescent="0.2">
      <c r="A580" s="101">
        <v>9009346102</v>
      </c>
      <c r="B580" s="102" t="s">
        <v>2821</v>
      </c>
      <c r="C580" s="104" t="s">
        <v>944</v>
      </c>
      <c r="D580" s="69">
        <v>131498.69918400003</v>
      </c>
      <c r="E580" s="69">
        <v>33188.762199999997</v>
      </c>
      <c r="F580" s="13">
        <f>[1]!Table323[[#This Row],[Single Family]]+[1]!Table323[[#This Row],[2-4 Units]]+[1]!Table323[[#This Row],[&gt;4 Units]]</f>
        <v>26</v>
      </c>
      <c r="G580" s="13">
        <v>26</v>
      </c>
      <c r="H580" s="13">
        <v>0</v>
      </c>
      <c r="I580" s="13">
        <v>0</v>
      </c>
      <c r="J580" s="68">
        <v>26044.912199999999</v>
      </c>
      <c r="K580">
        <f t="shared" si="8"/>
        <v>0</v>
      </c>
      <c r="L580" s="13">
        <v>0</v>
      </c>
      <c r="M580" s="13">
        <v>0</v>
      </c>
      <c r="N580" s="13">
        <v>0</v>
      </c>
      <c r="O580" s="68">
        <v>0</v>
      </c>
      <c r="P580" s="155">
        <f>VLOOKUP(Table323[[#This Row],[Census Tract]],'Population and Diversity Data'!$B$2:$K$823,10,FALSE)</f>
        <v>2</v>
      </c>
      <c r="Q580" s="155" t="str">
        <f>VLOOKUP(Table323[[#This Row],[Census Tract]],'ES Energy Burden'!$B$2:$E$914,4,FALSE)</f>
        <v>No</v>
      </c>
    </row>
    <row r="581" spans="1:17" x14ac:dyDescent="0.2">
      <c r="A581" s="101">
        <v>9011709100</v>
      </c>
      <c r="B581" s="102" t="s">
        <v>2822</v>
      </c>
      <c r="C581" s="104" t="s">
        <v>944</v>
      </c>
      <c r="D581" s="69">
        <v>651.14737919999993</v>
      </c>
      <c r="E581" s="69">
        <v>0</v>
      </c>
      <c r="F581" s="13">
        <f>[1]!Table323[[#This Row],[Single Family]]+[1]!Table323[[#This Row],[2-4 Units]]+[1]!Table323[[#This Row],[&gt;4 Units]]</f>
        <v>0</v>
      </c>
      <c r="G581" s="13">
        <v>0</v>
      </c>
      <c r="H581" s="13">
        <v>0</v>
      </c>
      <c r="I581" s="13">
        <v>0</v>
      </c>
      <c r="J581" s="68">
        <v>0</v>
      </c>
      <c r="K581">
        <f t="shared" si="8"/>
        <v>0</v>
      </c>
      <c r="L581" s="13">
        <v>0</v>
      </c>
      <c r="M581" s="13">
        <v>0</v>
      </c>
      <c r="N581" s="13">
        <v>0</v>
      </c>
      <c r="O581" s="68">
        <v>0</v>
      </c>
      <c r="P581" s="155">
        <f>VLOOKUP(Table323[[#This Row],[Census Tract]],'Population and Diversity Data'!$B$2:$K$823,10,FALSE)</f>
        <v>3</v>
      </c>
      <c r="Q581" s="155" t="str">
        <f>VLOOKUP(Table323[[#This Row],[Census Tract]],'ES Energy Burden'!$B$2:$E$914,4,FALSE)</f>
        <v>No</v>
      </c>
    </row>
    <row r="582" spans="1:17" x14ac:dyDescent="0.2">
      <c r="A582" s="101">
        <v>9015906100</v>
      </c>
      <c r="B582" s="102" t="s">
        <v>2822</v>
      </c>
      <c r="C582" s="104" t="s">
        <v>944</v>
      </c>
      <c r="D582" s="69">
        <v>366.52944960000002</v>
      </c>
      <c r="E582" s="69">
        <v>0</v>
      </c>
      <c r="F582" s="13">
        <f>[1]!Table323[[#This Row],[Single Family]]+[1]!Table323[[#This Row],[2-4 Units]]+[1]!Table323[[#This Row],[&gt;4 Units]]</f>
        <v>0</v>
      </c>
      <c r="G582" s="13">
        <v>0</v>
      </c>
      <c r="H582" s="13">
        <v>0</v>
      </c>
      <c r="I582" s="13">
        <v>0</v>
      </c>
      <c r="J582" s="68">
        <v>0</v>
      </c>
      <c r="K582">
        <f t="shared" ref="K582:K645" si="9">L582+M582+N582</f>
        <v>0</v>
      </c>
      <c r="L582" s="13">
        <v>0</v>
      </c>
      <c r="M582" s="13">
        <v>0</v>
      </c>
      <c r="N582" s="13">
        <v>0</v>
      </c>
      <c r="O582" s="68">
        <v>0</v>
      </c>
      <c r="P582" s="155">
        <f>VLOOKUP(Table323[[#This Row],[Census Tract]],'Population and Diversity Data'!$B$2:$K$823,10,FALSE)</f>
        <v>1</v>
      </c>
      <c r="Q582" s="155" t="str">
        <f>VLOOKUP(Table323[[#This Row],[Census Tract]],'ES Energy Burden'!$B$2:$E$914,4,FALSE)</f>
        <v>No</v>
      </c>
    </row>
    <row r="583" spans="1:17" x14ac:dyDescent="0.2">
      <c r="A583" s="101">
        <v>9015907100</v>
      </c>
      <c r="B583" s="102" t="s">
        <v>2822</v>
      </c>
      <c r="C583" s="104" t="s">
        <v>944</v>
      </c>
      <c r="D583" s="69">
        <v>72711.842685120006</v>
      </c>
      <c r="E583" s="69">
        <v>10386.07</v>
      </c>
      <c r="F583" s="13">
        <f>[1]!Table323[[#This Row],[Single Family]]+[1]!Table323[[#This Row],[2-4 Units]]+[1]!Table323[[#This Row],[&gt;4 Units]]</f>
        <v>14</v>
      </c>
      <c r="G583" s="13">
        <v>14</v>
      </c>
      <c r="H583" s="13">
        <v>0</v>
      </c>
      <c r="I583" s="13">
        <v>0</v>
      </c>
      <c r="J583" s="68">
        <v>8968.93</v>
      </c>
      <c r="K583">
        <f t="shared" si="9"/>
        <v>0</v>
      </c>
      <c r="L583" s="13">
        <v>0</v>
      </c>
      <c r="M583" s="13">
        <v>0</v>
      </c>
      <c r="N583" s="13">
        <v>0</v>
      </c>
      <c r="O583" s="68">
        <v>0</v>
      </c>
      <c r="P583" s="155">
        <f>VLOOKUP(Table323[[#This Row],[Census Tract]],'Population and Diversity Data'!$B$2:$K$823,10,FALSE)</f>
        <v>4</v>
      </c>
      <c r="Q583" s="155" t="str">
        <f>VLOOKUP(Table323[[#This Row],[Census Tract]],'ES Energy Burden'!$B$2:$E$914,4,FALSE)</f>
        <v>No</v>
      </c>
    </row>
    <row r="584" spans="1:17" x14ac:dyDescent="0.2">
      <c r="A584" s="101">
        <v>9015907200</v>
      </c>
      <c r="B584" s="102" t="s">
        <v>2822</v>
      </c>
      <c r="C584" s="104" t="s">
        <v>944</v>
      </c>
      <c r="D584" s="69">
        <v>94817.697647040011</v>
      </c>
      <c r="E584" s="69">
        <v>24022.759900000001</v>
      </c>
      <c r="F584" s="13">
        <f>[1]!Table323[[#This Row],[Single Family]]+[1]!Table323[[#This Row],[2-4 Units]]+[1]!Table323[[#This Row],[&gt;4 Units]]</f>
        <v>17</v>
      </c>
      <c r="G584" s="13">
        <v>17</v>
      </c>
      <c r="H584" s="13">
        <v>0</v>
      </c>
      <c r="I584" s="13">
        <v>0</v>
      </c>
      <c r="J584" s="68">
        <v>14681.999900000001</v>
      </c>
      <c r="K584">
        <f t="shared" si="9"/>
        <v>0</v>
      </c>
      <c r="L584" s="13">
        <v>0</v>
      </c>
      <c r="M584" s="13">
        <v>0</v>
      </c>
      <c r="N584" s="13">
        <v>0</v>
      </c>
      <c r="O584" s="68">
        <v>0</v>
      </c>
      <c r="P584" s="155">
        <f>VLOOKUP(Table323[[#This Row],[Census Tract]],'Population and Diversity Data'!$B$2:$K$823,10,FALSE)</f>
        <v>3</v>
      </c>
      <c r="Q584" s="155" t="str">
        <f>VLOOKUP(Table323[[#This Row],[Census Tract]],'ES Energy Burden'!$B$2:$E$914,4,FALSE)</f>
        <v>No</v>
      </c>
    </row>
    <row r="585" spans="1:17" x14ac:dyDescent="0.2">
      <c r="A585" s="101">
        <v>9015907300</v>
      </c>
      <c r="B585" s="102" t="s">
        <v>2822</v>
      </c>
      <c r="C585" s="104" t="s">
        <v>944</v>
      </c>
      <c r="D585" s="69">
        <v>111292.48525248001</v>
      </c>
      <c r="E585" s="69">
        <v>140557.81229999999</v>
      </c>
      <c r="F585" s="13">
        <f>[1]!Table323[[#This Row],[Single Family]]+[1]!Table323[[#This Row],[2-4 Units]]+[1]!Table323[[#This Row],[&gt;4 Units]]</f>
        <v>19</v>
      </c>
      <c r="G585" s="13">
        <v>19</v>
      </c>
      <c r="H585" s="13">
        <v>0</v>
      </c>
      <c r="I585" s="13">
        <v>0</v>
      </c>
      <c r="J585" s="68">
        <v>16171.983099999999</v>
      </c>
      <c r="K585">
        <f t="shared" si="9"/>
        <v>31</v>
      </c>
      <c r="L585" s="13">
        <v>21</v>
      </c>
      <c r="M585" s="13">
        <v>0</v>
      </c>
      <c r="N585" s="13">
        <v>10</v>
      </c>
      <c r="O585" s="68">
        <v>91170.3</v>
      </c>
      <c r="P585" s="155">
        <f>VLOOKUP(Table323[[#This Row],[Census Tract]],'Population and Diversity Data'!$B$2:$K$823,10,FALSE)</f>
        <v>5</v>
      </c>
      <c r="Q585" s="155" t="str">
        <f>VLOOKUP(Table323[[#This Row],[Census Tract]],'ES Energy Burden'!$B$2:$E$914,4,FALSE)</f>
        <v>No</v>
      </c>
    </row>
    <row r="586" spans="1:17" x14ac:dyDescent="0.2">
      <c r="A586" s="101">
        <v>9015908100</v>
      </c>
      <c r="B586" s="102" t="s">
        <v>2822</v>
      </c>
      <c r="C586" s="104" t="s">
        <v>944</v>
      </c>
      <c r="D586" s="69">
        <v>115.2897408</v>
      </c>
      <c r="E586" s="69">
        <v>0</v>
      </c>
      <c r="F586" s="13">
        <f>[1]!Table323[[#This Row],[Single Family]]+[1]!Table323[[#This Row],[2-4 Units]]+[1]!Table323[[#This Row],[&gt;4 Units]]</f>
        <v>0</v>
      </c>
      <c r="G586" s="13">
        <v>0</v>
      </c>
      <c r="H586" s="13">
        <v>0</v>
      </c>
      <c r="I586" s="13">
        <v>0</v>
      </c>
      <c r="J586" s="68">
        <v>0</v>
      </c>
      <c r="K586">
        <f t="shared" si="9"/>
        <v>0</v>
      </c>
      <c r="L586" s="13">
        <v>0</v>
      </c>
      <c r="M586" s="13">
        <v>0</v>
      </c>
      <c r="N586" s="13">
        <v>0</v>
      </c>
      <c r="O586" s="68">
        <v>0</v>
      </c>
      <c r="P586" s="155" t="e">
        <f>VLOOKUP(Table323[[#This Row],[Census Tract]],'Population and Diversity Data'!$B$2:$K$823,10,FALSE)</f>
        <v>#N/A</v>
      </c>
      <c r="Q586" s="155" t="e">
        <f>VLOOKUP(Table323[[#This Row],[Census Tract]],'ES Energy Burden'!$B$2:$E$914,4,FALSE)</f>
        <v>#N/A</v>
      </c>
    </row>
    <row r="587" spans="1:17" x14ac:dyDescent="0.2">
      <c r="A587" s="101">
        <v>9003405401</v>
      </c>
      <c r="B587" s="102" t="s">
        <v>2823</v>
      </c>
      <c r="C587" s="104" t="s">
        <v>944</v>
      </c>
      <c r="D587" s="69">
        <v>1739.9048831999999</v>
      </c>
      <c r="E587" s="69">
        <v>0</v>
      </c>
      <c r="F587" s="13">
        <f>[1]!Table323[[#This Row],[Single Family]]+[1]!Table323[[#This Row],[2-4 Units]]+[1]!Table323[[#This Row],[&gt;4 Units]]</f>
        <v>0</v>
      </c>
      <c r="G587" s="13">
        <v>0</v>
      </c>
      <c r="H587" s="13">
        <v>0</v>
      </c>
      <c r="I587" s="13">
        <v>0</v>
      </c>
      <c r="J587" s="68">
        <v>0</v>
      </c>
      <c r="K587">
        <f t="shared" si="9"/>
        <v>0</v>
      </c>
      <c r="L587" s="13">
        <v>0</v>
      </c>
      <c r="M587" s="13">
        <v>0</v>
      </c>
      <c r="N587" s="13">
        <v>0</v>
      </c>
      <c r="O587" s="68">
        <v>0</v>
      </c>
      <c r="P587" s="155">
        <f>VLOOKUP(Table323[[#This Row],[Census Tract]],'Population and Diversity Data'!$B$2:$K$823,10,FALSE)</f>
        <v>4</v>
      </c>
      <c r="Q587" s="155" t="str">
        <f>VLOOKUP(Table323[[#This Row],[Census Tract]],'ES Energy Burden'!$B$2:$E$914,4,FALSE)</f>
        <v>No</v>
      </c>
    </row>
    <row r="588" spans="1:17" x14ac:dyDescent="0.2">
      <c r="A588" s="101">
        <v>9003420400</v>
      </c>
      <c r="B588" s="102" t="s">
        <v>2823</v>
      </c>
      <c r="C588" s="104" t="s">
        <v>944</v>
      </c>
      <c r="D588" s="69">
        <v>59279.313767040003</v>
      </c>
      <c r="E588" s="69">
        <v>16805.87</v>
      </c>
      <c r="F588" s="13">
        <f>[1]!Table323[[#This Row],[Single Family]]+[1]!Table323[[#This Row],[2-4 Units]]+[1]!Table323[[#This Row],[&gt;4 Units]]</f>
        <v>10</v>
      </c>
      <c r="G588" s="13">
        <v>10</v>
      </c>
      <c r="H588" s="13">
        <v>0</v>
      </c>
      <c r="I588" s="13">
        <v>0</v>
      </c>
      <c r="J588" s="68">
        <v>4254.38</v>
      </c>
      <c r="K588">
        <f t="shared" si="9"/>
        <v>0</v>
      </c>
      <c r="L588" s="13">
        <v>0</v>
      </c>
      <c r="M588" s="13">
        <v>0</v>
      </c>
      <c r="N588" s="13">
        <v>0</v>
      </c>
      <c r="O588" s="68">
        <v>0</v>
      </c>
      <c r="P588" s="155">
        <f>VLOOKUP(Table323[[#This Row],[Census Tract]],'Population and Diversity Data'!$B$2:$K$823,10,FALSE)</f>
        <v>4</v>
      </c>
      <c r="Q588" s="155" t="str">
        <f>VLOOKUP(Table323[[#This Row],[Census Tract]],'ES Energy Burden'!$B$2:$E$914,4,FALSE)</f>
        <v>No</v>
      </c>
    </row>
    <row r="589" spans="1:17" x14ac:dyDescent="0.2">
      <c r="A589" s="101">
        <v>9003420500</v>
      </c>
      <c r="B589" s="102" t="s">
        <v>2823</v>
      </c>
      <c r="C589" s="104" t="s">
        <v>944</v>
      </c>
      <c r="D589" s="69">
        <v>98461.290510719991</v>
      </c>
      <c r="E589" s="69">
        <v>15583.0162</v>
      </c>
      <c r="F589" s="13">
        <f>[1]!Table323[[#This Row],[Single Family]]+[1]!Table323[[#This Row],[2-4 Units]]+[1]!Table323[[#This Row],[&gt;4 Units]]</f>
        <v>17</v>
      </c>
      <c r="G589" s="13">
        <v>17</v>
      </c>
      <c r="H589" s="13">
        <v>0</v>
      </c>
      <c r="I589" s="13">
        <v>0</v>
      </c>
      <c r="J589" s="68">
        <v>8818.4662000000008</v>
      </c>
      <c r="K589">
        <f t="shared" si="9"/>
        <v>0</v>
      </c>
      <c r="L589" s="13">
        <v>0</v>
      </c>
      <c r="M589" s="13">
        <v>0</v>
      </c>
      <c r="N589" s="13">
        <v>0</v>
      </c>
      <c r="O589" s="68">
        <v>0</v>
      </c>
      <c r="P589" s="155">
        <f>VLOOKUP(Table323[[#This Row],[Census Tract]],'Population and Diversity Data'!$B$2:$K$823,10,FALSE)</f>
        <v>4</v>
      </c>
      <c r="Q589" s="155" t="str">
        <f>VLOOKUP(Table323[[#This Row],[Census Tract]],'ES Energy Burden'!$B$2:$E$914,4,FALSE)</f>
        <v>No</v>
      </c>
    </row>
    <row r="590" spans="1:17" x14ac:dyDescent="0.2">
      <c r="A590" s="101">
        <v>9003420600</v>
      </c>
      <c r="B590" s="102" t="s">
        <v>2823</v>
      </c>
      <c r="C590" s="104" t="s">
        <v>944</v>
      </c>
      <c r="D590" s="69">
        <v>112485.94246655999</v>
      </c>
      <c r="E590" s="69">
        <v>169878.43229999999</v>
      </c>
      <c r="F590" s="13">
        <f>[1]!Table323[[#This Row],[Single Family]]+[1]!Table323[[#This Row],[2-4 Units]]+[1]!Table323[[#This Row],[&gt;4 Units]]</f>
        <v>121</v>
      </c>
      <c r="G590" s="13">
        <v>20</v>
      </c>
      <c r="H590" s="13">
        <v>1</v>
      </c>
      <c r="I590" s="13">
        <v>100</v>
      </c>
      <c r="J590" s="68">
        <v>16612.588899999999</v>
      </c>
      <c r="K590">
        <f t="shared" si="9"/>
        <v>46</v>
      </c>
      <c r="L590" s="13">
        <v>18</v>
      </c>
      <c r="M590" s="13">
        <v>0</v>
      </c>
      <c r="N590" s="13">
        <v>28</v>
      </c>
      <c r="O590" s="68">
        <v>14593.9</v>
      </c>
      <c r="P590" s="155">
        <f>VLOOKUP(Table323[[#This Row],[Census Tract]],'Population and Diversity Data'!$B$2:$K$823,10,FALSE)</f>
        <v>3</v>
      </c>
      <c r="Q590" s="155" t="str">
        <f>VLOOKUP(Table323[[#This Row],[Census Tract]],'ES Energy Burden'!$B$2:$E$914,4,FALSE)</f>
        <v>No</v>
      </c>
    </row>
    <row r="591" spans="1:17" x14ac:dyDescent="0.2">
      <c r="A591" s="101">
        <v>9003420700</v>
      </c>
      <c r="B591" s="102" t="s">
        <v>2823</v>
      </c>
      <c r="C591" s="104" t="s">
        <v>944</v>
      </c>
      <c r="D591" s="69">
        <v>69727.892843520007</v>
      </c>
      <c r="E591" s="69">
        <v>8228.0300000000007</v>
      </c>
      <c r="F591" s="13">
        <f>[1]!Table323[[#This Row],[Single Family]]+[1]!Table323[[#This Row],[2-4 Units]]+[1]!Table323[[#This Row],[&gt;4 Units]]</f>
        <v>11</v>
      </c>
      <c r="G591" s="13">
        <v>11</v>
      </c>
      <c r="H591" s="13">
        <v>0</v>
      </c>
      <c r="I591" s="13">
        <v>0</v>
      </c>
      <c r="J591" s="68">
        <v>6894.28</v>
      </c>
      <c r="K591">
        <f t="shared" si="9"/>
        <v>0</v>
      </c>
      <c r="L591" s="13">
        <v>0</v>
      </c>
      <c r="M591" s="13">
        <v>0</v>
      </c>
      <c r="N591" s="13">
        <v>0</v>
      </c>
      <c r="O591" s="68">
        <v>0</v>
      </c>
      <c r="P591" s="155">
        <f>VLOOKUP(Table323[[#This Row],[Census Tract]],'Population and Diversity Data'!$B$2:$K$823,10,FALSE)</f>
        <v>1</v>
      </c>
      <c r="Q591" s="155" t="str">
        <f>VLOOKUP(Table323[[#This Row],[Census Tract]],'ES Energy Burden'!$B$2:$E$914,4,FALSE)</f>
        <v>No</v>
      </c>
    </row>
    <row r="592" spans="1:17" x14ac:dyDescent="0.2">
      <c r="A592" s="101">
        <v>9005349100</v>
      </c>
      <c r="B592" s="102" t="s">
        <v>2824</v>
      </c>
      <c r="C592" s="104" t="s">
        <v>944</v>
      </c>
      <c r="D592" s="69">
        <v>116.615376</v>
      </c>
      <c r="E592" s="69">
        <v>0</v>
      </c>
      <c r="F592" s="13">
        <f>[1]!Table323[[#This Row],[Single Family]]+[1]!Table323[[#This Row],[2-4 Units]]+[1]!Table323[[#This Row],[&gt;4 Units]]</f>
        <v>0</v>
      </c>
      <c r="G592" s="13">
        <v>0</v>
      </c>
      <c r="H592" s="13">
        <v>0</v>
      </c>
      <c r="I592" s="13">
        <v>0</v>
      </c>
      <c r="J592" s="68">
        <v>0</v>
      </c>
      <c r="K592">
        <f t="shared" si="9"/>
        <v>0</v>
      </c>
      <c r="L592" s="13">
        <v>0</v>
      </c>
      <c r="M592" s="13">
        <v>0</v>
      </c>
      <c r="N592" s="13">
        <v>0</v>
      </c>
      <c r="O592" s="68">
        <v>0</v>
      </c>
      <c r="P592" s="155">
        <f>VLOOKUP(Table323[[#This Row],[Census Tract]],'Population and Diversity Data'!$B$2:$K$823,10,FALSE)</f>
        <v>1</v>
      </c>
      <c r="Q592" s="155" t="str">
        <f>VLOOKUP(Table323[[#This Row],[Census Tract]],'ES Energy Burden'!$B$2:$E$914,4,FALSE)</f>
        <v>No</v>
      </c>
    </row>
    <row r="593" spans="1:17" x14ac:dyDescent="0.2">
      <c r="A593" s="101">
        <v>9005349200</v>
      </c>
      <c r="B593" s="102" t="s">
        <v>2824</v>
      </c>
      <c r="C593" s="104" t="s">
        <v>944</v>
      </c>
      <c r="D593" s="69">
        <v>69.610320000000002</v>
      </c>
      <c r="E593" s="69">
        <v>0</v>
      </c>
      <c r="F593" s="13">
        <f>[1]!Table323[[#This Row],[Single Family]]+[1]!Table323[[#This Row],[2-4 Units]]+[1]!Table323[[#This Row],[&gt;4 Units]]</f>
        <v>0</v>
      </c>
      <c r="G593" s="13">
        <v>0</v>
      </c>
      <c r="H593" s="13">
        <v>0</v>
      </c>
      <c r="I593" s="13">
        <v>0</v>
      </c>
      <c r="J593" s="68">
        <v>0</v>
      </c>
      <c r="K593">
        <f t="shared" si="9"/>
        <v>0</v>
      </c>
      <c r="L593" s="13">
        <v>0</v>
      </c>
      <c r="M593" s="13">
        <v>0</v>
      </c>
      <c r="N593" s="13">
        <v>0</v>
      </c>
      <c r="O593" s="68">
        <v>0</v>
      </c>
      <c r="P593" s="155">
        <f>VLOOKUP(Table323[[#This Row],[Census Tract]],'Population and Diversity Data'!$B$2:$K$823,10,FALSE)</f>
        <v>1</v>
      </c>
      <c r="Q593" s="155" t="str">
        <f>VLOOKUP(Table323[[#This Row],[Census Tract]],'ES Energy Burden'!$B$2:$E$914,4,FALSE)</f>
        <v>No</v>
      </c>
    </row>
    <row r="594" spans="1:17" x14ac:dyDescent="0.2">
      <c r="A594" s="101">
        <v>9005425300</v>
      </c>
      <c r="B594" s="102" t="s">
        <v>2824</v>
      </c>
      <c r="C594" s="104" t="s">
        <v>944</v>
      </c>
      <c r="D594" s="69">
        <v>75679.634828159993</v>
      </c>
      <c r="E594" s="69">
        <v>12089.58</v>
      </c>
      <c r="F594" s="13">
        <f>[1]!Table323[[#This Row],[Single Family]]+[1]!Table323[[#This Row],[2-4 Units]]+[1]!Table323[[#This Row],[&gt;4 Units]]</f>
        <v>14</v>
      </c>
      <c r="G594" s="13">
        <v>14</v>
      </c>
      <c r="H594" s="13">
        <v>0</v>
      </c>
      <c r="I594" s="13">
        <v>0</v>
      </c>
      <c r="J594" s="68">
        <v>8418.73</v>
      </c>
      <c r="K594">
        <f t="shared" si="9"/>
        <v>0</v>
      </c>
      <c r="L594" s="13">
        <v>0</v>
      </c>
      <c r="M594" s="13">
        <v>0</v>
      </c>
      <c r="N594" s="13">
        <v>0</v>
      </c>
      <c r="O594" s="68">
        <v>0</v>
      </c>
      <c r="P594" s="155">
        <f>VLOOKUP(Table323[[#This Row],[Census Tract]],'Population and Diversity Data'!$B$2:$K$823,10,FALSE)</f>
        <v>1</v>
      </c>
      <c r="Q594" s="155" t="str">
        <f>VLOOKUP(Table323[[#This Row],[Census Tract]],'ES Energy Burden'!$B$2:$E$914,4,FALSE)</f>
        <v>No</v>
      </c>
    </row>
    <row r="595" spans="1:17" x14ac:dyDescent="0.2">
      <c r="A595" s="101">
        <v>9005425400</v>
      </c>
      <c r="B595" s="102" t="s">
        <v>2824</v>
      </c>
      <c r="C595" s="104" t="s">
        <v>944</v>
      </c>
      <c r="D595" s="69">
        <v>109175.17492224001</v>
      </c>
      <c r="E595" s="69">
        <v>88599.410600000003</v>
      </c>
      <c r="F595" s="13">
        <f>[1]!Table323[[#This Row],[Single Family]]+[1]!Table323[[#This Row],[2-4 Units]]+[1]!Table323[[#This Row],[&gt;4 Units]]</f>
        <v>22</v>
      </c>
      <c r="G595" s="13">
        <v>22</v>
      </c>
      <c r="H595" s="13">
        <v>0</v>
      </c>
      <c r="I595" s="13">
        <v>0</v>
      </c>
      <c r="J595" s="68">
        <v>17921.243399999999</v>
      </c>
      <c r="K595">
        <f t="shared" si="9"/>
        <v>77</v>
      </c>
      <c r="L595" s="13">
        <v>17</v>
      </c>
      <c r="M595" s="13">
        <v>0</v>
      </c>
      <c r="N595" s="13">
        <v>60</v>
      </c>
      <c r="O595" s="68">
        <v>48302.1</v>
      </c>
      <c r="P595" s="155">
        <f>VLOOKUP(Table323[[#This Row],[Census Tract]],'Population and Diversity Data'!$B$2:$K$823,10,FALSE)</f>
        <v>2</v>
      </c>
      <c r="Q595" s="155" t="str">
        <f>VLOOKUP(Table323[[#This Row],[Census Tract]],'ES Energy Burden'!$B$2:$E$914,4,FALSE)</f>
        <v>No</v>
      </c>
    </row>
    <row r="596" spans="1:17" x14ac:dyDescent="0.2">
      <c r="A596" s="101">
        <v>9005425500</v>
      </c>
      <c r="B596" s="102" t="s">
        <v>2824</v>
      </c>
      <c r="C596" s="104" t="s">
        <v>944</v>
      </c>
      <c r="D596" s="69">
        <v>59404.700332799999</v>
      </c>
      <c r="E596" s="69">
        <v>14947.95</v>
      </c>
      <c r="F596" s="13">
        <f>[1]!Table323[[#This Row],[Single Family]]+[1]!Table323[[#This Row],[2-4 Units]]+[1]!Table323[[#This Row],[&gt;4 Units]]</f>
        <v>12</v>
      </c>
      <c r="G596" s="13">
        <v>11</v>
      </c>
      <c r="H596" s="13">
        <v>1</v>
      </c>
      <c r="I596" s="13">
        <v>0</v>
      </c>
      <c r="J596" s="68">
        <v>7461.39</v>
      </c>
      <c r="K596">
        <f t="shared" si="9"/>
        <v>0</v>
      </c>
      <c r="L596" s="13">
        <v>0</v>
      </c>
      <c r="M596" s="13">
        <v>0</v>
      </c>
      <c r="N596" s="13">
        <v>0</v>
      </c>
      <c r="O596" s="68">
        <v>0</v>
      </c>
      <c r="P596" s="155">
        <f>VLOOKUP(Table323[[#This Row],[Census Tract]],'Population and Diversity Data'!$B$2:$K$823,10,FALSE)</f>
        <v>3</v>
      </c>
      <c r="Q596" s="155" t="str">
        <f>VLOOKUP(Table323[[#This Row],[Census Tract]],'ES Energy Burden'!$B$2:$E$914,4,FALSE)</f>
        <v>No</v>
      </c>
    </row>
    <row r="597" spans="1:17" x14ac:dyDescent="0.2">
      <c r="A597" s="101">
        <v>9015901100</v>
      </c>
      <c r="B597" s="102" t="s">
        <v>2825</v>
      </c>
      <c r="C597" s="104" t="s">
        <v>944</v>
      </c>
      <c r="D597" s="69">
        <v>83.202422399999989</v>
      </c>
      <c r="E597" s="69">
        <v>0</v>
      </c>
      <c r="F597" s="13">
        <f>[1]!Table323[[#This Row],[Single Family]]+[1]!Table323[[#This Row],[2-4 Units]]+[1]!Table323[[#This Row],[&gt;4 Units]]</f>
        <v>0</v>
      </c>
      <c r="G597" s="13">
        <v>0</v>
      </c>
      <c r="H597" s="13">
        <v>0</v>
      </c>
      <c r="I597" s="13">
        <v>0</v>
      </c>
      <c r="J597" s="68">
        <v>0</v>
      </c>
      <c r="K597">
        <f t="shared" si="9"/>
        <v>0</v>
      </c>
      <c r="L597" s="13">
        <v>0</v>
      </c>
      <c r="M597" s="13">
        <v>0</v>
      </c>
      <c r="N597" s="13">
        <v>0</v>
      </c>
      <c r="O597" s="68">
        <v>0</v>
      </c>
      <c r="P597" s="155">
        <f>VLOOKUP(Table323[[#This Row],[Census Tract]],'Population and Diversity Data'!$B$2:$K$823,10,FALSE)</f>
        <v>1</v>
      </c>
      <c r="Q597" s="155" t="str">
        <f>VLOOKUP(Table323[[#This Row],[Census Tract]],'ES Energy Burden'!$B$2:$E$914,4,FALSE)</f>
        <v>No</v>
      </c>
    </row>
    <row r="598" spans="1:17" x14ac:dyDescent="0.2">
      <c r="A598" s="101">
        <v>9015902200</v>
      </c>
      <c r="B598" s="102" t="s">
        <v>2825</v>
      </c>
      <c r="C598" s="104" t="s">
        <v>944</v>
      </c>
      <c r="D598" s="69">
        <v>150.11516160000002</v>
      </c>
      <c r="E598" s="69">
        <v>0</v>
      </c>
      <c r="F598" s="13">
        <f>[1]!Table323[[#This Row],[Single Family]]+[1]!Table323[[#This Row],[2-4 Units]]+[1]!Table323[[#This Row],[&gt;4 Units]]</f>
        <v>0</v>
      </c>
      <c r="G598" s="13">
        <v>0</v>
      </c>
      <c r="H598" s="13">
        <v>0</v>
      </c>
      <c r="I598" s="13">
        <v>0</v>
      </c>
      <c r="J598" s="68">
        <v>0</v>
      </c>
      <c r="K598">
        <f t="shared" si="9"/>
        <v>0</v>
      </c>
      <c r="L598" s="13">
        <v>0</v>
      </c>
      <c r="M598" s="13">
        <v>0</v>
      </c>
      <c r="N598" s="13">
        <v>0</v>
      </c>
      <c r="O598" s="68">
        <v>0</v>
      </c>
      <c r="P598" s="155">
        <f>VLOOKUP(Table323[[#This Row],[Census Tract]],'Population and Diversity Data'!$B$2:$K$823,10,FALSE)</f>
        <v>2</v>
      </c>
      <c r="Q598" s="155" t="str">
        <f>VLOOKUP(Table323[[#This Row],[Census Tract]],'ES Energy Burden'!$B$2:$E$914,4,FALSE)</f>
        <v>No</v>
      </c>
    </row>
    <row r="599" spans="1:17" x14ac:dyDescent="0.2">
      <c r="A599" s="101">
        <v>9015902500</v>
      </c>
      <c r="B599" s="102" t="s">
        <v>2825</v>
      </c>
      <c r="C599" s="104" t="s">
        <v>944</v>
      </c>
      <c r="D599" s="69">
        <v>79728.11662464001</v>
      </c>
      <c r="E599" s="69">
        <v>49916.504200000003</v>
      </c>
      <c r="F599" s="13">
        <f>[1]!Table323[[#This Row],[Single Family]]+[1]!Table323[[#This Row],[2-4 Units]]+[1]!Table323[[#This Row],[&gt;4 Units]]</f>
        <v>20</v>
      </c>
      <c r="G599" s="13">
        <v>20</v>
      </c>
      <c r="H599" s="13">
        <v>0</v>
      </c>
      <c r="I599" s="13">
        <v>0</v>
      </c>
      <c r="J599" s="68">
        <v>20046.464199999999</v>
      </c>
      <c r="K599">
        <f t="shared" si="9"/>
        <v>1</v>
      </c>
      <c r="L599" s="13">
        <v>1</v>
      </c>
      <c r="M599" s="13">
        <v>0</v>
      </c>
      <c r="N599" s="13">
        <v>0</v>
      </c>
      <c r="O599" s="68">
        <v>13583.3</v>
      </c>
      <c r="P599" s="155">
        <f>VLOOKUP(Table323[[#This Row],[Census Tract]],'Population and Diversity Data'!$B$2:$K$823,10,FALSE)</f>
        <v>2</v>
      </c>
      <c r="Q599" s="155" t="str">
        <f>VLOOKUP(Table323[[#This Row],[Census Tract]],'ES Energy Burden'!$B$2:$E$914,4,FALSE)</f>
        <v>No</v>
      </c>
    </row>
    <row r="600" spans="1:17" x14ac:dyDescent="0.2">
      <c r="A600" s="101">
        <v>9015905100</v>
      </c>
      <c r="B600" s="102" t="s">
        <v>2825</v>
      </c>
      <c r="C600" s="104" t="s">
        <v>944</v>
      </c>
      <c r="D600" s="69">
        <v>917.38586880000003</v>
      </c>
      <c r="E600" s="69">
        <v>0</v>
      </c>
      <c r="F600" s="13">
        <f>[1]!Table323[[#This Row],[Single Family]]+[1]!Table323[[#This Row],[2-4 Units]]+[1]!Table323[[#This Row],[&gt;4 Units]]</f>
        <v>0</v>
      </c>
      <c r="G600" s="13">
        <v>0</v>
      </c>
      <c r="H600" s="13">
        <v>0</v>
      </c>
      <c r="I600" s="13">
        <v>0</v>
      </c>
      <c r="J600" s="68">
        <v>0</v>
      </c>
      <c r="K600">
        <f t="shared" si="9"/>
        <v>0</v>
      </c>
      <c r="L600" s="13">
        <v>0</v>
      </c>
      <c r="M600" s="13">
        <v>0</v>
      </c>
      <c r="N600" s="13">
        <v>0</v>
      </c>
      <c r="O600" s="68">
        <v>0</v>
      </c>
      <c r="P600" s="155">
        <f>VLOOKUP(Table323[[#This Row],[Census Tract]],'Population and Diversity Data'!$B$2:$K$823,10,FALSE)</f>
        <v>4</v>
      </c>
      <c r="Q600" s="155" t="str">
        <f>VLOOKUP(Table323[[#This Row],[Census Tract]],'ES Energy Burden'!$B$2:$E$914,4,FALSE)</f>
        <v>No</v>
      </c>
    </row>
    <row r="601" spans="1:17" x14ac:dyDescent="0.2">
      <c r="A601" s="101">
        <v>9007560100</v>
      </c>
      <c r="B601" s="102" t="s">
        <v>2826</v>
      </c>
      <c r="C601" s="104" t="s">
        <v>944</v>
      </c>
      <c r="D601" s="69">
        <v>125121.51976319999</v>
      </c>
      <c r="E601" s="69">
        <v>80210.659599999999</v>
      </c>
      <c r="F601" s="13">
        <f>[1]!Table323[[#This Row],[Single Family]]+[1]!Table323[[#This Row],[2-4 Units]]+[1]!Table323[[#This Row],[&gt;4 Units]]</f>
        <v>33</v>
      </c>
      <c r="G601" s="13">
        <v>33</v>
      </c>
      <c r="H601" s="13">
        <v>0</v>
      </c>
      <c r="I601" s="13">
        <v>0</v>
      </c>
      <c r="J601" s="68">
        <v>31755.66</v>
      </c>
      <c r="K601">
        <f t="shared" si="9"/>
        <v>11</v>
      </c>
      <c r="L601" s="13">
        <v>11</v>
      </c>
      <c r="M601" s="13">
        <v>0</v>
      </c>
      <c r="N601" s="13">
        <v>0</v>
      </c>
      <c r="O601" s="68">
        <v>12907.9</v>
      </c>
      <c r="P601" s="155">
        <f>VLOOKUP(Table323[[#This Row],[Census Tract]],'Population and Diversity Data'!$B$2:$K$823,10,FALSE)</f>
        <v>1</v>
      </c>
      <c r="Q601" s="155" t="str">
        <f>VLOOKUP(Table323[[#This Row],[Census Tract]],'ES Energy Burden'!$B$2:$E$914,4,FALSE)</f>
        <v>No</v>
      </c>
    </row>
    <row r="602" spans="1:17" x14ac:dyDescent="0.2">
      <c r="A602" s="101">
        <v>9007560200</v>
      </c>
      <c r="B602" s="102" t="s">
        <v>2826</v>
      </c>
      <c r="C602" s="104" t="s">
        <v>944</v>
      </c>
      <c r="D602" s="69">
        <v>60508.24069536</v>
      </c>
      <c r="E602" s="69">
        <v>31057.98</v>
      </c>
      <c r="F602" s="13">
        <f>[1]!Table323[[#This Row],[Single Family]]+[1]!Table323[[#This Row],[2-4 Units]]+[1]!Table323[[#This Row],[&gt;4 Units]]</f>
        <v>21</v>
      </c>
      <c r="G602" s="13">
        <v>21</v>
      </c>
      <c r="H602" s="13">
        <v>0</v>
      </c>
      <c r="I602" s="13">
        <v>0</v>
      </c>
      <c r="J602" s="68">
        <v>18928.04</v>
      </c>
      <c r="K602">
        <f t="shared" si="9"/>
        <v>0</v>
      </c>
      <c r="L602" s="13">
        <v>0</v>
      </c>
      <c r="M602" s="13">
        <v>0</v>
      </c>
      <c r="N602" s="13">
        <v>0</v>
      </c>
      <c r="O602" s="68">
        <v>0</v>
      </c>
      <c r="P602" s="155">
        <f>VLOOKUP(Table323[[#This Row],[Census Tract]],'Population and Diversity Data'!$B$2:$K$823,10,FALSE)</f>
        <v>1</v>
      </c>
      <c r="Q602" s="155" t="str">
        <f>VLOOKUP(Table323[[#This Row],[Census Tract]],'ES Energy Burden'!$B$2:$E$914,4,FALSE)</f>
        <v>No</v>
      </c>
    </row>
    <row r="603" spans="1:17" x14ac:dyDescent="0.2">
      <c r="A603" s="101">
        <v>9011697000</v>
      </c>
      <c r="B603" s="102" t="s">
        <v>2827</v>
      </c>
      <c r="C603" s="104" t="s">
        <v>944</v>
      </c>
      <c r="D603" s="69">
        <v>68.452560000000005</v>
      </c>
      <c r="E603" s="69">
        <v>0</v>
      </c>
      <c r="F603" s="13">
        <f>[1]!Table323[[#This Row],[Single Family]]+[1]!Table323[[#This Row],[2-4 Units]]+[1]!Table323[[#This Row],[&gt;4 Units]]</f>
        <v>0</v>
      </c>
      <c r="G603" s="13">
        <v>0</v>
      </c>
      <c r="H603" s="13">
        <v>0</v>
      </c>
      <c r="I603" s="13">
        <v>0</v>
      </c>
      <c r="J603" s="68">
        <v>0</v>
      </c>
      <c r="K603">
        <f t="shared" si="9"/>
        <v>0</v>
      </c>
      <c r="L603" s="13">
        <v>0</v>
      </c>
      <c r="M603" s="13">
        <v>0</v>
      </c>
      <c r="N603" s="13">
        <v>0</v>
      </c>
      <c r="O603" s="68">
        <v>0</v>
      </c>
      <c r="P603" s="155">
        <f>VLOOKUP(Table323[[#This Row],[Census Tract]],'Population and Diversity Data'!$B$2:$K$823,10,FALSE)</f>
        <v>5</v>
      </c>
      <c r="Q603" s="155" t="str">
        <f>VLOOKUP(Table323[[#This Row],[Census Tract]],'ES Energy Burden'!$B$2:$E$914,4,FALSE)</f>
        <v>Yes</v>
      </c>
    </row>
    <row r="604" spans="1:17" x14ac:dyDescent="0.2">
      <c r="A604" s="101">
        <v>9011700100</v>
      </c>
      <c r="B604" s="102" t="s">
        <v>2827</v>
      </c>
      <c r="C604" s="104" t="s">
        <v>944</v>
      </c>
      <c r="D604" s="69">
        <v>106676.39367071999</v>
      </c>
      <c r="E604" s="69">
        <v>57765.007100000003</v>
      </c>
      <c r="F604" s="13">
        <f>[1]!Table323[[#This Row],[Single Family]]+[1]!Table323[[#This Row],[2-4 Units]]+[1]!Table323[[#This Row],[&gt;4 Units]]</f>
        <v>25</v>
      </c>
      <c r="G604" s="13">
        <v>25</v>
      </c>
      <c r="H604" s="13">
        <v>0</v>
      </c>
      <c r="I604" s="13">
        <v>0</v>
      </c>
      <c r="J604" s="68">
        <v>23511.867099999999</v>
      </c>
      <c r="K604">
        <f t="shared" si="9"/>
        <v>5</v>
      </c>
      <c r="L604" s="13">
        <v>5</v>
      </c>
      <c r="M604" s="13">
        <v>0</v>
      </c>
      <c r="N604" s="13">
        <v>0</v>
      </c>
      <c r="O604" s="68">
        <v>6345.2</v>
      </c>
      <c r="P604" s="155">
        <f>VLOOKUP(Table323[[#This Row],[Census Tract]],'Population and Diversity Data'!$B$2:$K$823,10,FALSE)</f>
        <v>4</v>
      </c>
      <c r="Q604" s="155" t="str">
        <f>VLOOKUP(Table323[[#This Row],[Census Tract]],'ES Energy Burden'!$B$2:$E$914,4,FALSE)</f>
        <v>No</v>
      </c>
    </row>
    <row r="605" spans="1:17" x14ac:dyDescent="0.2">
      <c r="A605" s="101">
        <v>9011707100</v>
      </c>
      <c r="B605" s="102" t="s">
        <v>2827</v>
      </c>
      <c r="C605" s="104" t="s">
        <v>944</v>
      </c>
      <c r="D605" s="69">
        <v>751.86671039999999</v>
      </c>
      <c r="E605" s="69">
        <v>0</v>
      </c>
      <c r="F605" s="13">
        <f>[1]!Table323[[#This Row],[Single Family]]+[1]!Table323[[#This Row],[2-4 Units]]+[1]!Table323[[#This Row],[&gt;4 Units]]</f>
        <v>0</v>
      </c>
      <c r="G605" s="13">
        <v>0</v>
      </c>
      <c r="H605" s="13">
        <v>0</v>
      </c>
      <c r="I605" s="13">
        <v>0</v>
      </c>
      <c r="J605" s="68">
        <v>0</v>
      </c>
      <c r="K605">
        <f t="shared" si="9"/>
        <v>0</v>
      </c>
      <c r="L605" s="13">
        <v>0</v>
      </c>
      <c r="M605" s="13">
        <v>0</v>
      </c>
      <c r="N605" s="13">
        <v>0</v>
      </c>
      <c r="O605" s="68">
        <v>0</v>
      </c>
      <c r="P605" s="155">
        <f>VLOOKUP(Table323[[#This Row],[Census Tract]],'Population and Diversity Data'!$B$2:$K$823,10,FALSE)</f>
        <v>3</v>
      </c>
      <c r="Q605" s="155" t="str">
        <f>VLOOKUP(Table323[[#This Row],[Census Tract]],'ES Energy Burden'!$B$2:$E$914,4,FALSE)</f>
        <v>No</v>
      </c>
    </row>
    <row r="606" spans="1:17" x14ac:dyDescent="0.2">
      <c r="A606" s="101">
        <v>9009347100</v>
      </c>
      <c r="B606" s="102" t="s">
        <v>2828</v>
      </c>
      <c r="C606" s="104" t="s">
        <v>944</v>
      </c>
      <c r="D606" s="69">
        <v>122291.37139104001</v>
      </c>
      <c r="E606" s="69">
        <v>100895.8768</v>
      </c>
      <c r="F606" s="13">
        <f>[1]!Table323[[#This Row],[Single Family]]+[1]!Table323[[#This Row],[2-4 Units]]+[1]!Table323[[#This Row],[&gt;4 Units]]</f>
        <v>23</v>
      </c>
      <c r="G606" s="13">
        <v>23</v>
      </c>
      <c r="H606" s="13">
        <v>0</v>
      </c>
      <c r="I606" s="13">
        <v>0</v>
      </c>
      <c r="J606" s="68">
        <v>23490.036800000002</v>
      </c>
      <c r="K606">
        <f t="shared" si="9"/>
        <v>24</v>
      </c>
      <c r="L606" s="13">
        <v>24</v>
      </c>
      <c r="M606" s="13">
        <v>0</v>
      </c>
      <c r="N606" s="13">
        <v>0</v>
      </c>
      <c r="O606" s="68">
        <v>59294.8</v>
      </c>
      <c r="P606" s="155">
        <f>VLOOKUP(Table323[[#This Row],[Census Tract]],'Population and Diversity Data'!$B$2:$K$823,10,FALSE)</f>
        <v>1</v>
      </c>
      <c r="Q606" s="155" t="str">
        <f>VLOOKUP(Table323[[#This Row],[Census Tract]],'ES Energy Burden'!$B$2:$E$914,4,FALSE)</f>
        <v>No</v>
      </c>
    </row>
    <row r="607" spans="1:17" x14ac:dyDescent="0.2">
      <c r="A607" s="101">
        <v>9009347200</v>
      </c>
      <c r="B607" s="102" t="s">
        <v>2828</v>
      </c>
      <c r="C607" s="104" t="s">
        <v>944</v>
      </c>
      <c r="D607" s="69">
        <v>69819.393510719994</v>
      </c>
      <c r="E607" s="69">
        <v>19924.240000000002</v>
      </c>
      <c r="F607" s="13">
        <f>[1]!Table323[[#This Row],[Single Family]]+[1]!Table323[[#This Row],[2-4 Units]]+[1]!Table323[[#This Row],[&gt;4 Units]]</f>
        <v>10</v>
      </c>
      <c r="G607" s="13">
        <v>10</v>
      </c>
      <c r="H607" s="13">
        <v>0</v>
      </c>
      <c r="I607" s="13">
        <v>0</v>
      </c>
      <c r="J607" s="68">
        <v>8488.59</v>
      </c>
      <c r="K607">
        <f t="shared" si="9"/>
        <v>0</v>
      </c>
      <c r="L607" s="13">
        <v>0</v>
      </c>
      <c r="M607" s="13">
        <v>0</v>
      </c>
      <c r="N607" s="13">
        <v>0</v>
      </c>
      <c r="O607" s="68">
        <v>0</v>
      </c>
      <c r="P607" s="155">
        <f>VLOOKUP(Table323[[#This Row],[Census Tract]],'Population and Diversity Data'!$B$2:$K$823,10,FALSE)</f>
        <v>2</v>
      </c>
      <c r="Q607" s="155" t="str">
        <f>VLOOKUP(Table323[[#This Row],[Census Tract]],'ES Energy Burden'!$B$2:$E$914,4,FALSE)</f>
        <v>No</v>
      </c>
    </row>
    <row r="608" spans="1:17" x14ac:dyDescent="0.2">
      <c r="A608" s="101">
        <v>9009352800</v>
      </c>
      <c r="B608" s="102" t="s">
        <v>2828</v>
      </c>
      <c r="C608" s="104" t="s">
        <v>944</v>
      </c>
      <c r="D608" s="69">
        <v>1536.5559168</v>
      </c>
      <c r="E608" s="69">
        <v>0</v>
      </c>
      <c r="F608" s="13">
        <f>[1]!Table323[[#This Row],[Single Family]]+[1]!Table323[[#This Row],[2-4 Units]]+[1]!Table323[[#This Row],[&gt;4 Units]]</f>
        <v>0</v>
      </c>
      <c r="G608" s="13">
        <v>0</v>
      </c>
      <c r="H608" s="13">
        <v>0</v>
      </c>
      <c r="I608" s="13">
        <v>0</v>
      </c>
      <c r="J608" s="68">
        <v>0</v>
      </c>
      <c r="K608">
        <f t="shared" si="9"/>
        <v>0</v>
      </c>
      <c r="L608" s="13">
        <v>0</v>
      </c>
      <c r="M608" s="13">
        <v>0</v>
      </c>
      <c r="N608" s="13">
        <v>0</v>
      </c>
      <c r="O608" s="68">
        <v>0</v>
      </c>
      <c r="P608" s="155">
        <f>VLOOKUP(Table323[[#This Row],[Census Tract]],'Population and Diversity Data'!$B$2:$K$823,10,FALSE)</f>
        <v>5</v>
      </c>
      <c r="Q608" s="155" t="str">
        <f>VLOOKUP(Table323[[#This Row],[Census Tract]],'ES Energy Burden'!$B$2:$E$914,4,FALSE)</f>
        <v>No</v>
      </c>
    </row>
    <row r="609" spans="1:17" x14ac:dyDescent="0.2">
      <c r="A609" s="101">
        <v>9015901100</v>
      </c>
      <c r="B609" s="102" t="s">
        <v>2829</v>
      </c>
      <c r="C609" s="104" t="s">
        <v>944</v>
      </c>
      <c r="D609" s="69">
        <v>253.86203520000004</v>
      </c>
      <c r="E609" s="69">
        <v>0</v>
      </c>
      <c r="F609" s="13">
        <f>[1]!Table323[[#This Row],[Single Family]]+[1]!Table323[[#This Row],[2-4 Units]]+[1]!Table323[[#This Row],[&gt;4 Units]]</f>
        <v>0</v>
      </c>
      <c r="G609" s="13">
        <v>0</v>
      </c>
      <c r="H609" s="13">
        <v>0</v>
      </c>
      <c r="I609" s="13">
        <v>0</v>
      </c>
      <c r="J609" s="68">
        <v>0</v>
      </c>
      <c r="K609">
        <f t="shared" si="9"/>
        <v>0</v>
      </c>
      <c r="L609" s="13">
        <v>0</v>
      </c>
      <c r="M609" s="13">
        <v>0</v>
      </c>
      <c r="N609" s="13">
        <v>0</v>
      </c>
      <c r="O609" s="68">
        <v>0</v>
      </c>
      <c r="P609" s="155">
        <f>VLOOKUP(Table323[[#This Row],[Census Tract]],'Population and Diversity Data'!$B$2:$K$823,10,FALSE)</f>
        <v>1</v>
      </c>
      <c r="Q609" s="155" t="str">
        <f>VLOOKUP(Table323[[#This Row],[Census Tract]],'ES Energy Burden'!$B$2:$E$914,4,FALSE)</f>
        <v>No</v>
      </c>
    </row>
    <row r="610" spans="1:17" x14ac:dyDescent="0.2">
      <c r="A610" s="101">
        <v>9015902500</v>
      </c>
      <c r="B610" s="102" t="s">
        <v>2829</v>
      </c>
      <c r="C610" s="104" t="s">
        <v>944</v>
      </c>
      <c r="D610" s="69">
        <v>328.95955872000002</v>
      </c>
      <c r="E610" s="69">
        <v>0</v>
      </c>
      <c r="F610" s="13">
        <f>[1]!Table323[[#This Row],[Single Family]]+[1]!Table323[[#This Row],[2-4 Units]]+[1]!Table323[[#This Row],[&gt;4 Units]]</f>
        <v>1</v>
      </c>
      <c r="G610" s="13">
        <v>1</v>
      </c>
      <c r="H610" s="13">
        <v>0</v>
      </c>
      <c r="I610" s="13">
        <v>0</v>
      </c>
      <c r="J610" s="68">
        <v>0</v>
      </c>
      <c r="K610">
        <f t="shared" si="9"/>
        <v>0</v>
      </c>
      <c r="L610" s="13">
        <v>0</v>
      </c>
      <c r="M610" s="13">
        <v>0</v>
      </c>
      <c r="N610" s="13">
        <v>0</v>
      </c>
      <c r="O610" s="68">
        <v>0</v>
      </c>
      <c r="P610" s="155">
        <f>VLOOKUP(Table323[[#This Row],[Census Tract]],'Population and Diversity Data'!$B$2:$K$823,10,FALSE)</f>
        <v>2</v>
      </c>
      <c r="Q610" s="155" t="str">
        <f>VLOOKUP(Table323[[#This Row],[Census Tract]],'ES Energy Burden'!$B$2:$E$914,4,FALSE)</f>
        <v>No</v>
      </c>
    </row>
    <row r="611" spans="1:17" x14ac:dyDescent="0.2">
      <c r="A611" s="101">
        <v>9015903100</v>
      </c>
      <c r="B611" s="102" t="s">
        <v>2829</v>
      </c>
      <c r="C611" s="104" t="s">
        <v>944</v>
      </c>
      <c r="D611" s="69">
        <v>126091.6010784</v>
      </c>
      <c r="E611" s="69">
        <v>270102.65519999998</v>
      </c>
      <c r="F611" s="13">
        <f>[1]!Table323[[#This Row],[Single Family]]+[1]!Table323[[#This Row],[2-4 Units]]+[1]!Table323[[#This Row],[&gt;4 Units]]</f>
        <v>13</v>
      </c>
      <c r="G611" s="13">
        <v>13</v>
      </c>
      <c r="H611" s="13">
        <v>0</v>
      </c>
      <c r="I611" s="13">
        <v>0</v>
      </c>
      <c r="J611" s="68">
        <v>5250.74</v>
      </c>
      <c r="K611">
        <f t="shared" si="9"/>
        <v>128</v>
      </c>
      <c r="L611" s="13">
        <v>25</v>
      </c>
      <c r="M611" s="13">
        <v>1</v>
      </c>
      <c r="N611" s="13">
        <v>102</v>
      </c>
      <c r="O611" s="68">
        <v>213939</v>
      </c>
      <c r="P611" s="155">
        <f>VLOOKUP(Table323[[#This Row],[Census Tract]],'Population and Diversity Data'!$B$2:$K$823,10,FALSE)</f>
        <v>2</v>
      </c>
      <c r="Q611" s="155" t="str">
        <f>VLOOKUP(Table323[[#This Row],[Census Tract]],'ES Energy Burden'!$B$2:$E$914,4,FALSE)</f>
        <v>No</v>
      </c>
    </row>
    <row r="612" spans="1:17" x14ac:dyDescent="0.2">
      <c r="A612" s="101">
        <v>9015903200</v>
      </c>
      <c r="B612" s="102" t="s">
        <v>2829</v>
      </c>
      <c r="C612" s="104" t="s">
        <v>944</v>
      </c>
      <c r="D612" s="69">
        <v>45609.665760000004</v>
      </c>
      <c r="E612" s="69">
        <v>4946.6899999999996</v>
      </c>
      <c r="F612" s="13">
        <f>[1]!Table323[[#This Row],[Single Family]]+[1]!Table323[[#This Row],[2-4 Units]]+[1]!Table323[[#This Row],[&gt;4 Units]]</f>
        <v>5</v>
      </c>
      <c r="G612" s="13">
        <v>5</v>
      </c>
      <c r="H612" s="13">
        <v>0</v>
      </c>
      <c r="I612" s="13">
        <v>0</v>
      </c>
      <c r="J612" s="68">
        <v>4537.8500000000004</v>
      </c>
      <c r="K612">
        <f t="shared" si="9"/>
        <v>0</v>
      </c>
      <c r="L612" s="13">
        <v>0</v>
      </c>
      <c r="M612" s="13">
        <v>0</v>
      </c>
      <c r="N612" s="13">
        <v>0</v>
      </c>
      <c r="O612" s="68">
        <v>0</v>
      </c>
      <c r="P612" s="155">
        <f>VLOOKUP(Table323[[#This Row],[Census Tract]],'Population and Diversity Data'!$B$2:$K$823,10,FALSE)</f>
        <v>3</v>
      </c>
      <c r="Q612" s="155" t="str">
        <f>VLOOKUP(Table323[[#This Row],[Census Tract]],'ES Energy Burden'!$B$2:$E$914,4,FALSE)</f>
        <v>No</v>
      </c>
    </row>
    <row r="613" spans="1:17" x14ac:dyDescent="0.2">
      <c r="A613" s="101">
        <v>9015904100</v>
      </c>
      <c r="B613" s="102" t="s">
        <v>2829</v>
      </c>
      <c r="C613" s="104" t="s">
        <v>944</v>
      </c>
      <c r="D613" s="69">
        <v>306.71377919999998</v>
      </c>
      <c r="E613" s="69">
        <v>0</v>
      </c>
      <c r="F613" s="13">
        <f>[1]!Table323[[#This Row],[Single Family]]+[1]!Table323[[#This Row],[2-4 Units]]+[1]!Table323[[#This Row],[&gt;4 Units]]</f>
        <v>0</v>
      </c>
      <c r="G613" s="13">
        <v>0</v>
      </c>
      <c r="H613" s="13">
        <v>0</v>
      </c>
      <c r="I613" s="13">
        <v>0</v>
      </c>
      <c r="J613" s="68">
        <v>0</v>
      </c>
      <c r="K613">
        <f t="shared" si="9"/>
        <v>0</v>
      </c>
      <c r="L613" s="13">
        <v>0</v>
      </c>
      <c r="M613" s="13">
        <v>0</v>
      </c>
      <c r="N613" s="13">
        <v>0</v>
      </c>
      <c r="O613" s="68">
        <v>0</v>
      </c>
      <c r="P613" s="155">
        <f>VLOOKUP(Table323[[#This Row],[Census Tract]],'Population and Diversity Data'!$B$2:$K$823,10,FALSE)</f>
        <v>2</v>
      </c>
      <c r="Q613" s="155" t="str">
        <f>VLOOKUP(Table323[[#This Row],[Census Tract]],'ES Energy Burden'!$B$2:$E$914,4,FALSE)</f>
        <v>No</v>
      </c>
    </row>
    <row r="614" spans="1:17" x14ac:dyDescent="0.2">
      <c r="A614" s="101">
        <v>9001055100</v>
      </c>
      <c r="B614" s="102" t="s">
        <v>2830</v>
      </c>
      <c r="C614" s="104" t="s">
        <v>944</v>
      </c>
      <c r="D614" s="69">
        <v>6580.5052319999995</v>
      </c>
      <c r="E614" s="69">
        <v>3388.5</v>
      </c>
      <c r="F614" s="13">
        <f>[1]!Table323[[#This Row],[Single Family]]+[1]!Table323[[#This Row],[2-4 Units]]+[1]!Table323[[#This Row],[&gt;4 Units]]</f>
        <v>1</v>
      </c>
      <c r="G614" s="13">
        <v>1</v>
      </c>
      <c r="H614" s="13">
        <v>0</v>
      </c>
      <c r="I614" s="13">
        <v>0</v>
      </c>
      <c r="J614" s="68">
        <v>1422.46</v>
      </c>
      <c r="K614">
        <f t="shared" si="9"/>
        <v>0</v>
      </c>
      <c r="L614" s="13">
        <v>0</v>
      </c>
      <c r="M614" s="13">
        <v>0</v>
      </c>
      <c r="N614" s="13">
        <v>0</v>
      </c>
      <c r="O614" s="68">
        <v>0</v>
      </c>
      <c r="P614" s="155">
        <f>VLOOKUP(Table323[[#This Row],[Census Tract]],'Population and Diversity Data'!$B$2:$K$823,10,FALSE)</f>
        <v>4</v>
      </c>
      <c r="Q614" s="155" t="str">
        <f>VLOOKUP(Table323[[#This Row],[Census Tract]],'ES Energy Burden'!$B$2:$E$914,4,FALSE)</f>
        <v>No</v>
      </c>
    </row>
    <row r="615" spans="1:17" x14ac:dyDescent="0.2">
      <c r="A615" s="101">
        <v>9001240100</v>
      </c>
      <c r="B615" s="102" t="s">
        <v>2830</v>
      </c>
      <c r="C615" s="104" t="s">
        <v>944</v>
      </c>
      <c r="D615" s="69">
        <v>105989.61333311998</v>
      </c>
      <c r="E615" s="69">
        <v>23180.573899999999</v>
      </c>
      <c r="F615" s="13">
        <f>[1]!Table323[[#This Row],[Single Family]]+[1]!Table323[[#This Row],[2-4 Units]]+[1]!Table323[[#This Row],[&gt;4 Units]]</f>
        <v>21</v>
      </c>
      <c r="G615" s="13">
        <v>21</v>
      </c>
      <c r="H615" s="13">
        <v>0</v>
      </c>
      <c r="I615" s="13">
        <v>0</v>
      </c>
      <c r="J615" s="68">
        <v>20906.5939</v>
      </c>
      <c r="K615">
        <f t="shared" si="9"/>
        <v>0</v>
      </c>
      <c r="L615" s="13">
        <v>0</v>
      </c>
      <c r="M615" s="13">
        <v>0</v>
      </c>
      <c r="N615" s="13">
        <v>0</v>
      </c>
      <c r="O615" s="68">
        <v>0</v>
      </c>
      <c r="P615" s="155">
        <f>VLOOKUP(Table323[[#This Row],[Census Tract]],'Population and Diversity Data'!$B$2:$K$823,10,FALSE)</f>
        <v>1</v>
      </c>
      <c r="Q615" s="155" t="str">
        <f>VLOOKUP(Table323[[#This Row],[Census Tract]],'ES Energy Burden'!$B$2:$E$914,4,FALSE)</f>
        <v>No</v>
      </c>
    </row>
    <row r="616" spans="1:17" x14ac:dyDescent="0.2">
      <c r="A616" s="101">
        <v>9001240200</v>
      </c>
      <c r="B616" s="102" t="s">
        <v>2830</v>
      </c>
      <c r="C616" s="104" t="s">
        <v>944</v>
      </c>
      <c r="D616" s="69">
        <v>135659.58847776</v>
      </c>
      <c r="E616" s="69">
        <v>62433.157700000003</v>
      </c>
      <c r="F616" s="13">
        <f>[1]!Table323[[#This Row],[Single Family]]+[1]!Table323[[#This Row],[2-4 Units]]+[1]!Table323[[#This Row],[&gt;4 Units]]</f>
        <v>24</v>
      </c>
      <c r="G616" s="13">
        <v>24</v>
      </c>
      <c r="H616" s="13">
        <v>0</v>
      </c>
      <c r="I616" s="13">
        <v>0</v>
      </c>
      <c r="J616" s="68">
        <v>24776.487700000001</v>
      </c>
      <c r="K616">
        <f t="shared" si="9"/>
        <v>3</v>
      </c>
      <c r="L616" s="13">
        <v>3</v>
      </c>
      <c r="M616" s="13">
        <v>0</v>
      </c>
      <c r="N616" s="13">
        <v>0</v>
      </c>
      <c r="O616" s="68">
        <v>3295.04</v>
      </c>
      <c r="P616" s="155">
        <f>VLOOKUP(Table323[[#This Row],[Census Tract]],'Population and Diversity Data'!$B$2:$K$823,10,FALSE)</f>
        <v>2</v>
      </c>
      <c r="Q616" s="155" t="str">
        <f>VLOOKUP(Table323[[#This Row],[Census Tract]],'ES Energy Burden'!$B$2:$E$914,4,FALSE)</f>
        <v>No</v>
      </c>
    </row>
    <row r="617" spans="1:17" x14ac:dyDescent="0.2">
      <c r="A617" s="101">
        <v>9001245200</v>
      </c>
      <c r="B617" s="102" t="s">
        <v>2830</v>
      </c>
      <c r="C617" s="104" t="s">
        <v>944</v>
      </c>
      <c r="D617" s="69">
        <v>324.96586560000003</v>
      </c>
      <c r="E617" s="69">
        <v>0</v>
      </c>
      <c r="F617" s="13">
        <f>[1]!Table323[[#This Row],[Single Family]]+[1]!Table323[[#This Row],[2-4 Units]]+[1]!Table323[[#This Row],[&gt;4 Units]]</f>
        <v>0</v>
      </c>
      <c r="G617" s="13">
        <v>0</v>
      </c>
      <c r="H617" s="13">
        <v>0</v>
      </c>
      <c r="I617" s="13">
        <v>0</v>
      </c>
      <c r="J617" s="68">
        <v>0</v>
      </c>
      <c r="K617">
        <f t="shared" si="9"/>
        <v>0</v>
      </c>
      <c r="L617" s="13">
        <v>0</v>
      </c>
      <c r="M617" s="13">
        <v>0</v>
      </c>
      <c r="N617" s="13">
        <v>0</v>
      </c>
      <c r="O617" s="68">
        <v>0</v>
      </c>
      <c r="P617" s="155">
        <f>VLOOKUP(Table323[[#This Row],[Census Tract]],'Population and Diversity Data'!$B$2:$K$823,10,FALSE)</f>
        <v>3</v>
      </c>
      <c r="Q617" s="155" t="str">
        <f>VLOOKUP(Table323[[#This Row],[Census Tract]],'ES Energy Burden'!$B$2:$E$914,4,FALSE)</f>
        <v>No</v>
      </c>
    </row>
    <row r="618" spans="1:17" x14ac:dyDescent="0.2">
      <c r="A618" s="101">
        <v>9001045102</v>
      </c>
      <c r="B618" s="102" t="s">
        <v>2831</v>
      </c>
      <c r="C618" s="104" t="s">
        <v>944</v>
      </c>
      <c r="D618" s="69">
        <v>226.29576959999997</v>
      </c>
      <c r="E618" s="69">
        <v>0</v>
      </c>
      <c r="F618" s="13">
        <f>[1]!Table323[[#This Row],[Single Family]]+[1]!Table323[[#This Row],[2-4 Units]]+[1]!Table323[[#This Row],[&gt;4 Units]]</f>
        <v>0</v>
      </c>
      <c r="G618" s="13">
        <v>0</v>
      </c>
      <c r="H618" s="13">
        <v>0</v>
      </c>
      <c r="I618" s="13">
        <v>0</v>
      </c>
      <c r="J618" s="68">
        <v>0</v>
      </c>
      <c r="K618">
        <f t="shared" si="9"/>
        <v>0</v>
      </c>
      <c r="L618" s="13">
        <v>0</v>
      </c>
      <c r="M618" s="13">
        <v>0</v>
      </c>
      <c r="N618" s="13">
        <v>0</v>
      </c>
      <c r="O618" s="68">
        <v>0</v>
      </c>
      <c r="P618" s="155">
        <f>VLOOKUP(Table323[[#This Row],[Census Tract]],'Population and Diversity Data'!$B$2:$K$823,10,FALSE)</f>
        <v>3</v>
      </c>
      <c r="Q618" s="155" t="str">
        <f>VLOOKUP(Table323[[#This Row],[Census Tract]],'ES Energy Burden'!$B$2:$E$914,4,FALSE)</f>
        <v>No</v>
      </c>
    </row>
    <row r="619" spans="1:17" x14ac:dyDescent="0.2">
      <c r="A619" s="101">
        <v>9001210500</v>
      </c>
      <c r="B619" s="102" t="s">
        <v>2831</v>
      </c>
      <c r="C619" s="104" t="s">
        <v>944</v>
      </c>
      <c r="D619" s="69">
        <v>1074.8122848</v>
      </c>
      <c r="E619" s="69">
        <v>0</v>
      </c>
      <c r="F619" s="13">
        <f>[1]!Table323[[#This Row],[Single Family]]+[1]!Table323[[#This Row],[2-4 Units]]+[1]!Table323[[#This Row],[&gt;4 Units]]</f>
        <v>0</v>
      </c>
      <c r="G619" s="13">
        <v>0</v>
      </c>
      <c r="H619" s="13">
        <v>0</v>
      </c>
      <c r="I619" s="13">
        <v>0</v>
      </c>
      <c r="J619" s="68">
        <v>0</v>
      </c>
      <c r="K619">
        <f t="shared" si="9"/>
        <v>0</v>
      </c>
      <c r="L619" s="13">
        <v>0</v>
      </c>
      <c r="M619" s="13">
        <v>0</v>
      </c>
      <c r="N619" s="13">
        <v>0</v>
      </c>
      <c r="O619" s="68">
        <v>0</v>
      </c>
      <c r="P619" s="155">
        <f>VLOOKUP(Table323[[#This Row],[Census Tract]],'Population and Diversity Data'!$B$2:$K$823,10,FALSE)</f>
        <v>4</v>
      </c>
      <c r="Q619" s="155" t="str">
        <f>VLOOKUP(Table323[[#This Row],[Census Tract]],'ES Energy Burden'!$B$2:$E$914,4,FALSE)</f>
        <v>No</v>
      </c>
    </row>
    <row r="620" spans="1:17" x14ac:dyDescent="0.2">
      <c r="A620" s="101">
        <v>9001240100</v>
      </c>
      <c r="B620" s="102" t="s">
        <v>2831</v>
      </c>
      <c r="C620" s="104" t="s">
        <v>944</v>
      </c>
      <c r="D620" s="69">
        <v>1081.2262751999999</v>
      </c>
      <c r="E620" s="69">
        <v>0</v>
      </c>
      <c r="F620" s="13">
        <f>[1]!Table323[[#This Row],[Single Family]]+[1]!Table323[[#This Row],[2-4 Units]]+[1]!Table323[[#This Row],[&gt;4 Units]]</f>
        <v>0</v>
      </c>
      <c r="G620" s="13">
        <v>0</v>
      </c>
      <c r="H620" s="13">
        <v>0</v>
      </c>
      <c r="I620" s="13">
        <v>0</v>
      </c>
      <c r="J620" s="68">
        <v>0</v>
      </c>
      <c r="K620">
        <f t="shared" si="9"/>
        <v>0</v>
      </c>
      <c r="L620" s="13">
        <v>0</v>
      </c>
      <c r="M620" s="13">
        <v>0</v>
      </c>
      <c r="N620" s="13">
        <v>0</v>
      </c>
      <c r="O620" s="68">
        <v>0</v>
      </c>
      <c r="P620" s="155">
        <f>VLOOKUP(Table323[[#This Row],[Census Tract]],'Population and Diversity Data'!$B$2:$K$823,10,FALSE)</f>
        <v>1</v>
      </c>
      <c r="Q620" s="155" t="str">
        <f>VLOOKUP(Table323[[#This Row],[Census Tract]],'ES Energy Burden'!$B$2:$E$914,4,FALSE)</f>
        <v>No</v>
      </c>
    </row>
    <row r="621" spans="1:17" x14ac:dyDescent="0.2">
      <c r="A621" s="101">
        <v>9001245100</v>
      </c>
      <c r="B621" s="102" t="s">
        <v>2831</v>
      </c>
      <c r="C621" s="104" t="s">
        <v>944</v>
      </c>
      <c r="D621" s="69">
        <v>57530.246371200003</v>
      </c>
      <c r="E621" s="69">
        <v>11748.259099999999</v>
      </c>
      <c r="F621" s="13">
        <f>[1]!Table323[[#This Row],[Single Family]]+[1]!Table323[[#This Row],[2-4 Units]]+[1]!Table323[[#This Row],[&gt;4 Units]]</f>
        <v>11</v>
      </c>
      <c r="G621" s="13">
        <v>11</v>
      </c>
      <c r="H621" s="13">
        <v>0</v>
      </c>
      <c r="I621" s="13">
        <v>0</v>
      </c>
      <c r="J621" s="68">
        <v>11743.7791</v>
      </c>
      <c r="K621">
        <f t="shared" si="9"/>
        <v>0</v>
      </c>
      <c r="L621" s="13">
        <v>0</v>
      </c>
      <c r="M621" s="13">
        <v>0</v>
      </c>
      <c r="N621" s="13">
        <v>0</v>
      </c>
      <c r="O621" s="68">
        <v>0</v>
      </c>
      <c r="P621" s="155">
        <f>VLOOKUP(Table323[[#This Row],[Census Tract]],'Population and Diversity Data'!$B$2:$K$823,10,FALSE)</f>
        <v>1</v>
      </c>
      <c r="Q621" s="155" t="str">
        <f>VLOOKUP(Table323[[#This Row],[Census Tract]],'ES Energy Burden'!$B$2:$E$914,4,FALSE)</f>
        <v>No</v>
      </c>
    </row>
    <row r="622" spans="1:17" x14ac:dyDescent="0.2">
      <c r="A622" s="101">
        <v>9001245200</v>
      </c>
      <c r="B622" s="102" t="s">
        <v>2831</v>
      </c>
      <c r="C622" s="104" t="s">
        <v>944</v>
      </c>
      <c r="D622" s="69">
        <v>98395.787923199998</v>
      </c>
      <c r="E622" s="69">
        <v>10773.143099999999</v>
      </c>
      <c r="F622" s="13">
        <f>[1]!Table323[[#This Row],[Single Family]]+[1]!Table323[[#This Row],[2-4 Units]]+[1]!Table323[[#This Row],[&gt;4 Units]]</f>
        <v>17</v>
      </c>
      <c r="G622" s="13">
        <v>17</v>
      </c>
      <c r="H622" s="13">
        <v>0</v>
      </c>
      <c r="I622" s="13">
        <v>0</v>
      </c>
      <c r="J622" s="68">
        <v>10771.293100000001</v>
      </c>
      <c r="K622">
        <f t="shared" si="9"/>
        <v>0</v>
      </c>
      <c r="L622" s="13">
        <v>0</v>
      </c>
      <c r="M622" s="13">
        <v>0</v>
      </c>
      <c r="N622" s="13">
        <v>0</v>
      </c>
      <c r="O622" s="68">
        <v>0</v>
      </c>
      <c r="P622" s="155">
        <f>VLOOKUP(Table323[[#This Row],[Census Tract]],'Population and Diversity Data'!$B$2:$K$823,10,FALSE)</f>
        <v>3</v>
      </c>
      <c r="Q622" s="155" t="str">
        <f>VLOOKUP(Table323[[#This Row],[Census Tract]],'ES Energy Burden'!$B$2:$E$914,4,FALSE)</f>
        <v>No</v>
      </c>
    </row>
    <row r="623" spans="1:17" x14ac:dyDescent="0.2">
      <c r="A623" s="101">
        <v>9001245300</v>
      </c>
      <c r="B623" s="102" t="s">
        <v>2831</v>
      </c>
      <c r="C623" s="104" t="s">
        <v>944</v>
      </c>
      <c r="D623" s="69">
        <v>134043.68142719998</v>
      </c>
      <c r="E623" s="69">
        <v>64446.402699999999</v>
      </c>
      <c r="F623" s="13">
        <f>[1]!Table323[[#This Row],[Single Family]]+[1]!Table323[[#This Row],[2-4 Units]]+[1]!Table323[[#This Row],[&gt;4 Units]]</f>
        <v>14</v>
      </c>
      <c r="G623" s="13">
        <v>14</v>
      </c>
      <c r="H623" s="13">
        <v>0</v>
      </c>
      <c r="I623" s="13">
        <v>0</v>
      </c>
      <c r="J623" s="68">
        <v>11990.9727</v>
      </c>
      <c r="K623">
        <f t="shared" si="9"/>
        <v>0</v>
      </c>
      <c r="L623" s="13">
        <v>0</v>
      </c>
      <c r="M623" s="13">
        <v>0</v>
      </c>
      <c r="N623" s="13">
        <v>0</v>
      </c>
      <c r="O623" s="68">
        <v>0</v>
      </c>
      <c r="P623" s="155">
        <f>VLOOKUP(Table323[[#This Row],[Census Tract]],'Population and Diversity Data'!$B$2:$K$823,10,FALSE)</f>
        <v>2</v>
      </c>
      <c r="Q623" s="155" t="str">
        <f>VLOOKUP(Table323[[#This Row],[Census Tract]],'ES Energy Burden'!$B$2:$E$914,4,FALSE)</f>
        <v>No</v>
      </c>
    </row>
    <row r="624" spans="1:17" x14ac:dyDescent="0.2">
      <c r="A624" s="101">
        <v>9001245400</v>
      </c>
      <c r="B624" s="102" t="s">
        <v>2831</v>
      </c>
      <c r="C624" s="104" t="s">
        <v>944</v>
      </c>
      <c r="D624" s="69">
        <v>92011.664257919998</v>
      </c>
      <c r="E624" s="69">
        <v>15050.615299999999</v>
      </c>
      <c r="F624" s="13">
        <f>[1]!Table323[[#This Row],[Single Family]]+[1]!Table323[[#This Row],[2-4 Units]]+[1]!Table323[[#This Row],[&gt;4 Units]]</f>
        <v>14</v>
      </c>
      <c r="G624" s="13">
        <v>14</v>
      </c>
      <c r="H624" s="13">
        <v>0</v>
      </c>
      <c r="I624" s="13">
        <v>0</v>
      </c>
      <c r="J624" s="68">
        <v>15047.275299999999</v>
      </c>
      <c r="K624">
        <f t="shared" si="9"/>
        <v>0</v>
      </c>
      <c r="L624" s="13">
        <v>0</v>
      </c>
      <c r="M624" s="13">
        <v>0</v>
      </c>
      <c r="N624" s="13">
        <v>0</v>
      </c>
      <c r="O624" s="68">
        <v>0</v>
      </c>
      <c r="P624" s="155">
        <f>VLOOKUP(Table323[[#This Row],[Census Tract]],'Population and Diversity Data'!$B$2:$K$823,10,FALSE)</f>
        <v>1</v>
      </c>
      <c r="Q624" s="155" t="str">
        <f>VLOOKUP(Table323[[#This Row],[Census Tract]],'ES Energy Burden'!$B$2:$E$914,4,FALSE)</f>
        <v>No</v>
      </c>
    </row>
    <row r="625" spans="1:17" x14ac:dyDescent="0.2">
      <c r="A625" s="101">
        <v>9001245500</v>
      </c>
      <c r="B625" s="102" t="s">
        <v>2831</v>
      </c>
      <c r="C625" s="104" t="s">
        <v>944</v>
      </c>
      <c r="D625" s="69">
        <v>81970.654328639997</v>
      </c>
      <c r="E625" s="69">
        <v>16745.104599999999</v>
      </c>
      <c r="F625" s="13">
        <f>[1]!Table323[[#This Row],[Single Family]]+[1]!Table323[[#This Row],[2-4 Units]]+[1]!Table323[[#This Row],[&gt;4 Units]]</f>
        <v>12</v>
      </c>
      <c r="G625" s="13">
        <v>12</v>
      </c>
      <c r="H625" s="13">
        <v>0</v>
      </c>
      <c r="I625" s="13">
        <v>0</v>
      </c>
      <c r="J625" s="68">
        <v>14820.6546</v>
      </c>
      <c r="K625">
        <f t="shared" si="9"/>
        <v>0</v>
      </c>
      <c r="L625" s="13">
        <v>0</v>
      </c>
      <c r="M625" s="13">
        <v>0</v>
      </c>
      <c r="N625" s="13">
        <v>0</v>
      </c>
      <c r="O625" s="68">
        <v>0</v>
      </c>
      <c r="P625" s="155">
        <f>VLOOKUP(Table323[[#This Row],[Census Tract]],'Population and Diversity Data'!$B$2:$K$823,10,FALSE)</f>
        <v>3</v>
      </c>
      <c r="Q625" s="155" t="str">
        <f>VLOOKUP(Table323[[#This Row],[Census Tract]],'ES Energy Burden'!$B$2:$E$914,4,FALSE)</f>
        <v>No</v>
      </c>
    </row>
    <row r="626" spans="1:17" x14ac:dyDescent="0.2">
      <c r="A626" s="101">
        <v>9001245600</v>
      </c>
      <c r="B626" s="102" t="s">
        <v>2831</v>
      </c>
      <c r="C626" s="104" t="s">
        <v>944</v>
      </c>
      <c r="D626" s="69">
        <v>166942.71346751999</v>
      </c>
      <c r="E626" s="69">
        <v>112930.68610000001</v>
      </c>
      <c r="F626" s="13">
        <f>[1]!Table323[[#This Row],[Single Family]]+[1]!Table323[[#This Row],[2-4 Units]]+[1]!Table323[[#This Row],[&gt;4 Units]]</f>
        <v>30</v>
      </c>
      <c r="G626" s="13">
        <v>30</v>
      </c>
      <c r="H626" s="13">
        <v>0</v>
      </c>
      <c r="I626" s="13">
        <v>0</v>
      </c>
      <c r="J626" s="68">
        <v>28778.734100000001</v>
      </c>
      <c r="K626">
        <f t="shared" si="9"/>
        <v>157</v>
      </c>
      <c r="L626" s="13">
        <v>3</v>
      </c>
      <c r="M626" s="13">
        <v>0</v>
      </c>
      <c r="N626" s="13">
        <v>154</v>
      </c>
      <c r="O626" s="68">
        <v>17153.5</v>
      </c>
      <c r="P626" s="155">
        <f>VLOOKUP(Table323[[#This Row],[Census Tract]],'Population and Diversity Data'!$B$2:$K$823,10,FALSE)</f>
        <v>3</v>
      </c>
      <c r="Q626" s="155" t="str">
        <f>VLOOKUP(Table323[[#This Row],[Census Tract]],'ES Energy Burden'!$B$2:$E$914,4,FALSE)</f>
        <v>No</v>
      </c>
    </row>
    <row r="627" spans="1:17" x14ac:dyDescent="0.2">
      <c r="A627" s="101">
        <v>9003490100</v>
      </c>
      <c r="B627" s="102" t="s">
        <v>2832</v>
      </c>
      <c r="C627" s="104" t="s">
        <v>944</v>
      </c>
      <c r="D627" s="69">
        <v>76843.239779519994</v>
      </c>
      <c r="E627" s="69">
        <v>22526.2637</v>
      </c>
      <c r="F627" s="13">
        <f>[1]!Table323[[#This Row],[Single Family]]+[1]!Table323[[#This Row],[2-4 Units]]+[1]!Table323[[#This Row],[&gt;4 Units]]</f>
        <v>22</v>
      </c>
      <c r="G627" s="13">
        <v>22</v>
      </c>
      <c r="H627" s="13">
        <v>0</v>
      </c>
      <c r="I627" s="13">
        <v>0</v>
      </c>
      <c r="J627" s="68">
        <v>20553.523700000002</v>
      </c>
      <c r="K627">
        <f t="shared" si="9"/>
        <v>0</v>
      </c>
      <c r="L627" s="13">
        <v>0</v>
      </c>
      <c r="M627" s="13">
        <v>0</v>
      </c>
      <c r="N627" s="13">
        <v>0</v>
      </c>
      <c r="O627" s="68">
        <v>0</v>
      </c>
      <c r="P627" s="155">
        <f>VLOOKUP(Table323[[#This Row],[Census Tract]],'Population and Diversity Data'!$B$2:$K$823,10,FALSE)</f>
        <v>4</v>
      </c>
      <c r="Q627" s="155" t="str">
        <f>VLOOKUP(Table323[[#This Row],[Census Tract]],'ES Energy Burden'!$B$2:$E$914,4,FALSE)</f>
        <v>No</v>
      </c>
    </row>
    <row r="628" spans="1:17" x14ac:dyDescent="0.2">
      <c r="A628" s="101">
        <v>9003490302</v>
      </c>
      <c r="B628" s="102" t="s">
        <v>2832</v>
      </c>
      <c r="C628" s="104" t="s">
        <v>944</v>
      </c>
      <c r="D628" s="69">
        <v>159160.71558816</v>
      </c>
      <c r="E628" s="69">
        <v>98905.718500000003</v>
      </c>
      <c r="F628" s="13">
        <f>[1]!Table323[[#This Row],[Single Family]]+[1]!Table323[[#This Row],[2-4 Units]]+[1]!Table323[[#This Row],[&gt;4 Units]]</f>
        <v>289</v>
      </c>
      <c r="G628" s="13">
        <v>58</v>
      </c>
      <c r="H628" s="13">
        <v>0</v>
      </c>
      <c r="I628" s="13">
        <v>231</v>
      </c>
      <c r="J628" s="68">
        <v>34021.642399999997</v>
      </c>
      <c r="K628">
        <f t="shared" si="9"/>
        <v>13</v>
      </c>
      <c r="L628" s="13">
        <v>13</v>
      </c>
      <c r="M628" s="13">
        <v>0</v>
      </c>
      <c r="N628" s="13">
        <v>0</v>
      </c>
      <c r="O628" s="68">
        <v>11031.6</v>
      </c>
      <c r="P628" s="155">
        <f>VLOOKUP(Table323[[#This Row],[Census Tract]],'Population and Diversity Data'!$B$2:$K$823,10,FALSE)</f>
        <v>5</v>
      </c>
      <c r="Q628" s="155" t="str">
        <f>VLOOKUP(Table323[[#This Row],[Census Tract]],'ES Energy Burden'!$B$2:$E$914,4,FALSE)</f>
        <v>No</v>
      </c>
    </row>
    <row r="629" spans="1:17" x14ac:dyDescent="0.2">
      <c r="A629" s="101">
        <v>9003492600</v>
      </c>
      <c r="B629" s="102" t="s">
        <v>2832</v>
      </c>
      <c r="C629" s="104" t="s">
        <v>944</v>
      </c>
      <c r="D629" s="69">
        <v>64.359878399999999</v>
      </c>
      <c r="E629" s="69">
        <v>0</v>
      </c>
      <c r="F629" s="13">
        <f>[1]!Table323[[#This Row],[Single Family]]+[1]!Table323[[#This Row],[2-4 Units]]+[1]!Table323[[#This Row],[&gt;4 Units]]</f>
        <v>0</v>
      </c>
      <c r="G629" s="13">
        <v>0</v>
      </c>
      <c r="H629" s="13">
        <v>0</v>
      </c>
      <c r="I629" s="13">
        <v>0</v>
      </c>
      <c r="J629" s="68">
        <v>0</v>
      </c>
      <c r="K629">
        <f t="shared" si="9"/>
        <v>0</v>
      </c>
      <c r="L629" s="13">
        <v>0</v>
      </c>
      <c r="M629" s="13">
        <v>0</v>
      </c>
      <c r="N629" s="13">
        <v>0</v>
      </c>
      <c r="O629" s="68">
        <v>0</v>
      </c>
      <c r="P629" s="155">
        <f>VLOOKUP(Table323[[#This Row],[Census Tract]],'Population and Diversity Data'!$B$2:$K$823,10,FALSE)</f>
        <v>1</v>
      </c>
      <c r="Q629" s="155" t="str">
        <f>VLOOKUP(Table323[[#This Row],[Census Tract]],'ES Energy Burden'!$B$2:$E$914,4,FALSE)</f>
        <v>No</v>
      </c>
    </row>
    <row r="630" spans="1:17" x14ac:dyDescent="0.2">
      <c r="A630" s="101">
        <v>9003524200</v>
      </c>
      <c r="B630" s="102" t="s">
        <v>2832</v>
      </c>
      <c r="C630" s="104" t="s">
        <v>944</v>
      </c>
      <c r="D630" s="69">
        <v>97311.370861440024</v>
      </c>
      <c r="E630" s="69">
        <v>24959.3027</v>
      </c>
      <c r="F630" s="13">
        <f>[1]!Table323[[#This Row],[Single Family]]+[1]!Table323[[#This Row],[2-4 Units]]+[1]!Table323[[#This Row],[&gt;4 Units]]</f>
        <v>35</v>
      </c>
      <c r="G630" s="13">
        <v>35</v>
      </c>
      <c r="H630" s="13">
        <v>0</v>
      </c>
      <c r="I630" s="13">
        <v>0</v>
      </c>
      <c r="J630" s="68">
        <v>18329.952700000002</v>
      </c>
      <c r="K630">
        <f t="shared" si="9"/>
        <v>0</v>
      </c>
      <c r="L630" s="13">
        <v>0</v>
      </c>
      <c r="M630" s="13">
        <v>0</v>
      </c>
      <c r="N630" s="13">
        <v>0</v>
      </c>
      <c r="O630" s="68">
        <v>0</v>
      </c>
      <c r="P630" s="155">
        <f>VLOOKUP(Table323[[#This Row],[Census Tract]],'Population and Diversity Data'!$B$2:$K$823,10,FALSE)</f>
        <v>4</v>
      </c>
      <c r="Q630" s="155" t="str">
        <f>VLOOKUP(Table323[[#This Row],[Census Tract]],'ES Energy Burden'!$B$2:$E$914,4,FALSE)</f>
        <v>No</v>
      </c>
    </row>
    <row r="631" spans="1:17" x14ac:dyDescent="0.2">
      <c r="A631" s="101">
        <v>9005268100</v>
      </c>
      <c r="B631" s="102" t="s">
        <v>2833</v>
      </c>
      <c r="C631" s="104" t="s">
        <v>944</v>
      </c>
      <c r="D631" s="69">
        <v>89712.105716160004</v>
      </c>
      <c r="E631" s="69">
        <v>17705.96</v>
      </c>
      <c r="F631" s="13">
        <f>[1]!Table323[[#This Row],[Single Family]]+[1]!Table323[[#This Row],[2-4 Units]]+[1]!Table323[[#This Row],[&gt;4 Units]]</f>
        <v>8</v>
      </c>
      <c r="G631" s="13">
        <v>8</v>
      </c>
      <c r="H631" s="13">
        <v>0</v>
      </c>
      <c r="I631" s="13">
        <v>0</v>
      </c>
      <c r="J631" s="68">
        <v>9139.77</v>
      </c>
      <c r="K631">
        <f t="shared" si="9"/>
        <v>0</v>
      </c>
      <c r="L631" s="13">
        <v>0</v>
      </c>
      <c r="M631" s="13">
        <v>0</v>
      </c>
      <c r="N631" s="13">
        <v>0</v>
      </c>
      <c r="O631" s="68">
        <v>0</v>
      </c>
      <c r="P631" s="155">
        <f>VLOOKUP(Table323[[#This Row],[Census Tract]],'Population and Diversity Data'!$B$2:$K$823,10,FALSE)</f>
        <v>1</v>
      </c>
      <c r="Q631" s="155" t="str">
        <f>VLOOKUP(Table323[[#This Row],[Census Tract]],'ES Energy Burden'!$B$2:$E$914,4,FALSE)</f>
        <v>No</v>
      </c>
    </row>
    <row r="632" spans="1:17" x14ac:dyDescent="0.2">
      <c r="A632" s="101">
        <v>9007595101</v>
      </c>
      <c r="B632" s="102" t="s">
        <v>2834</v>
      </c>
      <c r="C632" s="104" t="s">
        <v>944</v>
      </c>
      <c r="D632" s="69">
        <v>784.89181440000004</v>
      </c>
      <c r="E632" s="69">
        <v>0</v>
      </c>
      <c r="F632" s="13">
        <f>[1]!Table323[[#This Row],[Single Family]]+[1]!Table323[[#This Row],[2-4 Units]]+[1]!Table323[[#This Row],[&gt;4 Units]]</f>
        <v>0</v>
      </c>
      <c r="G632" s="13">
        <v>0</v>
      </c>
      <c r="H632" s="13">
        <v>0</v>
      </c>
      <c r="I632" s="13">
        <v>0</v>
      </c>
      <c r="J632" s="68">
        <v>0</v>
      </c>
      <c r="K632">
        <f t="shared" si="9"/>
        <v>0</v>
      </c>
      <c r="L632" s="13">
        <v>0</v>
      </c>
      <c r="M632" s="13">
        <v>0</v>
      </c>
      <c r="N632" s="13">
        <v>0</v>
      </c>
      <c r="O632" s="68">
        <v>0</v>
      </c>
      <c r="P632" s="155">
        <f>VLOOKUP(Table323[[#This Row],[Census Tract]],'Population and Diversity Data'!$B$2:$K$823,10,FALSE)</f>
        <v>1</v>
      </c>
      <c r="Q632" s="155" t="str">
        <f>VLOOKUP(Table323[[#This Row],[Census Tract]],'ES Energy Burden'!$B$2:$E$914,4,FALSE)</f>
        <v>No</v>
      </c>
    </row>
    <row r="633" spans="1:17" x14ac:dyDescent="0.2">
      <c r="A633" s="101">
        <v>9011715100</v>
      </c>
      <c r="B633" s="102" t="s">
        <v>2834</v>
      </c>
      <c r="C633" s="104" t="s">
        <v>944</v>
      </c>
      <c r="D633" s="69">
        <v>97402.728545280013</v>
      </c>
      <c r="E633" s="69">
        <v>47537.07</v>
      </c>
      <c r="F633" s="13">
        <f>[1]!Table323[[#This Row],[Single Family]]+[1]!Table323[[#This Row],[2-4 Units]]+[1]!Table323[[#This Row],[&gt;4 Units]]</f>
        <v>20</v>
      </c>
      <c r="G633" s="13">
        <v>20</v>
      </c>
      <c r="H633" s="13">
        <v>0</v>
      </c>
      <c r="I633" s="13">
        <v>0</v>
      </c>
      <c r="J633" s="68">
        <v>18991.28</v>
      </c>
      <c r="K633">
        <f t="shared" si="9"/>
        <v>3</v>
      </c>
      <c r="L633" s="13">
        <v>3</v>
      </c>
      <c r="M633" s="13">
        <v>0</v>
      </c>
      <c r="N633" s="13">
        <v>0</v>
      </c>
      <c r="O633" s="68">
        <v>2834.6</v>
      </c>
      <c r="P633" s="155">
        <f>VLOOKUP(Table323[[#This Row],[Census Tract]],'Population and Diversity Data'!$B$2:$K$823,10,FALSE)</f>
        <v>3</v>
      </c>
      <c r="Q633" s="155" t="str">
        <f>VLOOKUP(Table323[[#This Row],[Census Tract]],'ES Energy Burden'!$B$2:$E$914,4,FALSE)</f>
        <v>No</v>
      </c>
    </row>
    <row r="634" spans="1:17" x14ac:dyDescent="0.2">
      <c r="A634" s="101">
        <v>9005261100</v>
      </c>
      <c r="B634" s="102" t="s">
        <v>2835</v>
      </c>
      <c r="C634" s="104" t="s">
        <v>944</v>
      </c>
      <c r="D634" s="69">
        <v>133901.08475904001</v>
      </c>
      <c r="E634" s="69">
        <v>71965.126900000003</v>
      </c>
      <c r="F634" s="13">
        <f>[1]!Table323[[#This Row],[Single Family]]+[1]!Table323[[#This Row],[2-4 Units]]+[1]!Table323[[#This Row],[&gt;4 Units]]</f>
        <v>14</v>
      </c>
      <c r="G634" s="13">
        <v>14</v>
      </c>
      <c r="H634" s="13">
        <v>0</v>
      </c>
      <c r="I634" s="13">
        <v>0</v>
      </c>
      <c r="J634" s="68">
        <v>15246.9969</v>
      </c>
      <c r="K634">
        <f t="shared" si="9"/>
        <v>5</v>
      </c>
      <c r="L634" s="13">
        <v>5</v>
      </c>
      <c r="M634" s="13">
        <v>0</v>
      </c>
      <c r="N634" s="13">
        <v>0</v>
      </c>
      <c r="O634" s="68">
        <v>44634.3</v>
      </c>
      <c r="P634" s="155">
        <f>VLOOKUP(Table323[[#This Row],[Census Tract]],'Population and Diversity Data'!$B$2:$K$823,10,FALSE)</f>
        <v>1</v>
      </c>
      <c r="Q634" s="155" t="str">
        <f>VLOOKUP(Table323[[#This Row],[Census Tract]],'ES Energy Burden'!$B$2:$E$914,4,FALSE)</f>
        <v>No</v>
      </c>
    </row>
    <row r="635" spans="1:17" x14ac:dyDescent="0.2">
      <c r="A635" s="101">
        <v>9005262100</v>
      </c>
      <c r="B635" s="102" t="s">
        <v>2835</v>
      </c>
      <c r="C635" s="104" t="s">
        <v>944</v>
      </c>
      <c r="D635" s="69">
        <v>870.51974399999995</v>
      </c>
      <c r="E635" s="69">
        <v>254.5</v>
      </c>
      <c r="F635" s="13">
        <f>[1]!Table323[[#This Row],[Single Family]]+[1]!Table323[[#This Row],[2-4 Units]]+[1]!Table323[[#This Row],[&gt;4 Units]]</f>
        <v>1</v>
      </c>
      <c r="G635" s="13">
        <v>1</v>
      </c>
      <c r="H635" s="13">
        <v>0</v>
      </c>
      <c r="I635" s="13">
        <v>0</v>
      </c>
      <c r="J635" s="68">
        <v>251.31</v>
      </c>
      <c r="K635">
        <f t="shared" si="9"/>
        <v>0</v>
      </c>
      <c r="L635" s="13">
        <v>0</v>
      </c>
      <c r="M635" s="13">
        <v>0</v>
      </c>
      <c r="N635" s="13">
        <v>0</v>
      </c>
      <c r="O635" s="68">
        <v>0</v>
      </c>
      <c r="P635" s="155">
        <f>VLOOKUP(Table323[[#This Row],[Census Tract]],'Population and Diversity Data'!$B$2:$K$823,10,FALSE)</f>
        <v>1</v>
      </c>
      <c r="Q635" s="155" t="str">
        <f>VLOOKUP(Table323[[#This Row],[Census Tract]],'ES Energy Burden'!$B$2:$E$914,4,FALSE)</f>
        <v>No</v>
      </c>
    </row>
    <row r="636" spans="1:17" x14ac:dyDescent="0.2">
      <c r="A636" s="101">
        <v>9015825000</v>
      </c>
      <c r="B636" s="102" t="s">
        <v>2836</v>
      </c>
      <c r="C636" s="104" t="s">
        <v>944</v>
      </c>
      <c r="D636" s="69">
        <v>30727.571538239998</v>
      </c>
      <c r="E636" s="69">
        <v>14083.63</v>
      </c>
      <c r="F636" s="13">
        <f>[1]!Table323[[#This Row],[Single Family]]+[1]!Table323[[#This Row],[2-4 Units]]+[1]!Table323[[#This Row],[&gt;4 Units]]</f>
        <v>4</v>
      </c>
      <c r="G636" s="13">
        <v>4</v>
      </c>
      <c r="H636" s="13">
        <v>0</v>
      </c>
      <c r="I636" s="13">
        <v>0</v>
      </c>
      <c r="J636" s="68">
        <v>5836.07</v>
      </c>
      <c r="K636">
        <f t="shared" si="9"/>
        <v>3</v>
      </c>
      <c r="L636" s="13">
        <v>3</v>
      </c>
      <c r="M636" s="13">
        <v>0</v>
      </c>
      <c r="N636" s="13">
        <v>0</v>
      </c>
      <c r="O636" s="68">
        <v>5120.0600000000004</v>
      </c>
      <c r="P636" s="155">
        <f>VLOOKUP(Table323[[#This Row],[Census Tract]],'Population and Diversity Data'!$B$2:$K$823,10,FALSE)</f>
        <v>2</v>
      </c>
      <c r="Q636" s="155" t="str">
        <f>VLOOKUP(Table323[[#This Row],[Census Tract]],'ES Energy Burden'!$B$2:$E$914,4,FALSE)</f>
        <v>No</v>
      </c>
    </row>
    <row r="637" spans="1:17" x14ac:dyDescent="0.2">
      <c r="A637" s="101">
        <v>9009120200</v>
      </c>
      <c r="B637" s="102" t="s">
        <v>2837</v>
      </c>
      <c r="C637" s="104" t="s">
        <v>944</v>
      </c>
      <c r="D637" s="69">
        <v>167.08792319999998</v>
      </c>
      <c r="E637" s="69">
        <v>0</v>
      </c>
      <c r="F637" s="13">
        <f>[1]!Table323[[#This Row],[Single Family]]+[1]!Table323[[#This Row],[2-4 Units]]+[1]!Table323[[#This Row],[&gt;4 Units]]</f>
        <v>0</v>
      </c>
      <c r="G637" s="13">
        <v>0</v>
      </c>
      <c r="H637" s="13">
        <v>0</v>
      </c>
      <c r="I637" s="13">
        <v>0</v>
      </c>
      <c r="J637" s="68">
        <v>0</v>
      </c>
      <c r="K637">
        <f t="shared" si="9"/>
        <v>0</v>
      </c>
      <c r="L637" s="13">
        <v>0</v>
      </c>
      <c r="M637" s="13">
        <v>0</v>
      </c>
      <c r="N637" s="13">
        <v>0</v>
      </c>
      <c r="O637" s="68">
        <v>0</v>
      </c>
      <c r="P637" s="155">
        <f>VLOOKUP(Table323[[#This Row],[Census Tract]],'Population and Diversity Data'!$B$2:$K$823,10,FALSE)</f>
        <v>4</v>
      </c>
      <c r="Q637" s="155" t="str">
        <f>VLOOKUP(Table323[[#This Row],[Census Tract]],'ES Energy Burden'!$B$2:$E$914,4,FALSE)</f>
        <v>Yes</v>
      </c>
    </row>
    <row r="638" spans="1:17" x14ac:dyDescent="0.2">
      <c r="A638" s="101">
        <v>9009125300</v>
      </c>
      <c r="B638" s="102" t="s">
        <v>2837</v>
      </c>
      <c r="C638" s="104" t="s">
        <v>944</v>
      </c>
      <c r="D638" s="69">
        <v>41.106268800000002</v>
      </c>
      <c r="E638" s="69">
        <v>0</v>
      </c>
      <c r="F638" s="13">
        <f>[1]!Table323[[#This Row],[Single Family]]+[1]!Table323[[#This Row],[2-4 Units]]+[1]!Table323[[#This Row],[&gt;4 Units]]</f>
        <v>0</v>
      </c>
      <c r="G638" s="13">
        <v>0</v>
      </c>
      <c r="H638" s="13">
        <v>0</v>
      </c>
      <c r="I638" s="13">
        <v>0</v>
      </c>
      <c r="J638" s="68">
        <v>0</v>
      </c>
      <c r="K638">
        <f t="shared" si="9"/>
        <v>0</v>
      </c>
      <c r="L638" s="13">
        <v>0</v>
      </c>
      <c r="M638" s="13">
        <v>0</v>
      </c>
      <c r="N638" s="13">
        <v>0</v>
      </c>
      <c r="O638" s="68">
        <v>0</v>
      </c>
      <c r="P638" s="155">
        <f>VLOOKUP(Table323[[#This Row],[Census Tract]],'Population and Diversity Data'!$B$2:$K$823,10,FALSE)</f>
        <v>5</v>
      </c>
      <c r="Q638" s="155" t="str">
        <f>VLOOKUP(Table323[[#This Row],[Census Tract]],'ES Energy Burden'!$B$2:$E$914,4,FALSE)</f>
        <v>No</v>
      </c>
    </row>
    <row r="639" spans="1:17" x14ac:dyDescent="0.2">
      <c r="A639" s="101">
        <v>9009125400</v>
      </c>
      <c r="B639" s="102" t="s">
        <v>2837</v>
      </c>
      <c r="C639" s="104" t="s">
        <v>944</v>
      </c>
      <c r="D639" s="69">
        <v>876.93952319999994</v>
      </c>
      <c r="E639" s="69">
        <v>0</v>
      </c>
      <c r="F639" s="13">
        <f>[1]!Table323[[#This Row],[Single Family]]+[1]!Table323[[#This Row],[2-4 Units]]+[1]!Table323[[#This Row],[&gt;4 Units]]</f>
        <v>0</v>
      </c>
      <c r="G639" s="13">
        <v>0</v>
      </c>
      <c r="H639" s="13">
        <v>0</v>
      </c>
      <c r="I639" s="13">
        <v>0</v>
      </c>
      <c r="J639" s="68">
        <v>0</v>
      </c>
      <c r="K639">
        <f t="shared" si="9"/>
        <v>0</v>
      </c>
      <c r="L639" s="13">
        <v>0</v>
      </c>
      <c r="M639" s="13">
        <v>0</v>
      </c>
      <c r="N639" s="13">
        <v>0</v>
      </c>
      <c r="O639" s="68">
        <v>0</v>
      </c>
      <c r="P639" s="155">
        <f>VLOOKUP(Table323[[#This Row],[Census Tract]],'Population and Diversity Data'!$B$2:$K$823,10,FALSE)</f>
        <v>3</v>
      </c>
      <c r="Q639" s="155" t="str">
        <f>VLOOKUP(Table323[[#This Row],[Census Tract]],'ES Energy Burden'!$B$2:$E$914,4,FALSE)</f>
        <v>No</v>
      </c>
    </row>
    <row r="640" spans="1:17" x14ac:dyDescent="0.2">
      <c r="A640" s="101">
        <v>9009130101</v>
      </c>
      <c r="B640" s="102" t="s">
        <v>2837</v>
      </c>
      <c r="C640" s="104" t="s">
        <v>944</v>
      </c>
      <c r="D640" s="69">
        <v>89614.184112000003</v>
      </c>
      <c r="E640" s="69">
        <v>38284.129999999997</v>
      </c>
      <c r="F640" s="13">
        <f>[1]!Table323[[#This Row],[Single Family]]+[1]!Table323[[#This Row],[2-4 Units]]+[1]!Table323[[#This Row],[&gt;4 Units]]</f>
        <v>20</v>
      </c>
      <c r="G640" s="13">
        <v>19</v>
      </c>
      <c r="H640" s="13">
        <v>1</v>
      </c>
      <c r="I640" s="13">
        <v>0</v>
      </c>
      <c r="J640" s="68">
        <v>21582.81</v>
      </c>
      <c r="K640">
        <f t="shared" si="9"/>
        <v>0</v>
      </c>
      <c r="L640" s="13">
        <v>0</v>
      </c>
      <c r="M640" s="13">
        <v>0</v>
      </c>
      <c r="N640" s="13">
        <v>0</v>
      </c>
      <c r="O640" s="68">
        <v>0</v>
      </c>
      <c r="P640" s="155">
        <f>VLOOKUP(Table323[[#This Row],[Census Tract]],'Population and Diversity Data'!$B$2:$K$823,10,FALSE)</f>
        <v>2</v>
      </c>
      <c r="Q640" s="155" t="str">
        <f>VLOOKUP(Table323[[#This Row],[Census Tract]],'ES Energy Burden'!$B$2:$E$914,4,FALSE)</f>
        <v>No</v>
      </c>
    </row>
    <row r="641" spans="1:17" x14ac:dyDescent="0.2">
      <c r="A641" s="101">
        <v>9009130102</v>
      </c>
      <c r="B641" s="102" t="s">
        <v>2837</v>
      </c>
      <c r="C641" s="104" t="s">
        <v>944</v>
      </c>
      <c r="D641" s="69">
        <v>53976.907267200004</v>
      </c>
      <c r="E641" s="69">
        <v>13351.72</v>
      </c>
      <c r="F641" s="13">
        <f>[1]!Table323[[#This Row],[Single Family]]+[1]!Table323[[#This Row],[2-4 Units]]+[1]!Table323[[#This Row],[&gt;4 Units]]</f>
        <v>4</v>
      </c>
      <c r="G641" s="13">
        <v>4</v>
      </c>
      <c r="H641" s="13">
        <v>0</v>
      </c>
      <c r="I641" s="13">
        <v>0</v>
      </c>
      <c r="J641" s="68">
        <v>2357.27</v>
      </c>
      <c r="K641">
        <f t="shared" si="9"/>
        <v>0</v>
      </c>
      <c r="L641" s="13">
        <v>0</v>
      </c>
      <c r="M641" s="13">
        <v>0</v>
      </c>
      <c r="N641" s="13">
        <v>0</v>
      </c>
      <c r="O641" s="68">
        <v>0</v>
      </c>
      <c r="P641" s="155">
        <f>VLOOKUP(Table323[[#This Row],[Census Tract]],'Population and Diversity Data'!$B$2:$K$823,10,FALSE)</f>
        <v>2</v>
      </c>
      <c r="Q641" s="155" t="str">
        <f>VLOOKUP(Table323[[#This Row],[Census Tract]],'ES Energy Burden'!$B$2:$E$914,4,FALSE)</f>
        <v>No</v>
      </c>
    </row>
    <row r="642" spans="1:17" x14ac:dyDescent="0.2">
      <c r="A642" s="101">
        <v>9009130200</v>
      </c>
      <c r="B642" s="102" t="s">
        <v>2837</v>
      </c>
      <c r="C642" s="104" t="s">
        <v>944</v>
      </c>
      <c r="D642" s="69">
        <v>167933.76007968001</v>
      </c>
      <c r="E642" s="69">
        <v>113997.1498</v>
      </c>
      <c r="F642" s="13">
        <f>[1]!Table323[[#This Row],[Single Family]]+[1]!Table323[[#This Row],[2-4 Units]]+[1]!Table323[[#This Row],[&gt;4 Units]]</f>
        <v>37</v>
      </c>
      <c r="G642" s="13">
        <v>37</v>
      </c>
      <c r="H642" s="13">
        <v>0</v>
      </c>
      <c r="I642" s="13">
        <v>0</v>
      </c>
      <c r="J642" s="68">
        <v>39469.339999999997</v>
      </c>
      <c r="K642">
        <f t="shared" si="9"/>
        <v>38</v>
      </c>
      <c r="L642" s="13">
        <v>38</v>
      </c>
      <c r="M642" s="13">
        <v>0</v>
      </c>
      <c r="N642" s="13">
        <v>0</v>
      </c>
      <c r="O642" s="68">
        <v>68806.100000000006</v>
      </c>
      <c r="P642" s="155">
        <f>VLOOKUP(Table323[[#This Row],[Census Tract]],'Population and Diversity Data'!$B$2:$K$823,10,FALSE)</f>
        <v>3</v>
      </c>
      <c r="Q642" s="155" t="str">
        <f>VLOOKUP(Table323[[#This Row],[Census Tract]],'ES Energy Burden'!$B$2:$E$914,4,FALSE)</f>
        <v>No</v>
      </c>
    </row>
    <row r="643" spans="1:17" x14ac:dyDescent="0.2">
      <c r="A643" s="101">
        <v>9005262100</v>
      </c>
      <c r="B643" s="102" t="s">
        <v>2838</v>
      </c>
      <c r="C643" s="104" t="s">
        <v>944</v>
      </c>
      <c r="D643" s="69">
        <v>96003.921755520001</v>
      </c>
      <c r="E643" s="69">
        <v>24987.0278</v>
      </c>
      <c r="F643" s="13">
        <f>[1]!Table323[[#This Row],[Single Family]]+[1]!Table323[[#This Row],[2-4 Units]]+[1]!Table323[[#This Row],[&gt;4 Units]]</f>
        <v>13</v>
      </c>
      <c r="G643" s="13">
        <v>13</v>
      </c>
      <c r="H643" s="13">
        <v>0</v>
      </c>
      <c r="I643" s="13">
        <v>0</v>
      </c>
      <c r="J643" s="68">
        <v>11527.227800000001</v>
      </c>
      <c r="K643">
        <f t="shared" si="9"/>
        <v>1</v>
      </c>
      <c r="L643" s="13">
        <v>1</v>
      </c>
      <c r="M643" s="13">
        <v>0</v>
      </c>
      <c r="N643" s="13">
        <v>0</v>
      </c>
      <c r="O643" s="68">
        <v>766.06</v>
      </c>
      <c r="P643" s="155">
        <f>VLOOKUP(Table323[[#This Row],[Census Tract]],'Population and Diversity Data'!$B$2:$K$823,10,FALSE)</f>
        <v>1</v>
      </c>
      <c r="Q643" s="155" t="str">
        <f>VLOOKUP(Table323[[#This Row],[Census Tract]],'ES Energy Burden'!$B$2:$E$914,4,FALSE)</f>
        <v>No</v>
      </c>
    </row>
    <row r="644" spans="1:17" x14ac:dyDescent="0.2">
      <c r="A644" s="101">
        <v>9005266100</v>
      </c>
      <c r="B644" s="102" t="s">
        <v>2838</v>
      </c>
      <c r="C644" s="104" t="s">
        <v>944</v>
      </c>
      <c r="D644" s="69">
        <v>572.91174720000004</v>
      </c>
      <c r="E644" s="69">
        <v>0</v>
      </c>
      <c r="F644" s="13">
        <f>[1]!Table323[[#This Row],[Single Family]]+[1]!Table323[[#This Row],[2-4 Units]]+[1]!Table323[[#This Row],[&gt;4 Units]]</f>
        <v>0</v>
      </c>
      <c r="G644" s="13">
        <v>0</v>
      </c>
      <c r="H644" s="13">
        <v>0</v>
      </c>
      <c r="I644" s="13">
        <v>0</v>
      </c>
      <c r="J644" s="68">
        <v>0</v>
      </c>
      <c r="K644">
        <f t="shared" si="9"/>
        <v>0</v>
      </c>
      <c r="L644" s="13">
        <v>0</v>
      </c>
      <c r="M644" s="13">
        <v>0</v>
      </c>
      <c r="N644" s="13">
        <v>0</v>
      </c>
      <c r="O644" s="68">
        <v>0</v>
      </c>
      <c r="P644" s="155">
        <f>VLOOKUP(Table323[[#This Row],[Census Tract]],'Population and Diversity Data'!$B$2:$K$823,10,FALSE)</f>
        <v>2</v>
      </c>
      <c r="Q644" s="155" t="str">
        <f>VLOOKUP(Table323[[#This Row],[Census Tract]],'ES Energy Burden'!$B$2:$E$914,4,FALSE)</f>
        <v>No</v>
      </c>
    </row>
    <row r="645" spans="1:17" x14ac:dyDescent="0.2">
      <c r="A645" s="101">
        <v>9001220200</v>
      </c>
      <c r="B645" s="102" t="s">
        <v>2839</v>
      </c>
      <c r="C645" s="104" t="s">
        <v>944</v>
      </c>
      <c r="D645" s="69">
        <v>419.00492159999999</v>
      </c>
      <c r="E645" s="69">
        <v>0</v>
      </c>
      <c r="F645" s="13">
        <f>[1]!Table323[[#This Row],[Single Family]]+[1]!Table323[[#This Row],[2-4 Units]]+[1]!Table323[[#This Row],[&gt;4 Units]]</f>
        <v>0</v>
      </c>
      <c r="G645" s="13">
        <v>0</v>
      </c>
      <c r="H645" s="13">
        <v>0</v>
      </c>
      <c r="I645" s="13">
        <v>0</v>
      </c>
      <c r="J645" s="68">
        <v>0</v>
      </c>
      <c r="K645">
        <f t="shared" si="9"/>
        <v>0</v>
      </c>
      <c r="L645" s="13">
        <v>0</v>
      </c>
      <c r="M645" s="13">
        <v>0</v>
      </c>
      <c r="N645" s="13">
        <v>0</v>
      </c>
      <c r="O645" s="68">
        <v>0</v>
      </c>
      <c r="P645" s="155">
        <f>VLOOKUP(Table323[[#This Row],[Census Tract]],'Population and Diversity Data'!$B$2:$K$823,10,FALSE)</f>
        <v>3</v>
      </c>
      <c r="Q645" s="155" t="str">
        <f>VLOOKUP(Table323[[#This Row],[Census Tract]],'ES Energy Burden'!$B$2:$E$914,4,FALSE)</f>
        <v>No</v>
      </c>
    </row>
    <row r="646" spans="1:17" x14ac:dyDescent="0.2">
      <c r="A646" s="101">
        <v>9001220300</v>
      </c>
      <c r="B646" s="102" t="s">
        <v>2839</v>
      </c>
      <c r="C646" s="104" t="s">
        <v>944</v>
      </c>
      <c r="D646" s="69">
        <v>1016.0791200000001</v>
      </c>
      <c r="E646" s="69">
        <v>0</v>
      </c>
      <c r="F646" s="13">
        <f>[1]!Table323[[#This Row],[Single Family]]+[1]!Table323[[#This Row],[2-4 Units]]+[1]!Table323[[#This Row],[&gt;4 Units]]</f>
        <v>0</v>
      </c>
      <c r="G646" s="13">
        <v>0</v>
      </c>
      <c r="H646" s="13">
        <v>0</v>
      </c>
      <c r="I646" s="13">
        <v>0</v>
      </c>
      <c r="J646" s="68">
        <v>0</v>
      </c>
      <c r="K646">
        <f t="shared" ref="K646:K709" si="10">L646+M646+N646</f>
        <v>0</v>
      </c>
      <c r="L646" s="13">
        <v>0</v>
      </c>
      <c r="M646" s="13">
        <v>0</v>
      </c>
      <c r="N646" s="13">
        <v>0</v>
      </c>
      <c r="O646" s="68">
        <v>0</v>
      </c>
      <c r="P646" s="155">
        <f>VLOOKUP(Table323[[#This Row],[Census Tract]],'Population and Diversity Data'!$B$2:$K$823,10,FALSE)</f>
        <v>2</v>
      </c>
      <c r="Q646" s="155" t="str">
        <f>VLOOKUP(Table323[[#This Row],[Census Tract]],'ES Energy Burden'!$B$2:$E$914,4,FALSE)</f>
        <v>No</v>
      </c>
    </row>
    <row r="647" spans="1:17" x14ac:dyDescent="0.2">
      <c r="A647" s="101">
        <v>9001257100</v>
      </c>
      <c r="B647" s="102" t="s">
        <v>2839</v>
      </c>
      <c r="C647" s="104" t="s">
        <v>944</v>
      </c>
      <c r="D647" s="69">
        <v>114117.20257248002</v>
      </c>
      <c r="E647" s="69">
        <v>34462.43</v>
      </c>
      <c r="F647" s="13">
        <f>[1]!Table323[[#This Row],[Single Family]]+[1]!Table323[[#This Row],[2-4 Units]]+[1]!Table323[[#This Row],[&gt;4 Units]]</f>
        <v>11</v>
      </c>
      <c r="G647" s="13">
        <v>11</v>
      </c>
      <c r="H647" s="13">
        <v>0</v>
      </c>
      <c r="I647" s="13">
        <v>0</v>
      </c>
      <c r="J647" s="68">
        <v>13816.51</v>
      </c>
      <c r="K647">
        <f t="shared" si="10"/>
        <v>5</v>
      </c>
      <c r="L647" s="13">
        <v>5</v>
      </c>
      <c r="M647" s="13">
        <v>0</v>
      </c>
      <c r="N647" s="13">
        <v>0</v>
      </c>
      <c r="O647" s="68">
        <v>14831.6</v>
      </c>
      <c r="P647" s="155">
        <f>VLOOKUP(Table323[[#This Row],[Census Tract]],'Population and Diversity Data'!$B$2:$K$823,10,FALSE)</f>
        <v>1</v>
      </c>
      <c r="Q647" s="155" t="str">
        <f>VLOOKUP(Table323[[#This Row],[Census Tract]],'ES Energy Burden'!$B$2:$E$914,4,FALSE)</f>
        <v>No</v>
      </c>
    </row>
    <row r="648" spans="1:17" x14ac:dyDescent="0.2">
      <c r="A648" s="101">
        <v>9005253400</v>
      </c>
      <c r="B648" s="102" t="s">
        <v>2839</v>
      </c>
      <c r="C648" s="104" t="s">
        <v>944</v>
      </c>
      <c r="D648" s="69">
        <v>1058.5747007999998</v>
      </c>
      <c r="E648" s="69">
        <v>0</v>
      </c>
      <c r="F648" s="13">
        <f>[1]!Table323[[#This Row],[Single Family]]+[1]!Table323[[#This Row],[2-4 Units]]+[1]!Table323[[#This Row],[&gt;4 Units]]</f>
        <v>0</v>
      </c>
      <c r="G648" s="13">
        <v>0</v>
      </c>
      <c r="H648" s="13">
        <v>0</v>
      </c>
      <c r="I648" s="13">
        <v>0</v>
      </c>
      <c r="J648" s="68">
        <v>0</v>
      </c>
      <c r="K648">
        <f t="shared" si="10"/>
        <v>0</v>
      </c>
      <c r="L648" s="13">
        <v>0</v>
      </c>
      <c r="M648" s="13">
        <v>0</v>
      </c>
      <c r="N648" s="13">
        <v>0</v>
      </c>
      <c r="O648" s="68">
        <v>0</v>
      </c>
      <c r="P648" s="155">
        <f>VLOOKUP(Table323[[#This Row],[Census Tract]],'Population and Diversity Data'!$B$2:$K$823,10,FALSE)</f>
        <v>2</v>
      </c>
      <c r="Q648" s="155" t="str">
        <f>VLOOKUP(Table323[[#This Row],[Census Tract]],'ES Energy Burden'!$B$2:$E$914,4,FALSE)</f>
        <v>No</v>
      </c>
    </row>
    <row r="649" spans="1:17" x14ac:dyDescent="0.2">
      <c r="A649" s="101">
        <v>9003464101</v>
      </c>
      <c r="B649" s="102" t="s">
        <v>2840</v>
      </c>
      <c r="C649" s="104" t="s">
        <v>944</v>
      </c>
      <c r="D649" s="69">
        <v>1219.9722336</v>
      </c>
      <c r="E649" s="69">
        <v>0</v>
      </c>
      <c r="F649" s="13">
        <f>[1]!Table323[[#This Row],[Single Family]]+[1]!Table323[[#This Row],[2-4 Units]]+[1]!Table323[[#This Row],[&gt;4 Units]]</f>
        <v>0</v>
      </c>
      <c r="G649" s="13">
        <v>0</v>
      </c>
      <c r="H649" s="13">
        <v>0</v>
      </c>
      <c r="I649" s="13">
        <v>0</v>
      </c>
      <c r="J649" s="68">
        <v>0</v>
      </c>
      <c r="K649">
        <f t="shared" si="10"/>
        <v>0</v>
      </c>
      <c r="L649" s="13">
        <v>0</v>
      </c>
      <c r="M649" s="13">
        <v>0</v>
      </c>
      <c r="N649" s="13">
        <v>0</v>
      </c>
      <c r="O649" s="68">
        <v>0</v>
      </c>
      <c r="P649" s="155">
        <f>VLOOKUP(Table323[[#This Row],[Census Tract]],'Population and Diversity Data'!$B$2:$K$823,10,FALSE)</f>
        <v>1</v>
      </c>
      <c r="Q649" s="155" t="str">
        <f>VLOOKUP(Table323[[#This Row],[Census Tract]],'ES Energy Burden'!$B$2:$E$914,4,FALSE)</f>
        <v>No</v>
      </c>
    </row>
    <row r="650" spans="1:17" x14ac:dyDescent="0.2">
      <c r="A650" s="101">
        <v>9003466101</v>
      </c>
      <c r="B650" s="102" t="s">
        <v>2840</v>
      </c>
      <c r="C650" s="104" t="s">
        <v>944</v>
      </c>
      <c r="D650" s="69">
        <v>89359.129584000009</v>
      </c>
      <c r="E650" s="69">
        <v>9945.31</v>
      </c>
      <c r="F650" s="13">
        <f>[1]!Table323[[#This Row],[Single Family]]+[1]!Table323[[#This Row],[2-4 Units]]+[1]!Table323[[#This Row],[&gt;4 Units]]</f>
        <v>11</v>
      </c>
      <c r="G650" s="13">
        <v>11</v>
      </c>
      <c r="H650" s="13">
        <v>0</v>
      </c>
      <c r="I650" s="13">
        <v>0</v>
      </c>
      <c r="J650" s="68">
        <v>9297.07</v>
      </c>
      <c r="K650">
        <f t="shared" si="10"/>
        <v>0</v>
      </c>
      <c r="L650" s="13">
        <v>0</v>
      </c>
      <c r="M650" s="13">
        <v>0</v>
      </c>
      <c r="N650" s="13">
        <v>0</v>
      </c>
      <c r="O650" s="68">
        <v>0</v>
      </c>
      <c r="P650" s="155">
        <f>VLOOKUP(Table323[[#This Row],[Census Tract]],'Population and Diversity Data'!$B$2:$K$823,10,FALSE)</f>
        <v>1</v>
      </c>
      <c r="Q650" s="155" t="str">
        <f>VLOOKUP(Table323[[#This Row],[Census Tract]],'ES Energy Burden'!$B$2:$E$914,4,FALSE)</f>
        <v>No</v>
      </c>
    </row>
    <row r="651" spans="1:17" x14ac:dyDescent="0.2">
      <c r="A651" s="101">
        <v>9003466102</v>
      </c>
      <c r="B651" s="102" t="s">
        <v>2840</v>
      </c>
      <c r="C651" s="104" t="s">
        <v>944</v>
      </c>
      <c r="D651" s="69">
        <v>115211.62673280001</v>
      </c>
      <c r="E651" s="69">
        <v>225976.02679999999</v>
      </c>
      <c r="F651" s="13">
        <f>[1]!Table323[[#This Row],[Single Family]]+[1]!Table323[[#This Row],[2-4 Units]]+[1]!Table323[[#This Row],[&gt;4 Units]]</f>
        <v>118</v>
      </c>
      <c r="G651" s="13">
        <v>30</v>
      </c>
      <c r="H651" s="13">
        <v>0</v>
      </c>
      <c r="I651" s="13">
        <v>88</v>
      </c>
      <c r="J651" s="68">
        <v>34376.17</v>
      </c>
      <c r="K651">
        <f t="shared" si="10"/>
        <v>61</v>
      </c>
      <c r="L651" s="13">
        <v>11</v>
      </c>
      <c r="M651" s="13">
        <v>0</v>
      </c>
      <c r="N651" s="13">
        <v>50</v>
      </c>
      <c r="O651" s="68">
        <v>62042.7</v>
      </c>
      <c r="P651" s="155">
        <f>VLOOKUP(Table323[[#This Row],[Census Tract]],'Population and Diversity Data'!$B$2:$K$823,10,FALSE)</f>
        <v>2</v>
      </c>
      <c r="Q651" s="155" t="str">
        <f>VLOOKUP(Table323[[#This Row],[Census Tract]],'ES Energy Burden'!$B$2:$E$914,4,FALSE)</f>
        <v>No</v>
      </c>
    </row>
    <row r="652" spans="1:17" x14ac:dyDescent="0.2">
      <c r="A652" s="101">
        <v>9003466201</v>
      </c>
      <c r="B652" s="102" t="s">
        <v>2840</v>
      </c>
      <c r="C652" s="104" t="s">
        <v>944</v>
      </c>
      <c r="D652" s="69">
        <v>49398.020303040008</v>
      </c>
      <c r="E652" s="69">
        <v>14239.196</v>
      </c>
      <c r="F652" s="13">
        <f>[1]!Table323[[#This Row],[Single Family]]+[1]!Table323[[#This Row],[2-4 Units]]+[1]!Table323[[#This Row],[&gt;4 Units]]</f>
        <v>11</v>
      </c>
      <c r="G652" s="13">
        <v>11</v>
      </c>
      <c r="H652" s="13">
        <v>0</v>
      </c>
      <c r="I652" s="13">
        <v>0</v>
      </c>
      <c r="J652" s="68">
        <v>12420.096</v>
      </c>
      <c r="K652">
        <f t="shared" si="10"/>
        <v>0</v>
      </c>
      <c r="L652" s="13">
        <v>0</v>
      </c>
      <c r="M652" s="13">
        <v>0</v>
      </c>
      <c r="N652" s="13">
        <v>0</v>
      </c>
      <c r="O652" s="68">
        <v>0</v>
      </c>
      <c r="P652" s="155">
        <f>VLOOKUP(Table323[[#This Row],[Census Tract]],'Population and Diversity Data'!$B$2:$K$823,10,FALSE)</f>
        <v>3</v>
      </c>
      <c r="Q652" s="155" t="str">
        <f>VLOOKUP(Table323[[#This Row],[Census Tract]],'ES Energy Burden'!$B$2:$E$914,4,FALSE)</f>
        <v>No</v>
      </c>
    </row>
    <row r="653" spans="1:17" x14ac:dyDescent="0.2">
      <c r="A653" s="101">
        <v>9003466202</v>
      </c>
      <c r="B653" s="102" t="s">
        <v>2840</v>
      </c>
      <c r="C653" s="104" t="s">
        <v>944</v>
      </c>
      <c r="D653" s="69">
        <v>99425.036563200003</v>
      </c>
      <c r="E653" s="69">
        <v>14061.6337</v>
      </c>
      <c r="F653" s="13">
        <f>[1]!Table323[[#This Row],[Single Family]]+[1]!Table323[[#This Row],[2-4 Units]]+[1]!Table323[[#This Row],[&gt;4 Units]]</f>
        <v>18</v>
      </c>
      <c r="G653" s="13">
        <v>18</v>
      </c>
      <c r="H653" s="13">
        <v>0</v>
      </c>
      <c r="I653" s="13">
        <v>0</v>
      </c>
      <c r="J653" s="68">
        <v>14052.323700000001</v>
      </c>
      <c r="K653">
        <f t="shared" si="10"/>
        <v>0</v>
      </c>
      <c r="L653" s="13">
        <v>0</v>
      </c>
      <c r="M653" s="13">
        <v>0</v>
      </c>
      <c r="N653" s="13">
        <v>0</v>
      </c>
      <c r="O653" s="68">
        <v>0</v>
      </c>
      <c r="P653" s="155">
        <f>VLOOKUP(Table323[[#This Row],[Census Tract]],'Population and Diversity Data'!$B$2:$K$823,10,FALSE)</f>
        <v>2</v>
      </c>
      <c r="Q653" s="155" t="str">
        <f>VLOOKUP(Table323[[#This Row],[Census Tract]],'ES Energy Burden'!$B$2:$E$914,4,FALSE)</f>
        <v>No</v>
      </c>
    </row>
    <row r="654" spans="1:17" x14ac:dyDescent="0.2">
      <c r="A654" s="101">
        <v>9003466300</v>
      </c>
      <c r="B654" s="102" t="s">
        <v>2840</v>
      </c>
      <c r="C654" s="104" t="s">
        <v>944</v>
      </c>
      <c r="D654" s="69">
        <v>101449.18831391999</v>
      </c>
      <c r="E654" s="69">
        <v>41323.4208</v>
      </c>
      <c r="F654" s="13">
        <f>[1]!Table323[[#This Row],[Single Family]]+[1]!Table323[[#This Row],[2-4 Units]]+[1]!Table323[[#This Row],[&gt;4 Units]]</f>
        <v>29</v>
      </c>
      <c r="G654" s="13">
        <v>29</v>
      </c>
      <c r="H654" s="13">
        <v>0</v>
      </c>
      <c r="I654" s="13">
        <v>0</v>
      </c>
      <c r="J654" s="68">
        <v>24270.5501</v>
      </c>
      <c r="K654">
        <f t="shared" si="10"/>
        <v>0</v>
      </c>
      <c r="L654" s="13">
        <v>0</v>
      </c>
      <c r="M654" s="13">
        <v>0</v>
      </c>
      <c r="N654" s="13">
        <v>0</v>
      </c>
      <c r="O654" s="68">
        <v>0</v>
      </c>
      <c r="P654" s="155">
        <f>VLOOKUP(Table323[[#This Row],[Census Tract]],'Population and Diversity Data'!$B$2:$K$823,10,FALSE)</f>
        <v>2</v>
      </c>
      <c r="Q654" s="155" t="str">
        <f>VLOOKUP(Table323[[#This Row],[Census Tract]],'ES Energy Burden'!$B$2:$E$914,4,FALSE)</f>
        <v>No</v>
      </c>
    </row>
    <row r="655" spans="1:17" x14ac:dyDescent="0.2">
      <c r="A655" s="101">
        <v>9003466400</v>
      </c>
      <c r="B655" s="102" t="s">
        <v>2840</v>
      </c>
      <c r="C655" s="104" t="s">
        <v>944</v>
      </c>
      <c r="D655" s="69">
        <v>58695.277104000008</v>
      </c>
      <c r="E655" s="69">
        <v>6847.7622000000001</v>
      </c>
      <c r="F655" s="13">
        <f>[1]!Table323[[#This Row],[Single Family]]+[1]!Table323[[#This Row],[2-4 Units]]+[1]!Table323[[#This Row],[&gt;4 Units]]</f>
        <v>11</v>
      </c>
      <c r="G655" s="13">
        <v>11</v>
      </c>
      <c r="H655" s="13">
        <v>0</v>
      </c>
      <c r="I655" s="13">
        <v>0</v>
      </c>
      <c r="J655" s="68">
        <v>6833.6522000000004</v>
      </c>
      <c r="K655">
        <f t="shared" si="10"/>
        <v>0</v>
      </c>
      <c r="L655" s="13">
        <v>0</v>
      </c>
      <c r="M655" s="13">
        <v>0</v>
      </c>
      <c r="N655" s="13">
        <v>0</v>
      </c>
      <c r="O655" s="68">
        <v>0</v>
      </c>
      <c r="P655" s="155">
        <f>VLOOKUP(Table323[[#This Row],[Census Tract]],'Population and Diversity Data'!$B$2:$K$823,10,FALSE)</f>
        <v>3</v>
      </c>
      <c r="Q655" s="155" t="str">
        <f>VLOOKUP(Table323[[#This Row],[Census Tract]],'ES Energy Burden'!$B$2:$E$914,4,FALSE)</f>
        <v>No</v>
      </c>
    </row>
    <row r="656" spans="1:17" x14ac:dyDescent="0.2">
      <c r="A656" s="101">
        <v>9013538201</v>
      </c>
      <c r="B656" s="102" t="s">
        <v>2841</v>
      </c>
      <c r="C656" s="104" t="s">
        <v>944</v>
      </c>
      <c r="D656" s="69">
        <v>114821.10560160001</v>
      </c>
      <c r="E656" s="69">
        <v>69334.025399999999</v>
      </c>
      <c r="F656" s="13">
        <f>[1]!Table323[[#This Row],[Single Family]]+[1]!Table323[[#This Row],[2-4 Units]]+[1]!Table323[[#This Row],[&gt;4 Units]]</f>
        <v>25</v>
      </c>
      <c r="G656" s="13">
        <v>25</v>
      </c>
      <c r="H656" s="13">
        <v>0</v>
      </c>
      <c r="I656" s="13">
        <v>0</v>
      </c>
      <c r="J656" s="68">
        <v>22207.289700000001</v>
      </c>
      <c r="K656">
        <f t="shared" si="10"/>
        <v>15</v>
      </c>
      <c r="L656" s="13">
        <v>15</v>
      </c>
      <c r="M656" s="13">
        <v>0</v>
      </c>
      <c r="N656" s="13">
        <v>0</v>
      </c>
      <c r="O656" s="68">
        <v>27631.7</v>
      </c>
      <c r="P656" s="155">
        <f>VLOOKUP(Table323[[#This Row],[Census Tract]],'Population and Diversity Data'!$B$2:$K$823,10,FALSE)</f>
        <v>3</v>
      </c>
      <c r="Q656" s="155" t="str">
        <f>VLOOKUP(Table323[[#This Row],[Census Tract]],'ES Energy Burden'!$B$2:$E$914,4,FALSE)</f>
        <v>No</v>
      </c>
    </row>
    <row r="657" spans="1:17" x14ac:dyDescent="0.2">
      <c r="A657" s="101">
        <v>9013538202</v>
      </c>
      <c r="B657" s="102" t="s">
        <v>2841</v>
      </c>
      <c r="C657" s="104" t="s">
        <v>944</v>
      </c>
      <c r="D657" s="69">
        <v>88279.68047040001</v>
      </c>
      <c r="E657" s="69">
        <v>22506.682400000002</v>
      </c>
      <c r="F657" s="13">
        <f>[1]!Table323[[#This Row],[Single Family]]+[1]!Table323[[#This Row],[2-4 Units]]+[1]!Table323[[#This Row],[&gt;4 Units]]</f>
        <v>14</v>
      </c>
      <c r="G657" s="13">
        <v>14</v>
      </c>
      <c r="H657" s="13">
        <v>0</v>
      </c>
      <c r="I657" s="13">
        <v>0</v>
      </c>
      <c r="J657" s="68">
        <v>11259.6924</v>
      </c>
      <c r="K657">
        <f t="shared" si="10"/>
        <v>0</v>
      </c>
      <c r="L657" s="13">
        <v>0</v>
      </c>
      <c r="M657" s="13">
        <v>0</v>
      </c>
      <c r="N657" s="13">
        <v>0</v>
      </c>
      <c r="O657" s="68">
        <v>0</v>
      </c>
      <c r="P657" s="155">
        <f>VLOOKUP(Table323[[#This Row],[Census Tract]],'Population and Diversity Data'!$B$2:$K$823,10,FALSE)</f>
        <v>1</v>
      </c>
      <c r="Q657" s="155" t="str">
        <f>VLOOKUP(Table323[[#This Row],[Census Tract]],'ES Energy Burden'!$B$2:$E$914,4,FALSE)</f>
        <v>No</v>
      </c>
    </row>
    <row r="658" spans="1:17" x14ac:dyDescent="0.2">
      <c r="A658" s="101">
        <v>9013890202</v>
      </c>
      <c r="B658" s="102" t="s">
        <v>2841</v>
      </c>
      <c r="C658" s="104" t="s">
        <v>944</v>
      </c>
      <c r="D658" s="69">
        <v>1114.67743488</v>
      </c>
      <c r="E658" s="69">
        <v>0</v>
      </c>
      <c r="F658" s="13">
        <f>[1]!Table323[[#This Row],[Single Family]]+[1]!Table323[[#This Row],[2-4 Units]]+[1]!Table323[[#This Row],[&gt;4 Units]]</f>
        <v>0</v>
      </c>
      <c r="G658" s="13">
        <v>0</v>
      </c>
      <c r="H658" s="13">
        <v>0</v>
      </c>
      <c r="I658" s="13">
        <v>0</v>
      </c>
      <c r="J658" s="68">
        <v>0</v>
      </c>
      <c r="K658">
        <f t="shared" si="10"/>
        <v>0</v>
      </c>
      <c r="L658" s="13">
        <v>0</v>
      </c>
      <c r="M658" s="13">
        <v>0</v>
      </c>
      <c r="N658" s="13">
        <v>0</v>
      </c>
      <c r="O658" s="68">
        <v>0</v>
      </c>
      <c r="P658" s="155">
        <f>VLOOKUP(Table323[[#This Row],[Census Tract]],'Population and Diversity Data'!$B$2:$K$823,10,FALSE)</f>
        <v>4</v>
      </c>
      <c r="Q658" s="155" t="str">
        <f>VLOOKUP(Table323[[#This Row],[Census Tract]],'ES Energy Burden'!$B$2:$E$914,4,FALSE)</f>
        <v>No</v>
      </c>
    </row>
    <row r="659" spans="1:17" x14ac:dyDescent="0.2">
      <c r="A659" s="101">
        <v>9003484200</v>
      </c>
      <c r="B659" s="102" t="s">
        <v>2842</v>
      </c>
      <c r="C659" s="104" t="s">
        <v>944</v>
      </c>
      <c r="D659" s="69">
        <v>324.70536960000004</v>
      </c>
      <c r="E659" s="69">
        <v>0</v>
      </c>
      <c r="F659" s="13">
        <f>[1]!Table323[[#This Row],[Single Family]]+[1]!Table323[[#This Row],[2-4 Units]]+[1]!Table323[[#This Row],[&gt;4 Units]]</f>
        <v>0</v>
      </c>
      <c r="G659" s="13">
        <v>0</v>
      </c>
      <c r="H659" s="13">
        <v>0</v>
      </c>
      <c r="I659" s="13">
        <v>0</v>
      </c>
      <c r="J659" s="68">
        <v>0</v>
      </c>
      <c r="K659">
        <f t="shared" si="10"/>
        <v>0</v>
      </c>
      <c r="L659" s="13">
        <v>0</v>
      </c>
      <c r="M659" s="13">
        <v>0</v>
      </c>
      <c r="N659" s="13">
        <v>0</v>
      </c>
      <c r="O659" s="68">
        <v>0</v>
      </c>
      <c r="P659" s="155">
        <f>VLOOKUP(Table323[[#This Row],[Census Tract]],'Population and Diversity Data'!$B$2:$K$823,10,FALSE)</f>
        <v>3</v>
      </c>
      <c r="Q659" s="155" t="str">
        <f>VLOOKUP(Table323[[#This Row],[Census Tract]],'ES Energy Burden'!$B$2:$E$914,4,FALSE)</f>
        <v>No</v>
      </c>
    </row>
    <row r="660" spans="1:17" x14ac:dyDescent="0.2">
      <c r="A660" s="101">
        <v>9003487100</v>
      </c>
      <c r="B660" s="102" t="s">
        <v>2842</v>
      </c>
      <c r="C660" s="104" t="s">
        <v>944</v>
      </c>
      <c r="D660" s="69">
        <v>120748.35112128001</v>
      </c>
      <c r="E660" s="69">
        <v>22797.2932</v>
      </c>
      <c r="F660" s="13">
        <f>[1]!Table323[[#This Row],[Single Family]]+[1]!Table323[[#This Row],[2-4 Units]]+[1]!Table323[[#This Row],[&gt;4 Units]]</f>
        <v>51</v>
      </c>
      <c r="G660" s="13">
        <v>51</v>
      </c>
      <c r="H660" s="13">
        <v>0</v>
      </c>
      <c r="I660" s="13">
        <v>0</v>
      </c>
      <c r="J660" s="68">
        <v>22789.443200000002</v>
      </c>
      <c r="K660">
        <f t="shared" si="10"/>
        <v>0</v>
      </c>
      <c r="L660" s="13">
        <v>0</v>
      </c>
      <c r="M660" s="13">
        <v>0</v>
      </c>
      <c r="N660" s="13">
        <v>0</v>
      </c>
      <c r="O660" s="68">
        <v>0</v>
      </c>
      <c r="P660" s="155">
        <f>VLOOKUP(Table323[[#This Row],[Census Tract]],'Population and Diversity Data'!$B$2:$K$823,10,FALSE)</f>
        <v>3</v>
      </c>
      <c r="Q660" s="155" t="str">
        <f>VLOOKUP(Table323[[#This Row],[Census Tract]],'ES Energy Burden'!$B$2:$E$914,4,FALSE)</f>
        <v>No</v>
      </c>
    </row>
    <row r="661" spans="1:17" x14ac:dyDescent="0.2">
      <c r="A661" s="101">
        <v>9003487201</v>
      </c>
      <c r="B661" s="102" t="s">
        <v>2842</v>
      </c>
      <c r="C661" s="104" t="s">
        <v>944</v>
      </c>
      <c r="D661" s="69">
        <v>79853.237484479992</v>
      </c>
      <c r="E661" s="69">
        <v>21358.700199999999</v>
      </c>
      <c r="F661" s="13">
        <f>[1]!Table323[[#This Row],[Single Family]]+[1]!Table323[[#This Row],[2-4 Units]]+[1]!Table323[[#This Row],[&gt;4 Units]]</f>
        <v>33</v>
      </c>
      <c r="G661" s="13">
        <v>33</v>
      </c>
      <c r="H661" s="13">
        <v>0</v>
      </c>
      <c r="I661" s="13">
        <v>0</v>
      </c>
      <c r="J661" s="68">
        <v>21358.230200000002</v>
      </c>
      <c r="K661">
        <f t="shared" si="10"/>
        <v>0</v>
      </c>
      <c r="L661" s="13">
        <v>0</v>
      </c>
      <c r="M661" s="13">
        <v>0</v>
      </c>
      <c r="N661" s="13">
        <v>0</v>
      </c>
      <c r="O661" s="68">
        <v>0</v>
      </c>
      <c r="P661" s="155">
        <f>VLOOKUP(Table323[[#This Row],[Census Tract]],'Population and Diversity Data'!$B$2:$K$823,10,FALSE)</f>
        <v>4</v>
      </c>
      <c r="Q661" s="155" t="str">
        <f>VLOOKUP(Table323[[#This Row],[Census Tract]],'ES Energy Burden'!$B$2:$E$914,4,FALSE)</f>
        <v>No</v>
      </c>
    </row>
    <row r="662" spans="1:17" x14ac:dyDescent="0.2">
      <c r="A662" s="101">
        <v>9003487202</v>
      </c>
      <c r="B662" s="102" t="s">
        <v>2842</v>
      </c>
      <c r="C662" s="104" t="s">
        <v>944</v>
      </c>
      <c r="D662" s="69">
        <v>60291.457660800006</v>
      </c>
      <c r="E662" s="69">
        <v>11518.674999999999</v>
      </c>
      <c r="F662" s="13">
        <f>[1]!Table323[[#This Row],[Single Family]]+[1]!Table323[[#This Row],[2-4 Units]]+[1]!Table323[[#This Row],[&gt;4 Units]]</f>
        <v>24</v>
      </c>
      <c r="G662" s="13">
        <v>24</v>
      </c>
      <c r="H662" s="13">
        <v>0</v>
      </c>
      <c r="I662" s="13">
        <v>0</v>
      </c>
      <c r="J662" s="68">
        <v>9818.6749999999993</v>
      </c>
      <c r="K662">
        <f t="shared" si="10"/>
        <v>0</v>
      </c>
      <c r="L662" s="13">
        <v>0</v>
      </c>
      <c r="M662" s="13">
        <v>0</v>
      </c>
      <c r="N662" s="13">
        <v>0</v>
      </c>
      <c r="O662" s="68">
        <v>0</v>
      </c>
      <c r="P662" s="155">
        <f>VLOOKUP(Table323[[#This Row],[Census Tract]],'Population and Diversity Data'!$B$2:$K$823,10,FALSE)</f>
        <v>4</v>
      </c>
      <c r="Q662" s="155" t="str">
        <f>VLOOKUP(Table323[[#This Row],[Census Tract]],'ES Energy Burden'!$B$2:$E$914,4,FALSE)</f>
        <v>No</v>
      </c>
    </row>
    <row r="663" spans="1:17" x14ac:dyDescent="0.2">
      <c r="A663" s="101">
        <v>9003487300</v>
      </c>
      <c r="B663" s="102" t="s">
        <v>2842</v>
      </c>
      <c r="C663" s="104" t="s">
        <v>944</v>
      </c>
      <c r="D663" s="69">
        <v>30797.602703999997</v>
      </c>
      <c r="E663" s="69">
        <v>14270.43</v>
      </c>
      <c r="F663" s="13">
        <f>[1]!Table323[[#This Row],[Single Family]]+[1]!Table323[[#This Row],[2-4 Units]]+[1]!Table323[[#This Row],[&gt;4 Units]]</f>
        <v>11</v>
      </c>
      <c r="G663" s="13">
        <v>11</v>
      </c>
      <c r="H663" s="13">
        <v>0</v>
      </c>
      <c r="I663" s="13">
        <v>0</v>
      </c>
      <c r="J663" s="68">
        <v>9863.35</v>
      </c>
      <c r="K663">
        <f t="shared" si="10"/>
        <v>0</v>
      </c>
      <c r="L663" s="13">
        <v>0</v>
      </c>
      <c r="M663" s="13">
        <v>0</v>
      </c>
      <c r="N663" s="13">
        <v>0</v>
      </c>
      <c r="O663" s="68">
        <v>0</v>
      </c>
      <c r="P663" s="155">
        <f>VLOOKUP(Table323[[#This Row],[Census Tract]],'Population and Diversity Data'!$B$2:$K$823,10,FALSE)</f>
        <v>3</v>
      </c>
      <c r="Q663" s="155" t="str">
        <f>VLOOKUP(Table323[[#This Row],[Census Tract]],'ES Energy Burden'!$B$2:$E$914,4,FALSE)</f>
        <v>No</v>
      </c>
    </row>
    <row r="664" spans="1:17" x14ac:dyDescent="0.2">
      <c r="A664" s="101">
        <v>9003487400</v>
      </c>
      <c r="B664" s="102" t="s">
        <v>2842</v>
      </c>
      <c r="C664" s="104" t="s">
        <v>944</v>
      </c>
      <c r="D664" s="69">
        <v>34129.392854400001</v>
      </c>
      <c r="E664" s="69">
        <v>5484.4790000000003</v>
      </c>
      <c r="F664" s="13">
        <f>[1]!Table323[[#This Row],[Single Family]]+[1]!Table323[[#This Row],[2-4 Units]]+[1]!Table323[[#This Row],[&gt;4 Units]]</f>
        <v>10</v>
      </c>
      <c r="G664" s="13">
        <v>10</v>
      </c>
      <c r="H664" s="13">
        <v>0</v>
      </c>
      <c r="I664" s="13">
        <v>0</v>
      </c>
      <c r="J664" s="68">
        <v>3652.8589999999999</v>
      </c>
      <c r="K664">
        <f t="shared" si="10"/>
        <v>0</v>
      </c>
      <c r="L664" s="13">
        <v>0</v>
      </c>
      <c r="M664" s="13">
        <v>0</v>
      </c>
      <c r="N664" s="13">
        <v>0</v>
      </c>
      <c r="O664" s="68">
        <v>0</v>
      </c>
      <c r="P664" s="155">
        <f>VLOOKUP(Table323[[#This Row],[Census Tract]],'Population and Diversity Data'!$B$2:$K$823,10,FALSE)</f>
        <v>3</v>
      </c>
      <c r="Q664" s="155" t="str">
        <f>VLOOKUP(Table323[[#This Row],[Census Tract]],'ES Energy Burden'!$B$2:$E$914,4,FALSE)</f>
        <v>No</v>
      </c>
    </row>
    <row r="665" spans="1:17" x14ac:dyDescent="0.2">
      <c r="A665" s="101">
        <v>9003487500</v>
      </c>
      <c r="B665" s="102" t="s">
        <v>2842</v>
      </c>
      <c r="C665" s="104" t="s">
        <v>944</v>
      </c>
      <c r="D665" s="69">
        <v>141313.93954559998</v>
      </c>
      <c r="E665" s="69">
        <v>233869.0295</v>
      </c>
      <c r="F665" s="13">
        <f>[1]!Table323[[#This Row],[Single Family]]+[1]!Table323[[#This Row],[2-4 Units]]+[1]!Table323[[#This Row],[&gt;4 Units]]</f>
        <v>128</v>
      </c>
      <c r="G665" s="13">
        <v>52</v>
      </c>
      <c r="H665" s="13">
        <v>1</v>
      </c>
      <c r="I665" s="13">
        <v>75</v>
      </c>
      <c r="J665" s="68">
        <v>42206.071000000004</v>
      </c>
      <c r="K665">
        <f t="shared" si="10"/>
        <v>21</v>
      </c>
      <c r="L665" s="13">
        <v>21</v>
      </c>
      <c r="M665" s="13">
        <v>0</v>
      </c>
      <c r="N665" s="13">
        <v>0</v>
      </c>
      <c r="O665" s="68">
        <v>18005.2</v>
      </c>
      <c r="P665" s="155">
        <f>VLOOKUP(Table323[[#This Row],[Census Tract]],'Population and Diversity Data'!$B$2:$K$823,10,FALSE)</f>
        <v>5</v>
      </c>
      <c r="Q665" s="155" t="str">
        <f>VLOOKUP(Table323[[#This Row],[Census Tract]],'ES Energy Burden'!$B$2:$E$914,4,FALSE)</f>
        <v>No</v>
      </c>
    </row>
    <row r="666" spans="1:17" x14ac:dyDescent="0.2">
      <c r="A666" s="101">
        <v>9003514102</v>
      </c>
      <c r="B666" s="102" t="s">
        <v>2842</v>
      </c>
      <c r="C666" s="104" t="s">
        <v>944</v>
      </c>
      <c r="D666" s="69">
        <v>361.9910304</v>
      </c>
      <c r="E666" s="69">
        <v>0</v>
      </c>
      <c r="F666" s="13">
        <f>[1]!Table323[[#This Row],[Single Family]]+[1]!Table323[[#This Row],[2-4 Units]]+[1]!Table323[[#This Row],[&gt;4 Units]]</f>
        <v>0</v>
      </c>
      <c r="G666" s="13">
        <v>0</v>
      </c>
      <c r="H666" s="13">
        <v>0</v>
      </c>
      <c r="I666" s="13">
        <v>0</v>
      </c>
      <c r="J666" s="68">
        <v>0</v>
      </c>
      <c r="K666">
        <f t="shared" si="10"/>
        <v>0</v>
      </c>
      <c r="L666" s="13">
        <v>0</v>
      </c>
      <c r="M666" s="13">
        <v>0</v>
      </c>
      <c r="N666" s="13">
        <v>0</v>
      </c>
      <c r="O666" s="68">
        <v>0</v>
      </c>
      <c r="P666" s="155">
        <f>VLOOKUP(Table323[[#This Row],[Census Tract]],'Population and Diversity Data'!$B$2:$K$823,10,FALSE)</f>
        <v>5</v>
      </c>
      <c r="Q666" s="155" t="str">
        <f>VLOOKUP(Table323[[#This Row],[Census Tract]],'ES Energy Burden'!$B$2:$E$914,4,FALSE)</f>
        <v>No</v>
      </c>
    </row>
    <row r="667" spans="1:17" x14ac:dyDescent="0.2">
      <c r="A667" s="101">
        <v>9013530301</v>
      </c>
      <c r="B667" s="102" t="s">
        <v>2842</v>
      </c>
      <c r="C667" s="104" t="s">
        <v>944</v>
      </c>
      <c r="D667" s="69">
        <v>170.42227200000002</v>
      </c>
      <c r="E667" s="69">
        <v>0</v>
      </c>
      <c r="F667" s="13">
        <f>[1]!Table323[[#This Row],[Single Family]]+[1]!Table323[[#This Row],[2-4 Units]]+[1]!Table323[[#This Row],[&gt;4 Units]]</f>
        <v>0</v>
      </c>
      <c r="G667" s="13">
        <v>0</v>
      </c>
      <c r="H667" s="13">
        <v>0</v>
      </c>
      <c r="I667" s="13">
        <v>0</v>
      </c>
      <c r="J667" s="68">
        <v>0</v>
      </c>
      <c r="K667">
        <f t="shared" si="10"/>
        <v>0</v>
      </c>
      <c r="L667" s="13">
        <v>0</v>
      </c>
      <c r="M667" s="13">
        <v>0</v>
      </c>
      <c r="N667" s="13">
        <v>0</v>
      </c>
      <c r="O667" s="68">
        <v>0</v>
      </c>
      <c r="P667" s="155">
        <f>VLOOKUP(Table323[[#This Row],[Census Tract]],'Population and Diversity Data'!$B$2:$K$823,10,FALSE)</f>
        <v>2</v>
      </c>
      <c r="Q667" s="155" t="str">
        <f>VLOOKUP(Table323[[#This Row],[Census Tract]],'ES Energy Burden'!$B$2:$E$914,4,FALSE)</f>
        <v>No</v>
      </c>
    </row>
    <row r="668" spans="1:17" x14ac:dyDescent="0.2">
      <c r="A668" s="101">
        <v>9009346102</v>
      </c>
      <c r="B668" s="102" t="s">
        <v>2843</v>
      </c>
      <c r="C668" s="104" t="s">
        <v>944</v>
      </c>
      <c r="D668" s="69">
        <v>418.067136</v>
      </c>
      <c r="E668" s="69">
        <v>3108.15</v>
      </c>
      <c r="F668" s="13">
        <f>[1]!Table323[[#This Row],[Single Family]]+[1]!Table323[[#This Row],[2-4 Units]]+[1]!Table323[[#This Row],[&gt;4 Units]]</f>
        <v>0</v>
      </c>
      <c r="G668" s="13">
        <v>0</v>
      </c>
      <c r="H668" s="13">
        <v>0</v>
      </c>
      <c r="I668" s="13">
        <v>0</v>
      </c>
      <c r="J668" s="68">
        <v>0</v>
      </c>
      <c r="K668">
        <f t="shared" si="10"/>
        <v>0</v>
      </c>
      <c r="L668" s="13">
        <v>0</v>
      </c>
      <c r="M668" s="13">
        <v>0</v>
      </c>
      <c r="N668" s="13">
        <v>0</v>
      </c>
      <c r="O668" s="68">
        <v>0</v>
      </c>
      <c r="P668" s="155">
        <f>VLOOKUP(Table323[[#This Row],[Census Tract]],'Population and Diversity Data'!$B$2:$K$823,10,FALSE)</f>
        <v>2</v>
      </c>
      <c r="Q668" s="155" t="str">
        <f>VLOOKUP(Table323[[#This Row],[Census Tract]],'ES Energy Burden'!$B$2:$E$914,4,FALSE)</f>
        <v>No</v>
      </c>
    </row>
    <row r="669" spans="1:17" x14ac:dyDescent="0.2">
      <c r="A669" s="101">
        <v>9009348111</v>
      </c>
      <c r="B669" s="102" t="s">
        <v>2843</v>
      </c>
      <c r="C669" s="104" t="s">
        <v>944</v>
      </c>
      <c r="D669" s="69">
        <v>50315.399804159999</v>
      </c>
      <c r="E669" s="69">
        <v>14313.4704</v>
      </c>
      <c r="F669" s="13">
        <f>[1]!Table323[[#This Row],[Single Family]]+[1]!Table323[[#This Row],[2-4 Units]]+[1]!Table323[[#This Row],[&gt;4 Units]]</f>
        <v>13</v>
      </c>
      <c r="G669" s="13">
        <v>13</v>
      </c>
      <c r="H669" s="13">
        <v>0</v>
      </c>
      <c r="I669" s="13">
        <v>0</v>
      </c>
      <c r="J669" s="68">
        <v>13742.9704</v>
      </c>
      <c r="K669">
        <f t="shared" si="10"/>
        <v>0</v>
      </c>
      <c r="L669" s="13">
        <v>0</v>
      </c>
      <c r="M669" s="13">
        <v>0</v>
      </c>
      <c r="N669" s="13">
        <v>0</v>
      </c>
      <c r="O669" s="68">
        <v>0</v>
      </c>
      <c r="P669" s="155">
        <f>VLOOKUP(Table323[[#This Row],[Census Tract]],'Population and Diversity Data'!$B$2:$K$823,10,FALSE)</f>
        <v>2</v>
      </c>
      <c r="Q669" s="155" t="str">
        <f>VLOOKUP(Table323[[#This Row],[Census Tract]],'ES Energy Burden'!$B$2:$E$914,4,FALSE)</f>
        <v>No</v>
      </c>
    </row>
    <row r="670" spans="1:17" x14ac:dyDescent="0.2">
      <c r="A670" s="101">
        <v>9009348122</v>
      </c>
      <c r="B670" s="102" t="s">
        <v>2843</v>
      </c>
      <c r="C670" s="104" t="s">
        <v>944</v>
      </c>
      <c r="D670" s="69">
        <v>93121.412529599998</v>
      </c>
      <c r="E670" s="69">
        <v>28005.930799999998</v>
      </c>
      <c r="F670" s="13">
        <f>[1]!Table323[[#This Row],[Single Family]]+[1]!Table323[[#This Row],[2-4 Units]]+[1]!Table323[[#This Row],[&gt;4 Units]]</f>
        <v>22</v>
      </c>
      <c r="G670" s="13">
        <v>22</v>
      </c>
      <c r="H670" s="13">
        <v>0</v>
      </c>
      <c r="I670" s="13">
        <v>0</v>
      </c>
      <c r="J670" s="68">
        <v>23769.1708</v>
      </c>
      <c r="K670">
        <f t="shared" si="10"/>
        <v>0</v>
      </c>
      <c r="L670" s="13">
        <v>0</v>
      </c>
      <c r="M670" s="13">
        <v>0</v>
      </c>
      <c r="N670" s="13">
        <v>0</v>
      </c>
      <c r="O670" s="68">
        <v>0</v>
      </c>
      <c r="P670" s="155">
        <f>VLOOKUP(Table323[[#This Row],[Census Tract]],'Population and Diversity Data'!$B$2:$K$823,10,FALSE)</f>
        <v>1</v>
      </c>
      <c r="Q670" s="155" t="str">
        <f>VLOOKUP(Table323[[#This Row],[Census Tract]],'ES Energy Burden'!$B$2:$E$914,4,FALSE)</f>
        <v>No</v>
      </c>
    </row>
    <row r="671" spans="1:17" x14ac:dyDescent="0.2">
      <c r="A671" s="101">
        <v>9009348123</v>
      </c>
      <c r="B671" s="102" t="s">
        <v>2843</v>
      </c>
      <c r="C671" s="104" t="s">
        <v>944</v>
      </c>
      <c r="D671" s="69">
        <v>126415.91280960001</v>
      </c>
      <c r="E671" s="69">
        <v>17211.9856</v>
      </c>
      <c r="F671" s="13">
        <f>[1]!Table323[[#This Row],[Single Family]]+[1]!Table323[[#This Row],[2-4 Units]]+[1]!Table323[[#This Row],[&gt;4 Units]]</f>
        <v>21</v>
      </c>
      <c r="G671" s="13">
        <v>21</v>
      </c>
      <c r="H671" s="13">
        <v>0</v>
      </c>
      <c r="I671" s="13">
        <v>0</v>
      </c>
      <c r="J671" s="68">
        <v>17203.185600000001</v>
      </c>
      <c r="K671">
        <f t="shared" si="10"/>
        <v>0</v>
      </c>
      <c r="L671" s="13">
        <v>0</v>
      </c>
      <c r="M671" s="13">
        <v>0</v>
      </c>
      <c r="N671" s="13">
        <v>0</v>
      </c>
      <c r="O671" s="68">
        <v>0</v>
      </c>
      <c r="P671" s="155">
        <f>VLOOKUP(Table323[[#This Row],[Census Tract]],'Population and Diversity Data'!$B$2:$K$823,10,FALSE)</f>
        <v>3</v>
      </c>
      <c r="Q671" s="155" t="str">
        <f>VLOOKUP(Table323[[#This Row],[Census Tract]],'ES Energy Burden'!$B$2:$E$914,4,FALSE)</f>
        <v>No</v>
      </c>
    </row>
    <row r="672" spans="1:17" x14ac:dyDescent="0.2">
      <c r="A672" s="101">
        <v>9009348124</v>
      </c>
      <c r="B672" s="102" t="s">
        <v>2843</v>
      </c>
      <c r="C672" s="104" t="s">
        <v>944</v>
      </c>
      <c r="D672" s="69">
        <v>139376.27825568002</v>
      </c>
      <c r="E672" s="69">
        <v>20548.512500000001</v>
      </c>
      <c r="F672" s="13">
        <f>[1]!Table323[[#This Row],[Single Family]]+[1]!Table323[[#This Row],[2-4 Units]]+[1]!Table323[[#This Row],[&gt;4 Units]]</f>
        <v>15</v>
      </c>
      <c r="G672" s="13">
        <v>15</v>
      </c>
      <c r="H672" s="13">
        <v>0</v>
      </c>
      <c r="I672" s="13">
        <v>0</v>
      </c>
      <c r="J672" s="68">
        <v>12545.112499999999</v>
      </c>
      <c r="K672">
        <f t="shared" si="10"/>
        <v>0</v>
      </c>
      <c r="L672" s="13">
        <v>0</v>
      </c>
      <c r="M672" s="13">
        <v>0</v>
      </c>
      <c r="N672" s="13">
        <v>0</v>
      </c>
      <c r="O672" s="68">
        <v>0</v>
      </c>
      <c r="P672" s="155">
        <f>VLOOKUP(Table323[[#This Row],[Census Tract]],'Population and Diversity Data'!$B$2:$K$823,10,FALSE)</f>
        <v>2</v>
      </c>
      <c r="Q672" s="155" t="str">
        <f>VLOOKUP(Table323[[#This Row],[Census Tract]],'ES Energy Burden'!$B$2:$E$914,4,FALSE)</f>
        <v>No</v>
      </c>
    </row>
    <row r="673" spans="1:17" x14ac:dyDescent="0.2">
      <c r="A673" s="101">
        <v>9009348125</v>
      </c>
      <c r="B673" s="102" t="s">
        <v>2843</v>
      </c>
      <c r="C673" s="104" t="s">
        <v>944</v>
      </c>
      <c r="D673" s="69">
        <v>157866.03194399999</v>
      </c>
      <c r="E673" s="69">
        <v>162406.00870000001</v>
      </c>
      <c r="F673" s="13">
        <f>[1]!Table323[[#This Row],[Single Family]]+[1]!Table323[[#This Row],[2-4 Units]]+[1]!Table323[[#This Row],[&gt;4 Units]]</f>
        <v>34</v>
      </c>
      <c r="G673" s="13">
        <v>34</v>
      </c>
      <c r="H673" s="13">
        <v>0</v>
      </c>
      <c r="I673" s="13">
        <v>0</v>
      </c>
      <c r="J673" s="68">
        <v>102292.7187</v>
      </c>
      <c r="K673">
        <f t="shared" si="10"/>
        <v>14</v>
      </c>
      <c r="L673" s="13">
        <v>14</v>
      </c>
      <c r="M673" s="13">
        <v>0</v>
      </c>
      <c r="N673" s="13">
        <v>0</v>
      </c>
      <c r="O673" s="68">
        <v>12983.3</v>
      </c>
      <c r="P673" s="155">
        <f>VLOOKUP(Table323[[#This Row],[Census Tract]],'Population and Diversity Data'!$B$2:$K$823,10,FALSE)</f>
        <v>1</v>
      </c>
      <c r="Q673" s="155" t="str">
        <f>VLOOKUP(Table323[[#This Row],[Census Tract]],'ES Energy Burden'!$B$2:$E$914,4,FALSE)</f>
        <v>No</v>
      </c>
    </row>
    <row r="674" spans="1:17" x14ac:dyDescent="0.2">
      <c r="A674" s="101">
        <v>9003430100</v>
      </c>
      <c r="B674" s="102" t="s">
        <v>2844</v>
      </c>
      <c r="C674" s="104" t="s">
        <v>944</v>
      </c>
      <c r="D674" s="69">
        <v>65457.047030400005</v>
      </c>
      <c r="E674" s="69">
        <v>15117.22</v>
      </c>
      <c r="F674" s="13">
        <f>[1]!Table323[[#This Row],[Single Family]]+[1]!Table323[[#This Row],[2-4 Units]]+[1]!Table323[[#This Row],[&gt;4 Units]]</f>
        <v>9</v>
      </c>
      <c r="G674" s="13">
        <v>9</v>
      </c>
      <c r="H674" s="13">
        <v>0</v>
      </c>
      <c r="I674" s="13">
        <v>0</v>
      </c>
      <c r="J674" s="68">
        <v>6377.95</v>
      </c>
      <c r="K674">
        <f t="shared" si="10"/>
        <v>0</v>
      </c>
      <c r="L674" s="13">
        <v>0</v>
      </c>
      <c r="M674" s="13">
        <v>0</v>
      </c>
      <c r="N674" s="13">
        <v>0</v>
      </c>
      <c r="O674" s="68">
        <v>0</v>
      </c>
      <c r="P674" s="155">
        <f>VLOOKUP(Table323[[#This Row],[Census Tract]],'Population and Diversity Data'!$B$2:$K$823,10,FALSE)</f>
        <v>3</v>
      </c>
      <c r="Q674" s="155" t="str">
        <f>VLOOKUP(Table323[[#This Row],[Census Tract]],'ES Energy Burden'!$B$2:$E$914,4,FALSE)</f>
        <v>No</v>
      </c>
    </row>
    <row r="675" spans="1:17" x14ac:dyDescent="0.2">
      <c r="A675" s="101">
        <v>9003430201</v>
      </c>
      <c r="B675" s="102" t="s">
        <v>2844</v>
      </c>
      <c r="C675" s="104" t="s">
        <v>944</v>
      </c>
      <c r="D675" s="69">
        <v>64134.59972256</v>
      </c>
      <c r="E675" s="69">
        <v>15521.53</v>
      </c>
      <c r="F675" s="13">
        <f>[1]!Table323[[#This Row],[Single Family]]+[1]!Table323[[#This Row],[2-4 Units]]+[1]!Table323[[#This Row],[&gt;4 Units]]</f>
        <v>13</v>
      </c>
      <c r="G675" s="13">
        <v>13</v>
      </c>
      <c r="H675" s="13">
        <v>0</v>
      </c>
      <c r="I675" s="13">
        <v>0</v>
      </c>
      <c r="J675" s="68">
        <v>10204.469999999999</v>
      </c>
      <c r="K675">
        <f t="shared" si="10"/>
        <v>0</v>
      </c>
      <c r="L675" s="13">
        <v>0</v>
      </c>
      <c r="M675" s="13">
        <v>0</v>
      </c>
      <c r="N675" s="13">
        <v>0</v>
      </c>
      <c r="O675" s="68">
        <v>0</v>
      </c>
      <c r="P675" s="155">
        <f>VLOOKUP(Table323[[#This Row],[Census Tract]],'Population and Diversity Data'!$B$2:$K$823,10,FALSE)</f>
        <v>2</v>
      </c>
      <c r="Q675" s="155" t="str">
        <f>VLOOKUP(Table323[[#This Row],[Census Tract]],'ES Energy Burden'!$B$2:$E$914,4,FALSE)</f>
        <v>No</v>
      </c>
    </row>
    <row r="676" spans="1:17" x14ac:dyDescent="0.2">
      <c r="A676" s="101">
        <v>9003430202</v>
      </c>
      <c r="B676" s="102" t="s">
        <v>2844</v>
      </c>
      <c r="C676" s="104" t="s">
        <v>944</v>
      </c>
      <c r="D676" s="69">
        <v>98483.855832000001</v>
      </c>
      <c r="E676" s="69">
        <v>11144.9805</v>
      </c>
      <c r="F676" s="13">
        <f>[1]!Table323[[#This Row],[Single Family]]+[1]!Table323[[#This Row],[2-4 Units]]+[1]!Table323[[#This Row],[&gt;4 Units]]</f>
        <v>19</v>
      </c>
      <c r="G676" s="13">
        <v>19</v>
      </c>
      <c r="H676" s="13">
        <v>0</v>
      </c>
      <c r="I676" s="13">
        <v>0</v>
      </c>
      <c r="J676" s="68">
        <v>11143.3505</v>
      </c>
      <c r="K676">
        <f t="shared" si="10"/>
        <v>0</v>
      </c>
      <c r="L676" s="13">
        <v>0</v>
      </c>
      <c r="M676" s="13">
        <v>0</v>
      </c>
      <c r="N676" s="13">
        <v>0</v>
      </c>
      <c r="O676" s="68">
        <v>0</v>
      </c>
      <c r="P676" s="155">
        <f>VLOOKUP(Table323[[#This Row],[Census Tract]],'Population and Diversity Data'!$B$2:$K$823,10,FALSE)</f>
        <v>2</v>
      </c>
      <c r="Q676" s="155" t="str">
        <f>VLOOKUP(Table323[[#This Row],[Census Tract]],'ES Energy Burden'!$B$2:$E$914,4,FALSE)</f>
        <v>No</v>
      </c>
    </row>
    <row r="677" spans="1:17" x14ac:dyDescent="0.2">
      <c r="A677" s="101">
        <v>9003430203</v>
      </c>
      <c r="B677" s="102" t="s">
        <v>2844</v>
      </c>
      <c r="C677" s="104" t="s">
        <v>944</v>
      </c>
      <c r="D677" s="69">
        <v>75692.323877759991</v>
      </c>
      <c r="E677" s="69">
        <v>10154.0301</v>
      </c>
      <c r="F677" s="13">
        <f>[1]!Table323[[#This Row],[Single Family]]+[1]!Table323[[#This Row],[2-4 Units]]+[1]!Table323[[#This Row],[&gt;4 Units]]</f>
        <v>21</v>
      </c>
      <c r="G677" s="13">
        <v>21</v>
      </c>
      <c r="H677" s="13">
        <v>0</v>
      </c>
      <c r="I677" s="13">
        <v>0</v>
      </c>
      <c r="J677" s="68">
        <v>9477.7554999999993</v>
      </c>
      <c r="K677">
        <f t="shared" si="10"/>
        <v>0</v>
      </c>
      <c r="L677" s="13">
        <v>0</v>
      </c>
      <c r="M677" s="13">
        <v>0</v>
      </c>
      <c r="N677" s="13">
        <v>0</v>
      </c>
      <c r="O677" s="68">
        <v>0</v>
      </c>
      <c r="P677" s="155">
        <f>VLOOKUP(Table323[[#This Row],[Census Tract]],'Population and Diversity Data'!$B$2:$K$823,10,FALSE)</f>
        <v>2</v>
      </c>
      <c r="Q677" s="155" t="str">
        <f>VLOOKUP(Table323[[#This Row],[Census Tract]],'ES Energy Burden'!$B$2:$E$914,4,FALSE)</f>
        <v>No</v>
      </c>
    </row>
    <row r="678" spans="1:17" x14ac:dyDescent="0.2">
      <c r="A678" s="101">
        <v>9003430301</v>
      </c>
      <c r="B678" s="102" t="s">
        <v>2844</v>
      </c>
      <c r="C678" s="104" t="s">
        <v>944</v>
      </c>
      <c r="D678" s="69">
        <v>75158.816492159996</v>
      </c>
      <c r="E678" s="69">
        <v>47875.1031</v>
      </c>
      <c r="F678" s="13">
        <f>[1]!Table323[[#This Row],[Single Family]]+[1]!Table323[[#This Row],[2-4 Units]]+[1]!Table323[[#This Row],[&gt;4 Units]]</f>
        <v>23</v>
      </c>
      <c r="G678" s="13">
        <v>23</v>
      </c>
      <c r="H678" s="13">
        <v>0</v>
      </c>
      <c r="I678" s="13">
        <v>0</v>
      </c>
      <c r="J678" s="68">
        <v>17199.7431</v>
      </c>
      <c r="K678">
        <f t="shared" si="10"/>
        <v>0</v>
      </c>
      <c r="L678" s="13">
        <v>0</v>
      </c>
      <c r="M678" s="13">
        <v>0</v>
      </c>
      <c r="N678" s="13">
        <v>0</v>
      </c>
      <c r="O678" s="68">
        <v>0</v>
      </c>
      <c r="P678" s="155">
        <f>VLOOKUP(Table323[[#This Row],[Census Tract]],'Population and Diversity Data'!$B$2:$K$823,10,FALSE)</f>
        <v>1</v>
      </c>
      <c r="Q678" s="155" t="str">
        <f>VLOOKUP(Table323[[#This Row],[Census Tract]],'ES Energy Burden'!$B$2:$E$914,4,FALSE)</f>
        <v>No</v>
      </c>
    </row>
    <row r="679" spans="1:17" x14ac:dyDescent="0.2">
      <c r="A679" s="101">
        <v>9003430302</v>
      </c>
      <c r="B679" s="102" t="s">
        <v>2844</v>
      </c>
      <c r="C679" s="104" t="s">
        <v>944</v>
      </c>
      <c r="D679" s="69">
        <v>52046.875036800004</v>
      </c>
      <c r="E679" s="69">
        <v>11547.05</v>
      </c>
      <c r="F679" s="13">
        <f>[1]!Table323[[#This Row],[Single Family]]+[1]!Table323[[#This Row],[2-4 Units]]+[1]!Table323[[#This Row],[&gt;4 Units]]</f>
        <v>18</v>
      </c>
      <c r="G679" s="13">
        <v>18</v>
      </c>
      <c r="H679" s="13">
        <v>0</v>
      </c>
      <c r="I679" s="13">
        <v>0</v>
      </c>
      <c r="J679" s="68">
        <v>11479.38</v>
      </c>
      <c r="K679">
        <f t="shared" si="10"/>
        <v>0</v>
      </c>
      <c r="L679" s="13">
        <v>0</v>
      </c>
      <c r="M679" s="13">
        <v>0</v>
      </c>
      <c r="N679" s="13">
        <v>0</v>
      </c>
      <c r="O679" s="68">
        <v>0</v>
      </c>
      <c r="P679" s="155">
        <f>VLOOKUP(Table323[[#This Row],[Census Tract]],'Population and Diversity Data'!$B$2:$K$823,10,FALSE)</f>
        <v>1</v>
      </c>
      <c r="Q679" s="155" t="str">
        <f>VLOOKUP(Table323[[#This Row],[Census Tract]],'ES Energy Burden'!$B$2:$E$914,4,FALSE)</f>
        <v>No</v>
      </c>
    </row>
    <row r="680" spans="1:17" x14ac:dyDescent="0.2">
      <c r="A680" s="101">
        <v>9003430400</v>
      </c>
      <c r="B680" s="102" t="s">
        <v>2844</v>
      </c>
      <c r="C680" s="104" t="s">
        <v>944</v>
      </c>
      <c r="D680" s="69">
        <v>88148.191930559988</v>
      </c>
      <c r="E680" s="69">
        <v>81530.634699999995</v>
      </c>
      <c r="F680" s="13">
        <f>[1]!Table323[[#This Row],[Single Family]]+[1]!Table323[[#This Row],[2-4 Units]]+[1]!Table323[[#This Row],[&gt;4 Units]]</f>
        <v>30</v>
      </c>
      <c r="G680" s="13">
        <v>29</v>
      </c>
      <c r="H680" s="13">
        <v>1</v>
      </c>
      <c r="I680" s="13">
        <v>0</v>
      </c>
      <c r="J680" s="68">
        <v>28698.010999999999</v>
      </c>
      <c r="K680">
        <f t="shared" si="10"/>
        <v>0</v>
      </c>
      <c r="L680" s="13">
        <v>0</v>
      </c>
      <c r="M680" s="13">
        <v>0</v>
      </c>
      <c r="N680" s="13">
        <v>0</v>
      </c>
      <c r="O680" s="68">
        <v>0</v>
      </c>
      <c r="P680" s="155">
        <f>VLOOKUP(Table323[[#This Row],[Census Tract]],'Population and Diversity Data'!$B$2:$K$823,10,FALSE)</f>
        <v>1</v>
      </c>
      <c r="Q680" s="155" t="str">
        <f>VLOOKUP(Table323[[#This Row],[Census Tract]],'ES Energy Burden'!$B$2:$E$914,4,FALSE)</f>
        <v>No</v>
      </c>
    </row>
    <row r="681" spans="1:17" x14ac:dyDescent="0.2">
      <c r="A681" s="101">
        <v>9003430500</v>
      </c>
      <c r="B681" s="102" t="s">
        <v>2844</v>
      </c>
      <c r="C681" s="104" t="s">
        <v>944</v>
      </c>
      <c r="D681" s="69">
        <v>135829.38208608003</v>
      </c>
      <c r="E681" s="69">
        <v>621202.5257</v>
      </c>
      <c r="F681" s="13">
        <f>[1]!Table323[[#This Row],[Single Family]]+[1]!Table323[[#This Row],[2-4 Units]]+[1]!Table323[[#This Row],[&gt;4 Units]]</f>
        <v>156</v>
      </c>
      <c r="G681" s="13">
        <v>51</v>
      </c>
      <c r="H681" s="13">
        <v>0</v>
      </c>
      <c r="I681" s="13">
        <v>105</v>
      </c>
      <c r="J681" s="68">
        <v>94184.957699999999</v>
      </c>
      <c r="K681">
        <f t="shared" si="10"/>
        <v>193</v>
      </c>
      <c r="L681" s="13">
        <v>26</v>
      </c>
      <c r="M681" s="13">
        <v>0</v>
      </c>
      <c r="N681" s="13">
        <v>167</v>
      </c>
      <c r="O681" s="68">
        <v>513476</v>
      </c>
      <c r="P681" s="155">
        <f>VLOOKUP(Table323[[#This Row],[Census Tract]],'Population and Diversity Data'!$B$2:$K$823,10,FALSE)</f>
        <v>1</v>
      </c>
      <c r="Q681" s="155" t="str">
        <f>VLOOKUP(Table323[[#This Row],[Census Tract]],'ES Energy Burden'!$B$2:$E$914,4,FALSE)</f>
        <v>No</v>
      </c>
    </row>
    <row r="682" spans="1:17" x14ac:dyDescent="0.2">
      <c r="A682" s="101">
        <v>9003430601</v>
      </c>
      <c r="B682" s="102" t="s">
        <v>2844</v>
      </c>
      <c r="C682" s="104" t="s">
        <v>944</v>
      </c>
      <c r="D682" s="69">
        <v>116361.36461376</v>
      </c>
      <c r="E682" s="69">
        <v>22448.91</v>
      </c>
      <c r="F682" s="13">
        <f>[1]!Table323[[#This Row],[Single Family]]+[1]!Table323[[#This Row],[2-4 Units]]+[1]!Table323[[#This Row],[&gt;4 Units]]</f>
        <v>22</v>
      </c>
      <c r="G682" s="13">
        <v>22</v>
      </c>
      <c r="H682" s="13">
        <v>0</v>
      </c>
      <c r="I682" s="13">
        <v>0</v>
      </c>
      <c r="J682" s="68">
        <v>12956.61</v>
      </c>
      <c r="K682">
        <f t="shared" si="10"/>
        <v>0</v>
      </c>
      <c r="L682" s="13">
        <v>0</v>
      </c>
      <c r="M682" s="13">
        <v>0</v>
      </c>
      <c r="N682" s="13">
        <v>0</v>
      </c>
      <c r="O682" s="68">
        <v>0</v>
      </c>
      <c r="P682" s="155">
        <f>VLOOKUP(Table323[[#This Row],[Census Tract]],'Population and Diversity Data'!$B$2:$K$823,10,FALSE)</f>
        <v>2</v>
      </c>
      <c r="Q682" s="155" t="str">
        <f>VLOOKUP(Table323[[#This Row],[Census Tract]],'ES Energy Burden'!$B$2:$E$914,4,FALSE)</f>
        <v>No</v>
      </c>
    </row>
    <row r="683" spans="1:17" x14ac:dyDescent="0.2">
      <c r="A683" s="101">
        <v>9003430602</v>
      </c>
      <c r="B683" s="102" t="s">
        <v>2844</v>
      </c>
      <c r="C683" s="104" t="s">
        <v>944</v>
      </c>
      <c r="D683" s="69">
        <v>67101.176217600005</v>
      </c>
      <c r="E683" s="69">
        <v>15712.5005</v>
      </c>
      <c r="F683" s="13">
        <f>[1]!Table323[[#This Row],[Single Family]]+[1]!Table323[[#This Row],[2-4 Units]]+[1]!Table323[[#This Row],[&gt;4 Units]]</f>
        <v>23</v>
      </c>
      <c r="G683" s="13">
        <v>19</v>
      </c>
      <c r="H683" s="13">
        <v>4</v>
      </c>
      <c r="I683" s="13">
        <v>0</v>
      </c>
      <c r="J683" s="68">
        <v>15225.590200000001</v>
      </c>
      <c r="K683">
        <f t="shared" si="10"/>
        <v>0</v>
      </c>
      <c r="L683" s="13">
        <v>0</v>
      </c>
      <c r="M683" s="13">
        <v>0</v>
      </c>
      <c r="N683" s="13">
        <v>0</v>
      </c>
      <c r="O683" s="68">
        <v>0</v>
      </c>
      <c r="P683" s="155">
        <f>VLOOKUP(Table323[[#This Row],[Census Tract]],'Population and Diversity Data'!$B$2:$K$823,10,FALSE)</f>
        <v>2</v>
      </c>
      <c r="Q683" s="155" t="str">
        <f>VLOOKUP(Table323[[#This Row],[Census Tract]],'ES Energy Burden'!$B$2:$E$914,4,FALSE)</f>
        <v>No</v>
      </c>
    </row>
    <row r="684" spans="1:17" x14ac:dyDescent="0.2">
      <c r="A684" s="101">
        <v>9009343101</v>
      </c>
      <c r="B684" s="102" t="s">
        <v>2844</v>
      </c>
      <c r="C684" s="104" t="s">
        <v>944</v>
      </c>
      <c r="D684" s="69">
        <v>670.55143679999992</v>
      </c>
      <c r="E684" s="69">
        <v>2495.44</v>
      </c>
      <c r="F684" s="13">
        <f>[1]!Table323[[#This Row],[Single Family]]+[1]!Table323[[#This Row],[2-4 Units]]+[1]!Table323[[#This Row],[&gt;4 Units]]</f>
        <v>1</v>
      </c>
      <c r="G684" s="13">
        <v>1</v>
      </c>
      <c r="H684" s="13">
        <v>0</v>
      </c>
      <c r="I684" s="13">
        <v>0</v>
      </c>
      <c r="J684" s="68">
        <v>1278.25</v>
      </c>
      <c r="K684">
        <f t="shared" si="10"/>
        <v>0</v>
      </c>
      <c r="L684" s="13">
        <v>0</v>
      </c>
      <c r="M684" s="13">
        <v>0</v>
      </c>
      <c r="N684" s="13">
        <v>0</v>
      </c>
      <c r="O684" s="68">
        <v>0</v>
      </c>
      <c r="P684" s="155">
        <f>VLOOKUP(Table323[[#This Row],[Census Tract]],'Population and Diversity Data'!$B$2:$K$823,10,FALSE)</f>
        <v>4</v>
      </c>
      <c r="Q684" s="155" t="str">
        <f>VLOOKUP(Table323[[#This Row],[Census Tract]],'ES Energy Burden'!$B$2:$E$914,4,FALSE)</f>
        <v>No</v>
      </c>
    </row>
    <row r="685" spans="1:17" x14ac:dyDescent="0.2">
      <c r="A685" s="101">
        <v>9011711100</v>
      </c>
      <c r="B685" s="102" t="s">
        <v>2845</v>
      </c>
      <c r="C685" s="104" t="s">
        <v>944</v>
      </c>
      <c r="D685" s="69">
        <v>56322.814993920008</v>
      </c>
      <c r="E685" s="69">
        <v>15629.35</v>
      </c>
      <c r="F685" s="13">
        <f>[1]!Table323[[#This Row],[Single Family]]+[1]!Table323[[#This Row],[2-4 Units]]+[1]!Table323[[#This Row],[&gt;4 Units]]</f>
        <v>6</v>
      </c>
      <c r="G685" s="13">
        <v>4</v>
      </c>
      <c r="H685" s="13">
        <v>2</v>
      </c>
      <c r="I685" s="13">
        <v>0</v>
      </c>
      <c r="J685" s="68">
        <v>3221.59</v>
      </c>
      <c r="K685">
        <f t="shared" si="10"/>
        <v>3</v>
      </c>
      <c r="L685" s="13">
        <v>3</v>
      </c>
      <c r="M685" s="13">
        <v>0</v>
      </c>
      <c r="N685" s="13">
        <v>0</v>
      </c>
      <c r="O685" s="68">
        <v>5315.2</v>
      </c>
      <c r="P685" s="155">
        <f>VLOOKUP(Table323[[#This Row],[Census Tract]],'Population and Diversity Data'!$B$2:$K$823,10,FALSE)</f>
        <v>4</v>
      </c>
      <c r="Q685" s="155" t="str">
        <f>VLOOKUP(Table323[[#This Row],[Census Tract]],'ES Energy Burden'!$B$2:$E$914,4,FALSE)</f>
        <v>No</v>
      </c>
    </row>
    <row r="686" spans="1:17" x14ac:dyDescent="0.2">
      <c r="A686" s="101">
        <v>9011712100</v>
      </c>
      <c r="B686" s="102" t="s">
        <v>2845</v>
      </c>
      <c r="C686" s="104" t="s">
        <v>944</v>
      </c>
      <c r="D686" s="69">
        <v>349.02411840000002</v>
      </c>
      <c r="E686" s="69">
        <v>0</v>
      </c>
      <c r="F686" s="13">
        <f>[1]!Table323[[#This Row],[Single Family]]+[1]!Table323[[#This Row],[2-4 Units]]+[1]!Table323[[#This Row],[&gt;4 Units]]</f>
        <v>0</v>
      </c>
      <c r="G686" s="13">
        <v>0</v>
      </c>
      <c r="H686" s="13">
        <v>0</v>
      </c>
      <c r="I686" s="13">
        <v>0</v>
      </c>
      <c r="J686" s="68">
        <v>0</v>
      </c>
      <c r="K686">
        <f t="shared" si="10"/>
        <v>0</v>
      </c>
      <c r="L686" s="13">
        <v>0</v>
      </c>
      <c r="M686" s="13">
        <v>0</v>
      </c>
      <c r="N686" s="13">
        <v>0</v>
      </c>
      <c r="O686" s="68">
        <v>0</v>
      </c>
      <c r="P686" s="155">
        <f>VLOOKUP(Table323[[#This Row],[Census Tract]],'Population and Diversity Data'!$B$2:$K$823,10,FALSE)</f>
        <v>1</v>
      </c>
      <c r="Q686" s="155" t="str">
        <f>VLOOKUP(Table323[[#This Row],[Census Tract]],'ES Energy Burden'!$B$2:$E$914,4,FALSE)</f>
        <v>No</v>
      </c>
    </row>
    <row r="687" spans="1:17" x14ac:dyDescent="0.2">
      <c r="A687" s="101">
        <v>9015825000</v>
      </c>
      <c r="B687" s="102" t="s">
        <v>2845</v>
      </c>
      <c r="C687" s="104" t="s">
        <v>944</v>
      </c>
      <c r="D687" s="69">
        <v>631.76068800000007</v>
      </c>
      <c r="E687" s="69">
        <v>0</v>
      </c>
      <c r="F687" s="13">
        <f>[1]!Table323[[#This Row],[Single Family]]+[1]!Table323[[#This Row],[2-4 Units]]+[1]!Table323[[#This Row],[&gt;4 Units]]</f>
        <v>0</v>
      </c>
      <c r="G687" s="13">
        <v>0</v>
      </c>
      <c r="H687" s="13">
        <v>0</v>
      </c>
      <c r="I687" s="13">
        <v>0</v>
      </c>
      <c r="J687" s="68">
        <v>0</v>
      </c>
      <c r="K687">
        <f t="shared" si="10"/>
        <v>0</v>
      </c>
      <c r="L687" s="13">
        <v>0</v>
      </c>
      <c r="M687" s="13">
        <v>0</v>
      </c>
      <c r="N687" s="13">
        <v>0</v>
      </c>
      <c r="O687" s="68">
        <v>0</v>
      </c>
      <c r="P687" s="155">
        <f>VLOOKUP(Table323[[#This Row],[Census Tract]],'Population and Diversity Data'!$B$2:$K$823,10,FALSE)</f>
        <v>2</v>
      </c>
      <c r="Q687" s="155" t="str">
        <f>VLOOKUP(Table323[[#This Row],[Census Tract]],'ES Energy Burden'!$B$2:$E$914,4,FALSE)</f>
        <v>No</v>
      </c>
    </row>
    <row r="688" spans="1:17" x14ac:dyDescent="0.2">
      <c r="A688" s="101">
        <v>9013535200</v>
      </c>
      <c r="B688" s="102" t="s">
        <v>2846</v>
      </c>
      <c r="C688" s="104" t="s">
        <v>944</v>
      </c>
      <c r="D688" s="69">
        <v>356.42799360000004</v>
      </c>
      <c r="E688" s="69">
        <v>0</v>
      </c>
      <c r="F688" s="13">
        <f>[1]!Table323[[#This Row],[Single Family]]+[1]!Table323[[#This Row],[2-4 Units]]+[1]!Table323[[#This Row],[&gt;4 Units]]</f>
        <v>0</v>
      </c>
      <c r="G688" s="13">
        <v>0</v>
      </c>
      <c r="H688" s="13">
        <v>0</v>
      </c>
      <c r="I688" s="13">
        <v>0</v>
      </c>
      <c r="J688" s="68">
        <v>0</v>
      </c>
      <c r="K688">
        <f t="shared" si="10"/>
        <v>0</v>
      </c>
      <c r="L688" s="13">
        <v>0</v>
      </c>
      <c r="M688" s="13">
        <v>0</v>
      </c>
      <c r="N688" s="13">
        <v>0</v>
      </c>
      <c r="O688" s="68">
        <v>0</v>
      </c>
      <c r="P688" s="155">
        <f>VLOOKUP(Table323[[#This Row],[Census Tract]],'Population and Diversity Data'!$B$2:$K$823,10,FALSE)</f>
        <v>5</v>
      </c>
      <c r="Q688" s="155" t="str">
        <f>VLOOKUP(Table323[[#This Row],[Census Tract]],'ES Energy Burden'!$B$2:$E$914,4,FALSE)</f>
        <v>No</v>
      </c>
    </row>
    <row r="689" spans="1:17" x14ac:dyDescent="0.2">
      <c r="A689" s="101">
        <v>9013840100</v>
      </c>
      <c r="B689" s="102" t="s">
        <v>2846</v>
      </c>
      <c r="C689" s="104" t="s">
        <v>944</v>
      </c>
      <c r="D689" s="69">
        <v>363.05616960000003</v>
      </c>
      <c r="E689" s="69">
        <v>0</v>
      </c>
      <c r="F689" s="13">
        <f>[1]!Table323[[#This Row],[Single Family]]+[1]!Table323[[#This Row],[2-4 Units]]+[1]!Table323[[#This Row],[&gt;4 Units]]</f>
        <v>0</v>
      </c>
      <c r="G689" s="13">
        <v>0</v>
      </c>
      <c r="H689" s="13">
        <v>0</v>
      </c>
      <c r="I689" s="13">
        <v>0</v>
      </c>
      <c r="J689" s="68">
        <v>0</v>
      </c>
      <c r="K689">
        <f t="shared" si="10"/>
        <v>0</v>
      </c>
      <c r="L689" s="13">
        <v>0</v>
      </c>
      <c r="M689" s="13">
        <v>0</v>
      </c>
      <c r="N689" s="13">
        <v>0</v>
      </c>
      <c r="O689" s="68">
        <v>0</v>
      </c>
      <c r="P689" s="155">
        <f>VLOOKUP(Table323[[#This Row],[Census Tract]],'Population and Diversity Data'!$B$2:$K$823,10,FALSE)</f>
        <v>4</v>
      </c>
      <c r="Q689" s="155" t="str">
        <f>VLOOKUP(Table323[[#This Row],[Census Tract]],'ES Energy Burden'!$B$2:$E$914,4,FALSE)</f>
        <v>No</v>
      </c>
    </row>
    <row r="690" spans="1:17" x14ac:dyDescent="0.2">
      <c r="A690" s="101">
        <v>9013890100</v>
      </c>
      <c r="B690" s="102" t="s">
        <v>2846</v>
      </c>
      <c r="C690" s="104" t="s">
        <v>944</v>
      </c>
      <c r="D690" s="69">
        <v>78029.483569920005</v>
      </c>
      <c r="E690" s="69">
        <v>10995.81</v>
      </c>
      <c r="F690" s="13">
        <f>[1]!Table323[[#This Row],[Single Family]]+[1]!Table323[[#This Row],[2-4 Units]]+[1]!Table323[[#This Row],[&gt;4 Units]]</f>
        <v>11</v>
      </c>
      <c r="G690" s="13">
        <v>10</v>
      </c>
      <c r="H690" s="13">
        <v>1</v>
      </c>
      <c r="I690" s="13">
        <v>0</v>
      </c>
      <c r="J690" s="68">
        <v>6890.41</v>
      </c>
      <c r="K690">
        <f t="shared" si="10"/>
        <v>0</v>
      </c>
      <c r="L690" s="13">
        <v>0</v>
      </c>
      <c r="M690" s="13">
        <v>0</v>
      </c>
      <c r="N690" s="13">
        <v>0</v>
      </c>
      <c r="O690" s="68">
        <v>0</v>
      </c>
      <c r="P690" s="155">
        <f>VLOOKUP(Table323[[#This Row],[Census Tract]],'Population and Diversity Data'!$B$2:$K$823,10,FALSE)</f>
        <v>2</v>
      </c>
      <c r="Q690" s="155" t="str">
        <f>VLOOKUP(Table323[[#This Row],[Census Tract]],'ES Energy Burden'!$B$2:$E$914,4,FALSE)</f>
        <v>No</v>
      </c>
    </row>
    <row r="691" spans="1:17" x14ac:dyDescent="0.2">
      <c r="A691" s="101">
        <v>9013890201</v>
      </c>
      <c r="B691" s="102" t="s">
        <v>2846</v>
      </c>
      <c r="C691" s="104" t="s">
        <v>944</v>
      </c>
      <c r="D691" s="69">
        <v>55163.823716159997</v>
      </c>
      <c r="E691" s="69">
        <v>10087.122799999999</v>
      </c>
      <c r="F691" s="13">
        <f>[1]!Table323[[#This Row],[Single Family]]+[1]!Table323[[#This Row],[2-4 Units]]+[1]!Table323[[#This Row],[&gt;4 Units]]</f>
        <v>8</v>
      </c>
      <c r="G691" s="13">
        <v>8</v>
      </c>
      <c r="H691" s="13">
        <v>0</v>
      </c>
      <c r="I691" s="13">
        <v>0</v>
      </c>
      <c r="J691" s="68">
        <v>9123.8227999999999</v>
      </c>
      <c r="K691">
        <f t="shared" si="10"/>
        <v>0</v>
      </c>
      <c r="L691" s="13">
        <v>0</v>
      </c>
      <c r="M691" s="13">
        <v>0</v>
      </c>
      <c r="N691" s="13">
        <v>0</v>
      </c>
      <c r="O691" s="68">
        <v>0</v>
      </c>
      <c r="P691" s="155">
        <f>VLOOKUP(Table323[[#This Row],[Census Tract]],'Population and Diversity Data'!$B$2:$K$823,10,FALSE)</f>
        <v>4</v>
      </c>
      <c r="Q691" s="155" t="str">
        <f>VLOOKUP(Table323[[#This Row],[Census Tract]],'ES Energy Burden'!$B$2:$E$914,4,FALSE)</f>
        <v>No</v>
      </c>
    </row>
    <row r="692" spans="1:17" x14ac:dyDescent="0.2">
      <c r="A692" s="101">
        <v>9013890202</v>
      </c>
      <c r="B692" s="102" t="s">
        <v>2846</v>
      </c>
      <c r="C692" s="104" t="s">
        <v>944</v>
      </c>
      <c r="D692" s="69">
        <v>99367.681132800004</v>
      </c>
      <c r="E692" s="69">
        <v>72712.240000000005</v>
      </c>
      <c r="F692" s="13">
        <f>[1]!Table323[[#This Row],[Single Family]]+[1]!Table323[[#This Row],[2-4 Units]]+[1]!Table323[[#This Row],[&gt;4 Units]]</f>
        <v>120</v>
      </c>
      <c r="G692" s="13">
        <v>20</v>
      </c>
      <c r="H692" s="13">
        <v>0</v>
      </c>
      <c r="I692" s="13">
        <v>100</v>
      </c>
      <c r="J692" s="68">
        <v>17810.63</v>
      </c>
      <c r="K692">
        <f t="shared" si="10"/>
        <v>19</v>
      </c>
      <c r="L692" s="13">
        <v>19</v>
      </c>
      <c r="M692" s="13">
        <v>0</v>
      </c>
      <c r="N692" s="13">
        <v>0</v>
      </c>
      <c r="O692" s="68">
        <v>29180.6</v>
      </c>
      <c r="P692" s="155">
        <f>VLOOKUP(Table323[[#This Row],[Census Tract]],'Population and Diversity Data'!$B$2:$K$823,10,FALSE)</f>
        <v>4</v>
      </c>
      <c r="Q692" s="155" t="str">
        <f>VLOOKUP(Table323[[#This Row],[Census Tract]],'ES Energy Burden'!$B$2:$E$914,4,FALSE)</f>
        <v>No</v>
      </c>
    </row>
    <row r="693" spans="1:17" x14ac:dyDescent="0.2">
      <c r="A693" s="101">
        <v>9001010202</v>
      </c>
      <c r="B693" s="102" t="s">
        <v>988</v>
      </c>
      <c r="C693" s="104" t="s">
        <v>944</v>
      </c>
      <c r="D693" s="69">
        <v>1173.3781824000002</v>
      </c>
      <c r="E693" s="69">
        <v>0</v>
      </c>
      <c r="F693" s="13">
        <f>[1]!Table323[[#This Row],[Single Family]]+[1]!Table323[[#This Row],[2-4 Units]]+[1]!Table323[[#This Row],[&gt;4 Units]]</f>
        <v>0</v>
      </c>
      <c r="G693" s="13">
        <v>0</v>
      </c>
      <c r="H693" s="13">
        <v>0</v>
      </c>
      <c r="I693" s="13">
        <v>0</v>
      </c>
      <c r="J693" s="68">
        <v>0</v>
      </c>
      <c r="K693">
        <f t="shared" si="10"/>
        <v>0</v>
      </c>
      <c r="L693" s="13">
        <v>0</v>
      </c>
      <c r="M693" s="13">
        <v>0</v>
      </c>
      <c r="N693" s="13">
        <v>0</v>
      </c>
      <c r="O693" s="68">
        <v>0</v>
      </c>
      <c r="P693" s="155">
        <f>VLOOKUP(Table323[[#This Row],[Census Tract]],'Population and Diversity Data'!$B$2:$K$823,10,FALSE)</f>
        <v>4</v>
      </c>
      <c r="Q693" s="155" t="str">
        <f>VLOOKUP(Table323[[#This Row],[Census Tract]],'ES Energy Burden'!$B$2:$E$914,4,FALSE)</f>
        <v>No</v>
      </c>
    </row>
    <row r="694" spans="1:17" x14ac:dyDescent="0.2">
      <c r="A694" s="101">
        <v>9001020100</v>
      </c>
      <c r="B694" s="102" t="s">
        <v>988</v>
      </c>
      <c r="C694" s="104" t="s">
        <v>936</v>
      </c>
      <c r="D694" s="69">
        <v>150821.6672736</v>
      </c>
      <c r="E694" s="69">
        <v>883.96</v>
      </c>
      <c r="F694" s="13">
        <f>[1]!Table323[[#This Row],[Single Family]]+[1]!Table323[[#This Row],[2-4 Units]]+[1]!Table323[[#This Row],[&gt;4 Units]]</f>
        <v>2</v>
      </c>
      <c r="G694" s="13">
        <v>2</v>
      </c>
      <c r="H694" s="13">
        <v>0</v>
      </c>
      <c r="I694" s="13">
        <v>0</v>
      </c>
      <c r="J694" s="68">
        <v>456.83</v>
      </c>
      <c r="K694">
        <f t="shared" si="10"/>
        <v>0</v>
      </c>
      <c r="L694" s="13">
        <v>0</v>
      </c>
      <c r="M694" s="13">
        <v>0</v>
      </c>
      <c r="N694" s="13">
        <v>0</v>
      </c>
      <c r="O694" s="68">
        <v>0</v>
      </c>
      <c r="P694" s="155">
        <f>VLOOKUP(Table323[[#This Row],[Census Tract]],'Population and Diversity Data'!$B$2:$K$823,10,FALSE)</f>
        <v>4</v>
      </c>
      <c r="Q694" s="155" t="str">
        <f>VLOOKUP(Table323[[#This Row],[Census Tract]],'ES Energy Burden'!$B$2:$E$914,4,FALSE)</f>
        <v>No</v>
      </c>
    </row>
    <row r="695" spans="1:17" x14ac:dyDescent="0.2">
      <c r="A695" s="101">
        <v>9001020200</v>
      </c>
      <c r="B695" s="102" t="s">
        <v>988</v>
      </c>
      <c r="C695" s="104" t="s">
        <v>944</v>
      </c>
      <c r="D695" s="69">
        <v>117012.98667456</v>
      </c>
      <c r="E695" s="69">
        <v>29147.88</v>
      </c>
      <c r="F695" s="13">
        <f>[1]!Table323[[#This Row],[Single Family]]+[1]!Table323[[#This Row],[2-4 Units]]+[1]!Table323[[#This Row],[&gt;4 Units]]</f>
        <v>19</v>
      </c>
      <c r="G695" s="13">
        <v>19</v>
      </c>
      <c r="H695" s="13">
        <v>0</v>
      </c>
      <c r="I695" s="13">
        <v>0</v>
      </c>
      <c r="J695" s="68">
        <v>29143.27</v>
      </c>
      <c r="K695">
        <f t="shared" si="10"/>
        <v>0</v>
      </c>
      <c r="L695" s="13">
        <v>0</v>
      </c>
      <c r="M695" s="13">
        <v>0</v>
      </c>
      <c r="N695" s="13">
        <v>0</v>
      </c>
      <c r="O695" s="68">
        <v>0</v>
      </c>
      <c r="P695" s="155">
        <f>VLOOKUP(Table323[[#This Row],[Census Tract]],'Population and Diversity Data'!$B$2:$K$823,10,FALSE)</f>
        <v>4</v>
      </c>
      <c r="Q695" s="155" t="str">
        <f>VLOOKUP(Table323[[#This Row],[Census Tract]],'ES Energy Burden'!$B$2:$E$914,4,FALSE)</f>
        <v>No</v>
      </c>
    </row>
    <row r="696" spans="1:17" x14ac:dyDescent="0.2">
      <c r="A696" s="101">
        <v>9001020300</v>
      </c>
      <c r="B696" s="102" t="s">
        <v>988</v>
      </c>
      <c r="C696" s="104" t="s">
        <v>944</v>
      </c>
      <c r="D696" s="69">
        <v>317290.94373311999</v>
      </c>
      <c r="E696" s="69">
        <v>847186.2023</v>
      </c>
      <c r="F696" s="13">
        <f>[1]!Table323[[#This Row],[Single Family]]+[1]!Table323[[#This Row],[2-4 Units]]+[1]!Table323[[#This Row],[&gt;4 Units]]</f>
        <v>1343</v>
      </c>
      <c r="G696" s="13">
        <v>36</v>
      </c>
      <c r="H696" s="13">
        <v>0</v>
      </c>
      <c r="I696" s="13">
        <v>1307</v>
      </c>
      <c r="J696" s="68">
        <v>278866.37969999999</v>
      </c>
      <c r="K696">
        <f t="shared" si="10"/>
        <v>272</v>
      </c>
      <c r="L696" s="13">
        <v>64</v>
      </c>
      <c r="M696" s="13">
        <v>0</v>
      </c>
      <c r="N696" s="13">
        <v>208</v>
      </c>
      <c r="O696" s="68">
        <v>567952</v>
      </c>
      <c r="P696" s="155">
        <f>VLOOKUP(Table323[[#This Row],[Census Tract]],'Population and Diversity Data'!$B$2:$K$823,10,FALSE)</f>
        <v>3</v>
      </c>
      <c r="Q696" s="155" t="str">
        <f>VLOOKUP(Table323[[#This Row],[Census Tract]],'ES Energy Burden'!$B$2:$E$914,4,FALSE)</f>
        <v>No</v>
      </c>
    </row>
    <row r="697" spans="1:17" x14ac:dyDescent="0.2">
      <c r="A697" s="101">
        <v>9001020400</v>
      </c>
      <c r="B697" s="102" t="s">
        <v>988</v>
      </c>
      <c r="C697" s="104" t="s">
        <v>944</v>
      </c>
      <c r="D697" s="69">
        <v>98807.302137599996</v>
      </c>
      <c r="E697" s="69">
        <v>11006.608099999999</v>
      </c>
      <c r="F697" s="13">
        <f>[1]!Table323[[#This Row],[Single Family]]+[1]!Table323[[#This Row],[2-4 Units]]+[1]!Table323[[#This Row],[&gt;4 Units]]</f>
        <v>11</v>
      </c>
      <c r="G697" s="13">
        <v>11</v>
      </c>
      <c r="H697" s="13">
        <v>0</v>
      </c>
      <c r="I697" s="13">
        <v>0</v>
      </c>
      <c r="J697" s="68">
        <v>8056.8680999999997</v>
      </c>
      <c r="K697">
        <f t="shared" si="10"/>
        <v>0</v>
      </c>
      <c r="L697" s="13">
        <v>0</v>
      </c>
      <c r="M697" s="13">
        <v>0</v>
      </c>
      <c r="N697" s="13">
        <v>0</v>
      </c>
      <c r="O697" s="68">
        <v>0</v>
      </c>
      <c r="P697" s="155">
        <f>VLOOKUP(Table323[[#This Row],[Census Tract]],'Population and Diversity Data'!$B$2:$K$823,10,FALSE)</f>
        <v>4</v>
      </c>
      <c r="Q697" s="155" t="str">
        <f>VLOOKUP(Table323[[#This Row],[Census Tract]],'ES Energy Burden'!$B$2:$E$914,4,FALSE)</f>
        <v>No</v>
      </c>
    </row>
    <row r="698" spans="1:17" x14ac:dyDescent="0.2">
      <c r="A698" s="101">
        <v>9001020500</v>
      </c>
      <c r="B698" s="102" t="s">
        <v>988</v>
      </c>
      <c r="C698" s="104" t="s">
        <v>944</v>
      </c>
      <c r="D698" s="69">
        <v>134841.29239295999</v>
      </c>
      <c r="E698" s="69">
        <v>23276.3524</v>
      </c>
      <c r="F698" s="13">
        <f>[1]!Table323[[#This Row],[Single Family]]+[1]!Table323[[#This Row],[2-4 Units]]+[1]!Table323[[#This Row],[&gt;4 Units]]</f>
        <v>26</v>
      </c>
      <c r="G698" s="13">
        <v>26</v>
      </c>
      <c r="H698" s="13">
        <v>0</v>
      </c>
      <c r="I698" s="13">
        <v>0</v>
      </c>
      <c r="J698" s="68">
        <v>19068.162400000001</v>
      </c>
      <c r="K698">
        <f t="shared" si="10"/>
        <v>0</v>
      </c>
      <c r="L698" s="13">
        <v>0</v>
      </c>
      <c r="M698" s="13">
        <v>0</v>
      </c>
      <c r="N698" s="13">
        <v>0</v>
      </c>
      <c r="O698" s="68">
        <v>0</v>
      </c>
      <c r="P698" s="155">
        <f>VLOOKUP(Table323[[#This Row],[Census Tract]],'Population and Diversity Data'!$B$2:$K$823,10,FALSE)</f>
        <v>3</v>
      </c>
      <c r="Q698" s="155" t="str">
        <f>VLOOKUP(Table323[[#This Row],[Census Tract]],'ES Energy Burden'!$B$2:$E$914,4,FALSE)</f>
        <v>No</v>
      </c>
    </row>
    <row r="699" spans="1:17" x14ac:dyDescent="0.2">
      <c r="A699" s="101">
        <v>9001020600</v>
      </c>
      <c r="B699" s="102" t="s">
        <v>988</v>
      </c>
      <c r="C699" s="104" t="s">
        <v>944</v>
      </c>
      <c r="D699" s="69">
        <v>109788.85834560001</v>
      </c>
      <c r="E699" s="69">
        <v>9380.7999999999993</v>
      </c>
      <c r="F699" s="13">
        <f>[1]!Table323[[#This Row],[Single Family]]+[1]!Table323[[#This Row],[2-4 Units]]+[1]!Table323[[#This Row],[&gt;4 Units]]</f>
        <v>12</v>
      </c>
      <c r="G699" s="13">
        <v>12</v>
      </c>
      <c r="H699" s="13">
        <v>0</v>
      </c>
      <c r="I699" s="13">
        <v>0</v>
      </c>
      <c r="J699" s="68">
        <v>8737.5400000000009</v>
      </c>
      <c r="K699">
        <f t="shared" si="10"/>
        <v>0</v>
      </c>
      <c r="L699" s="13">
        <v>0</v>
      </c>
      <c r="M699" s="13">
        <v>0</v>
      </c>
      <c r="N699" s="13">
        <v>0</v>
      </c>
      <c r="O699" s="68">
        <v>0</v>
      </c>
      <c r="P699" s="155">
        <f>VLOOKUP(Table323[[#This Row],[Census Tract]],'Population and Diversity Data'!$B$2:$K$823,10,FALSE)</f>
        <v>4</v>
      </c>
      <c r="Q699" s="155" t="str">
        <f>VLOOKUP(Table323[[#This Row],[Census Tract]],'ES Energy Burden'!$B$2:$E$914,4,FALSE)</f>
        <v>No</v>
      </c>
    </row>
    <row r="700" spans="1:17" x14ac:dyDescent="0.2">
      <c r="A700" s="101">
        <v>9001020700</v>
      </c>
      <c r="B700" s="102" t="s">
        <v>988</v>
      </c>
      <c r="C700" s="104" t="s">
        <v>944</v>
      </c>
      <c r="D700" s="69">
        <v>93484.321084800002</v>
      </c>
      <c r="E700" s="69">
        <v>7756.2</v>
      </c>
      <c r="F700" s="13">
        <f>[1]!Table323[[#This Row],[Single Family]]+[1]!Table323[[#This Row],[2-4 Units]]+[1]!Table323[[#This Row],[&gt;4 Units]]</f>
        <v>17</v>
      </c>
      <c r="G700" s="13">
        <v>17</v>
      </c>
      <c r="H700" s="13">
        <v>0</v>
      </c>
      <c r="I700" s="13">
        <v>0</v>
      </c>
      <c r="J700" s="68">
        <v>7746.42</v>
      </c>
      <c r="K700">
        <f t="shared" si="10"/>
        <v>0</v>
      </c>
      <c r="L700" s="13">
        <v>0</v>
      </c>
      <c r="M700" s="13">
        <v>0</v>
      </c>
      <c r="N700" s="13">
        <v>0</v>
      </c>
      <c r="O700" s="68">
        <v>0</v>
      </c>
      <c r="P700" s="155">
        <f>VLOOKUP(Table323[[#This Row],[Census Tract]],'Population and Diversity Data'!$B$2:$K$823,10,FALSE)</f>
        <v>3</v>
      </c>
      <c r="Q700" s="155" t="str">
        <f>VLOOKUP(Table323[[#This Row],[Census Tract]],'ES Energy Burden'!$B$2:$E$914,4,FALSE)</f>
        <v>No</v>
      </c>
    </row>
    <row r="701" spans="1:17" x14ac:dyDescent="0.2">
      <c r="A701" s="101">
        <v>9001020800</v>
      </c>
      <c r="B701" s="102" t="s">
        <v>988</v>
      </c>
      <c r="C701" s="104" t="s">
        <v>944</v>
      </c>
      <c r="D701" s="69">
        <v>60746.351405759997</v>
      </c>
      <c r="E701" s="69">
        <v>12748.1304</v>
      </c>
      <c r="F701" s="13">
        <f>[1]!Table323[[#This Row],[Single Family]]+[1]!Table323[[#This Row],[2-4 Units]]+[1]!Table323[[#This Row],[&gt;4 Units]]</f>
        <v>12</v>
      </c>
      <c r="G701" s="13">
        <v>12</v>
      </c>
      <c r="H701" s="13">
        <v>0</v>
      </c>
      <c r="I701" s="13">
        <v>0</v>
      </c>
      <c r="J701" s="68">
        <v>7706.5403999999999</v>
      </c>
      <c r="K701">
        <f t="shared" si="10"/>
        <v>0</v>
      </c>
      <c r="L701" s="13">
        <v>0</v>
      </c>
      <c r="M701" s="13">
        <v>0</v>
      </c>
      <c r="N701" s="13">
        <v>0</v>
      </c>
      <c r="O701" s="68">
        <v>0</v>
      </c>
      <c r="P701" s="155">
        <f>VLOOKUP(Table323[[#This Row],[Census Tract]],'Population and Diversity Data'!$B$2:$K$823,10,FALSE)</f>
        <v>4</v>
      </c>
      <c r="Q701" s="155" t="str">
        <f>VLOOKUP(Table323[[#This Row],[Census Tract]],'ES Energy Burden'!$B$2:$E$914,4,FALSE)</f>
        <v>No</v>
      </c>
    </row>
    <row r="702" spans="1:17" x14ac:dyDescent="0.2">
      <c r="A702" s="101">
        <v>9001020900</v>
      </c>
      <c r="B702" s="102" t="s">
        <v>988</v>
      </c>
      <c r="C702" s="104" t="s">
        <v>944</v>
      </c>
      <c r="D702" s="69">
        <v>109799.58904416001</v>
      </c>
      <c r="E702" s="69">
        <v>8620.5794999999998</v>
      </c>
      <c r="F702" s="13">
        <f>[1]!Table323[[#This Row],[Single Family]]+[1]!Table323[[#This Row],[2-4 Units]]+[1]!Table323[[#This Row],[&gt;4 Units]]</f>
        <v>11</v>
      </c>
      <c r="G702" s="13">
        <v>11</v>
      </c>
      <c r="H702" s="13">
        <v>0</v>
      </c>
      <c r="I702" s="13">
        <v>0</v>
      </c>
      <c r="J702" s="68">
        <v>6761.8095000000003</v>
      </c>
      <c r="K702">
        <f t="shared" si="10"/>
        <v>0</v>
      </c>
      <c r="L702" s="13">
        <v>0</v>
      </c>
      <c r="M702" s="13">
        <v>0</v>
      </c>
      <c r="N702" s="13">
        <v>0</v>
      </c>
      <c r="O702" s="68">
        <v>0</v>
      </c>
      <c r="P702" s="155">
        <f>VLOOKUP(Table323[[#This Row],[Census Tract]],'Population and Diversity Data'!$B$2:$K$823,10,FALSE)</f>
        <v>4</v>
      </c>
      <c r="Q702" s="155" t="str">
        <f>VLOOKUP(Table323[[#This Row],[Census Tract]],'ES Energy Burden'!$B$2:$E$914,4,FALSE)</f>
        <v>No</v>
      </c>
    </row>
    <row r="703" spans="1:17" x14ac:dyDescent="0.2">
      <c r="A703" s="101">
        <v>9001021000</v>
      </c>
      <c r="B703" s="102" t="s">
        <v>988</v>
      </c>
      <c r="C703" s="104" t="s">
        <v>944</v>
      </c>
      <c r="D703" s="69">
        <v>70717.539144959999</v>
      </c>
      <c r="E703" s="69">
        <v>2774.1374000000001</v>
      </c>
      <c r="F703" s="13">
        <f>[1]!Table323[[#This Row],[Single Family]]+[1]!Table323[[#This Row],[2-4 Units]]+[1]!Table323[[#This Row],[&gt;4 Units]]</f>
        <v>7</v>
      </c>
      <c r="G703" s="13">
        <v>7</v>
      </c>
      <c r="H703" s="13">
        <v>0</v>
      </c>
      <c r="I703" s="13">
        <v>0</v>
      </c>
      <c r="J703" s="68">
        <v>2771.2274000000002</v>
      </c>
      <c r="K703">
        <f t="shared" si="10"/>
        <v>0</v>
      </c>
      <c r="L703" s="13">
        <v>0</v>
      </c>
      <c r="M703" s="13">
        <v>0</v>
      </c>
      <c r="N703" s="13">
        <v>0</v>
      </c>
      <c r="O703" s="68">
        <v>0</v>
      </c>
      <c r="P703" s="155">
        <f>VLOOKUP(Table323[[#This Row],[Census Tract]],'Population and Diversity Data'!$B$2:$K$823,10,FALSE)</f>
        <v>4</v>
      </c>
      <c r="Q703" s="155" t="str">
        <f>VLOOKUP(Table323[[#This Row],[Census Tract]],'ES Energy Burden'!$B$2:$E$914,4,FALSE)</f>
        <v>No</v>
      </c>
    </row>
    <row r="704" spans="1:17" x14ac:dyDescent="0.2">
      <c r="A704" s="101">
        <v>9001021100</v>
      </c>
      <c r="B704" s="102" t="s">
        <v>988</v>
      </c>
      <c r="C704" s="104" t="s">
        <v>944</v>
      </c>
      <c r="D704" s="69">
        <v>115220.04017471999</v>
      </c>
      <c r="E704" s="69">
        <v>8369.6</v>
      </c>
      <c r="F704" s="13">
        <f>[1]!Table323[[#This Row],[Single Family]]+[1]!Table323[[#This Row],[2-4 Units]]+[1]!Table323[[#This Row],[&gt;4 Units]]</f>
        <v>12</v>
      </c>
      <c r="G704" s="13">
        <v>9</v>
      </c>
      <c r="H704" s="13">
        <v>3</v>
      </c>
      <c r="I704" s="13">
        <v>0</v>
      </c>
      <c r="J704" s="68">
        <v>6715.1</v>
      </c>
      <c r="K704">
        <f t="shared" si="10"/>
        <v>0</v>
      </c>
      <c r="L704" s="13">
        <v>0</v>
      </c>
      <c r="M704" s="13">
        <v>0</v>
      </c>
      <c r="N704" s="13">
        <v>0</v>
      </c>
      <c r="O704" s="68">
        <v>0</v>
      </c>
      <c r="P704" s="155">
        <f>VLOOKUP(Table323[[#This Row],[Census Tract]],'Population and Diversity Data'!$B$2:$K$823,10,FALSE)</f>
        <v>4</v>
      </c>
      <c r="Q704" s="155" t="str">
        <f>VLOOKUP(Table323[[#This Row],[Census Tract]],'ES Energy Burden'!$B$2:$E$914,4,FALSE)</f>
        <v>No</v>
      </c>
    </row>
    <row r="705" spans="1:17" x14ac:dyDescent="0.2">
      <c r="A705" s="101">
        <v>9001021200</v>
      </c>
      <c r="B705" s="102" t="s">
        <v>988</v>
      </c>
      <c r="C705" s="104" t="s">
        <v>944</v>
      </c>
      <c r="D705" s="69">
        <v>111285.65852063999</v>
      </c>
      <c r="E705" s="69">
        <v>23460</v>
      </c>
      <c r="F705" s="13">
        <f>[1]!Table323[[#This Row],[Single Family]]+[1]!Table323[[#This Row],[2-4 Units]]+[1]!Table323[[#This Row],[&gt;4 Units]]</f>
        <v>23</v>
      </c>
      <c r="G705" s="13">
        <v>23</v>
      </c>
      <c r="H705" s="13">
        <v>0</v>
      </c>
      <c r="I705" s="13">
        <v>0</v>
      </c>
      <c r="J705" s="68">
        <v>17007.16</v>
      </c>
      <c r="K705">
        <f t="shared" si="10"/>
        <v>0</v>
      </c>
      <c r="L705" s="13">
        <v>0</v>
      </c>
      <c r="M705" s="13">
        <v>0</v>
      </c>
      <c r="N705" s="13">
        <v>0</v>
      </c>
      <c r="O705" s="68">
        <v>0</v>
      </c>
      <c r="P705" s="155">
        <f>VLOOKUP(Table323[[#This Row],[Census Tract]],'Population and Diversity Data'!$B$2:$K$823,10,FALSE)</f>
        <v>4</v>
      </c>
      <c r="Q705" s="155" t="str">
        <f>VLOOKUP(Table323[[#This Row],[Census Tract]],'ES Energy Burden'!$B$2:$E$914,4,FALSE)</f>
        <v>No</v>
      </c>
    </row>
    <row r="706" spans="1:17" x14ac:dyDescent="0.2">
      <c r="A706" s="101">
        <v>9001021300</v>
      </c>
      <c r="B706" s="102" t="s">
        <v>988</v>
      </c>
      <c r="C706" s="104" t="s">
        <v>944</v>
      </c>
      <c r="D706" s="69">
        <v>74577.157868159993</v>
      </c>
      <c r="E706" s="69">
        <v>8945.08</v>
      </c>
      <c r="F706" s="13">
        <f>[1]!Table323[[#This Row],[Single Family]]+[1]!Table323[[#This Row],[2-4 Units]]+[1]!Table323[[#This Row],[&gt;4 Units]]</f>
        <v>11</v>
      </c>
      <c r="G706" s="13">
        <v>11</v>
      </c>
      <c r="H706" s="13">
        <v>0</v>
      </c>
      <c r="I706" s="13">
        <v>0</v>
      </c>
      <c r="J706" s="68">
        <v>5619.15</v>
      </c>
      <c r="K706">
        <f t="shared" si="10"/>
        <v>0</v>
      </c>
      <c r="L706" s="13">
        <v>0</v>
      </c>
      <c r="M706" s="13">
        <v>0</v>
      </c>
      <c r="N706" s="13">
        <v>0</v>
      </c>
      <c r="O706" s="68">
        <v>0</v>
      </c>
      <c r="P706" s="155">
        <f>VLOOKUP(Table323[[#This Row],[Census Tract]],'Population and Diversity Data'!$B$2:$K$823,10,FALSE)</f>
        <v>4</v>
      </c>
      <c r="Q706" s="155" t="str">
        <f>VLOOKUP(Table323[[#This Row],[Census Tract]],'ES Energy Burden'!$B$2:$E$914,4,FALSE)</f>
        <v>No</v>
      </c>
    </row>
    <row r="707" spans="1:17" x14ac:dyDescent="0.2">
      <c r="A707" s="101">
        <v>9001021400</v>
      </c>
      <c r="B707" s="102" t="s">
        <v>988</v>
      </c>
      <c r="C707" s="104" t="s">
        <v>944</v>
      </c>
      <c r="D707" s="69">
        <v>89294.912110079997</v>
      </c>
      <c r="E707" s="69">
        <v>4610.05</v>
      </c>
      <c r="F707" s="13">
        <f>[1]!Table323[[#This Row],[Single Family]]+[1]!Table323[[#This Row],[2-4 Units]]+[1]!Table323[[#This Row],[&gt;4 Units]]</f>
        <v>3</v>
      </c>
      <c r="G707" s="13">
        <v>3</v>
      </c>
      <c r="H707" s="13">
        <v>0</v>
      </c>
      <c r="I707" s="13">
        <v>0</v>
      </c>
      <c r="J707" s="68">
        <v>573.89</v>
      </c>
      <c r="K707">
        <f t="shared" si="10"/>
        <v>0</v>
      </c>
      <c r="L707" s="13">
        <v>0</v>
      </c>
      <c r="M707" s="13">
        <v>0</v>
      </c>
      <c r="N707" s="13">
        <v>0</v>
      </c>
      <c r="O707" s="68">
        <v>0</v>
      </c>
      <c r="P707" s="155">
        <f>VLOOKUP(Table323[[#This Row],[Census Tract]],'Population and Diversity Data'!$B$2:$K$823,10,FALSE)</f>
        <v>4</v>
      </c>
      <c r="Q707" s="155" t="str">
        <f>VLOOKUP(Table323[[#This Row],[Census Tract]],'ES Energy Burden'!$B$2:$E$914,4,FALSE)</f>
        <v>No</v>
      </c>
    </row>
    <row r="708" spans="1:17" x14ac:dyDescent="0.2">
      <c r="A708" s="101">
        <v>9001021500</v>
      </c>
      <c r="B708" s="102" t="s">
        <v>988</v>
      </c>
      <c r="C708" s="104" t="s">
        <v>944</v>
      </c>
      <c r="D708" s="69">
        <v>65225.455666560003</v>
      </c>
      <c r="E708" s="69">
        <v>403</v>
      </c>
      <c r="F708" s="13">
        <f>[1]!Table323[[#This Row],[Single Family]]+[1]!Table323[[#This Row],[2-4 Units]]+[1]!Table323[[#This Row],[&gt;4 Units]]</f>
        <v>1</v>
      </c>
      <c r="G708" s="13">
        <v>0</v>
      </c>
      <c r="H708" s="13">
        <v>1</v>
      </c>
      <c r="I708" s="13">
        <v>0</v>
      </c>
      <c r="J708" s="68">
        <v>281.32</v>
      </c>
      <c r="K708">
        <f t="shared" si="10"/>
        <v>0</v>
      </c>
      <c r="L708" s="13">
        <v>0</v>
      </c>
      <c r="M708" s="13">
        <v>0</v>
      </c>
      <c r="N708" s="13">
        <v>0</v>
      </c>
      <c r="O708" s="68">
        <v>0</v>
      </c>
      <c r="P708" s="155">
        <f>VLOOKUP(Table323[[#This Row],[Census Tract]],'Population and Diversity Data'!$B$2:$K$823,10,FALSE)</f>
        <v>5</v>
      </c>
      <c r="Q708" s="155" t="str">
        <f>VLOOKUP(Table323[[#This Row],[Census Tract]],'ES Energy Burden'!$B$2:$E$914,4,FALSE)</f>
        <v>No</v>
      </c>
    </row>
    <row r="709" spans="1:17" x14ac:dyDescent="0.2">
      <c r="A709" s="101">
        <v>9001021600</v>
      </c>
      <c r="B709" s="102" t="s">
        <v>988</v>
      </c>
      <c r="C709" s="104" t="s">
        <v>944</v>
      </c>
      <c r="D709" s="69">
        <v>103216.67104032</v>
      </c>
      <c r="E709" s="69">
        <v>6524.6980000000003</v>
      </c>
      <c r="F709" s="13">
        <f>[1]!Table323[[#This Row],[Single Family]]+[1]!Table323[[#This Row],[2-4 Units]]+[1]!Table323[[#This Row],[&gt;4 Units]]</f>
        <v>1</v>
      </c>
      <c r="G709" s="13">
        <v>1</v>
      </c>
      <c r="H709" s="13">
        <v>0</v>
      </c>
      <c r="I709" s="13">
        <v>0</v>
      </c>
      <c r="J709" s="68">
        <v>692.59299999999996</v>
      </c>
      <c r="K709">
        <f t="shared" si="10"/>
        <v>0</v>
      </c>
      <c r="L709" s="13">
        <v>0</v>
      </c>
      <c r="M709" s="13">
        <v>0</v>
      </c>
      <c r="N709" s="13">
        <v>0</v>
      </c>
      <c r="O709" s="68">
        <v>0</v>
      </c>
      <c r="P709" s="155">
        <f>VLOOKUP(Table323[[#This Row],[Census Tract]],'Population and Diversity Data'!$B$2:$K$823,10,FALSE)</f>
        <v>5</v>
      </c>
      <c r="Q709" s="155" t="str">
        <f>VLOOKUP(Table323[[#This Row],[Census Tract]],'ES Energy Burden'!$B$2:$E$914,4,FALSE)</f>
        <v>No</v>
      </c>
    </row>
    <row r="710" spans="1:17" x14ac:dyDescent="0.2">
      <c r="A710" s="101">
        <v>9001021700</v>
      </c>
      <c r="B710" s="102" t="s">
        <v>988</v>
      </c>
      <c r="C710" s="104" t="s">
        <v>944</v>
      </c>
      <c r="D710" s="69">
        <v>122222.74864032</v>
      </c>
      <c r="E710" s="69">
        <v>10284.4203</v>
      </c>
      <c r="F710" s="13">
        <f>[1]!Table323[[#This Row],[Single Family]]+[1]!Table323[[#This Row],[2-4 Units]]+[1]!Table323[[#This Row],[&gt;4 Units]]</f>
        <v>3</v>
      </c>
      <c r="G710" s="13">
        <v>2</v>
      </c>
      <c r="H710" s="13">
        <v>1</v>
      </c>
      <c r="I710" s="13">
        <v>0</v>
      </c>
      <c r="J710" s="68">
        <v>2124.2503000000002</v>
      </c>
      <c r="K710">
        <f t="shared" ref="K710:K773" si="11">L710+M710+N710</f>
        <v>0</v>
      </c>
      <c r="L710" s="13">
        <v>0</v>
      </c>
      <c r="M710" s="13">
        <v>0</v>
      </c>
      <c r="N710" s="13">
        <v>0</v>
      </c>
      <c r="O710" s="68">
        <v>0</v>
      </c>
      <c r="P710" s="155">
        <f>VLOOKUP(Table323[[#This Row],[Census Tract]],'Population and Diversity Data'!$B$2:$K$823,10,FALSE)</f>
        <v>5</v>
      </c>
      <c r="Q710" s="155" t="str">
        <f>VLOOKUP(Table323[[#This Row],[Census Tract]],'ES Energy Burden'!$B$2:$E$914,4,FALSE)</f>
        <v>No</v>
      </c>
    </row>
    <row r="711" spans="1:17" x14ac:dyDescent="0.2">
      <c r="A711" s="101">
        <v>9001021801</v>
      </c>
      <c r="B711" s="102" t="s">
        <v>988</v>
      </c>
      <c r="C711" s="104" t="s">
        <v>944</v>
      </c>
      <c r="D711" s="69">
        <v>63583.488017279997</v>
      </c>
      <c r="E711" s="69">
        <v>9221.6200000000008</v>
      </c>
      <c r="F711" s="13">
        <f>[1]!Table323[[#This Row],[Single Family]]+[1]!Table323[[#This Row],[2-4 Units]]+[1]!Table323[[#This Row],[&gt;4 Units]]</f>
        <v>5</v>
      </c>
      <c r="G711" s="13">
        <v>5</v>
      </c>
      <c r="H711" s="13">
        <v>0</v>
      </c>
      <c r="I711" s="13">
        <v>0</v>
      </c>
      <c r="J711" s="68">
        <v>1049.4100000000001</v>
      </c>
      <c r="K711">
        <f t="shared" si="11"/>
        <v>0</v>
      </c>
      <c r="L711" s="13">
        <v>0</v>
      </c>
      <c r="M711" s="13">
        <v>0</v>
      </c>
      <c r="N711" s="13">
        <v>0</v>
      </c>
      <c r="O711" s="68">
        <v>0</v>
      </c>
      <c r="P711" s="155">
        <f>VLOOKUP(Table323[[#This Row],[Census Tract]],'Population and Diversity Data'!$B$2:$K$823,10,FALSE)</f>
        <v>5</v>
      </c>
      <c r="Q711" s="155" t="str">
        <f>VLOOKUP(Table323[[#This Row],[Census Tract]],'ES Energy Burden'!$B$2:$E$914,4,FALSE)</f>
        <v>No</v>
      </c>
    </row>
    <row r="712" spans="1:17" x14ac:dyDescent="0.2">
      <c r="A712" s="101">
        <v>9001021802</v>
      </c>
      <c r="B712" s="102" t="s">
        <v>988</v>
      </c>
      <c r="C712" s="104" t="s">
        <v>944</v>
      </c>
      <c r="D712" s="69">
        <v>76084.431719040003</v>
      </c>
      <c r="E712" s="69">
        <v>9793.5617999999995</v>
      </c>
      <c r="F712" s="13">
        <f>[1]!Table323[[#This Row],[Single Family]]+[1]!Table323[[#This Row],[2-4 Units]]+[1]!Table323[[#This Row],[&gt;4 Units]]</f>
        <v>9</v>
      </c>
      <c r="G712" s="13">
        <v>9</v>
      </c>
      <c r="H712" s="13">
        <v>0</v>
      </c>
      <c r="I712" s="13">
        <v>0</v>
      </c>
      <c r="J712" s="68">
        <v>4865.0118000000002</v>
      </c>
      <c r="K712">
        <f t="shared" si="11"/>
        <v>0</v>
      </c>
      <c r="L712" s="13">
        <v>0</v>
      </c>
      <c r="M712" s="13">
        <v>0</v>
      </c>
      <c r="N712" s="13">
        <v>0</v>
      </c>
      <c r="O712" s="68">
        <v>0</v>
      </c>
      <c r="P712" s="155">
        <f>VLOOKUP(Table323[[#This Row],[Census Tract]],'Population and Diversity Data'!$B$2:$K$823,10,FALSE)</f>
        <v>5</v>
      </c>
      <c r="Q712" s="155" t="str">
        <f>VLOOKUP(Table323[[#This Row],[Census Tract]],'ES Energy Burden'!$B$2:$E$914,4,FALSE)</f>
        <v>No</v>
      </c>
    </row>
    <row r="713" spans="1:17" x14ac:dyDescent="0.2">
      <c r="A713" s="101">
        <v>9001021900</v>
      </c>
      <c r="B713" s="102" t="s">
        <v>988</v>
      </c>
      <c r="C713" s="104" t="s">
        <v>944</v>
      </c>
      <c r="D713" s="69">
        <v>117333.27924191998</v>
      </c>
      <c r="E713" s="69">
        <v>10290.35</v>
      </c>
      <c r="F713" s="13">
        <f>[1]!Table323[[#This Row],[Single Family]]+[1]!Table323[[#This Row],[2-4 Units]]+[1]!Table323[[#This Row],[&gt;4 Units]]</f>
        <v>9</v>
      </c>
      <c r="G713" s="13">
        <v>8</v>
      </c>
      <c r="H713" s="13">
        <v>1</v>
      </c>
      <c r="I713" s="13">
        <v>0</v>
      </c>
      <c r="J713" s="68">
        <v>5901.83</v>
      </c>
      <c r="K713">
        <f t="shared" si="11"/>
        <v>0</v>
      </c>
      <c r="L713" s="13">
        <v>0</v>
      </c>
      <c r="M713" s="13">
        <v>0</v>
      </c>
      <c r="N713" s="13">
        <v>0</v>
      </c>
      <c r="O713" s="68">
        <v>0</v>
      </c>
      <c r="P713" s="155">
        <f>VLOOKUP(Table323[[#This Row],[Census Tract]],'Population and Diversity Data'!$B$2:$K$823,10,FALSE)</f>
        <v>4</v>
      </c>
      <c r="Q713" s="155" t="str">
        <f>VLOOKUP(Table323[[#This Row],[Census Tract]],'ES Energy Burden'!$B$2:$E$914,4,FALSE)</f>
        <v>No</v>
      </c>
    </row>
    <row r="714" spans="1:17" x14ac:dyDescent="0.2">
      <c r="A714" s="101">
        <v>9001022000</v>
      </c>
      <c r="B714" s="102" t="s">
        <v>988</v>
      </c>
      <c r="C714" s="104" t="s">
        <v>944</v>
      </c>
      <c r="D714" s="69">
        <v>37835.245998719998</v>
      </c>
      <c r="E714" s="69">
        <v>6324.97</v>
      </c>
      <c r="F714" s="13">
        <f>[1]!Table323[[#This Row],[Single Family]]+[1]!Table323[[#This Row],[2-4 Units]]+[1]!Table323[[#This Row],[&gt;4 Units]]</f>
        <v>1</v>
      </c>
      <c r="G714" s="13">
        <v>1</v>
      </c>
      <c r="H714" s="13">
        <v>0</v>
      </c>
      <c r="I714" s="13">
        <v>0</v>
      </c>
      <c r="J714" s="68">
        <v>157.43</v>
      </c>
      <c r="K714">
        <f t="shared" si="11"/>
        <v>0</v>
      </c>
      <c r="L714" s="13">
        <v>0</v>
      </c>
      <c r="M714" s="13">
        <v>0</v>
      </c>
      <c r="N714" s="13">
        <v>0</v>
      </c>
      <c r="O714" s="68">
        <v>0</v>
      </c>
      <c r="P714" s="155">
        <f>VLOOKUP(Table323[[#This Row],[Census Tract]],'Population and Diversity Data'!$B$2:$K$823,10,FALSE)</f>
        <v>4</v>
      </c>
      <c r="Q714" s="155" t="str">
        <f>VLOOKUP(Table323[[#This Row],[Census Tract]],'ES Energy Burden'!$B$2:$E$914,4,FALSE)</f>
        <v>No</v>
      </c>
    </row>
    <row r="715" spans="1:17" x14ac:dyDescent="0.2">
      <c r="A715" s="101">
        <v>9001022100</v>
      </c>
      <c r="B715" s="102" t="s">
        <v>988</v>
      </c>
      <c r="C715" s="104" t="s">
        <v>944</v>
      </c>
      <c r="D715" s="69">
        <v>92737.622036159999</v>
      </c>
      <c r="E715" s="69">
        <v>5543.82</v>
      </c>
      <c r="F715" s="13">
        <f>[1]!Table323[[#This Row],[Single Family]]+[1]!Table323[[#This Row],[2-4 Units]]+[1]!Table323[[#This Row],[&gt;4 Units]]</f>
        <v>6</v>
      </c>
      <c r="G715" s="13">
        <v>5</v>
      </c>
      <c r="H715" s="13">
        <v>1</v>
      </c>
      <c r="I715" s="13">
        <v>0</v>
      </c>
      <c r="J715" s="68">
        <v>3622.33</v>
      </c>
      <c r="K715">
        <f t="shared" si="11"/>
        <v>0</v>
      </c>
      <c r="L715" s="13">
        <v>0</v>
      </c>
      <c r="M715" s="13">
        <v>0</v>
      </c>
      <c r="N715" s="13">
        <v>0</v>
      </c>
      <c r="O715" s="68">
        <v>0</v>
      </c>
      <c r="P715" s="155">
        <f>VLOOKUP(Table323[[#This Row],[Census Tract]],'Population and Diversity Data'!$B$2:$K$823,10,FALSE)</f>
        <v>5</v>
      </c>
      <c r="Q715" s="155" t="str">
        <f>VLOOKUP(Table323[[#This Row],[Census Tract]],'ES Energy Burden'!$B$2:$E$914,4,FALSE)</f>
        <v>No</v>
      </c>
    </row>
    <row r="716" spans="1:17" x14ac:dyDescent="0.2">
      <c r="A716" s="101">
        <v>9001022200</v>
      </c>
      <c r="B716" s="102" t="s">
        <v>988</v>
      </c>
      <c r="C716" s="104" t="s">
        <v>944</v>
      </c>
      <c r="D716" s="69">
        <v>81861.026613120019</v>
      </c>
      <c r="E716" s="69">
        <v>0</v>
      </c>
      <c r="F716" s="13">
        <f>[1]!Table323[[#This Row],[Single Family]]+[1]!Table323[[#This Row],[2-4 Units]]+[1]!Table323[[#This Row],[&gt;4 Units]]</f>
        <v>0</v>
      </c>
      <c r="G716" s="13">
        <v>0</v>
      </c>
      <c r="H716" s="13">
        <v>0</v>
      </c>
      <c r="I716" s="13">
        <v>0</v>
      </c>
      <c r="J716" s="68">
        <v>0</v>
      </c>
      <c r="K716">
        <f t="shared" si="11"/>
        <v>0</v>
      </c>
      <c r="L716" s="13">
        <v>0</v>
      </c>
      <c r="M716" s="13">
        <v>0</v>
      </c>
      <c r="N716" s="13">
        <v>0</v>
      </c>
      <c r="O716" s="68">
        <v>0</v>
      </c>
      <c r="P716" s="155">
        <f>VLOOKUP(Table323[[#This Row],[Census Tract]],'Population and Diversity Data'!$B$2:$K$823,10,FALSE)</f>
        <v>5</v>
      </c>
      <c r="Q716" s="155" t="str">
        <f>VLOOKUP(Table323[[#This Row],[Census Tract]],'ES Energy Burden'!$B$2:$E$914,4,FALSE)</f>
        <v>No</v>
      </c>
    </row>
    <row r="717" spans="1:17" x14ac:dyDescent="0.2">
      <c r="A717" s="101">
        <v>9001022300</v>
      </c>
      <c r="B717" s="102" t="s">
        <v>988</v>
      </c>
      <c r="C717" s="104" t="s">
        <v>944</v>
      </c>
      <c r="D717" s="69">
        <v>88271.146042559994</v>
      </c>
      <c r="E717" s="69">
        <v>49293.5962</v>
      </c>
      <c r="F717" s="13">
        <f>[1]!Table323[[#This Row],[Single Family]]+[1]!Table323[[#This Row],[2-4 Units]]+[1]!Table323[[#This Row],[&gt;4 Units]]</f>
        <v>7</v>
      </c>
      <c r="G717" s="13">
        <v>7</v>
      </c>
      <c r="H717" s="13">
        <v>0</v>
      </c>
      <c r="I717" s="13">
        <v>0</v>
      </c>
      <c r="J717" s="68">
        <v>5782.6862000000001</v>
      </c>
      <c r="K717">
        <f t="shared" si="11"/>
        <v>0</v>
      </c>
      <c r="L717" s="13">
        <v>0</v>
      </c>
      <c r="M717" s="13">
        <v>0</v>
      </c>
      <c r="N717" s="13">
        <v>0</v>
      </c>
      <c r="O717" s="68">
        <v>0</v>
      </c>
      <c r="P717" s="155">
        <f>VLOOKUP(Table323[[#This Row],[Census Tract]],'Population and Diversity Data'!$B$2:$K$823,10,FALSE)</f>
        <v>5</v>
      </c>
      <c r="Q717" s="155" t="str">
        <f>VLOOKUP(Table323[[#This Row],[Census Tract]],'ES Energy Burden'!$B$2:$E$914,4,FALSE)</f>
        <v>No</v>
      </c>
    </row>
    <row r="718" spans="1:17" x14ac:dyDescent="0.2">
      <c r="A718" s="101">
        <v>9001022400</v>
      </c>
      <c r="B718" s="102" t="s">
        <v>988</v>
      </c>
      <c r="C718" s="104" t="s">
        <v>944</v>
      </c>
      <c r="D718" s="69">
        <v>65418.021835199994</v>
      </c>
      <c r="E718" s="69">
        <v>3895.87</v>
      </c>
      <c r="F718" s="13">
        <f>[1]!Table323[[#This Row],[Single Family]]+[1]!Table323[[#This Row],[2-4 Units]]+[1]!Table323[[#This Row],[&gt;4 Units]]</f>
        <v>9</v>
      </c>
      <c r="G718" s="13">
        <v>9</v>
      </c>
      <c r="H718" s="13">
        <v>0</v>
      </c>
      <c r="I718" s="13">
        <v>0</v>
      </c>
      <c r="J718" s="68">
        <v>3893.62</v>
      </c>
      <c r="K718">
        <f t="shared" si="11"/>
        <v>0</v>
      </c>
      <c r="L718" s="13">
        <v>0</v>
      </c>
      <c r="M718" s="13">
        <v>0</v>
      </c>
      <c r="N718" s="13">
        <v>0</v>
      </c>
      <c r="O718" s="68">
        <v>0</v>
      </c>
      <c r="P718" s="155">
        <f>VLOOKUP(Table323[[#This Row],[Census Tract]],'Population and Diversity Data'!$B$2:$K$823,10,FALSE)</f>
        <v>2</v>
      </c>
      <c r="Q718" s="155" t="str">
        <f>VLOOKUP(Table323[[#This Row],[Census Tract]],'ES Energy Burden'!$B$2:$E$914,4,FALSE)</f>
        <v>No</v>
      </c>
    </row>
    <row r="719" spans="1:17" x14ac:dyDescent="0.2">
      <c r="A719" s="101">
        <v>9015907200</v>
      </c>
      <c r="B719" s="102" t="s">
        <v>2847</v>
      </c>
      <c r="C719" s="104" t="s">
        <v>944</v>
      </c>
      <c r="D719" s="69">
        <v>532.01387520000003</v>
      </c>
      <c r="E719" s="69">
        <v>0</v>
      </c>
      <c r="F719" s="13">
        <f>[1]!Table323[[#This Row],[Single Family]]+[1]!Table323[[#This Row],[2-4 Units]]+[1]!Table323[[#This Row],[&gt;4 Units]]</f>
        <v>0</v>
      </c>
      <c r="G719" s="13">
        <v>0</v>
      </c>
      <c r="H719" s="13">
        <v>0</v>
      </c>
      <c r="I719" s="13">
        <v>0</v>
      </c>
      <c r="J719" s="68">
        <v>0</v>
      </c>
      <c r="K719">
        <f t="shared" si="11"/>
        <v>0</v>
      </c>
      <c r="L719" s="13">
        <v>0</v>
      </c>
      <c r="M719" s="13">
        <v>0</v>
      </c>
      <c r="N719" s="13">
        <v>0</v>
      </c>
      <c r="O719" s="68">
        <v>0</v>
      </c>
      <c r="P719" s="155">
        <f>VLOOKUP(Table323[[#This Row],[Census Tract]],'Population and Diversity Data'!$B$2:$K$823,10,FALSE)</f>
        <v>3</v>
      </c>
      <c r="Q719" s="155" t="str">
        <f>VLOOKUP(Table323[[#This Row],[Census Tract]],'ES Energy Burden'!$B$2:$E$914,4,FALSE)</f>
        <v>No</v>
      </c>
    </row>
    <row r="720" spans="1:17" x14ac:dyDescent="0.2">
      <c r="A720" s="101">
        <v>9015908100</v>
      </c>
      <c r="B720" s="102" t="s">
        <v>2847</v>
      </c>
      <c r="C720" s="104" t="s">
        <v>944</v>
      </c>
      <c r="D720" s="69">
        <v>74480.160156480008</v>
      </c>
      <c r="E720" s="69">
        <v>33246.379999999997</v>
      </c>
      <c r="F720" s="13">
        <f>[1]!Table323[[#This Row],[Single Family]]+[1]!Table323[[#This Row],[2-4 Units]]+[1]!Table323[[#This Row],[&gt;4 Units]]</f>
        <v>13</v>
      </c>
      <c r="G720" s="13">
        <v>13</v>
      </c>
      <c r="H720" s="13">
        <v>0</v>
      </c>
      <c r="I720" s="13">
        <v>0</v>
      </c>
      <c r="J720" s="68">
        <v>9084.16</v>
      </c>
      <c r="K720">
        <f t="shared" si="11"/>
        <v>7</v>
      </c>
      <c r="L720" s="13">
        <v>7</v>
      </c>
      <c r="M720" s="13">
        <v>0</v>
      </c>
      <c r="N720" s="13">
        <v>0</v>
      </c>
      <c r="O720" s="68">
        <v>19337.2</v>
      </c>
      <c r="P720" s="155" t="e">
        <f>VLOOKUP(Table323[[#This Row],[Census Tract]],'Population and Diversity Data'!$B$2:$K$823,10,FALSE)</f>
        <v>#N/A</v>
      </c>
      <c r="Q720" s="155" t="e">
        <f>VLOOKUP(Table323[[#This Row],[Census Tract]],'ES Energy Burden'!$B$2:$E$914,4,FALSE)</f>
        <v>#N/A</v>
      </c>
    </row>
    <row r="721" spans="1:17" x14ac:dyDescent="0.2">
      <c r="A721" s="101">
        <v>9011702100</v>
      </c>
      <c r="B721" s="102" t="s">
        <v>2848</v>
      </c>
      <c r="C721" s="104" t="s">
        <v>944</v>
      </c>
      <c r="D721" s="69">
        <v>69336.15201215999</v>
      </c>
      <c r="E721" s="69">
        <v>20803.311399999999</v>
      </c>
      <c r="F721" s="13">
        <f>[1]!Table323[[#This Row],[Single Family]]+[1]!Table323[[#This Row],[2-4 Units]]+[1]!Table323[[#This Row],[&gt;4 Units]]</f>
        <v>32</v>
      </c>
      <c r="G721" s="13">
        <v>32</v>
      </c>
      <c r="H721" s="13">
        <v>0</v>
      </c>
      <c r="I721" s="13">
        <v>0</v>
      </c>
      <c r="J721" s="68">
        <v>20350.591400000001</v>
      </c>
      <c r="K721">
        <f t="shared" si="11"/>
        <v>0</v>
      </c>
      <c r="L721" s="13">
        <v>0</v>
      </c>
      <c r="M721" s="13">
        <v>0</v>
      </c>
      <c r="N721" s="13">
        <v>0</v>
      </c>
      <c r="O721" s="68">
        <v>0</v>
      </c>
      <c r="P721" s="155">
        <f>VLOOKUP(Table323[[#This Row],[Census Tract]],'Population and Diversity Data'!$B$2:$K$823,10,FALSE)</f>
        <v>4</v>
      </c>
      <c r="Q721" s="155" t="str">
        <f>VLOOKUP(Table323[[#This Row],[Census Tract]],'ES Energy Burden'!$B$2:$E$914,4,FALSE)</f>
        <v>No</v>
      </c>
    </row>
    <row r="722" spans="1:17" x14ac:dyDescent="0.2">
      <c r="A722" s="101">
        <v>9011702800</v>
      </c>
      <c r="B722" s="102" t="s">
        <v>2848</v>
      </c>
      <c r="C722" s="104" t="s">
        <v>944</v>
      </c>
      <c r="D722" s="69">
        <v>23357.275430400001</v>
      </c>
      <c r="E722" s="69">
        <v>8097.3274000000001</v>
      </c>
      <c r="F722" s="13">
        <f>[1]!Table323[[#This Row],[Single Family]]+[1]!Table323[[#This Row],[2-4 Units]]+[1]!Table323[[#This Row],[&gt;4 Units]]</f>
        <v>8</v>
      </c>
      <c r="G722" s="13">
        <v>8</v>
      </c>
      <c r="H722" s="13">
        <v>0</v>
      </c>
      <c r="I722" s="13">
        <v>0</v>
      </c>
      <c r="J722" s="68">
        <v>6166.5173999999997</v>
      </c>
      <c r="K722">
        <f t="shared" si="11"/>
        <v>0</v>
      </c>
      <c r="L722" s="13">
        <v>0</v>
      </c>
      <c r="M722" s="13">
        <v>0</v>
      </c>
      <c r="N722" s="13">
        <v>0</v>
      </c>
      <c r="O722" s="68">
        <v>0</v>
      </c>
      <c r="P722" s="155">
        <f>VLOOKUP(Table323[[#This Row],[Census Tract]],'Population and Diversity Data'!$B$2:$K$823,10,FALSE)</f>
        <v>5</v>
      </c>
      <c r="Q722" s="155" t="str">
        <f>VLOOKUP(Table323[[#This Row],[Census Tract]],'ES Energy Burden'!$B$2:$E$914,4,FALSE)</f>
        <v>No</v>
      </c>
    </row>
    <row r="723" spans="1:17" x14ac:dyDescent="0.2">
      <c r="A723" s="101">
        <v>9011702900</v>
      </c>
      <c r="B723" s="102" t="s">
        <v>2848</v>
      </c>
      <c r="C723" s="104" t="s">
        <v>944</v>
      </c>
      <c r="D723" s="69">
        <v>2033.2870560000001</v>
      </c>
      <c r="E723" s="69">
        <v>0</v>
      </c>
      <c r="F723" s="13">
        <f>[1]!Table323[[#This Row],[Single Family]]+[1]!Table323[[#This Row],[2-4 Units]]+[1]!Table323[[#This Row],[&gt;4 Units]]</f>
        <v>0</v>
      </c>
      <c r="G723" s="13">
        <v>0</v>
      </c>
      <c r="H723" s="13">
        <v>0</v>
      </c>
      <c r="I723" s="13">
        <v>0</v>
      </c>
      <c r="J723" s="68">
        <v>0</v>
      </c>
      <c r="K723">
        <f t="shared" si="11"/>
        <v>0</v>
      </c>
      <c r="L723" s="13">
        <v>0</v>
      </c>
      <c r="M723" s="13">
        <v>0</v>
      </c>
      <c r="N723" s="13">
        <v>0</v>
      </c>
      <c r="O723" s="68">
        <v>0</v>
      </c>
      <c r="P723" s="155">
        <f>VLOOKUP(Table323[[#This Row],[Census Tract]],'Population and Diversity Data'!$B$2:$K$823,10,FALSE)</f>
        <v>2</v>
      </c>
      <c r="Q723" s="155" t="str">
        <f>VLOOKUP(Table323[[#This Row],[Census Tract]],'ES Energy Burden'!$B$2:$E$914,4,FALSE)</f>
        <v>No</v>
      </c>
    </row>
    <row r="724" spans="1:17" x14ac:dyDescent="0.2">
      <c r="A724" s="101">
        <v>9011703000</v>
      </c>
      <c r="B724" s="102" t="s">
        <v>2848</v>
      </c>
      <c r="C724" s="104" t="s">
        <v>944</v>
      </c>
      <c r="D724" s="69">
        <v>88393.719830400005</v>
      </c>
      <c r="E724" s="69">
        <v>26386.0635</v>
      </c>
      <c r="F724" s="13">
        <f>[1]!Table323[[#This Row],[Single Family]]+[1]!Table323[[#This Row],[2-4 Units]]+[1]!Table323[[#This Row],[&gt;4 Units]]</f>
        <v>36</v>
      </c>
      <c r="G724" s="13">
        <v>33</v>
      </c>
      <c r="H724" s="13">
        <v>3</v>
      </c>
      <c r="I724" s="13">
        <v>0</v>
      </c>
      <c r="J724" s="68">
        <v>25882.163499999999</v>
      </c>
      <c r="K724">
        <f t="shared" si="11"/>
        <v>0</v>
      </c>
      <c r="L724" s="13">
        <v>0</v>
      </c>
      <c r="M724" s="13">
        <v>0</v>
      </c>
      <c r="N724" s="13">
        <v>0</v>
      </c>
      <c r="O724" s="68">
        <v>0</v>
      </c>
      <c r="P724" s="155">
        <f>VLOOKUP(Table323[[#This Row],[Census Tract]],'Population and Diversity Data'!$B$2:$K$823,10,FALSE)</f>
        <v>2</v>
      </c>
      <c r="Q724" s="155" t="str">
        <f>VLOOKUP(Table323[[#This Row],[Census Tract]],'ES Energy Burden'!$B$2:$E$914,4,FALSE)</f>
        <v>No</v>
      </c>
    </row>
    <row r="725" spans="1:17" x14ac:dyDescent="0.2">
      <c r="A725" s="101">
        <v>9011705101</v>
      </c>
      <c r="B725" s="102" t="s">
        <v>2848</v>
      </c>
      <c r="C725" s="104" t="s">
        <v>944</v>
      </c>
      <c r="D725" s="69">
        <v>81245.80684224001</v>
      </c>
      <c r="E725" s="69">
        <v>51276.364600000001</v>
      </c>
      <c r="F725" s="13">
        <f>[1]!Table323[[#This Row],[Single Family]]+[1]!Table323[[#This Row],[2-4 Units]]+[1]!Table323[[#This Row],[&gt;4 Units]]</f>
        <v>36</v>
      </c>
      <c r="G725" s="13">
        <v>35</v>
      </c>
      <c r="H725" s="13">
        <v>1</v>
      </c>
      <c r="I725" s="13">
        <v>0</v>
      </c>
      <c r="J725" s="68">
        <v>28495.034599999999</v>
      </c>
      <c r="K725">
        <f t="shared" si="11"/>
        <v>0</v>
      </c>
      <c r="L725" s="13">
        <v>0</v>
      </c>
      <c r="M725" s="13">
        <v>0</v>
      </c>
      <c r="N725" s="13">
        <v>0</v>
      </c>
      <c r="O725" s="68">
        <v>0</v>
      </c>
      <c r="P725" s="155">
        <f>VLOOKUP(Table323[[#This Row],[Census Tract]],'Population and Diversity Data'!$B$2:$K$823,10,FALSE)</f>
        <v>1</v>
      </c>
      <c r="Q725" s="155" t="str">
        <f>VLOOKUP(Table323[[#This Row],[Census Tract]],'ES Energy Burden'!$B$2:$E$914,4,FALSE)</f>
        <v>No</v>
      </c>
    </row>
    <row r="726" spans="1:17" x14ac:dyDescent="0.2">
      <c r="A726" s="101">
        <v>9011705102</v>
      </c>
      <c r="B726" s="102" t="s">
        <v>2848</v>
      </c>
      <c r="C726" s="104" t="s">
        <v>944</v>
      </c>
      <c r="D726" s="69">
        <v>70168.092877440009</v>
      </c>
      <c r="E726" s="69">
        <v>12001.766100000001</v>
      </c>
      <c r="F726" s="13">
        <f>[1]!Table323[[#This Row],[Single Family]]+[1]!Table323[[#This Row],[2-4 Units]]+[1]!Table323[[#This Row],[&gt;4 Units]]</f>
        <v>13</v>
      </c>
      <c r="G726" s="13">
        <v>12</v>
      </c>
      <c r="H726" s="13">
        <v>1</v>
      </c>
      <c r="I726" s="13">
        <v>0</v>
      </c>
      <c r="J726" s="68">
        <v>9450.0861000000004</v>
      </c>
      <c r="K726">
        <f t="shared" si="11"/>
        <v>0</v>
      </c>
      <c r="L726" s="13">
        <v>0</v>
      </c>
      <c r="M726" s="13">
        <v>0</v>
      </c>
      <c r="N726" s="13">
        <v>0</v>
      </c>
      <c r="O726" s="68">
        <v>0</v>
      </c>
      <c r="P726" s="155">
        <f>VLOOKUP(Table323[[#This Row],[Census Tract]],'Population and Diversity Data'!$B$2:$K$823,10,FALSE)</f>
        <v>4</v>
      </c>
      <c r="Q726" s="155" t="str">
        <f>VLOOKUP(Table323[[#This Row],[Census Tract]],'ES Energy Burden'!$B$2:$E$914,4,FALSE)</f>
        <v>No</v>
      </c>
    </row>
    <row r="727" spans="1:17" x14ac:dyDescent="0.2">
      <c r="A727" s="101">
        <v>9011705200</v>
      </c>
      <c r="B727" s="102" t="s">
        <v>2848</v>
      </c>
      <c r="C727" s="104" t="s">
        <v>944</v>
      </c>
      <c r="D727" s="69">
        <v>112087.29096576001</v>
      </c>
      <c r="E727" s="69">
        <v>191467.23939999999</v>
      </c>
      <c r="F727" s="13">
        <f>[1]!Table323[[#This Row],[Single Family]]+[1]!Table323[[#This Row],[2-4 Units]]+[1]!Table323[[#This Row],[&gt;4 Units]]</f>
        <v>44</v>
      </c>
      <c r="G727" s="13">
        <v>42</v>
      </c>
      <c r="H727" s="13">
        <v>2</v>
      </c>
      <c r="I727" s="13">
        <v>0</v>
      </c>
      <c r="J727" s="68">
        <v>53399.007400000002</v>
      </c>
      <c r="K727">
        <f t="shared" si="11"/>
        <v>51</v>
      </c>
      <c r="L727" s="13">
        <v>11</v>
      </c>
      <c r="M727" s="13">
        <v>0</v>
      </c>
      <c r="N727" s="13">
        <v>40</v>
      </c>
      <c r="O727" s="68">
        <v>31277.1</v>
      </c>
      <c r="P727" s="155">
        <f>VLOOKUP(Table323[[#This Row],[Census Tract]],'Population and Diversity Data'!$B$2:$K$823,10,FALSE)</f>
        <v>2</v>
      </c>
      <c r="Q727" s="155" t="str">
        <f>VLOOKUP(Table323[[#This Row],[Census Tract]],'ES Energy Burden'!$B$2:$E$914,4,FALSE)</f>
        <v>No</v>
      </c>
    </row>
    <row r="728" spans="1:17" x14ac:dyDescent="0.2">
      <c r="A728" s="101">
        <v>9011705300</v>
      </c>
      <c r="B728" s="102" t="s">
        <v>2848</v>
      </c>
      <c r="C728" s="104" t="s">
        <v>944</v>
      </c>
      <c r="D728" s="69">
        <v>81740.860966079999</v>
      </c>
      <c r="E728" s="69">
        <v>22836.517100000001</v>
      </c>
      <c r="F728" s="13">
        <f>[1]!Table323[[#This Row],[Single Family]]+[1]!Table323[[#This Row],[2-4 Units]]+[1]!Table323[[#This Row],[&gt;4 Units]]</f>
        <v>31</v>
      </c>
      <c r="G728" s="13">
        <v>31</v>
      </c>
      <c r="H728" s="13">
        <v>0</v>
      </c>
      <c r="I728" s="13">
        <v>0</v>
      </c>
      <c r="J728" s="68">
        <v>22834.627100000002</v>
      </c>
      <c r="K728">
        <f t="shared" si="11"/>
        <v>0</v>
      </c>
      <c r="L728" s="13">
        <v>0</v>
      </c>
      <c r="M728" s="13">
        <v>0</v>
      </c>
      <c r="N728" s="13">
        <v>0</v>
      </c>
      <c r="O728" s="68">
        <v>0</v>
      </c>
      <c r="P728" s="155">
        <f>VLOOKUP(Table323[[#This Row],[Census Tract]],'Population and Diversity Data'!$B$2:$K$823,10,FALSE)</f>
        <v>3</v>
      </c>
      <c r="Q728" s="155" t="str">
        <f>VLOOKUP(Table323[[#This Row],[Census Tract]],'ES Energy Burden'!$B$2:$E$914,4,FALSE)</f>
        <v>No</v>
      </c>
    </row>
    <row r="729" spans="1:17" x14ac:dyDescent="0.2">
      <c r="A729" s="101">
        <v>9011705400</v>
      </c>
      <c r="B729" s="102" t="s">
        <v>2848</v>
      </c>
      <c r="C729" s="104" t="s">
        <v>944</v>
      </c>
      <c r="D729" s="69">
        <v>64517.608149120002</v>
      </c>
      <c r="E729" s="69">
        <v>23641.341400000001</v>
      </c>
      <c r="F729" s="13">
        <f>[1]!Table323[[#This Row],[Single Family]]+[1]!Table323[[#This Row],[2-4 Units]]+[1]!Table323[[#This Row],[&gt;4 Units]]</f>
        <v>21</v>
      </c>
      <c r="G729" s="13">
        <v>20</v>
      </c>
      <c r="H729" s="13">
        <v>1</v>
      </c>
      <c r="I729" s="13">
        <v>0</v>
      </c>
      <c r="J729" s="68">
        <v>20568.1214</v>
      </c>
      <c r="K729">
        <f t="shared" si="11"/>
        <v>0</v>
      </c>
      <c r="L729" s="13">
        <v>0</v>
      </c>
      <c r="M729" s="13">
        <v>0</v>
      </c>
      <c r="N729" s="13">
        <v>0</v>
      </c>
      <c r="O729" s="68">
        <v>0</v>
      </c>
      <c r="P729" s="155">
        <f>VLOOKUP(Table323[[#This Row],[Census Tract]],'Population and Diversity Data'!$B$2:$K$823,10,FALSE)</f>
        <v>1</v>
      </c>
      <c r="Q729" s="155" t="str">
        <f>VLOOKUP(Table323[[#This Row],[Census Tract]],'ES Energy Burden'!$B$2:$E$914,4,FALSE)</f>
        <v>No</v>
      </c>
    </row>
    <row r="730" spans="1:17" x14ac:dyDescent="0.2">
      <c r="A730" s="101">
        <v>9003470100</v>
      </c>
      <c r="B730" s="102" t="s">
        <v>2849</v>
      </c>
      <c r="C730" s="104" t="s">
        <v>944</v>
      </c>
      <c r="D730" s="69">
        <v>152.5522464</v>
      </c>
      <c r="E730" s="69">
        <v>0</v>
      </c>
      <c r="F730" s="13">
        <f>[1]!Table323[[#This Row],[Single Family]]+[1]!Table323[[#This Row],[2-4 Units]]+[1]!Table323[[#This Row],[&gt;4 Units]]</f>
        <v>0</v>
      </c>
      <c r="G730" s="13">
        <v>0</v>
      </c>
      <c r="H730" s="13">
        <v>0</v>
      </c>
      <c r="I730" s="13">
        <v>0</v>
      </c>
      <c r="J730" s="68">
        <v>0</v>
      </c>
      <c r="K730">
        <f t="shared" si="11"/>
        <v>0</v>
      </c>
      <c r="L730" s="13">
        <v>0</v>
      </c>
      <c r="M730" s="13">
        <v>0</v>
      </c>
      <c r="N730" s="13">
        <v>0</v>
      </c>
      <c r="O730" s="68">
        <v>0</v>
      </c>
      <c r="P730" s="155">
        <f>VLOOKUP(Table323[[#This Row],[Census Tract]],'Population and Diversity Data'!$B$2:$K$823,10,FALSE)</f>
        <v>3</v>
      </c>
      <c r="Q730" s="155" t="str">
        <f>VLOOKUP(Table323[[#This Row],[Census Tract]],'ES Energy Burden'!$B$2:$E$914,4,FALSE)</f>
        <v>No</v>
      </c>
    </row>
    <row r="731" spans="1:17" x14ac:dyDescent="0.2">
      <c r="A731" s="101">
        <v>9003477101</v>
      </c>
      <c r="B731" s="102" t="s">
        <v>2849</v>
      </c>
      <c r="C731" s="104" t="s">
        <v>944</v>
      </c>
      <c r="D731" s="69">
        <v>94801.637200320009</v>
      </c>
      <c r="E731" s="69">
        <v>24103.85</v>
      </c>
      <c r="F731" s="13">
        <f>[1]!Table323[[#This Row],[Single Family]]+[1]!Table323[[#This Row],[2-4 Units]]+[1]!Table323[[#This Row],[&gt;4 Units]]</f>
        <v>22</v>
      </c>
      <c r="G731" s="13">
        <v>22</v>
      </c>
      <c r="H731" s="13">
        <v>0</v>
      </c>
      <c r="I731" s="13">
        <v>0</v>
      </c>
      <c r="J731" s="68">
        <v>20349.96</v>
      </c>
      <c r="K731">
        <f t="shared" si="11"/>
        <v>0</v>
      </c>
      <c r="L731" s="13">
        <v>0</v>
      </c>
      <c r="M731" s="13">
        <v>0</v>
      </c>
      <c r="N731" s="13">
        <v>0</v>
      </c>
      <c r="O731" s="68">
        <v>0</v>
      </c>
      <c r="P731" s="155">
        <f>VLOOKUP(Table323[[#This Row],[Census Tract]],'Population and Diversity Data'!$B$2:$K$823,10,FALSE)</f>
        <v>1</v>
      </c>
      <c r="Q731" s="155" t="str">
        <f>VLOOKUP(Table323[[#This Row],[Census Tract]],'ES Energy Burden'!$B$2:$E$914,4,FALSE)</f>
        <v>No</v>
      </c>
    </row>
    <row r="732" spans="1:17" x14ac:dyDescent="0.2">
      <c r="A732" s="101">
        <v>9003477102</v>
      </c>
      <c r="B732" s="102" t="s">
        <v>2849</v>
      </c>
      <c r="C732" s="104" t="s">
        <v>944</v>
      </c>
      <c r="D732" s="69">
        <v>136802.68602624</v>
      </c>
      <c r="E732" s="69">
        <v>120601.675</v>
      </c>
      <c r="F732" s="13">
        <f>[1]!Table323[[#This Row],[Single Family]]+[1]!Table323[[#This Row],[2-4 Units]]+[1]!Table323[[#This Row],[&gt;4 Units]]</f>
        <v>26</v>
      </c>
      <c r="G732" s="13">
        <v>26</v>
      </c>
      <c r="H732" s="13">
        <v>0</v>
      </c>
      <c r="I732" s="13">
        <v>0</v>
      </c>
      <c r="J732" s="68">
        <v>17196.075000000001</v>
      </c>
      <c r="K732">
        <f t="shared" si="11"/>
        <v>35</v>
      </c>
      <c r="L732" s="13">
        <v>15</v>
      </c>
      <c r="M732" s="13">
        <v>0</v>
      </c>
      <c r="N732" s="13">
        <v>20</v>
      </c>
      <c r="O732" s="68">
        <v>36038.6</v>
      </c>
      <c r="P732" s="155">
        <f>VLOOKUP(Table323[[#This Row],[Census Tract]],'Population and Diversity Data'!$B$2:$K$823,10,FALSE)</f>
        <v>4</v>
      </c>
      <c r="Q732" s="155" t="str">
        <f>VLOOKUP(Table323[[#This Row],[Census Tract]],'ES Energy Burden'!$B$2:$E$914,4,FALSE)</f>
        <v>No</v>
      </c>
    </row>
    <row r="733" spans="1:17" x14ac:dyDescent="0.2">
      <c r="A733" s="101">
        <v>9003477200</v>
      </c>
      <c r="B733" s="102" t="s">
        <v>2849</v>
      </c>
      <c r="C733" s="104" t="s">
        <v>944</v>
      </c>
      <c r="D733" s="69">
        <v>64815.635833919994</v>
      </c>
      <c r="E733" s="69">
        <v>12768.789500000001</v>
      </c>
      <c r="F733" s="13">
        <f>[1]!Table323[[#This Row],[Single Family]]+[1]!Table323[[#This Row],[2-4 Units]]+[1]!Table323[[#This Row],[&gt;4 Units]]</f>
        <v>10</v>
      </c>
      <c r="G733" s="13">
        <v>10</v>
      </c>
      <c r="H733" s="13">
        <v>0</v>
      </c>
      <c r="I733" s="13">
        <v>0</v>
      </c>
      <c r="J733" s="68">
        <v>8761.9195</v>
      </c>
      <c r="K733">
        <f t="shared" si="11"/>
        <v>0</v>
      </c>
      <c r="L733" s="13">
        <v>0</v>
      </c>
      <c r="M733" s="13">
        <v>0</v>
      </c>
      <c r="N733" s="13">
        <v>0</v>
      </c>
      <c r="O733" s="68">
        <v>0</v>
      </c>
      <c r="P733" s="155">
        <f>VLOOKUP(Table323[[#This Row],[Census Tract]],'Population and Diversity Data'!$B$2:$K$823,10,FALSE)</f>
        <v>1</v>
      </c>
      <c r="Q733" s="155" t="str">
        <f>VLOOKUP(Table323[[#This Row],[Census Tract]],'ES Energy Burden'!$B$2:$E$914,4,FALSE)</f>
        <v>No</v>
      </c>
    </row>
    <row r="734" spans="1:17" x14ac:dyDescent="0.2">
      <c r="A734" s="101">
        <v>9005300500</v>
      </c>
      <c r="B734" s="102" t="s">
        <v>2850</v>
      </c>
      <c r="C734" s="104" t="s">
        <v>944</v>
      </c>
      <c r="D734" s="69">
        <v>2560.0510684800001</v>
      </c>
      <c r="E734" s="69">
        <v>933.36</v>
      </c>
      <c r="F734" s="13">
        <f>[1]!Table323[[#This Row],[Single Family]]+[1]!Table323[[#This Row],[2-4 Units]]+[1]!Table323[[#This Row],[&gt;4 Units]]</f>
        <v>1</v>
      </c>
      <c r="G734" s="13">
        <v>1</v>
      </c>
      <c r="H734" s="13">
        <v>0</v>
      </c>
      <c r="I734" s="13">
        <v>0</v>
      </c>
      <c r="J734" s="68">
        <v>930.17</v>
      </c>
      <c r="K734">
        <f t="shared" si="11"/>
        <v>0</v>
      </c>
      <c r="L734" s="13">
        <v>0</v>
      </c>
      <c r="M734" s="13">
        <v>0</v>
      </c>
      <c r="N734" s="13">
        <v>0</v>
      </c>
      <c r="O734" s="68">
        <v>0</v>
      </c>
      <c r="P734" s="155">
        <f>VLOOKUP(Table323[[#This Row],[Census Tract]],'Population and Diversity Data'!$B$2:$K$823,10,FALSE)</f>
        <v>1</v>
      </c>
      <c r="Q734" s="155" t="str">
        <f>VLOOKUP(Table323[[#This Row],[Census Tract]],'ES Energy Burden'!$B$2:$E$914,4,FALSE)</f>
        <v>No</v>
      </c>
    </row>
    <row r="735" spans="1:17" x14ac:dyDescent="0.2">
      <c r="A735" s="101">
        <v>9005349100</v>
      </c>
      <c r="B735" s="102" t="s">
        <v>2850</v>
      </c>
      <c r="C735" s="104" t="s">
        <v>944</v>
      </c>
      <c r="D735" s="69">
        <v>106189.790616</v>
      </c>
      <c r="E735" s="69">
        <v>90896.353600000002</v>
      </c>
      <c r="F735" s="13">
        <f>[1]!Table323[[#This Row],[Single Family]]+[1]!Table323[[#This Row],[2-4 Units]]+[1]!Table323[[#This Row],[&gt;4 Units]]</f>
        <v>28</v>
      </c>
      <c r="G735" s="13">
        <v>26</v>
      </c>
      <c r="H735" s="13">
        <v>2</v>
      </c>
      <c r="I735" s="13">
        <v>0</v>
      </c>
      <c r="J735" s="68">
        <v>24697.25</v>
      </c>
      <c r="K735">
        <f t="shared" si="11"/>
        <v>20</v>
      </c>
      <c r="L735" s="13">
        <v>20</v>
      </c>
      <c r="M735" s="13">
        <v>0</v>
      </c>
      <c r="N735" s="13">
        <v>0</v>
      </c>
      <c r="O735" s="68">
        <v>53469.7</v>
      </c>
      <c r="P735" s="155">
        <f>VLOOKUP(Table323[[#This Row],[Census Tract]],'Population and Diversity Data'!$B$2:$K$823,10,FALSE)</f>
        <v>1</v>
      </c>
      <c r="Q735" s="155" t="str">
        <f>VLOOKUP(Table323[[#This Row],[Census Tract]],'ES Energy Burden'!$B$2:$E$914,4,FALSE)</f>
        <v>No</v>
      </c>
    </row>
    <row r="736" spans="1:17" x14ac:dyDescent="0.2">
      <c r="A736" s="101">
        <v>9005349200</v>
      </c>
      <c r="B736" s="102" t="s">
        <v>2850</v>
      </c>
      <c r="C736" s="104" t="s">
        <v>944</v>
      </c>
      <c r="D736" s="69">
        <v>51583.641946560005</v>
      </c>
      <c r="E736" s="69">
        <v>34946.99</v>
      </c>
      <c r="F736" s="13">
        <f>[1]!Table323[[#This Row],[Single Family]]+[1]!Table323[[#This Row],[2-4 Units]]+[1]!Table323[[#This Row],[&gt;4 Units]]</f>
        <v>12</v>
      </c>
      <c r="G736" s="13">
        <v>11</v>
      </c>
      <c r="H736" s="13">
        <v>1</v>
      </c>
      <c r="I736" s="13">
        <v>0</v>
      </c>
      <c r="J736" s="68">
        <v>8172.92</v>
      </c>
      <c r="K736">
        <f t="shared" si="11"/>
        <v>0</v>
      </c>
      <c r="L736" s="13">
        <v>0</v>
      </c>
      <c r="M736" s="13">
        <v>0</v>
      </c>
      <c r="N736" s="13">
        <v>0</v>
      </c>
      <c r="O736" s="68">
        <v>0</v>
      </c>
      <c r="P736" s="155">
        <f>VLOOKUP(Table323[[#This Row],[Census Tract]],'Population and Diversity Data'!$B$2:$K$823,10,FALSE)</f>
        <v>1</v>
      </c>
      <c r="Q736" s="155" t="str">
        <f>VLOOKUP(Table323[[#This Row],[Census Tract]],'ES Energy Burden'!$B$2:$E$914,4,FALSE)</f>
        <v>No</v>
      </c>
    </row>
    <row r="737" spans="1:17" x14ac:dyDescent="0.2">
      <c r="A737" s="101">
        <v>9005425300</v>
      </c>
      <c r="B737" s="102" t="s">
        <v>2850</v>
      </c>
      <c r="C737" s="104" t="s">
        <v>944</v>
      </c>
      <c r="D737" s="69">
        <v>125.9121888</v>
      </c>
      <c r="E737" s="69">
        <v>0</v>
      </c>
      <c r="F737" s="13">
        <f>[1]!Table323[[#This Row],[Single Family]]+[1]!Table323[[#This Row],[2-4 Units]]+[1]!Table323[[#This Row],[&gt;4 Units]]</f>
        <v>0</v>
      </c>
      <c r="G737" s="13">
        <v>0</v>
      </c>
      <c r="H737" s="13">
        <v>0</v>
      </c>
      <c r="I737" s="13">
        <v>0</v>
      </c>
      <c r="J737" s="68">
        <v>0</v>
      </c>
      <c r="K737">
        <f t="shared" si="11"/>
        <v>0</v>
      </c>
      <c r="L737" s="13">
        <v>0</v>
      </c>
      <c r="M737" s="13">
        <v>0</v>
      </c>
      <c r="N737" s="13">
        <v>0</v>
      </c>
      <c r="O737" s="68">
        <v>0</v>
      </c>
      <c r="P737" s="155">
        <f>VLOOKUP(Table323[[#This Row],[Census Tract]],'Population and Diversity Data'!$B$2:$K$823,10,FALSE)</f>
        <v>1</v>
      </c>
      <c r="Q737" s="155" t="str">
        <f>VLOOKUP(Table323[[#This Row],[Census Tract]],'ES Energy Burden'!$B$2:$E$914,4,FALSE)</f>
        <v>No</v>
      </c>
    </row>
    <row r="738" spans="1:17" x14ac:dyDescent="0.2">
      <c r="A738" s="101">
        <v>9015900100</v>
      </c>
      <c r="B738" s="102" t="s">
        <v>2851</v>
      </c>
      <c r="C738" s="104" t="s">
        <v>944</v>
      </c>
      <c r="D738" s="69">
        <v>114098.21241408002</v>
      </c>
      <c r="E738" s="69">
        <v>45721.439200000001</v>
      </c>
      <c r="F738" s="13">
        <f>[1]!Table323[[#This Row],[Single Family]]+[1]!Table323[[#This Row],[2-4 Units]]+[1]!Table323[[#This Row],[&gt;4 Units]]</f>
        <v>18</v>
      </c>
      <c r="G738" s="13">
        <v>18</v>
      </c>
      <c r="H738" s="13">
        <v>0</v>
      </c>
      <c r="I738" s="13">
        <v>0</v>
      </c>
      <c r="J738" s="68">
        <v>15554.749</v>
      </c>
      <c r="K738">
        <f t="shared" si="11"/>
        <v>9</v>
      </c>
      <c r="L738" s="13">
        <v>9</v>
      </c>
      <c r="M738" s="13">
        <v>0</v>
      </c>
      <c r="N738" s="13">
        <v>0</v>
      </c>
      <c r="O738" s="68">
        <v>10655.9</v>
      </c>
      <c r="P738" s="155">
        <f>VLOOKUP(Table323[[#This Row],[Census Tract]],'Population and Diversity Data'!$B$2:$K$823,10,FALSE)</f>
        <v>2</v>
      </c>
      <c r="Q738" s="155" t="str">
        <f>VLOOKUP(Table323[[#This Row],[Census Tract]],'ES Energy Burden'!$B$2:$E$914,4,FALSE)</f>
        <v>No</v>
      </c>
    </row>
    <row r="739" spans="1:17" x14ac:dyDescent="0.2">
      <c r="A739" s="101">
        <v>9015900200</v>
      </c>
      <c r="B739" s="102" t="s">
        <v>2851</v>
      </c>
      <c r="C739" s="104" t="s">
        <v>944</v>
      </c>
      <c r="D739" s="69">
        <v>78065.277456960001</v>
      </c>
      <c r="E739" s="69">
        <v>10634.31</v>
      </c>
      <c r="F739" s="13">
        <f>[1]!Table323[[#This Row],[Single Family]]+[1]!Table323[[#This Row],[2-4 Units]]+[1]!Table323[[#This Row],[&gt;4 Units]]</f>
        <v>4</v>
      </c>
      <c r="G739" s="13">
        <v>4</v>
      </c>
      <c r="H739" s="13">
        <v>0</v>
      </c>
      <c r="I739" s="13">
        <v>0</v>
      </c>
      <c r="J739" s="68">
        <v>3666.58</v>
      </c>
      <c r="K739">
        <f t="shared" si="11"/>
        <v>0</v>
      </c>
      <c r="L739" s="13">
        <v>0</v>
      </c>
      <c r="M739" s="13">
        <v>0</v>
      </c>
      <c r="N739" s="13">
        <v>0</v>
      </c>
      <c r="O739" s="68">
        <v>0</v>
      </c>
      <c r="P739" s="155">
        <f>VLOOKUP(Table323[[#This Row],[Census Tract]],'Population and Diversity Data'!$B$2:$K$823,10,FALSE)</f>
        <v>2</v>
      </c>
      <c r="Q739" s="155" t="str">
        <f>VLOOKUP(Table323[[#This Row],[Census Tract]],'ES Energy Burden'!$B$2:$E$914,4,FALSE)</f>
        <v>No</v>
      </c>
    </row>
    <row r="740" spans="1:17" x14ac:dyDescent="0.2">
      <c r="A740" s="101">
        <v>9015901100</v>
      </c>
      <c r="B740" s="102" t="s">
        <v>2851</v>
      </c>
      <c r="C740" s="104" t="s">
        <v>944</v>
      </c>
      <c r="D740" s="69">
        <v>378.51805440000004</v>
      </c>
      <c r="E740" s="69">
        <v>0</v>
      </c>
      <c r="F740" s="13">
        <f>[1]!Table323[[#This Row],[Single Family]]+[1]!Table323[[#This Row],[2-4 Units]]+[1]!Table323[[#This Row],[&gt;4 Units]]</f>
        <v>0</v>
      </c>
      <c r="G740" s="13">
        <v>0</v>
      </c>
      <c r="H740" s="13">
        <v>0</v>
      </c>
      <c r="I740" s="13">
        <v>0</v>
      </c>
      <c r="J740" s="68">
        <v>0</v>
      </c>
      <c r="K740">
        <f t="shared" si="11"/>
        <v>0</v>
      </c>
      <c r="L740" s="13">
        <v>0</v>
      </c>
      <c r="M740" s="13">
        <v>0</v>
      </c>
      <c r="N740" s="13">
        <v>0</v>
      </c>
      <c r="O740" s="68">
        <v>0</v>
      </c>
      <c r="P740" s="155">
        <f>VLOOKUP(Table323[[#This Row],[Census Tract]],'Population and Diversity Data'!$B$2:$K$823,10,FALSE)</f>
        <v>1</v>
      </c>
      <c r="Q740" s="155" t="str">
        <f>VLOOKUP(Table323[[#This Row],[Census Tract]],'ES Energy Burden'!$B$2:$E$914,4,FALSE)</f>
        <v>No</v>
      </c>
    </row>
    <row r="741" spans="1:17" x14ac:dyDescent="0.2">
      <c r="A741" s="101">
        <v>9015903200</v>
      </c>
      <c r="B741" s="102" t="s">
        <v>2851</v>
      </c>
      <c r="C741" s="104" t="s">
        <v>944</v>
      </c>
      <c r="D741" s="69">
        <v>114.18408000000001</v>
      </c>
      <c r="E741" s="69">
        <v>0</v>
      </c>
      <c r="F741" s="13">
        <f>[1]!Table323[[#This Row],[Single Family]]+[1]!Table323[[#This Row],[2-4 Units]]+[1]!Table323[[#This Row],[&gt;4 Units]]</f>
        <v>0</v>
      </c>
      <c r="G741" s="13">
        <v>0</v>
      </c>
      <c r="H741" s="13">
        <v>0</v>
      </c>
      <c r="I741" s="13">
        <v>0</v>
      </c>
      <c r="J741" s="68">
        <v>0</v>
      </c>
      <c r="K741">
        <f t="shared" si="11"/>
        <v>0</v>
      </c>
      <c r="L741" s="13">
        <v>0</v>
      </c>
      <c r="M741" s="13">
        <v>0</v>
      </c>
      <c r="N741" s="13">
        <v>0</v>
      </c>
      <c r="O741" s="68">
        <v>0</v>
      </c>
      <c r="P741" s="155">
        <f>VLOOKUP(Table323[[#This Row],[Census Tract]],'Population and Diversity Data'!$B$2:$K$823,10,FALSE)</f>
        <v>3</v>
      </c>
      <c r="Q741" s="155" t="str">
        <f>VLOOKUP(Table323[[#This Row],[Census Tract]],'ES Energy Burden'!$B$2:$E$914,4,FALSE)</f>
        <v>No</v>
      </c>
    </row>
    <row r="742" spans="1:17" x14ac:dyDescent="0.2">
      <c r="A742" s="101">
        <v>9013530600</v>
      </c>
      <c r="B742" s="102" t="s">
        <v>2852</v>
      </c>
      <c r="C742" s="104" t="s">
        <v>944</v>
      </c>
      <c r="D742" s="69">
        <v>546.76373760000001</v>
      </c>
      <c r="E742" s="69">
        <v>0</v>
      </c>
      <c r="F742" s="13">
        <f>[1]!Table323[[#This Row],[Single Family]]+[1]!Table323[[#This Row],[2-4 Units]]+[1]!Table323[[#This Row],[&gt;4 Units]]</f>
        <v>0</v>
      </c>
      <c r="G742" s="13">
        <v>0</v>
      </c>
      <c r="H742" s="13">
        <v>0</v>
      </c>
      <c r="I742" s="13">
        <v>0</v>
      </c>
      <c r="J742" s="68">
        <v>0</v>
      </c>
      <c r="K742">
        <f t="shared" si="11"/>
        <v>0</v>
      </c>
      <c r="L742" s="13">
        <v>0</v>
      </c>
      <c r="M742" s="13">
        <v>0</v>
      </c>
      <c r="N742" s="13">
        <v>0</v>
      </c>
      <c r="O742" s="68">
        <v>0</v>
      </c>
      <c r="P742" s="155">
        <f>VLOOKUP(Table323[[#This Row],[Census Tract]],'Population and Diversity Data'!$B$2:$K$823,10,FALSE)</f>
        <v>4</v>
      </c>
      <c r="Q742" s="155" t="str">
        <f>VLOOKUP(Table323[[#This Row],[Census Tract]],'ES Energy Burden'!$B$2:$E$914,4,FALSE)</f>
        <v>No</v>
      </c>
    </row>
    <row r="743" spans="1:17" x14ac:dyDescent="0.2">
      <c r="A743" s="101">
        <v>9013533101</v>
      </c>
      <c r="B743" s="102" t="s">
        <v>2852</v>
      </c>
      <c r="C743" s="104" t="s">
        <v>944</v>
      </c>
      <c r="D743" s="69">
        <v>172674.65066399999</v>
      </c>
      <c r="E743" s="69">
        <v>109420.7975</v>
      </c>
      <c r="F743" s="13">
        <f>[1]!Table323[[#This Row],[Single Family]]+[1]!Table323[[#This Row],[2-4 Units]]+[1]!Table323[[#This Row],[&gt;4 Units]]</f>
        <v>162</v>
      </c>
      <c r="G743" s="13">
        <v>38</v>
      </c>
      <c r="H743" s="13">
        <v>0</v>
      </c>
      <c r="I743" s="13">
        <v>124</v>
      </c>
      <c r="J743" s="68">
        <v>58847.821799999998</v>
      </c>
      <c r="K743">
        <f t="shared" si="11"/>
        <v>10</v>
      </c>
      <c r="L743" s="13">
        <v>10</v>
      </c>
      <c r="M743" s="13">
        <v>0</v>
      </c>
      <c r="N743" s="13">
        <v>0</v>
      </c>
      <c r="O743" s="68">
        <v>8971.3799999999992</v>
      </c>
      <c r="P743" s="155">
        <f>VLOOKUP(Table323[[#This Row],[Census Tract]],'Population and Diversity Data'!$B$2:$K$823,10,FALSE)</f>
        <v>2</v>
      </c>
      <c r="Q743" s="155" t="str">
        <f>VLOOKUP(Table323[[#This Row],[Census Tract]],'ES Energy Burden'!$B$2:$E$914,4,FALSE)</f>
        <v>No</v>
      </c>
    </row>
    <row r="744" spans="1:17" x14ac:dyDescent="0.2">
      <c r="A744" s="101">
        <v>9013533102</v>
      </c>
      <c r="B744" s="102" t="s">
        <v>2852</v>
      </c>
      <c r="C744" s="104" t="s">
        <v>944</v>
      </c>
      <c r="D744" s="69">
        <v>102538.85292288</v>
      </c>
      <c r="E744" s="69">
        <v>28463.101999999999</v>
      </c>
      <c r="F744" s="13">
        <f>[1]!Table323[[#This Row],[Single Family]]+[1]!Table323[[#This Row],[2-4 Units]]+[1]!Table323[[#This Row],[&gt;4 Units]]</f>
        <v>30</v>
      </c>
      <c r="G744" s="13">
        <v>30</v>
      </c>
      <c r="H744" s="13">
        <v>0</v>
      </c>
      <c r="I744" s="13">
        <v>0</v>
      </c>
      <c r="J744" s="68">
        <v>28459.182000000001</v>
      </c>
      <c r="K744">
        <f t="shared" si="11"/>
        <v>0</v>
      </c>
      <c r="L744" s="13">
        <v>0</v>
      </c>
      <c r="M744" s="13">
        <v>0</v>
      </c>
      <c r="N744" s="13">
        <v>0</v>
      </c>
      <c r="O744" s="68">
        <v>0</v>
      </c>
      <c r="P744" s="155">
        <f>VLOOKUP(Table323[[#This Row],[Census Tract]],'Population and Diversity Data'!$B$2:$K$823,10,FALSE)</f>
        <v>4</v>
      </c>
      <c r="Q744" s="155" t="str">
        <f>VLOOKUP(Table323[[#This Row],[Census Tract]],'ES Energy Burden'!$B$2:$E$914,4,FALSE)</f>
        <v>No</v>
      </c>
    </row>
    <row r="745" spans="1:17" x14ac:dyDescent="0.2">
      <c r="A745" s="101">
        <v>9013535200</v>
      </c>
      <c r="B745" s="102" t="s">
        <v>2852</v>
      </c>
      <c r="C745" s="104" t="s">
        <v>944</v>
      </c>
      <c r="D745" s="69">
        <v>145.7156736</v>
      </c>
      <c r="E745" s="69">
        <v>0</v>
      </c>
      <c r="F745" s="13">
        <f>[1]!Table323[[#This Row],[Single Family]]+[1]!Table323[[#This Row],[2-4 Units]]+[1]!Table323[[#This Row],[&gt;4 Units]]</f>
        <v>0</v>
      </c>
      <c r="G745" s="13">
        <v>0</v>
      </c>
      <c r="H745" s="13">
        <v>0</v>
      </c>
      <c r="I745" s="13">
        <v>0</v>
      </c>
      <c r="J745" s="68">
        <v>0</v>
      </c>
      <c r="K745">
        <f t="shared" si="11"/>
        <v>0</v>
      </c>
      <c r="L745" s="13">
        <v>0</v>
      </c>
      <c r="M745" s="13">
        <v>0</v>
      </c>
      <c r="N745" s="13">
        <v>0</v>
      </c>
      <c r="O745" s="68">
        <v>0</v>
      </c>
      <c r="P745" s="155">
        <f>VLOOKUP(Table323[[#This Row],[Census Tract]],'Population and Diversity Data'!$B$2:$K$823,10,FALSE)</f>
        <v>5</v>
      </c>
      <c r="Q745" s="155" t="str">
        <f>VLOOKUP(Table323[[#This Row],[Census Tract]],'ES Energy Burden'!$B$2:$E$914,4,FALSE)</f>
        <v>No</v>
      </c>
    </row>
    <row r="746" spans="1:17" x14ac:dyDescent="0.2">
      <c r="A746" s="101">
        <v>9005300400</v>
      </c>
      <c r="B746" s="102" t="s">
        <v>2853</v>
      </c>
      <c r="C746" s="104" t="s">
        <v>944</v>
      </c>
      <c r="D746" s="69">
        <v>82.918771200000009</v>
      </c>
      <c r="E746" s="69">
        <v>0</v>
      </c>
      <c r="F746" s="13">
        <f>[1]!Table323[[#This Row],[Single Family]]+[1]!Table323[[#This Row],[2-4 Units]]+[1]!Table323[[#This Row],[&gt;4 Units]]</f>
        <v>0</v>
      </c>
      <c r="G746" s="13">
        <v>0</v>
      </c>
      <c r="H746" s="13">
        <v>0</v>
      </c>
      <c r="I746" s="13">
        <v>0</v>
      </c>
      <c r="J746" s="68">
        <v>0</v>
      </c>
      <c r="K746">
        <f t="shared" si="11"/>
        <v>0</v>
      </c>
      <c r="L746" s="13">
        <v>0</v>
      </c>
      <c r="M746" s="13">
        <v>0</v>
      </c>
      <c r="N746" s="13">
        <v>0</v>
      </c>
      <c r="O746" s="68">
        <v>0</v>
      </c>
      <c r="P746" s="155">
        <f>VLOOKUP(Table323[[#This Row],[Census Tract]],'Population and Diversity Data'!$B$2:$K$823,10,FALSE)</f>
        <v>2</v>
      </c>
      <c r="Q746" s="155" t="str">
        <f>VLOOKUP(Table323[[#This Row],[Census Tract]],'ES Energy Burden'!$B$2:$E$914,4,FALSE)</f>
        <v>No</v>
      </c>
    </row>
    <row r="747" spans="1:17" x14ac:dyDescent="0.2">
      <c r="A747" s="101">
        <v>9005306100</v>
      </c>
      <c r="B747" s="102" t="s">
        <v>2853</v>
      </c>
      <c r="C747" s="104" t="s">
        <v>944</v>
      </c>
      <c r="D747" s="69">
        <v>575.92192320000004</v>
      </c>
      <c r="E747" s="69">
        <v>0</v>
      </c>
      <c r="F747" s="13">
        <f>[1]!Table323[[#This Row],[Single Family]]+[1]!Table323[[#This Row],[2-4 Units]]+[1]!Table323[[#This Row],[&gt;4 Units]]</f>
        <v>0</v>
      </c>
      <c r="G747" s="13">
        <v>0</v>
      </c>
      <c r="H747" s="13">
        <v>0</v>
      </c>
      <c r="I747" s="13">
        <v>0</v>
      </c>
      <c r="J747" s="68">
        <v>0</v>
      </c>
      <c r="K747">
        <f t="shared" si="11"/>
        <v>0</v>
      </c>
      <c r="L747" s="13">
        <v>0</v>
      </c>
      <c r="M747" s="13">
        <v>0</v>
      </c>
      <c r="N747" s="13">
        <v>0</v>
      </c>
      <c r="O747" s="68">
        <v>0</v>
      </c>
      <c r="P747" s="155">
        <f>VLOOKUP(Table323[[#This Row],[Census Tract]],'Population and Diversity Data'!$B$2:$K$823,10,FALSE)</f>
        <v>1</v>
      </c>
      <c r="Q747" s="155" t="str">
        <f>VLOOKUP(Table323[[#This Row],[Census Tract]],'ES Energy Burden'!$B$2:$E$914,4,FALSE)</f>
        <v>No</v>
      </c>
    </row>
    <row r="748" spans="1:17" x14ac:dyDescent="0.2">
      <c r="A748" s="101">
        <v>9005310100</v>
      </c>
      <c r="B748" s="102" t="s">
        <v>2853</v>
      </c>
      <c r="C748" s="104" t="s">
        <v>944</v>
      </c>
      <c r="D748" s="69">
        <v>76307.070124799997</v>
      </c>
      <c r="E748" s="69">
        <v>20088.7081</v>
      </c>
      <c r="F748" s="13">
        <f>[1]!Table323[[#This Row],[Single Family]]+[1]!Table323[[#This Row],[2-4 Units]]+[1]!Table323[[#This Row],[&gt;4 Units]]</f>
        <v>20</v>
      </c>
      <c r="G748" s="13">
        <v>20</v>
      </c>
      <c r="H748" s="13">
        <v>0</v>
      </c>
      <c r="I748" s="13">
        <v>0</v>
      </c>
      <c r="J748" s="68">
        <v>10217.938099999999</v>
      </c>
      <c r="K748">
        <f t="shared" si="11"/>
        <v>0</v>
      </c>
      <c r="L748" s="13">
        <v>0</v>
      </c>
      <c r="M748" s="13">
        <v>0</v>
      </c>
      <c r="N748" s="13">
        <v>0</v>
      </c>
      <c r="O748" s="68">
        <v>0</v>
      </c>
      <c r="P748" s="155">
        <f>VLOOKUP(Table323[[#This Row],[Census Tract]],'Population and Diversity Data'!$B$2:$K$823,10,FALSE)</f>
        <v>3</v>
      </c>
      <c r="Q748" s="155" t="str">
        <f>VLOOKUP(Table323[[#This Row],[Census Tract]],'ES Energy Burden'!$B$2:$E$914,4,FALSE)</f>
        <v>No</v>
      </c>
    </row>
    <row r="749" spans="1:17" x14ac:dyDescent="0.2">
      <c r="A749" s="101">
        <v>9005310200</v>
      </c>
      <c r="B749" s="102" t="s">
        <v>2853</v>
      </c>
      <c r="C749" s="104" t="s">
        <v>944</v>
      </c>
      <c r="D749" s="69">
        <v>34487.976597120003</v>
      </c>
      <c r="E749" s="69">
        <v>23654.6</v>
      </c>
      <c r="F749" s="13">
        <f>[1]!Table323[[#This Row],[Single Family]]+[1]!Table323[[#This Row],[2-4 Units]]+[1]!Table323[[#This Row],[&gt;4 Units]]</f>
        <v>3</v>
      </c>
      <c r="G749" s="13">
        <v>3</v>
      </c>
      <c r="H749" s="13">
        <v>0</v>
      </c>
      <c r="I749" s="13">
        <v>0</v>
      </c>
      <c r="J749" s="68">
        <v>1442.91</v>
      </c>
      <c r="K749">
        <f t="shared" si="11"/>
        <v>0</v>
      </c>
      <c r="L749" s="13">
        <v>0</v>
      </c>
      <c r="M749" s="13">
        <v>0</v>
      </c>
      <c r="N749" s="13">
        <v>0</v>
      </c>
      <c r="O749" s="68">
        <v>0</v>
      </c>
      <c r="P749" s="155">
        <f>VLOOKUP(Table323[[#This Row],[Census Tract]],'Population and Diversity Data'!$B$2:$K$823,10,FALSE)</f>
        <v>2</v>
      </c>
      <c r="Q749" s="155" t="str">
        <f>VLOOKUP(Table323[[#This Row],[Census Tract]],'ES Energy Burden'!$B$2:$E$914,4,FALSE)</f>
        <v>No</v>
      </c>
    </row>
    <row r="750" spans="1:17" x14ac:dyDescent="0.2">
      <c r="A750" s="101">
        <v>9005310300</v>
      </c>
      <c r="B750" s="102" t="s">
        <v>2853</v>
      </c>
      <c r="C750" s="104" t="s">
        <v>944</v>
      </c>
      <c r="D750" s="69">
        <v>26950.979836799997</v>
      </c>
      <c r="E750" s="69">
        <v>18765.400000000001</v>
      </c>
      <c r="F750" s="13">
        <f>[1]!Table323[[#This Row],[Single Family]]+[1]!Table323[[#This Row],[2-4 Units]]+[1]!Table323[[#This Row],[&gt;4 Units]]</f>
        <v>1</v>
      </c>
      <c r="G750" s="13">
        <v>0</v>
      </c>
      <c r="H750" s="13">
        <v>1</v>
      </c>
      <c r="I750" s="13">
        <v>0</v>
      </c>
      <c r="J750" s="68">
        <v>789.74</v>
      </c>
      <c r="K750">
        <f t="shared" si="11"/>
        <v>0</v>
      </c>
      <c r="L750" s="13">
        <v>0</v>
      </c>
      <c r="M750" s="13">
        <v>0</v>
      </c>
      <c r="N750" s="13">
        <v>0</v>
      </c>
      <c r="O750" s="68">
        <v>0</v>
      </c>
      <c r="P750" s="155">
        <f>VLOOKUP(Table323[[#This Row],[Census Tract]],'Population and Diversity Data'!$B$2:$K$823,10,FALSE)</f>
        <v>2</v>
      </c>
      <c r="Q750" s="155" t="str">
        <f>VLOOKUP(Table323[[#This Row],[Census Tract]],'ES Energy Burden'!$B$2:$E$914,4,FALSE)</f>
        <v>Yes</v>
      </c>
    </row>
    <row r="751" spans="1:17" x14ac:dyDescent="0.2">
      <c r="A751" s="101">
        <v>9005310400</v>
      </c>
      <c r="B751" s="102" t="s">
        <v>2853</v>
      </c>
      <c r="C751" s="104" t="s">
        <v>944</v>
      </c>
      <c r="D751" s="69">
        <v>48205.948348799997</v>
      </c>
      <c r="E751" s="69">
        <v>16981.6783</v>
      </c>
      <c r="F751" s="13">
        <f>[1]!Table323[[#This Row],[Single Family]]+[1]!Table323[[#This Row],[2-4 Units]]+[1]!Table323[[#This Row],[&gt;4 Units]]</f>
        <v>11</v>
      </c>
      <c r="G751" s="13">
        <v>10</v>
      </c>
      <c r="H751" s="13">
        <v>1</v>
      </c>
      <c r="I751" s="13">
        <v>0</v>
      </c>
      <c r="J751" s="68">
        <v>5133.6482999999998</v>
      </c>
      <c r="K751">
        <f t="shared" si="11"/>
        <v>0</v>
      </c>
      <c r="L751" s="13">
        <v>0</v>
      </c>
      <c r="M751" s="13">
        <v>0</v>
      </c>
      <c r="N751" s="13">
        <v>0</v>
      </c>
      <c r="O751" s="68">
        <v>0</v>
      </c>
      <c r="P751" s="155">
        <f>VLOOKUP(Table323[[#This Row],[Census Tract]],'Population and Diversity Data'!$B$2:$K$823,10,FALSE)</f>
        <v>3</v>
      </c>
      <c r="Q751" s="155" t="str">
        <f>VLOOKUP(Table323[[#This Row],[Census Tract]],'ES Energy Burden'!$B$2:$E$914,4,FALSE)</f>
        <v>No</v>
      </c>
    </row>
    <row r="752" spans="1:17" x14ac:dyDescent="0.2">
      <c r="A752" s="101">
        <v>9005310500</v>
      </c>
      <c r="B752" s="102" t="s">
        <v>2853</v>
      </c>
      <c r="C752" s="104" t="s">
        <v>944</v>
      </c>
      <c r="D752" s="69">
        <v>34178.324423040001</v>
      </c>
      <c r="E752" s="69">
        <v>28920.17</v>
      </c>
      <c r="F752" s="13">
        <f>[1]!Table323[[#This Row],[Single Family]]+[1]!Table323[[#This Row],[2-4 Units]]+[1]!Table323[[#This Row],[&gt;4 Units]]</f>
        <v>8</v>
      </c>
      <c r="G752" s="13">
        <v>8</v>
      </c>
      <c r="H752" s="13">
        <v>0</v>
      </c>
      <c r="I752" s="13">
        <v>0</v>
      </c>
      <c r="J752" s="68">
        <v>5140.63</v>
      </c>
      <c r="K752">
        <f t="shared" si="11"/>
        <v>0</v>
      </c>
      <c r="L752" s="13">
        <v>0</v>
      </c>
      <c r="M752" s="13">
        <v>0</v>
      </c>
      <c r="N752" s="13">
        <v>0</v>
      </c>
      <c r="O752" s="68">
        <v>0</v>
      </c>
      <c r="P752" s="155">
        <f>VLOOKUP(Table323[[#This Row],[Census Tract]],'Population and Diversity Data'!$B$2:$K$823,10,FALSE)</f>
        <v>1</v>
      </c>
      <c r="Q752" s="155" t="str">
        <f>VLOOKUP(Table323[[#This Row],[Census Tract]],'ES Energy Burden'!$B$2:$E$914,4,FALSE)</f>
        <v>No</v>
      </c>
    </row>
    <row r="753" spans="1:17" x14ac:dyDescent="0.2">
      <c r="A753" s="101">
        <v>9005310601</v>
      </c>
      <c r="B753" s="102" t="s">
        <v>2853</v>
      </c>
      <c r="C753" s="104" t="s">
        <v>944</v>
      </c>
      <c r="D753" s="69">
        <v>62090.761420800001</v>
      </c>
      <c r="E753" s="69">
        <v>13849.6288</v>
      </c>
      <c r="F753" s="13">
        <f>[1]!Table323[[#This Row],[Single Family]]+[1]!Table323[[#This Row],[2-4 Units]]+[1]!Table323[[#This Row],[&gt;4 Units]]</f>
        <v>20</v>
      </c>
      <c r="G753" s="13">
        <v>20</v>
      </c>
      <c r="H753" s="13">
        <v>0</v>
      </c>
      <c r="I753" s="13">
        <v>0</v>
      </c>
      <c r="J753" s="68">
        <v>8920.0987999999998</v>
      </c>
      <c r="K753">
        <f t="shared" si="11"/>
        <v>0</v>
      </c>
      <c r="L753" s="13">
        <v>0</v>
      </c>
      <c r="M753" s="13">
        <v>0</v>
      </c>
      <c r="N753" s="13">
        <v>0</v>
      </c>
      <c r="O753" s="68">
        <v>0</v>
      </c>
      <c r="P753" s="155">
        <f>VLOOKUP(Table323[[#This Row],[Census Tract]],'Population and Diversity Data'!$B$2:$K$823,10,FALSE)</f>
        <v>3</v>
      </c>
      <c r="Q753" s="155" t="str">
        <f>VLOOKUP(Table323[[#This Row],[Census Tract]],'ES Energy Burden'!$B$2:$E$914,4,FALSE)</f>
        <v>No</v>
      </c>
    </row>
    <row r="754" spans="1:17" x14ac:dyDescent="0.2">
      <c r="A754" s="101">
        <v>9005310602</v>
      </c>
      <c r="B754" s="102" t="s">
        <v>2853</v>
      </c>
      <c r="C754" s="104" t="s">
        <v>944</v>
      </c>
      <c r="D754" s="69">
        <v>72546.218170559994</v>
      </c>
      <c r="E754" s="69">
        <v>39940.89</v>
      </c>
      <c r="F754" s="13">
        <f>[1]!Table323[[#This Row],[Single Family]]+[1]!Table323[[#This Row],[2-4 Units]]+[1]!Table323[[#This Row],[&gt;4 Units]]</f>
        <v>22</v>
      </c>
      <c r="G754" s="13">
        <v>22</v>
      </c>
      <c r="H754" s="13">
        <v>0</v>
      </c>
      <c r="I754" s="13">
        <v>0</v>
      </c>
      <c r="J754" s="68">
        <v>11669.24</v>
      </c>
      <c r="K754">
        <f t="shared" si="11"/>
        <v>0</v>
      </c>
      <c r="L754" s="13">
        <v>0</v>
      </c>
      <c r="M754" s="13">
        <v>0</v>
      </c>
      <c r="N754" s="13">
        <v>0</v>
      </c>
      <c r="O754" s="68">
        <v>0</v>
      </c>
      <c r="P754" s="155">
        <f>VLOOKUP(Table323[[#This Row],[Census Tract]],'Population and Diversity Data'!$B$2:$K$823,10,FALSE)</f>
        <v>1</v>
      </c>
      <c r="Q754" s="155" t="str">
        <f>VLOOKUP(Table323[[#This Row],[Census Tract]],'ES Energy Burden'!$B$2:$E$914,4,FALSE)</f>
        <v>No</v>
      </c>
    </row>
    <row r="755" spans="1:17" x14ac:dyDescent="0.2">
      <c r="A755" s="101">
        <v>9005310700</v>
      </c>
      <c r="B755" s="102" t="s">
        <v>2853</v>
      </c>
      <c r="C755" s="104" t="s">
        <v>944</v>
      </c>
      <c r="D755" s="69">
        <v>144404.27653248003</v>
      </c>
      <c r="E755" s="69">
        <v>197409.5528</v>
      </c>
      <c r="F755" s="13">
        <f>[1]!Table323[[#This Row],[Single Family]]+[1]!Table323[[#This Row],[2-4 Units]]+[1]!Table323[[#This Row],[&gt;4 Units]]</f>
        <v>159</v>
      </c>
      <c r="G755" s="13">
        <v>21</v>
      </c>
      <c r="H755" s="13">
        <v>1</v>
      </c>
      <c r="I755" s="13">
        <v>137</v>
      </c>
      <c r="J755" s="68">
        <v>19537.8</v>
      </c>
      <c r="K755">
        <f t="shared" si="11"/>
        <v>117</v>
      </c>
      <c r="L755" s="13">
        <v>76</v>
      </c>
      <c r="M755" s="13">
        <v>1</v>
      </c>
      <c r="N755" s="13">
        <v>40</v>
      </c>
      <c r="O755" s="68">
        <v>158570</v>
      </c>
      <c r="P755" s="155">
        <f>VLOOKUP(Table323[[#This Row],[Census Tract]],'Population and Diversity Data'!$B$2:$K$823,10,FALSE)</f>
        <v>1</v>
      </c>
      <c r="Q755" s="155" t="str">
        <f>VLOOKUP(Table323[[#This Row],[Census Tract]],'ES Energy Burden'!$B$2:$E$914,4,FALSE)</f>
        <v>No</v>
      </c>
    </row>
    <row r="756" spans="1:17" x14ac:dyDescent="0.2">
      <c r="A756" s="101">
        <v>9005310801</v>
      </c>
      <c r="B756" s="102" t="s">
        <v>2853</v>
      </c>
      <c r="C756" s="104" t="s">
        <v>944</v>
      </c>
      <c r="D756" s="69">
        <v>36919.849161600003</v>
      </c>
      <c r="E756" s="69">
        <v>3462.34</v>
      </c>
      <c r="F756" s="13">
        <f>[1]!Table323[[#This Row],[Single Family]]+[1]!Table323[[#This Row],[2-4 Units]]+[1]!Table323[[#This Row],[&gt;4 Units]]</f>
        <v>3</v>
      </c>
      <c r="G756" s="13">
        <v>3</v>
      </c>
      <c r="H756" s="13">
        <v>0</v>
      </c>
      <c r="I756" s="13">
        <v>0</v>
      </c>
      <c r="J756" s="68">
        <v>2890.77</v>
      </c>
      <c r="K756">
        <f t="shared" si="11"/>
        <v>0</v>
      </c>
      <c r="L756" s="13">
        <v>0</v>
      </c>
      <c r="M756" s="13">
        <v>0</v>
      </c>
      <c r="N756" s="13">
        <v>0</v>
      </c>
      <c r="O756" s="68">
        <v>0</v>
      </c>
      <c r="P756" s="155">
        <f>VLOOKUP(Table323[[#This Row],[Census Tract]],'Population and Diversity Data'!$B$2:$K$823,10,FALSE)</f>
        <v>3</v>
      </c>
      <c r="Q756" s="155" t="str">
        <f>VLOOKUP(Table323[[#This Row],[Census Tract]],'ES Energy Burden'!$B$2:$E$914,4,FALSE)</f>
        <v>No</v>
      </c>
    </row>
    <row r="757" spans="1:17" x14ac:dyDescent="0.2">
      <c r="A757" s="101">
        <v>9005310803</v>
      </c>
      <c r="B757" s="102" t="s">
        <v>2853</v>
      </c>
      <c r="C757" s="104" t="s">
        <v>944</v>
      </c>
      <c r="D757" s="69">
        <v>83555.792749440006</v>
      </c>
      <c r="E757" s="69">
        <v>28410.995900000002</v>
      </c>
      <c r="F757" s="13">
        <f>[1]!Table323[[#This Row],[Single Family]]+[1]!Table323[[#This Row],[2-4 Units]]+[1]!Table323[[#This Row],[&gt;4 Units]]</f>
        <v>9</v>
      </c>
      <c r="G757" s="13">
        <v>7</v>
      </c>
      <c r="H757" s="13">
        <v>2</v>
      </c>
      <c r="I757" s="13">
        <v>0</v>
      </c>
      <c r="J757" s="68">
        <v>4471.8258999999998</v>
      </c>
      <c r="K757">
        <f t="shared" si="11"/>
        <v>0</v>
      </c>
      <c r="L757" s="13">
        <v>0</v>
      </c>
      <c r="M757" s="13">
        <v>0</v>
      </c>
      <c r="N757" s="13">
        <v>0</v>
      </c>
      <c r="O757" s="68">
        <v>0</v>
      </c>
      <c r="P757" s="155">
        <f>VLOOKUP(Table323[[#This Row],[Census Tract]],'Population and Diversity Data'!$B$2:$K$823,10,FALSE)</f>
        <v>4</v>
      </c>
      <c r="Q757" s="155" t="str">
        <f>VLOOKUP(Table323[[#This Row],[Census Tract]],'ES Energy Burden'!$B$2:$E$914,4,FALSE)</f>
        <v>Yes</v>
      </c>
    </row>
    <row r="758" spans="1:17" x14ac:dyDescent="0.2">
      <c r="A758" s="101">
        <v>9005310804</v>
      </c>
      <c r="B758" s="102" t="s">
        <v>2853</v>
      </c>
      <c r="C758" s="104" t="s">
        <v>944</v>
      </c>
      <c r="D758" s="69">
        <v>41928.608361600003</v>
      </c>
      <c r="E758" s="69">
        <v>3042.1</v>
      </c>
      <c r="F758" s="13">
        <f>[1]!Table323[[#This Row],[Single Family]]+[1]!Table323[[#This Row],[2-4 Units]]+[1]!Table323[[#This Row],[&gt;4 Units]]</f>
        <v>7</v>
      </c>
      <c r="G758" s="13">
        <v>7</v>
      </c>
      <c r="H758" s="13">
        <v>0</v>
      </c>
      <c r="I758" s="13">
        <v>0</v>
      </c>
      <c r="J758" s="68">
        <v>3041.58</v>
      </c>
      <c r="K758">
        <f t="shared" si="11"/>
        <v>0</v>
      </c>
      <c r="L758" s="13">
        <v>0</v>
      </c>
      <c r="M758" s="13">
        <v>0</v>
      </c>
      <c r="N758" s="13">
        <v>0</v>
      </c>
      <c r="O758" s="68">
        <v>0</v>
      </c>
      <c r="P758" s="155">
        <f>VLOOKUP(Table323[[#This Row],[Census Tract]],'Population and Diversity Data'!$B$2:$K$823,10,FALSE)</f>
        <v>2</v>
      </c>
      <c r="Q758" s="155" t="str">
        <f>VLOOKUP(Table323[[#This Row],[Census Tract]],'ES Energy Burden'!$B$2:$E$914,4,FALSE)</f>
        <v>No</v>
      </c>
    </row>
    <row r="759" spans="1:17" x14ac:dyDescent="0.2">
      <c r="A759" s="101">
        <v>9005320200</v>
      </c>
      <c r="B759" s="102" t="s">
        <v>2853</v>
      </c>
      <c r="C759" s="104" t="s">
        <v>944</v>
      </c>
      <c r="D759" s="69">
        <v>447.89103360000001</v>
      </c>
      <c r="E759" s="69">
        <v>0</v>
      </c>
      <c r="F759" s="13">
        <f>[1]!Table323[[#This Row],[Single Family]]+[1]!Table323[[#This Row],[2-4 Units]]+[1]!Table323[[#This Row],[&gt;4 Units]]</f>
        <v>0</v>
      </c>
      <c r="G759" s="13">
        <v>0</v>
      </c>
      <c r="H759" s="13">
        <v>0</v>
      </c>
      <c r="I759" s="13">
        <v>0</v>
      </c>
      <c r="J759" s="68">
        <v>0</v>
      </c>
      <c r="K759">
        <f t="shared" si="11"/>
        <v>0</v>
      </c>
      <c r="L759" s="13">
        <v>0</v>
      </c>
      <c r="M759" s="13">
        <v>0</v>
      </c>
      <c r="N759" s="13">
        <v>0</v>
      </c>
      <c r="O759" s="68">
        <v>0</v>
      </c>
      <c r="P759" s="155">
        <f>VLOOKUP(Table323[[#This Row],[Census Tract]],'Population and Diversity Data'!$B$2:$K$823,10,FALSE)</f>
        <v>3</v>
      </c>
      <c r="Q759" s="155" t="str">
        <f>VLOOKUP(Table323[[#This Row],[Census Tract]],'ES Energy Burden'!$B$2:$E$914,4,FALSE)</f>
        <v>No</v>
      </c>
    </row>
    <row r="760" spans="1:17" x14ac:dyDescent="0.2">
      <c r="A760" s="101">
        <v>9003496200</v>
      </c>
      <c r="B760" s="102" t="s">
        <v>2854</v>
      </c>
      <c r="C760" s="104" t="s">
        <v>944</v>
      </c>
      <c r="D760" s="69">
        <v>54.552493439999999</v>
      </c>
      <c r="E760" s="69">
        <v>0</v>
      </c>
      <c r="F760" s="13">
        <f>[1]!Table323[[#This Row],[Single Family]]+[1]!Table323[[#This Row],[2-4 Units]]+[1]!Table323[[#This Row],[&gt;4 Units]]</f>
        <v>0</v>
      </c>
      <c r="G760" s="13">
        <v>0</v>
      </c>
      <c r="H760" s="13">
        <v>0</v>
      </c>
      <c r="I760" s="13">
        <v>0</v>
      </c>
      <c r="J760" s="68">
        <v>0</v>
      </c>
      <c r="K760">
        <f t="shared" si="11"/>
        <v>0</v>
      </c>
      <c r="L760" s="13">
        <v>0</v>
      </c>
      <c r="M760" s="13">
        <v>0</v>
      </c>
      <c r="N760" s="13">
        <v>0</v>
      </c>
      <c r="O760" s="68">
        <v>0</v>
      </c>
      <c r="P760" s="155">
        <f>VLOOKUP(Table323[[#This Row],[Census Tract]],'Population and Diversity Data'!$B$2:$K$823,10,FALSE)</f>
        <v>5</v>
      </c>
      <c r="Q760" s="155" t="str">
        <f>VLOOKUP(Table323[[#This Row],[Census Tract]],'ES Energy Burden'!$B$2:$E$914,4,FALSE)</f>
        <v>No</v>
      </c>
    </row>
    <row r="761" spans="1:17" x14ac:dyDescent="0.2">
      <c r="A761" s="101">
        <v>9013530302</v>
      </c>
      <c r="B761" s="102" t="s">
        <v>2854</v>
      </c>
      <c r="C761" s="104" t="s">
        <v>944</v>
      </c>
      <c r="D761" s="69">
        <v>7.6933152000000007</v>
      </c>
      <c r="E761" s="69">
        <v>0</v>
      </c>
      <c r="F761" s="13">
        <f>[1]!Table323[[#This Row],[Single Family]]+[1]!Table323[[#This Row],[2-4 Units]]+[1]!Table323[[#This Row],[&gt;4 Units]]</f>
        <v>0</v>
      </c>
      <c r="G761" s="13">
        <v>0</v>
      </c>
      <c r="H761" s="13">
        <v>0</v>
      </c>
      <c r="I761" s="13">
        <v>0</v>
      </c>
      <c r="J761" s="68">
        <v>0</v>
      </c>
      <c r="K761">
        <f t="shared" si="11"/>
        <v>0</v>
      </c>
      <c r="L761" s="13">
        <v>0</v>
      </c>
      <c r="M761" s="13">
        <v>0</v>
      </c>
      <c r="N761" s="13">
        <v>0</v>
      </c>
      <c r="O761" s="68">
        <v>0</v>
      </c>
      <c r="P761" s="155">
        <f>VLOOKUP(Table323[[#This Row],[Census Tract]],'Population and Diversity Data'!$B$2:$K$823,10,FALSE)</f>
        <v>5</v>
      </c>
      <c r="Q761" s="155" t="str">
        <f>VLOOKUP(Table323[[#This Row],[Census Tract]],'ES Energy Burden'!$B$2:$E$914,4,FALSE)</f>
        <v>No</v>
      </c>
    </row>
    <row r="762" spans="1:17" x14ac:dyDescent="0.2">
      <c r="A762" s="101">
        <v>9013850200</v>
      </c>
      <c r="B762" s="102" t="s">
        <v>2854</v>
      </c>
      <c r="C762" s="104" t="s">
        <v>944</v>
      </c>
      <c r="D762" s="69">
        <v>65.558160000000001</v>
      </c>
      <c r="E762" s="69">
        <v>0</v>
      </c>
      <c r="F762" s="13">
        <f>[1]!Table323[[#This Row],[Single Family]]+[1]!Table323[[#This Row],[2-4 Units]]+[1]!Table323[[#This Row],[&gt;4 Units]]</f>
        <v>0</v>
      </c>
      <c r="G762" s="13">
        <v>0</v>
      </c>
      <c r="H762" s="13">
        <v>0</v>
      </c>
      <c r="I762" s="13">
        <v>0</v>
      </c>
      <c r="J762" s="68">
        <v>0</v>
      </c>
      <c r="K762">
        <f t="shared" si="11"/>
        <v>0</v>
      </c>
      <c r="L762" s="13">
        <v>0</v>
      </c>
      <c r="M762" s="13">
        <v>0</v>
      </c>
      <c r="N762" s="13">
        <v>0</v>
      </c>
      <c r="O762" s="68">
        <v>0</v>
      </c>
      <c r="P762" s="155">
        <f>VLOOKUP(Table323[[#This Row],[Census Tract]],'Population and Diversity Data'!$B$2:$K$823,10,FALSE)</f>
        <v>1</v>
      </c>
      <c r="Q762" s="155" t="str">
        <f>VLOOKUP(Table323[[#This Row],[Census Tract]],'ES Energy Burden'!$B$2:$E$914,4,FALSE)</f>
        <v>No</v>
      </c>
    </row>
    <row r="763" spans="1:17" x14ac:dyDescent="0.2">
      <c r="A763" s="101">
        <v>9013890100</v>
      </c>
      <c r="B763" s="102" t="s">
        <v>2854</v>
      </c>
      <c r="C763" s="104" t="s">
        <v>944</v>
      </c>
      <c r="D763" s="69">
        <v>2220.5066889600002</v>
      </c>
      <c r="E763" s="69">
        <v>0</v>
      </c>
      <c r="F763" s="13">
        <f>[1]!Table323[[#This Row],[Single Family]]+[1]!Table323[[#This Row],[2-4 Units]]+[1]!Table323[[#This Row],[&gt;4 Units]]</f>
        <v>0</v>
      </c>
      <c r="G763" s="13">
        <v>0</v>
      </c>
      <c r="H763" s="13">
        <v>0</v>
      </c>
      <c r="I763" s="13">
        <v>0</v>
      </c>
      <c r="J763" s="68">
        <v>0</v>
      </c>
      <c r="K763">
        <f t="shared" si="11"/>
        <v>0</v>
      </c>
      <c r="L763" s="13">
        <v>0</v>
      </c>
      <c r="M763" s="13">
        <v>0</v>
      </c>
      <c r="N763" s="13">
        <v>0</v>
      </c>
      <c r="O763" s="68">
        <v>0</v>
      </c>
      <c r="P763" s="155">
        <f>VLOOKUP(Table323[[#This Row],[Census Tract]],'Population and Diversity Data'!$B$2:$K$823,10,FALSE)</f>
        <v>2</v>
      </c>
      <c r="Q763" s="155" t="str">
        <f>VLOOKUP(Table323[[#This Row],[Census Tract]],'ES Energy Burden'!$B$2:$E$914,4,FALSE)</f>
        <v>No</v>
      </c>
    </row>
    <row r="764" spans="1:17" x14ac:dyDescent="0.2">
      <c r="A764" s="101">
        <v>9013890201</v>
      </c>
      <c r="B764" s="102" t="s">
        <v>2854</v>
      </c>
      <c r="C764" s="104" t="s">
        <v>944</v>
      </c>
      <c r="D764" s="69">
        <v>15848.872447679998</v>
      </c>
      <c r="E764" s="69">
        <v>3865.75</v>
      </c>
      <c r="F764" s="13">
        <f>[1]!Table323[[#This Row],[Single Family]]+[1]!Table323[[#This Row],[2-4 Units]]+[1]!Table323[[#This Row],[&gt;4 Units]]</f>
        <v>2</v>
      </c>
      <c r="G764" s="13">
        <v>2</v>
      </c>
      <c r="H764" s="13">
        <v>0</v>
      </c>
      <c r="I764" s="13">
        <v>0</v>
      </c>
      <c r="J764" s="68">
        <v>801.1</v>
      </c>
      <c r="K764">
        <f t="shared" si="11"/>
        <v>1</v>
      </c>
      <c r="L764" s="13">
        <v>1</v>
      </c>
      <c r="M764" s="13">
        <v>0</v>
      </c>
      <c r="N764" s="13">
        <v>0</v>
      </c>
      <c r="O764" s="68">
        <v>590.04999999999995</v>
      </c>
      <c r="P764" s="155">
        <f>VLOOKUP(Table323[[#This Row],[Census Tract]],'Population and Diversity Data'!$B$2:$K$823,10,FALSE)</f>
        <v>4</v>
      </c>
      <c r="Q764" s="155" t="str">
        <f>VLOOKUP(Table323[[#This Row],[Census Tract]],'ES Energy Burden'!$B$2:$E$914,4,FALSE)</f>
        <v>No</v>
      </c>
    </row>
    <row r="765" spans="1:17" x14ac:dyDescent="0.2">
      <c r="A765" s="101">
        <v>9013890202</v>
      </c>
      <c r="B765" s="102" t="s">
        <v>2854</v>
      </c>
      <c r="C765" s="104" t="s">
        <v>944</v>
      </c>
      <c r="D765" s="69">
        <v>36.006336000000005</v>
      </c>
      <c r="E765" s="69">
        <v>0</v>
      </c>
      <c r="F765" s="13">
        <f>[1]!Table323[[#This Row],[Single Family]]+[1]!Table323[[#This Row],[2-4 Units]]+[1]!Table323[[#This Row],[&gt;4 Units]]</f>
        <v>0</v>
      </c>
      <c r="G765" s="13">
        <v>0</v>
      </c>
      <c r="H765" s="13">
        <v>0</v>
      </c>
      <c r="I765" s="13">
        <v>0</v>
      </c>
      <c r="J765" s="68">
        <v>0</v>
      </c>
      <c r="K765">
        <f t="shared" si="11"/>
        <v>0</v>
      </c>
      <c r="L765" s="13">
        <v>0</v>
      </c>
      <c r="M765" s="13">
        <v>0</v>
      </c>
      <c r="N765" s="13">
        <v>0</v>
      </c>
      <c r="O765" s="68">
        <v>0</v>
      </c>
      <c r="P765" s="155">
        <f>VLOOKUP(Table323[[#This Row],[Census Tract]],'Population and Diversity Data'!$B$2:$K$823,10,FALSE)</f>
        <v>4</v>
      </c>
      <c r="Q765" s="155" t="str">
        <f>VLOOKUP(Table323[[#This Row],[Census Tract]],'ES Energy Burden'!$B$2:$E$914,4,FALSE)</f>
        <v>No</v>
      </c>
    </row>
    <row r="766" spans="1:17" x14ac:dyDescent="0.2">
      <c r="A766" s="101">
        <v>9003487202</v>
      </c>
      <c r="B766" s="102" t="s">
        <v>2855</v>
      </c>
      <c r="C766" s="104" t="s">
        <v>944</v>
      </c>
      <c r="D766" s="69">
        <v>343.50160319999998</v>
      </c>
      <c r="E766" s="69">
        <v>628.35299999999995</v>
      </c>
      <c r="F766" s="13">
        <f>[1]!Table323[[#This Row],[Single Family]]+[1]!Table323[[#This Row],[2-4 Units]]+[1]!Table323[[#This Row],[&gt;4 Units]]</f>
        <v>1</v>
      </c>
      <c r="G766" s="13">
        <v>1</v>
      </c>
      <c r="H766" s="13">
        <v>0</v>
      </c>
      <c r="I766" s="13">
        <v>0</v>
      </c>
      <c r="J766" s="68">
        <v>220.82299999999998</v>
      </c>
      <c r="K766">
        <f t="shared" si="11"/>
        <v>0</v>
      </c>
      <c r="L766" s="13">
        <v>0</v>
      </c>
      <c r="M766" s="13">
        <v>0</v>
      </c>
      <c r="N766" s="13">
        <v>0</v>
      </c>
      <c r="O766" s="68">
        <v>0</v>
      </c>
      <c r="P766" s="155">
        <f>VLOOKUP(Table323[[#This Row],[Census Tract]],'Population and Diversity Data'!$B$2:$K$823,10,FALSE)</f>
        <v>4</v>
      </c>
      <c r="Q766" s="155" t="str">
        <f>VLOOKUP(Table323[[#This Row],[Census Tract]],'ES Energy Burden'!$B$2:$E$914,4,FALSE)</f>
        <v>No</v>
      </c>
    </row>
    <row r="767" spans="1:17" x14ac:dyDescent="0.2">
      <c r="A767" s="101">
        <v>9003514101</v>
      </c>
      <c r="B767" s="102" t="s">
        <v>2855</v>
      </c>
      <c r="C767" s="104" t="s">
        <v>944</v>
      </c>
      <c r="D767" s="69">
        <v>411.98310720000001</v>
      </c>
      <c r="E767" s="69">
        <v>0</v>
      </c>
      <c r="F767" s="13">
        <f>[1]!Table323[[#This Row],[Single Family]]+[1]!Table323[[#This Row],[2-4 Units]]+[1]!Table323[[#This Row],[&gt;4 Units]]</f>
        <v>0</v>
      </c>
      <c r="G767" s="13">
        <v>0</v>
      </c>
      <c r="H767" s="13">
        <v>0</v>
      </c>
      <c r="I767" s="13">
        <v>0</v>
      </c>
      <c r="J767" s="68">
        <v>0</v>
      </c>
      <c r="K767">
        <f t="shared" si="11"/>
        <v>0</v>
      </c>
      <c r="L767" s="13">
        <v>0</v>
      </c>
      <c r="M767" s="13">
        <v>0</v>
      </c>
      <c r="N767" s="13">
        <v>0</v>
      </c>
      <c r="O767" s="68">
        <v>0</v>
      </c>
      <c r="P767" s="155">
        <f>VLOOKUP(Table323[[#This Row],[Census Tract]],'Population and Diversity Data'!$B$2:$K$823,10,FALSE)</f>
        <v>3</v>
      </c>
      <c r="Q767" s="155" t="str">
        <f>VLOOKUP(Table323[[#This Row],[Census Tract]],'ES Energy Burden'!$B$2:$E$914,4,FALSE)</f>
        <v>No</v>
      </c>
    </row>
    <row r="768" spans="1:17" x14ac:dyDescent="0.2">
      <c r="A768" s="101">
        <v>9013530100</v>
      </c>
      <c r="B768" s="102" t="s">
        <v>2855</v>
      </c>
      <c r="C768" s="104" t="s">
        <v>944</v>
      </c>
      <c r="D768" s="69">
        <v>34070.83161696</v>
      </c>
      <c r="E768" s="69">
        <v>8725.9500000000007</v>
      </c>
      <c r="F768" s="13">
        <f>[1]!Table323[[#This Row],[Single Family]]+[1]!Table323[[#This Row],[2-4 Units]]+[1]!Table323[[#This Row],[&gt;4 Units]]</f>
        <v>4</v>
      </c>
      <c r="G768" s="13">
        <v>4</v>
      </c>
      <c r="H768" s="13">
        <v>0</v>
      </c>
      <c r="I768" s="13">
        <v>0</v>
      </c>
      <c r="J768" s="68">
        <v>2071.2800000000002</v>
      </c>
      <c r="K768">
        <f t="shared" si="11"/>
        <v>0</v>
      </c>
      <c r="L768" s="13">
        <v>0</v>
      </c>
      <c r="M768" s="13">
        <v>0</v>
      </c>
      <c r="N768" s="13">
        <v>0</v>
      </c>
      <c r="O768" s="68">
        <v>0</v>
      </c>
      <c r="P768" s="155">
        <f>VLOOKUP(Table323[[#This Row],[Census Tract]],'Population and Diversity Data'!$B$2:$K$823,10,FALSE)</f>
        <v>5</v>
      </c>
      <c r="Q768" s="155" t="str">
        <f>VLOOKUP(Table323[[#This Row],[Census Tract]],'ES Energy Burden'!$B$2:$E$914,4,FALSE)</f>
        <v>No</v>
      </c>
    </row>
    <row r="769" spans="1:17" x14ac:dyDescent="0.2">
      <c r="A769" s="101">
        <v>9013530200</v>
      </c>
      <c r="B769" s="102" t="s">
        <v>2855</v>
      </c>
      <c r="C769" s="104" t="s">
        <v>944</v>
      </c>
      <c r="D769" s="69">
        <v>78604.228051200014</v>
      </c>
      <c r="E769" s="69">
        <v>29090.1</v>
      </c>
      <c r="F769" s="13">
        <f>[1]!Table323[[#This Row],[Single Family]]+[1]!Table323[[#This Row],[2-4 Units]]+[1]!Table323[[#This Row],[&gt;4 Units]]</f>
        <v>13</v>
      </c>
      <c r="G769" s="13">
        <v>12</v>
      </c>
      <c r="H769" s="13">
        <v>1</v>
      </c>
      <c r="I769" s="13">
        <v>0</v>
      </c>
      <c r="J769" s="68">
        <v>9407.64</v>
      </c>
      <c r="K769">
        <f t="shared" si="11"/>
        <v>0</v>
      </c>
      <c r="L769" s="13">
        <v>0</v>
      </c>
      <c r="M769" s="13">
        <v>0</v>
      </c>
      <c r="N769" s="13">
        <v>0</v>
      </c>
      <c r="O769" s="68">
        <v>0</v>
      </c>
      <c r="P769" s="155">
        <f>VLOOKUP(Table323[[#This Row],[Census Tract]],'Population and Diversity Data'!$B$2:$K$823,10,FALSE)</f>
        <v>4</v>
      </c>
      <c r="Q769" s="155" t="str">
        <f>VLOOKUP(Table323[[#This Row],[Census Tract]],'ES Energy Burden'!$B$2:$E$914,4,FALSE)</f>
        <v>No</v>
      </c>
    </row>
    <row r="770" spans="1:17" x14ac:dyDescent="0.2">
      <c r="A770" s="101">
        <v>9013530301</v>
      </c>
      <c r="B770" s="102" t="s">
        <v>2855</v>
      </c>
      <c r="C770" s="104" t="s">
        <v>944</v>
      </c>
      <c r="D770" s="69">
        <v>74448.189192959995</v>
      </c>
      <c r="E770" s="69">
        <v>23277.45</v>
      </c>
      <c r="F770" s="13">
        <f>[1]!Table323[[#This Row],[Single Family]]+[1]!Table323[[#This Row],[2-4 Units]]+[1]!Table323[[#This Row],[&gt;4 Units]]</f>
        <v>20</v>
      </c>
      <c r="G770" s="13">
        <v>19</v>
      </c>
      <c r="H770" s="13">
        <v>1</v>
      </c>
      <c r="I770" s="13">
        <v>0</v>
      </c>
      <c r="J770" s="68">
        <v>14101.36</v>
      </c>
      <c r="K770">
        <f t="shared" si="11"/>
        <v>0</v>
      </c>
      <c r="L770" s="13">
        <v>0</v>
      </c>
      <c r="M770" s="13">
        <v>0</v>
      </c>
      <c r="N770" s="13">
        <v>0</v>
      </c>
      <c r="O770" s="68">
        <v>0</v>
      </c>
      <c r="P770" s="155">
        <f>VLOOKUP(Table323[[#This Row],[Census Tract]],'Population and Diversity Data'!$B$2:$K$823,10,FALSE)</f>
        <v>2</v>
      </c>
      <c r="Q770" s="155" t="str">
        <f>VLOOKUP(Table323[[#This Row],[Census Tract]],'ES Energy Burden'!$B$2:$E$914,4,FALSE)</f>
        <v>No</v>
      </c>
    </row>
    <row r="771" spans="1:17" x14ac:dyDescent="0.2">
      <c r="A771" s="101">
        <v>9013530302</v>
      </c>
      <c r="B771" s="102" t="s">
        <v>2855</v>
      </c>
      <c r="C771" s="104" t="s">
        <v>944</v>
      </c>
      <c r="D771" s="69">
        <v>124042.61016576001</v>
      </c>
      <c r="E771" s="69">
        <v>142414.7691</v>
      </c>
      <c r="F771" s="13">
        <f>[1]!Table323[[#This Row],[Single Family]]+[1]!Table323[[#This Row],[2-4 Units]]+[1]!Table323[[#This Row],[&gt;4 Units]]</f>
        <v>94</v>
      </c>
      <c r="G771" s="13">
        <v>31</v>
      </c>
      <c r="H771" s="13">
        <v>0</v>
      </c>
      <c r="I771" s="13">
        <v>63</v>
      </c>
      <c r="J771" s="68">
        <v>17623.097099999999</v>
      </c>
      <c r="K771">
        <f t="shared" si="11"/>
        <v>51</v>
      </c>
      <c r="L771" s="13">
        <v>50</v>
      </c>
      <c r="M771" s="13">
        <v>1</v>
      </c>
      <c r="N771" s="13">
        <v>0</v>
      </c>
      <c r="O771" s="68">
        <v>59701.7</v>
      </c>
      <c r="P771" s="155">
        <f>VLOOKUP(Table323[[#This Row],[Census Tract]],'Population and Diversity Data'!$B$2:$K$823,10,FALSE)</f>
        <v>5</v>
      </c>
      <c r="Q771" s="155" t="str">
        <f>VLOOKUP(Table323[[#This Row],[Census Tract]],'ES Energy Burden'!$B$2:$E$914,4,FALSE)</f>
        <v>No</v>
      </c>
    </row>
    <row r="772" spans="1:17" x14ac:dyDescent="0.2">
      <c r="A772" s="101">
        <v>9013530400</v>
      </c>
      <c r="B772" s="102" t="s">
        <v>2855</v>
      </c>
      <c r="C772" s="104" t="s">
        <v>944</v>
      </c>
      <c r="D772" s="69">
        <v>65216.719788479997</v>
      </c>
      <c r="E772" s="69">
        <v>10887.23</v>
      </c>
      <c r="F772" s="13">
        <f>[1]!Table323[[#This Row],[Single Family]]+[1]!Table323[[#This Row],[2-4 Units]]+[1]!Table323[[#This Row],[&gt;4 Units]]</f>
        <v>6</v>
      </c>
      <c r="G772" s="13">
        <v>6</v>
      </c>
      <c r="H772" s="13">
        <v>0</v>
      </c>
      <c r="I772" s="13">
        <v>0</v>
      </c>
      <c r="J772" s="68">
        <v>4585</v>
      </c>
      <c r="K772">
        <f t="shared" si="11"/>
        <v>0</v>
      </c>
      <c r="L772" s="13">
        <v>0</v>
      </c>
      <c r="M772" s="13">
        <v>0</v>
      </c>
      <c r="N772" s="13">
        <v>0</v>
      </c>
      <c r="O772" s="68">
        <v>0</v>
      </c>
      <c r="P772" s="155">
        <f>VLOOKUP(Table323[[#This Row],[Census Tract]],'Population and Diversity Data'!$B$2:$K$823,10,FALSE)</f>
        <v>5</v>
      </c>
      <c r="Q772" s="155" t="str">
        <f>VLOOKUP(Table323[[#This Row],[Census Tract]],'ES Energy Burden'!$B$2:$E$914,4,FALSE)</f>
        <v>No</v>
      </c>
    </row>
    <row r="773" spans="1:17" x14ac:dyDescent="0.2">
      <c r="A773" s="101">
        <v>9013530500</v>
      </c>
      <c r="B773" s="102" t="s">
        <v>2855</v>
      </c>
      <c r="C773" s="104" t="s">
        <v>944</v>
      </c>
      <c r="D773" s="69">
        <v>59253.694274879992</v>
      </c>
      <c r="E773" s="69">
        <v>19884.302</v>
      </c>
      <c r="F773" s="13">
        <f>[1]!Table323[[#This Row],[Single Family]]+[1]!Table323[[#This Row],[2-4 Units]]+[1]!Table323[[#This Row],[&gt;4 Units]]</f>
        <v>15</v>
      </c>
      <c r="G773" s="13">
        <v>15</v>
      </c>
      <c r="H773" s="13">
        <v>0</v>
      </c>
      <c r="I773" s="13">
        <v>0</v>
      </c>
      <c r="J773" s="68">
        <v>9092.7819999999992</v>
      </c>
      <c r="K773">
        <f t="shared" si="11"/>
        <v>0</v>
      </c>
      <c r="L773" s="13">
        <v>0</v>
      </c>
      <c r="M773" s="13">
        <v>0</v>
      </c>
      <c r="N773" s="13">
        <v>0</v>
      </c>
      <c r="O773" s="68">
        <v>0</v>
      </c>
      <c r="P773" s="155">
        <f>VLOOKUP(Table323[[#This Row],[Census Tract]],'Population and Diversity Data'!$B$2:$K$823,10,FALSE)</f>
        <v>4</v>
      </c>
      <c r="Q773" s="155" t="str">
        <f>VLOOKUP(Table323[[#This Row],[Census Tract]],'ES Energy Burden'!$B$2:$E$914,4,FALSE)</f>
        <v>No</v>
      </c>
    </row>
    <row r="774" spans="1:17" x14ac:dyDescent="0.2">
      <c r="A774" s="101">
        <v>9013530600</v>
      </c>
      <c r="B774" s="102" t="s">
        <v>2855</v>
      </c>
      <c r="C774" s="104" t="s">
        <v>944</v>
      </c>
      <c r="D774" s="69">
        <v>52920.689765759998</v>
      </c>
      <c r="E774" s="69">
        <v>19791.499500000002</v>
      </c>
      <c r="F774" s="13">
        <f>[1]!Table323[[#This Row],[Single Family]]+[1]!Table323[[#This Row],[2-4 Units]]+[1]!Table323[[#This Row],[&gt;4 Units]]</f>
        <v>18</v>
      </c>
      <c r="G774" s="13">
        <v>18</v>
      </c>
      <c r="H774" s="13">
        <v>0</v>
      </c>
      <c r="I774" s="13">
        <v>0</v>
      </c>
      <c r="J774" s="68">
        <v>18622.6895</v>
      </c>
      <c r="K774">
        <f t="shared" ref="K774:K837" si="12">L774+M774+N774</f>
        <v>0</v>
      </c>
      <c r="L774" s="13">
        <v>0</v>
      </c>
      <c r="M774" s="13">
        <v>0</v>
      </c>
      <c r="N774" s="13">
        <v>0</v>
      </c>
      <c r="O774" s="68">
        <v>0</v>
      </c>
      <c r="P774" s="155">
        <f>VLOOKUP(Table323[[#This Row],[Census Tract]],'Population and Diversity Data'!$B$2:$K$823,10,FALSE)</f>
        <v>4</v>
      </c>
      <c r="Q774" s="155" t="str">
        <f>VLOOKUP(Table323[[#This Row],[Census Tract]],'ES Energy Burden'!$B$2:$E$914,4,FALSE)</f>
        <v>No</v>
      </c>
    </row>
    <row r="775" spans="1:17" x14ac:dyDescent="0.2">
      <c r="A775" s="101">
        <v>9013535100</v>
      </c>
      <c r="B775" s="102" t="s">
        <v>2855</v>
      </c>
      <c r="C775" s="104" t="s">
        <v>944</v>
      </c>
      <c r="D775" s="69">
        <v>1230.0100127999999</v>
      </c>
      <c r="E775" s="69">
        <v>164.09</v>
      </c>
      <c r="F775" s="13">
        <f>[1]!Table323[[#This Row],[Single Family]]+[1]!Table323[[#This Row],[2-4 Units]]+[1]!Table323[[#This Row],[&gt;4 Units]]</f>
        <v>1</v>
      </c>
      <c r="G775" s="13">
        <v>1</v>
      </c>
      <c r="H775" s="13">
        <v>0</v>
      </c>
      <c r="I775" s="13">
        <v>0</v>
      </c>
      <c r="J775" s="68">
        <v>162.83000000000001</v>
      </c>
      <c r="K775">
        <f t="shared" si="12"/>
        <v>0</v>
      </c>
      <c r="L775" s="13">
        <v>0</v>
      </c>
      <c r="M775" s="13">
        <v>0</v>
      </c>
      <c r="N775" s="13">
        <v>0</v>
      </c>
      <c r="O775" s="68">
        <v>0</v>
      </c>
      <c r="P775" s="155">
        <f>VLOOKUP(Table323[[#This Row],[Census Tract]],'Population and Diversity Data'!$B$2:$K$823,10,FALSE)</f>
        <v>4</v>
      </c>
      <c r="Q775" s="155" t="str">
        <f>VLOOKUP(Table323[[#This Row],[Census Tract]],'ES Energy Burden'!$B$2:$E$914,4,FALSE)</f>
        <v>No</v>
      </c>
    </row>
    <row r="776" spans="1:17" x14ac:dyDescent="0.2">
      <c r="A776" s="101">
        <v>9011708100</v>
      </c>
      <c r="B776" s="102" t="s">
        <v>2856</v>
      </c>
      <c r="C776" s="104" t="s">
        <v>944</v>
      </c>
      <c r="D776" s="69">
        <v>57747.690486719999</v>
      </c>
      <c r="E776" s="69">
        <v>21450.676500000001</v>
      </c>
      <c r="F776" s="13">
        <f>[1]!Table323[[#This Row],[Single Family]]+[1]!Table323[[#This Row],[2-4 Units]]+[1]!Table323[[#This Row],[&gt;4 Units]]</f>
        <v>11</v>
      </c>
      <c r="G776" s="13">
        <v>11</v>
      </c>
      <c r="H776" s="13">
        <v>0</v>
      </c>
      <c r="I776" s="13">
        <v>0</v>
      </c>
      <c r="J776" s="68">
        <v>10404.854499999999</v>
      </c>
      <c r="K776">
        <f t="shared" si="12"/>
        <v>1</v>
      </c>
      <c r="L776" s="13">
        <v>1</v>
      </c>
      <c r="M776" s="13">
        <v>0</v>
      </c>
      <c r="N776" s="13">
        <v>0</v>
      </c>
      <c r="O776" s="68">
        <v>2802.43</v>
      </c>
      <c r="P776" s="155">
        <f>VLOOKUP(Table323[[#This Row],[Census Tract]],'Population and Diversity Data'!$B$2:$K$823,10,FALSE)</f>
        <v>2</v>
      </c>
      <c r="Q776" s="155" t="str">
        <f>VLOOKUP(Table323[[#This Row],[Census Tract]],'ES Energy Burden'!$B$2:$E$914,4,FALSE)</f>
        <v>No</v>
      </c>
    </row>
    <row r="777" spans="1:17" x14ac:dyDescent="0.2">
      <c r="A777" s="101">
        <v>9011709100</v>
      </c>
      <c r="B777" s="102" t="s">
        <v>2856</v>
      </c>
      <c r="C777" s="104" t="s">
        <v>944</v>
      </c>
      <c r="D777" s="69">
        <v>95.121561600000007</v>
      </c>
      <c r="E777" s="69">
        <v>0</v>
      </c>
      <c r="F777" s="13">
        <f>[1]!Table323[[#This Row],[Single Family]]+[1]!Table323[[#This Row],[2-4 Units]]+[1]!Table323[[#This Row],[&gt;4 Units]]</f>
        <v>0</v>
      </c>
      <c r="G777" s="13">
        <v>0</v>
      </c>
      <c r="H777" s="13">
        <v>0</v>
      </c>
      <c r="I777" s="13">
        <v>0</v>
      </c>
      <c r="J777" s="68">
        <v>0</v>
      </c>
      <c r="K777">
        <f t="shared" si="12"/>
        <v>0</v>
      </c>
      <c r="L777" s="13">
        <v>0</v>
      </c>
      <c r="M777" s="13">
        <v>0</v>
      </c>
      <c r="N777" s="13">
        <v>0</v>
      </c>
      <c r="O777" s="68">
        <v>0</v>
      </c>
      <c r="P777" s="155">
        <f>VLOOKUP(Table323[[#This Row],[Census Tract]],'Population and Diversity Data'!$B$2:$K$823,10,FALSE)</f>
        <v>3</v>
      </c>
      <c r="Q777" s="155" t="str">
        <f>VLOOKUP(Table323[[#This Row],[Census Tract]],'ES Energy Burden'!$B$2:$E$914,4,FALSE)</f>
        <v>No</v>
      </c>
    </row>
    <row r="778" spans="1:17" x14ac:dyDescent="0.2">
      <c r="A778" s="101">
        <v>9015908100</v>
      </c>
      <c r="B778" s="102" t="s">
        <v>2856</v>
      </c>
      <c r="C778" s="104" t="s">
        <v>944</v>
      </c>
      <c r="D778" s="69">
        <v>48.087561600000001</v>
      </c>
      <c r="E778" s="69">
        <v>0</v>
      </c>
      <c r="F778" s="13">
        <f>[1]!Table323[[#This Row],[Single Family]]+[1]!Table323[[#This Row],[2-4 Units]]+[1]!Table323[[#This Row],[&gt;4 Units]]</f>
        <v>0</v>
      </c>
      <c r="G778" s="13">
        <v>0</v>
      </c>
      <c r="H778" s="13">
        <v>0</v>
      </c>
      <c r="I778" s="13">
        <v>0</v>
      </c>
      <c r="J778" s="68">
        <v>0</v>
      </c>
      <c r="K778">
        <f t="shared" si="12"/>
        <v>0</v>
      </c>
      <c r="L778" s="13">
        <v>0</v>
      </c>
      <c r="M778" s="13">
        <v>0</v>
      </c>
      <c r="N778" s="13">
        <v>0</v>
      </c>
      <c r="O778" s="68">
        <v>0</v>
      </c>
      <c r="P778" s="155" t="e">
        <f>VLOOKUP(Table323[[#This Row],[Census Tract]],'Population and Diversity Data'!$B$2:$K$823,10,FALSE)</f>
        <v>#N/A</v>
      </c>
      <c r="Q778" s="155" t="e">
        <f>VLOOKUP(Table323[[#This Row],[Census Tract]],'ES Energy Burden'!$B$2:$E$914,4,FALSE)</f>
        <v>#N/A</v>
      </c>
    </row>
    <row r="779" spans="1:17" x14ac:dyDescent="0.2">
      <c r="A779" s="101">
        <v>9001035100</v>
      </c>
      <c r="B779" s="102" t="s">
        <v>2857</v>
      </c>
      <c r="C779" s="104" t="s">
        <v>944</v>
      </c>
      <c r="D779" s="69">
        <v>46.987689599999996</v>
      </c>
      <c r="E779" s="69">
        <v>0</v>
      </c>
      <c r="F779" s="13">
        <f>[1]!Table323[[#This Row],[Single Family]]+[1]!Table323[[#This Row],[2-4 Units]]+[1]!Table323[[#This Row],[&gt;4 Units]]</f>
        <v>0</v>
      </c>
      <c r="G779" s="13">
        <v>0</v>
      </c>
      <c r="H779" s="13">
        <v>0</v>
      </c>
      <c r="I779" s="13">
        <v>0</v>
      </c>
      <c r="J779" s="68">
        <v>0</v>
      </c>
      <c r="K779">
        <f t="shared" si="12"/>
        <v>0</v>
      </c>
      <c r="L779" s="13">
        <v>0</v>
      </c>
      <c r="M779" s="13">
        <v>0</v>
      </c>
      <c r="N779" s="13">
        <v>0</v>
      </c>
      <c r="O779" s="68">
        <v>0</v>
      </c>
      <c r="P779" s="155">
        <f>VLOOKUP(Table323[[#This Row],[Census Tract]],'Population and Diversity Data'!$B$2:$K$823,10,FALSE)</f>
        <v>2</v>
      </c>
      <c r="Q779" s="155" t="str">
        <f>VLOOKUP(Table323[[#This Row],[Census Tract]],'ES Energy Burden'!$B$2:$E$914,4,FALSE)</f>
        <v>No</v>
      </c>
    </row>
    <row r="780" spans="1:17" x14ac:dyDescent="0.2">
      <c r="A780" s="101">
        <v>9003496200</v>
      </c>
      <c r="B780" s="102" t="s">
        <v>2857</v>
      </c>
      <c r="C780" s="104" t="s">
        <v>944</v>
      </c>
      <c r="D780" s="69">
        <v>24.110352000000002</v>
      </c>
      <c r="E780" s="69">
        <v>0</v>
      </c>
      <c r="F780" s="13">
        <f>[1]!Table323[[#This Row],[Single Family]]+[1]!Table323[[#This Row],[2-4 Units]]+[1]!Table323[[#This Row],[&gt;4 Units]]</f>
        <v>0</v>
      </c>
      <c r="G780" s="13">
        <v>0</v>
      </c>
      <c r="H780" s="13">
        <v>0</v>
      </c>
      <c r="I780" s="13">
        <v>0</v>
      </c>
      <c r="J780" s="68">
        <v>0</v>
      </c>
      <c r="K780">
        <f t="shared" si="12"/>
        <v>0</v>
      </c>
      <c r="L780" s="13">
        <v>0</v>
      </c>
      <c r="M780" s="13">
        <v>0</v>
      </c>
      <c r="N780" s="13">
        <v>0</v>
      </c>
      <c r="O780" s="68">
        <v>0</v>
      </c>
      <c r="P780" s="155">
        <f>VLOOKUP(Table323[[#This Row],[Census Tract]],'Population and Diversity Data'!$B$2:$K$823,10,FALSE)</f>
        <v>5</v>
      </c>
      <c r="Q780" s="155" t="str">
        <f>VLOOKUP(Table323[[#This Row],[Census Tract]],'ES Energy Burden'!$B$2:$E$914,4,FALSE)</f>
        <v>No</v>
      </c>
    </row>
    <row r="781" spans="1:17" x14ac:dyDescent="0.2">
      <c r="A781" s="101">
        <v>9005263200</v>
      </c>
      <c r="B781" s="102" t="s">
        <v>2857</v>
      </c>
      <c r="C781" s="104" t="s">
        <v>944</v>
      </c>
      <c r="D781" s="69">
        <v>1081.73337408</v>
      </c>
      <c r="E781" s="69">
        <v>0</v>
      </c>
      <c r="F781" s="13">
        <f>[1]!Table323[[#This Row],[Single Family]]+[1]!Table323[[#This Row],[2-4 Units]]+[1]!Table323[[#This Row],[&gt;4 Units]]</f>
        <v>0</v>
      </c>
      <c r="G781" s="13">
        <v>0</v>
      </c>
      <c r="H781" s="13">
        <v>0</v>
      </c>
      <c r="I781" s="13">
        <v>0</v>
      </c>
      <c r="J781" s="68">
        <v>0</v>
      </c>
      <c r="K781">
        <f t="shared" si="12"/>
        <v>0</v>
      </c>
      <c r="L781" s="13">
        <v>0</v>
      </c>
      <c r="M781" s="13">
        <v>0</v>
      </c>
      <c r="N781" s="13">
        <v>0</v>
      </c>
      <c r="O781" s="68">
        <v>0</v>
      </c>
      <c r="P781" s="155">
        <f>VLOOKUP(Table323[[#This Row],[Census Tract]],'Population and Diversity Data'!$B$2:$K$823,10,FALSE)</f>
        <v>3</v>
      </c>
      <c r="Q781" s="155" t="str">
        <f>VLOOKUP(Table323[[#This Row],[Census Tract]],'ES Energy Burden'!$B$2:$E$914,4,FALSE)</f>
        <v>No</v>
      </c>
    </row>
    <row r="782" spans="1:17" x14ac:dyDescent="0.2">
      <c r="A782" s="101">
        <v>9005265100</v>
      </c>
      <c r="B782" s="102" t="s">
        <v>2857</v>
      </c>
      <c r="C782" s="104" t="s">
        <v>944</v>
      </c>
      <c r="D782" s="69">
        <v>41431.092839999998</v>
      </c>
      <c r="E782" s="69">
        <v>39393.502899999999</v>
      </c>
      <c r="F782" s="13">
        <f>[1]!Table323[[#This Row],[Single Family]]+[1]!Table323[[#This Row],[2-4 Units]]+[1]!Table323[[#This Row],[&gt;4 Units]]</f>
        <v>12</v>
      </c>
      <c r="G782" s="13">
        <v>12</v>
      </c>
      <c r="H782" s="13">
        <v>0</v>
      </c>
      <c r="I782" s="13">
        <v>0</v>
      </c>
      <c r="J782" s="68">
        <v>12640.63</v>
      </c>
      <c r="K782">
        <f t="shared" si="12"/>
        <v>3</v>
      </c>
      <c r="L782" s="13">
        <v>3</v>
      </c>
      <c r="M782" s="13">
        <v>0</v>
      </c>
      <c r="N782" s="13">
        <v>0</v>
      </c>
      <c r="O782" s="68">
        <v>20297.7</v>
      </c>
      <c r="P782" s="155">
        <f>VLOOKUP(Table323[[#This Row],[Census Tract]],'Population and Diversity Data'!$B$2:$K$823,10,FALSE)</f>
        <v>1</v>
      </c>
      <c r="Q782" s="155" t="str">
        <f>VLOOKUP(Table323[[#This Row],[Census Tract]],'ES Energy Burden'!$B$2:$E$914,4,FALSE)</f>
        <v>No</v>
      </c>
    </row>
    <row r="783" spans="1:17" x14ac:dyDescent="0.2">
      <c r="A783" s="101">
        <v>9005266100</v>
      </c>
      <c r="B783" s="102" t="s">
        <v>2857</v>
      </c>
      <c r="C783" s="104" t="s">
        <v>944</v>
      </c>
      <c r="D783" s="69">
        <v>107.6601024</v>
      </c>
      <c r="E783" s="69">
        <v>0</v>
      </c>
      <c r="F783" s="13">
        <f>[1]!Table323[[#This Row],[Single Family]]+[1]!Table323[[#This Row],[2-4 Units]]+[1]!Table323[[#This Row],[&gt;4 Units]]</f>
        <v>0</v>
      </c>
      <c r="G783" s="13">
        <v>0</v>
      </c>
      <c r="H783" s="13">
        <v>0</v>
      </c>
      <c r="I783" s="13">
        <v>0</v>
      </c>
      <c r="J783" s="68">
        <v>0</v>
      </c>
      <c r="K783">
        <f t="shared" si="12"/>
        <v>0</v>
      </c>
      <c r="L783" s="13">
        <v>0</v>
      </c>
      <c r="M783" s="13">
        <v>0</v>
      </c>
      <c r="N783" s="13">
        <v>0</v>
      </c>
      <c r="O783" s="68">
        <v>0</v>
      </c>
      <c r="P783" s="155">
        <f>VLOOKUP(Table323[[#This Row],[Census Tract]],'Population and Diversity Data'!$B$2:$K$823,10,FALSE)</f>
        <v>2</v>
      </c>
      <c r="Q783" s="155" t="str">
        <f>VLOOKUP(Table323[[#This Row],[Census Tract]],'ES Energy Burden'!$B$2:$E$914,4,FALSE)</f>
        <v>No</v>
      </c>
    </row>
    <row r="784" spans="1:17" x14ac:dyDescent="0.2">
      <c r="A784" s="101">
        <v>9005267100</v>
      </c>
      <c r="B784" s="102" t="s">
        <v>2857</v>
      </c>
      <c r="C784" s="104" t="s">
        <v>944</v>
      </c>
      <c r="D784" s="69">
        <v>1739.6270208000001</v>
      </c>
      <c r="E784" s="69">
        <v>0</v>
      </c>
      <c r="F784" s="13">
        <f>[1]!Table323[[#This Row],[Single Family]]+[1]!Table323[[#This Row],[2-4 Units]]+[1]!Table323[[#This Row],[&gt;4 Units]]</f>
        <v>1</v>
      </c>
      <c r="G784" s="13">
        <v>1</v>
      </c>
      <c r="H784" s="13">
        <v>0</v>
      </c>
      <c r="I784" s="13">
        <v>0</v>
      </c>
      <c r="J784" s="68">
        <v>0</v>
      </c>
      <c r="K784">
        <f t="shared" si="12"/>
        <v>0</v>
      </c>
      <c r="L784" s="13">
        <v>0</v>
      </c>
      <c r="M784" s="13">
        <v>0</v>
      </c>
      <c r="N784" s="13">
        <v>0</v>
      </c>
      <c r="O784" s="68">
        <v>0</v>
      </c>
      <c r="P784" s="155">
        <f>VLOOKUP(Table323[[#This Row],[Census Tract]],'Population and Diversity Data'!$B$2:$K$823,10,FALSE)</f>
        <v>3</v>
      </c>
      <c r="Q784" s="155" t="str">
        <f>VLOOKUP(Table323[[#This Row],[Census Tract]],'ES Energy Burden'!$B$2:$E$914,4,FALSE)</f>
        <v>No</v>
      </c>
    </row>
    <row r="785" spans="1:17" x14ac:dyDescent="0.2">
      <c r="A785" s="101">
        <v>9005306100</v>
      </c>
      <c r="B785" s="102" t="s">
        <v>2857</v>
      </c>
      <c r="C785" s="104" t="s">
        <v>944</v>
      </c>
      <c r="D785" s="69">
        <v>34.269696000000003</v>
      </c>
      <c r="E785" s="69">
        <v>0</v>
      </c>
      <c r="F785" s="13">
        <f>[1]!Table323[[#This Row],[Single Family]]+[1]!Table323[[#This Row],[2-4 Units]]+[1]!Table323[[#This Row],[&gt;4 Units]]</f>
        <v>0</v>
      </c>
      <c r="G785" s="13">
        <v>0</v>
      </c>
      <c r="H785" s="13">
        <v>0</v>
      </c>
      <c r="I785" s="13">
        <v>0</v>
      </c>
      <c r="J785" s="68">
        <v>0</v>
      </c>
      <c r="K785">
        <f t="shared" si="12"/>
        <v>0</v>
      </c>
      <c r="L785" s="13">
        <v>0</v>
      </c>
      <c r="M785" s="13">
        <v>0</v>
      </c>
      <c r="N785" s="13">
        <v>0</v>
      </c>
      <c r="O785" s="68">
        <v>0</v>
      </c>
      <c r="P785" s="155">
        <f>VLOOKUP(Table323[[#This Row],[Census Tract]],'Population and Diversity Data'!$B$2:$K$823,10,FALSE)</f>
        <v>1</v>
      </c>
      <c r="Q785" s="155" t="str">
        <f>VLOOKUP(Table323[[#This Row],[Census Tract]],'ES Energy Burden'!$B$2:$E$914,4,FALSE)</f>
        <v>No</v>
      </c>
    </row>
    <row r="786" spans="1:17" x14ac:dyDescent="0.2">
      <c r="A786" s="101">
        <v>9005253500</v>
      </c>
      <c r="B786" s="102" t="s">
        <v>2858</v>
      </c>
      <c r="C786" s="104" t="s">
        <v>944</v>
      </c>
      <c r="D786" s="69">
        <v>105.3330048</v>
      </c>
      <c r="E786" s="69">
        <v>0</v>
      </c>
      <c r="F786" s="13">
        <f>[1]!Table323[[#This Row],[Single Family]]+[1]!Table323[[#This Row],[2-4 Units]]+[1]!Table323[[#This Row],[&gt;4 Units]]</f>
        <v>0</v>
      </c>
      <c r="G786" s="13">
        <v>0</v>
      </c>
      <c r="H786" s="13">
        <v>0</v>
      </c>
      <c r="I786" s="13">
        <v>0</v>
      </c>
      <c r="J786" s="68">
        <v>0</v>
      </c>
      <c r="K786">
        <f t="shared" si="12"/>
        <v>0</v>
      </c>
      <c r="L786" s="13">
        <v>0</v>
      </c>
      <c r="M786" s="13">
        <v>0</v>
      </c>
      <c r="N786" s="13">
        <v>0</v>
      </c>
      <c r="O786" s="68">
        <v>0</v>
      </c>
      <c r="P786" s="155">
        <f>VLOOKUP(Table323[[#This Row],[Census Tract]],'Population and Diversity Data'!$B$2:$K$823,10,FALSE)</f>
        <v>4</v>
      </c>
      <c r="Q786" s="155" t="str">
        <f>VLOOKUP(Table323[[#This Row],[Census Tract]],'ES Energy Burden'!$B$2:$E$914,4,FALSE)</f>
        <v>No</v>
      </c>
    </row>
    <row r="787" spans="1:17" x14ac:dyDescent="0.2">
      <c r="A787" s="101">
        <v>9005265100</v>
      </c>
      <c r="B787" s="102" t="s">
        <v>2858</v>
      </c>
      <c r="C787" s="104" t="s">
        <v>944</v>
      </c>
      <c r="D787" s="69">
        <v>2562.3306979200006</v>
      </c>
      <c r="E787" s="69">
        <v>1202.22</v>
      </c>
      <c r="F787" s="13">
        <f>[1]!Table323[[#This Row],[Single Family]]+[1]!Table323[[#This Row],[2-4 Units]]+[1]!Table323[[#This Row],[&gt;4 Units]]</f>
        <v>2</v>
      </c>
      <c r="G787" s="13">
        <v>2</v>
      </c>
      <c r="H787" s="13">
        <v>0</v>
      </c>
      <c r="I787" s="13">
        <v>0</v>
      </c>
      <c r="J787" s="68">
        <v>1197.4329</v>
      </c>
      <c r="K787">
        <f t="shared" si="12"/>
        <v>0</v>
      </c>
      <c r="L787" s="13">
        <v>0</v>
      </c>
      <c r="M787" s="13">
        <v>0</v>
      </c>
      <c r="N787" s="13">
        <v>0</v>
      </c>
      <c r="O787" s="68">
        <v>0</v>
      </c>
      <c r="P787" s="155">
        <f>VLOOKUP(Table323[[#This Row],[Census Tract]],'Population and Diversity Data'!$B$2:$K$823,10,FALSE)</f>
        <v>1</v>
      </c>
      <c r="Q787" s="155" t="str">
        <f>VLOOKUP(Table323[[#This Row],[Census Tract]],'ES Energy Burden'!$B$2:$E$914,4,FALSE)</f>
        <v>No</v>
      </c>
    </row>
    <row r="788" spans="1:17" x14ac:dyDescent="0.2">
      <c r="A788" s="101">
        <v>9005267100</v>
      </c>
      <c r="B788" s="102" t="s">
        <v>2858</v>
      </c>
      <c r="C788" s="104" t="s">
        <v>944</v>
      </c>
      <c r="D788" s="69">
        <v>146825.70668064</v>
      </c>
      <c r="E788" s="69">
        <v>46420.828399999999</v>
      </c>
      <c r="F788" s="13">
        <f>[1]!Table323[[#This Row],[Single Family]]+[1]!Table323[[#This Row],[2-4 Units]]+[1]!Table323[[#This Row],[&gt;4 Units]]</f>
        <v>23</v>
      </c>
      <c r="G788" s="13">
        <v>23</v>
      </c>
      <c r="H788" s="13">
        <v>0</v>
      </c>
      <c r="I788" s="13">
        <v>0</v>
      </c>
      <c r="J788" s="68">
        <v>21563.838400000001</v>
      </c>
      <c r="K788">
        <f t="shared" si="12"/>
        <v>2</v>
      </c>
      <c r="L788" s="13">
        <v>2</v>
      </c>
      <c r="M788" s="13">
        <v>0</v>
      </c>
      <c r="N788" s="13">
        <v>0</v>
      </c>
      <c r="O788" s="68">
        <v>1075.8699999999999</v>
      </c>
      <c r="P788" s="155">
        <f>VLOOKUP(Table323[[#This Row],[Census Tract]],'Population and Diversity Data'!$B$2:$K$823,10,FALSE)</f>
        <v>3</v>
      </c>
      <c r="Q788" s="155" t="str">
        <f>VLOOKUP(Table323[[#This Row],[Census Tract]],'ES Energy Burden'!$B$2:$E$914,4,FALSE)</f>
        <v>No</v>
      </c>
    </row>
    <row r="789" spans="1:17" x14ac:dyDescent="0.2">
      <c r="A789" s="101">
        <v>9005362102</v>
      </c>
      <c r="B789" s="102" t="s">
        <v>2858</v>
      </c>
      <c r="C789" s="104" t="s">
        <v>944</v>
      </c>
      <c r="D789" s="69">
        <v>952.21128959999999</v>
      </c>
      <c r="E789" s="69">
        <v>0</v>
      </c>
      <c r="F789" s="13">
        <f>[1]!Table323[[#This Row],[Single Family]]+[1]!Table323[[#This Row],[2-4 Units]]+[1]!Table323[[#This Row],[&gt;4 Units]]</f>
        <v>0</v>
      </c>
      <c r="G789" s="13">
        <v>0</v>
      </c>
      <c r="H789" s="13">
        <v>0</v>
      </c>
      <c r="I789" s="13">
        <v>0</v>
      </c>
      <c r="J789" s="68">
        <v>0</v>
      </c>
      <c r="K789">
        <f t="shared" si="12"/>
        <v>0</v>
      </c>
      <c r="L789" s="13">
        <v>0</v>
      </c>
      <c r="M789" s="13">
        <v>0</v>
      </c>
      <c r="N789" s="13">
        <v>0</v>
      </c>
      <c r="O789" s="68">
        <v>0</v>
      </c>
      <c r="P789" s="155">
        <f>VLOOKUP(Table323[[#This Row],[Census Tract]],'Population and Diversity Data'!$B$2:$K$823,10,FALSE)</f>
        <v>1</v>
      </c>
      <c r="Q789" s="155" t="str">
        <f>VLOOKUP(Table323[[#This Row],[Census Tract]],'ES Energy Burden'!$B$2:$E$914,4,FALSE)</f>
        <v>No</v>
      </c>
    </row>
    <row r="790" spans="1:17" x14ac:dyDescent="0.2">
      <c r="A790" s="101">
        <v>9009345100</v>
      </c>
      <c r="B790" s="102" t="s">
        <v>982</v>
      </c>
      <c r="C790" s="104" t="s">
        <v>944</v>
      </c>
      <c r="D790" s="69">
        <v>1723.8467519999999</v>
      </c>
      <c r="E790" s="69">
        <v>22.2</v>
      </c>
      <c r="F790" s="13">
        <f>[1]!Table323[[#This Row],[Single Family]]+[1]!Table323[[#This Row],[2-4 Units]]+[1]!Table323[[#This Row],[&gt;4 Units]]</f>
        <v>0</v>
      </c>
      <c r="G790" s="13">
        <v>0</v>
      </c>
      <c r="H790" s="13">
        <v>0</v>
      </c>
      <c r="I790" s="13">
        <v>0</v>
      </c>
      <c r="J790" s="68">
        <v>0</v>
      </c>
      <c r="K790">
        <f t="shared" si="12"/>
        <v>0</v>
      </c>
      <c r="L790" s="13">
        <v>0</v>
      </c>
      <c r="M790" s="13">
        <v>0</v>
      </c>
      <c r="N790" s="13">
        <v>0</v>
      </c>
      <c r="O790" s="68">
        <v>0</v>
      </c>
      <c r="P790" s="155">
        <f>VLOOKUP(Table323[[#This Row],[Census Tract]],'Population and Diversity Data'!$B$2:$K$823,10,FALSE)</f>
        <v>2</v>
      </c>
      <c r="Q790" s="155" t="str">
        <f>VLOOKUP(Table323[[#This Row],[Census Tract]],'ES Energy Burden'!$B$2:$E$914,4,FALSE)</f>
        <v>No</v>
      </c>
    </row>
    <row r="791" spans="1:17" x14ac:dyDescent="0.2">
      <c r="A791" s="101">
        <v>9009347100</v>
      </c>
      <c r="B791" s="102" t="s">
        <v>982</v>
      </c>
      <c r="C791" s="104" t="s">
        <v>944</v>
      </c>
      <c r="D791" s="69">
        <v>796.48099200000001</v>
      </c>
      <c r="E791" s="69">
        <v>0</v>
      </c>
      <c r="F791" s="13">
        <f>[1]!Table323[[#This Row],[Single Family]]+[1]!Table323[[#This Row],[2-4 Units]]+[1]!Table323[[#This Row],[&gt;4 Units]]</f>
        <v>0</v>
      </c>
      <c r="G791" s="13">
        <v>0</v>
      </c>
      <c r="H791" s="13">
        <v>0</v>
      </c>
      <c r="I791" s="13">
        <v>0</v>
      </c>
      <c r="J791" s="68">
        <v>0</v>
      </c>
      <c r="K791">
        <f t="shared" si="12"/>
        <v>0</v>
      </c>
      <c r="L791" s="13">
        <v>0</v>
      </c>
      <c r="M791" s="13">
        <v>0</v>
      </c>
      <c r="N791" s="13">
        <v>0</v>
      </c>
      <c r="O791" s="68">
        <v>0</v>
      </c>
      <c r="P791" s="155">
        <f>VLOOKUP(Table323[[#This Row],[Census Tract]],'Population and Diversity Data'!$B$2:$K$823,10,FALSE)</f>
        <v>1</v>
      </c>
      <c r="Q791" s="155" t="str">
        <f>VLOOKUP(Table323[[#This Row],[Census Tract]],'ES Energy Burden'!$B$2:$E$914,4,FALSE)</f>
        <v>No</v>
      </c>
    </row>
    <row r="792" spans="1:17" x14ac:dyDescent="0.2">
      <c r="A792" s="101">
        <v>9009350100</v>
      </c>
      <c r="B792" s="102" t="s">
        <v>982</v>
      </c>
      <c r="C792" s="104" t="s">
        <v>936</v>
      </c>
      <c r="D792" s="69">
        <v>38315.271240000002</v>
      </c>
      <c r="E792" s="69">
        <v>12377.77</v>
      </c>
      <c r="F792" s="13">
        <f>[1]!Table323[[#This Row],[Single Family]]+[1]!Table323[[#This Row],[2-4 Units]]+[1]!Table323[[#This Row],[&gt;4 Units]]</f>
        <v>0</v>
      </c>
      <c r="G792" s="13">
        <v>0</v>
      </c>
      <c r="H792" s="13">
        <v>0</v>
      </c>
      <c r="I792" s="13">
        <v>0</v>
      </c>
      <c r="J792" s="68">
        <v>0</v>
      </c>
      <c r="K792">
        <f t="shared" si="12"/>
        <v>0</v>
      </c>
      <c r="L792" s="13">
        <v>0</v>
      </c>
      <c r="M792" s="13">
        <v>0</v>
      </c>
      <c r="N792" s="13">
        <v>0</v>
      </c>
      <c r="O792" s="68">
        <v>0</v>
      </c>
      <c r="P792" s="155">
        <f>VLOOKUP(Table323[[#This Row],[Census Tract]],'Population and Diversity Data'!$B$2:$K$823,10,FALSE)</f>
        <v>5</v>
      </c>
      <c r="Q792" s="155" t="e">
        <f>VLOOKUP(Table323[[#This Row],[Census Tract]],'ES Energy Burden'!$B$2:$E$914,4,FALSE)</f>
        <v>#N/A</v>
      </c>
    </row>
    <row r="793" spans="1:17" x14ac:dyDescent="0.2">
      <c r="A793" s="101">
        <v>9009350200</v>
      </c>
      <c r="B793" s="102" t="s">
        <v>982</v>
      </c>
      <c r="C793" s="104" t="s">
        <v>936</v>
      </c>
      <c r="D793" s="69">
        <v>44886.648113279996</v>
      </c>
      <c r="E793" s="69">
        <v>14823.31</v>
      </c>
      <c r="F793" s="13">
        <f>[1]!Table323[[#This Row],[Single Family]]+[1]!Table323[[#This Row],[2-4 Units]]+[1]!Table323[[#This Row],[&gt;4 Units]]</f>
        <v>0</v>
      </c>
      <c r="G793" s="13">
        <v>0</v>
      </c>
      <c r="H793" s="13">
        <v>0</v>
      </c>
      <c r="I793" s="13">
        <v>0</v>
      </c>
      <c r="J793" s="68">
        <v>0</v>
      </c>
      <c r="K793">
        <f t="shared" si="12"/>
        <v>0</v>
      </c>
      <c r="L793" s="13">
        <v>0</v>
      </c>
      <c r="M793" s="13">
        <v>0</v>
      </c>
      <c r="N793" s="13">
        <v>0</v>
      </c>
      <c r="O793" s="68">
        <v>0</v>
      </c>
      <c r="P793" s="155">
        <f>VLOOKUP(Table323[[#This Row],[Census Tract]],'Population and Diversity Data'!$B$2:$K$823,10,FALSE)</f>
        <v>4</v>
      </c>
      <c r="Q793" s="155" t="e">
        <f>VLOOKUP(Table323[[#This Row],[Census Tract]],'ES Energy Burden'!$B$2:$E$914,4,FALSE)</f>
        <v>#N/A</v>
      </c>
    </row>
    <row r="794" spans="1:17" x14ac:dyDescent="0.2">
      <c r="A794" s="101">
        <v>9009350300</v>
      </c>
      <c r="B794" s="102" t="s">
        <v>982</v>
      </c>
      <c r="C794" s="104" t="s">
        <v>944</v>
      </c>
      <c r="D794" s="69">
        <v>26865.736862400001</v>
      </c>
      <c r="E794" s="69">
        <v>7264.46</v>
      </c>
      <c r="F794" s="13">
        <f>[1]!Table323[[#This Row],[Single Family]]+[1]!Table323[[#This Row],[2-4 Units]]+[1]!Table323[[#This Row],[&gt;4 Units]]</f>
        <v>0</v>
      </c>
      <c r="G794" s="13">
        <v>0</v>
      </c>
      <c r="H794" s="13">
        <v>0</v>
      </c>
      <c r="I794" s="13">
        <v>0</v>
      </c>
      <c r="J794" s="68">
        <v>0</v>
      </c>
      <c r="K794">
        <f t="shared" si="12"/>
        <v>0</v>
      </c>
      <c r="L794" s="13">
        <v>0</v>
      </c>
      <c r="M794" s="13">
        <v>0</v>
      </c>
      <c r="N794" s="13">
        <v>0</v>
      </c>
      <c r="O794" s="68">
        <v>0</v>
      </c>
      <c r="P794" s="155">
        <f>VLOOKUP(Table323[[#This Row],[Census Tract]],'Population and Diversity Data'!$B$2:$K$823,10,FALSE)</f>
        <v>5</v>
      </c>
      <c r="Q794" s="155" t="str">
        <f>VLOOKUP(Table323[[#This Row],[Census Tract]],'ES Energy Burden'!$B$2:$E$914,4,FALSE)</f>
        <v>Yes</v>
      </c>
    </row>
    <row r="795" spans="1:17" x14ac:dyDescent="0.2">
      <c r="A795" s="101">
        <v>9009350400</v>
      </c>
      <c r="B795" s="102" t="s">
        <v>982</v>
      </c>
      <c r="C795" s="104" t="s">
        <v>944</v>
      </c>
      <c r="D795" s="69">
        <v>37398.924460800001</v>
      </c>
      <c r="E795" s="69">
        <v>1172.21</v>
      </c>
      <c r="F795" s="13">
        <f>[1]!Table323[[#This Row],[Single Family]]+[1]!Table323[[#This Row],[2-4 Units]]+[1]!Table323[[#This Row],[&gt;4 Units]]</f>
        <v>1</v>
      </c>
      <c r="G795" s="13">
        <v>1</v>
      </c>
      <c r="H795" s="13">
        <v>0</v>
      </c>
      <c r="I795" s="13">
        <v>0</v>
      </c>
      <c r="J795" s="68">
        <v>192.74</v>
      </c>
      <c r="K795">
        <f t="shared" si="12"/>
        <v>0</v>
      </c>
      <c r="L795" s="13">
        <v>0</v>
      </c>
      <c r="M795" s="13">
        <v>0</v>
      </c>
      <c r="N795" s="13">
        <v>0</v>
      </c>
      <c r="O795" s="68">
        <v>0</v>
      </c>
      <c r="P795" s="155">
        <f>VLOOKUP(Table323[[#This Row],[Census Tract]],'Population and Diversity Data'!$B$2:$K$823,10,FALSE)</f>
        <v>5</v>
      </c>
      <c r="Q795" s="155" t="str">
        <f>VLOOKUP(Table323[[#This Row],[Census Tract]],'ES Energy Burden'!$B$2:$E$914,4,FALSE)</f>
        <v>Yes</v>
      </c>
    </row>
    <row r="796" spans="1:17" x14ac:dyDescent="0.2">
      <c r="A796" s="101">
        <v>9009350500</v>
      </c>
      <c r="B796" s="102" t="s">
        <v>982</v>
      </c>
      <c r="C796" s="104" t="s">
        <v>944</v>
      </c>
      <c r="D796" s="69">
        <v>30786.702393600001</v>
      </c>
      <c r="E796" s="69">
        <v>5469.22</v>
      </c>
      <c r="F796" s="13">
        <f>[1]!Table323[[#This Row],[Single Family]]+[1]!Table323[[#This Row],[2-4 Units]]+[1]!Table323[[#This Row],[&gt;4 Units]]</f>
        <v>2</v>
      </c>
      <c r="G796" s="13">
        <v>2</v>
      </c>
      <c r="H796" s="13">
        <v>0</v>
      </c>
      <c r="I796" s="13">
        <v>0</v>
      </c>
      <c r="J796" s="68">
        <v>297.11</v>
      </c>
      <c r="K796">
        <f t="shared" si="12"/>
        <v>0</v>
      </c>
      <c r="L796" s="13">
        <v>0</v>
      </c>
      <c r="M796" s="13">
        <v>0</v>
      </c>
      <c r="N796" s="13">
        <v>0</v>
      </c>
      <c r="O796" s="68">
        <v>0</v>
      </c>
      <c r="P796" s="155">
        <f>VLOOKUP(Table323[[#This Row],[Census Tract]],'Population and Diversity Data'!$B$2:$K$823,10,FALSE)</f>
        <v>5</v>
      </c>
      <c r="Q796" s="155" t="str">
        <f>VLOOKUP(Table323[[#This Row],[Census Tract]],'ES Energy Burden'!$B$2:$E$914,4,FALSE)</f>
        <v>Yes</v>
      </c>
    </row>
    <row r="797" spans="1:17" x14ac:dyDescent="0.2">
      <c r="A797" s="101">
        <v>9009350800</v>
      </c>
      <c r="B797" s="102" t="s">
        <v>982</v>
      </c>
      <c r="C797" s="104" t="s">
        <v>944</v>
      </c>
      <c r="D797" s="69">
        <v>75305.171249280014</v>
      </c>
      <c r="E797" s="69">
        <v>26025.75</v>
      </c>
      <c r="F797" s="13">
        <f>[1]!Table323[[#This Row],[Single Family]]+[1]!Table323[[#This Row],[2-4 Units]]+[1]!Table323[[#This Row],[&gt;4 Units]]</f>
        <v>6</v>
      </c>
      <c r="G797" s="13">
        <v>6</v>
      </c>
      <c r="H797" s="13">
        <v>0</v>
      </c>
      <c r="I797" s="13">
        <v>0</v>
      </c>
      <c r="J797" s="68">
        <v>3284.9</v>
      </c>
      <c r="K797">
        <f t="shared" si="12"/>
        <v>0</v>
      </c>
      <c r="L797" s="13">
        <v>0</v>
      </c>
      <c r="M797" s="13">
        <v>0</v>
      </c>
      <c r="N797" s="13">
        <v>0</v>
      </c>
      <c r="O797" s="68">
        <v>0</v>
      </c>
      <c r="P797" s="155">
        <f>VLOOKUP(Table323[[#This Row],[Census Tract]],'Population and Diversity Data'!$B$2:$K$823,10,FALSE)</f>
        <v>3</v>
      </c>
      <c r="Q797" s="155" t="str">
        <f>VLOOKUP(Table323[[#This Row],[Census Tract]],'ES Energy Burden'!$B$2:$E$914,4,FALSE)</f>
        <v>Yes</v>
      </c>
    </row>
    <row r="798" spans="1:17" x14ac:dyDescent="0.2">
      <c r="A798" s="101">
        <v>9009350900</v>
      </c>
      <c r="B798" s="102" t="s">
        <v>982</v>
      </c>
      <c r="C798" s="104" t="s">
        <v>944</v>
      </c>
      <c r="D798" s="69">
        <v>30064.937443199997</v>
      </c>
      <c r="E798" s="69">
        <v>35858.410000000003</v>
      </c>
      <c r="F798" s="13">
        <f>[1]!Table323[[#This Row],[Single Family]]+[1]!Table323[[#This Row],[2-4 Units]]+[1]!Table323[[#This Row],[&gt;4 Units]]</f>
        <v>6</v>
      </c>
      <c r="G798" s="13">
        <v>6</v>
      </c>
      <c r="H798" s="13">
        <v>0</v>
      </c>
      <c r="I798" s="13">
        <v>0</v>
      </c>
      <c r="J798" s="68">
        <v>2809.04</v>
      </c>
      <c r="K798">
        <f t="shared" si="12"/>
        <v>0</v>
      </c>
      <c r="L798" s="13">
        <v>0</v>
      </c>
      <c r="M798" s="13">
        <v>0</v>
      </c>
      <c r="N798" s="13">
        <v>0</v>
      </c>
      <c r="O798" s="68">
        <v>0</v>
      </c>
      <c r="P798" s="155">
        <f>VLOOKUP(Table323[[#This Row],[Census Tract]],'Population and Diversity Data'!$B$2:$K$823,10,FALSE)</f>
        <v>3</v>
      </c>
      <c r="Q798" s="155" t="str">
        <f>VLOOKUP(Table323[[#This Row],[Census Tract]],'ES Energy Burden'!$B$2:$E$914,4,FALSE)</f>
        <v>No</v>
      </c>
    </row>
    <row r="799" spans="1:17" x14ac:dyDescent="0.2">
      <c r="A799" s="101">
        <v>9009351000</v>
      </c>
      <c r="B799" s="102" t="s">
        <v>982</v>
      </c>
      <c r="C799" s="104" t="s">
        <v>944</v>
      </c>
      <c r="D799" s="69">
        <v>60298.793807040005</v>
      </c>
      <c r="E799" s="69">
        <v>118554.3701</v>
      </c>
      <c r="F799" s="13">
        <f>[1]!Table323[[#This Row],[Single Family]]+[1]!Table323[[#This Row],[2-4 Units]]+[1]!Table323[[#This Row],[&gt;4 Units]]</f>
        <v>12</v>
      </c>
      <c r="G799" s="13">
        <v>12</v>
      </c>
      <c r="H799" s="13">
        <v>0</v>
      </c>
      <c r="I799" s="13">
        <v>0</v>
      </c>
      <c r="J799" s="68">
        <v>4866.6100999999999</v>
      </c>
      <c r="K799">
        <f t="shared" si="12"/>
        <v>0</v>
      </c>
      <c r="L799" s="13">
        <v>0</v>
      </c>
      <c r="M799" s="13">
        <v>0</v>
      </c>
      <c r="N799" s="13">
        <v>0</v>
      </c>
      <c r="O799" s="68">
        <v>0</v>
      </c>
      <c r="P799" s="155">
        <f>VLOOKUP(Table323[[#This Row],[Census Tract]],'Population and Diversity Data'!$B$2:$K$823,10,FALSE)</f>
        <v>4</v>
      </c>
      <c r="Q799" s="155" t="str">
        <f>VLOOKUP(Table323[[#This Row],[Census Tract]],'ES Energy Burden'!$B$2:$E$914,4,FALSE)</f>
        <v>No</v>
      </c>
    </row>
    <row r="800" spans="1:17" x14ac:dyDescent="0.2">
      <c r="A800" s="101">
        <v>9009351100</v>
      </c>
      <c r="B800" s="102" t="s">
        <v>982</v>
      </c>
      <c r="C800" s="104" t="s">
        <v>944</v>
      </c>
      <c r="D800" s="69">
        <v>82675.970403840009</v>
      </c>
      <c r="E800" s="69">
        <v>57259.17</v>
      </c>
      <c r="F800" s="13">
        <f>[1]!Table323[[#This Row],[Single Family]]+[1]!Table323[[#This Row],[2-4 Units]]+[1]!Table323[[#This Row],[&gt;4 Units]]</f>
        <v>5</v>
      </c>
      <c r="G800" s="13">
        <v>5</v>
      </c>
      <c r="H800" s="13">
        <v>0</v>
      </c>
      <c r="I800" s="13">
        <v>0</v>
      </c>
      <c r="J800" s="68">
        <v>3361.22</v>
      </c>
      <c r="K800">
        <f t="shared" si="12"/>
        <v>0</v>
      </c>
      <c r="L800" s="13">
        <v>0</v>
      </c>
      <c r="M800" s="13">
        <v>0</v>
      </c>
      <c r="N800" s="13">
        <v>0</v>
      </c>
      <c r="O800" s="68">
        <v>0</v>
      </c>
      <c r="P800" s="155">
        <f>VLOOKUP(Table323[[#This Row],[Census Tract]],'Population and Diversity Data'!$B$2:$K$823,10,FALSE)</f>
        <v>5</v>
      </c>
      <c r="Q800" s="155" t="str">
        <f>VLOOKUP(Table323[[#This Row],[Census Tract]],'ES Energy Burden'!$B$2:$E$914,4,FALSE)</f>
        <v>Yes</v>
      </c>
    </row>
    <row r="801" spans="1:17" x14ac:dyDescent="0.2">
      <c r="A801" s="101">
        <v>9009351200</v>
      </c>
      <c r="B801" s="102" t="s">
        <v>982</v>
      </c>
      <c r="C801" s="104" t="s">
        <v>944</v>
      </c>
      <c r="D801" s="69">
        <v>54356.397840000005</v>
      </c>
      <c r="E801" s="69">
        <v>7114.2227999999996</v>
      </c>
      <c r="F801" s="13">
        <f>[1]!Table323[[#This Row],[Single Family]]+[1]!Table323[[#This Row],[2-4 Units]]+[1]!Table323[[#This Row],[&gt;4 Units]]</f>
        <v>1</v>
      </c>
      <c r="G801" s="13">
        <v>1</v>
      </c>
      <c r="H801" s="13">
        <v>0</v>
      </c>
      <c r="I801" s="13">
        <v>0</v>
      </c>
      <c r="J801" s="68">
        <v>808.19280000000003</v>
      </c>
      <c r="K801">
        <f t="shared" si="12"/>
        <v>0</v>
      </c>
      <c r="L801" s="13">
        <v>0</v>
      </c>
      <c r="M801" s="13">
        <v>0</v>
      </c>
      <c r="N801" s="13">
        <v>0</v>
      </c>
      <c r="O801" s="68">
        <v>0</v>
      </c>
      <c r="P801" s="155">
        <f>VLOOKUP(Table323[[#This Row],[Census Tract]],'Population and Diversity Data'!$B$2:$K$823,10,FALSE)</f>
        <v>5</v>
      </c>
      <c r="Q801" s="155" t="str">
        <f>VLOOKUP(Table323[[#This Row],[Census Tract]],'ES Energy Burden'!$B$2:$E$914,4,FALSE)</f>
        <v>Yes</v>
      </c>
    </row>
    <row r="802" spans="1:17" x14ac:dyDescent="0.2">
      <c r="A802" s="101">
        <v>9009351300</v>
      </c>
      <c r="B802" s="102" t="s">
        <v>982</v>
      </c>
      <c r="C802" s="104" t="s">
        <v>944</v>
      </c>
      <c r="D802" s="69">
        <v>73465.479031680006</v>
      </c>
      <c r="E802" s="69">
        <v>32921.589999999997</v>
      </c>
      <c r="F802" s="13">
        <f>[1]!Table323[[#This Row],[Single Family]]+[1]!Table323[[#This Row],[2-4 Units]]+[1]!Table323[[#This Row],[&gt;4 Units]]</f>
        <v>3</v>
      </c>
      <c r="G802" s="13">
        <v>3</v>
      </c>
      <c r="H802" s="13">
        <v>0</v>
      </c>
      <c r="I802" s="13">
        <v>0</v>
      </c>
      <c r="J802" s="68">
        <v>1489.51</v>
      </c>
      <c r="K802">
        <f t="shared" si="12"/>
        <v>0</v>
      </c>
      <c r="L802" s="13">
        <v>0</v>
      </c>
      <c r="M802" s="13">
        <v>0</v>
      </c>
      <c r="N802" s="13">
        <v>0</v>
      </c>
      <c r="O802" s="68">
        <v>0</v>
      </c>
      <c r="P802" s="155">
        <f>VLOOKUP(Table323[[#This Row],[Census Tract]],'Population and Diversity Data'!$B$2:$K$823,10,FALSE)</f>
        <v>5</v>
      </c>
      <c r="Q802" s="155" t="str">
        <f>VLOOKUP(Table323[[#This Row],[Census Tract]],'ES Energy Burden'!$B$2:$E$914,4,FALSE)</f>
        <v>Yes</v>
      </c>
    </row>
    <row r="803" spans="1:17" x14ac:dyDescent="0.2">
      <c r="A803" s="101">
        <v>9009351400</v>
      </c>
      <c r="B803" s="102" t="s">
        <v>982</v>
      </c>
      <c r="C803" s="104" t="s">
        <v>944</v>
      </c>
      <c r="D803" s="69">
        <v>53848.322968320004</v>
      </c>
      <c r="E803" s="69">
        <v>3381.01</v>
      </c>
      <c r="F803" s="13">
        <f>[1]!Table323[[#This Row],[Single Family]]+[1]!Table323[[#This Row],[2-4 Units]]+[1]!Table323[[#This Row],[&gt;4 Units]]</f>
        <v>3</v>
      </c>
      <c r="G803" s="13">
        <v>3</v>
      </c>
      <c r="H803" s="13">
        <v>0</v>
      </c>
      <c r="I803" s="13">
        <v>0</v>
      </c>
      <c r="J803" s="68">
        <v>614.34</v>
      </c>
      <c r="K803">
        <f t="shared" si="12"/>
        <v>0</v>
      </c>
      <c r="L803" s="13">
        <v>0</v>
      </c>
      <c r="M803" s="13">
        <v>0</v>
      </c>
      <c r="N803" s="13">
        <v>0</v>
      </c>
      <c r="O803" s="68">
        <v>0</v>
      </c>
      <c r="P803" s="155">
        <f>VLOOKUP(Table323[[#This Row],[Census Tract]],'Population and Diversity Data'!$B$2:$K$823,10,FALSE)</f>
        <v>5</v>
      </c>
      <c r="Q803" s="155" t="str">
        <f>VLOOKUP(Table323[[#This Row],[Census Tract]],'ES Energy Burden'!$B$2:$E$914,4,FALSE)</f>
        <v>Yes</v>
      </c>
    </row>
    <row r="804" spans="1:17" x14ac:dyDescent="0.2">
      <c r="A804" s="101">
        <v>9009351500</v>
      </c>
      <c r="B804" s="102" t="s">
        <v>982</v>
      </c>
      <c r="C804" s="104" t="s">
        <v>944</v>
      </c>
      <c r="D804" s="69">
        <v>73375.150596480002</v>
      </c>
      <c r="E804" s="69">
        <v>79377.770300000004</v>
      </c>
      <c r="F804" s="13">
        <f>[1]!Table323[[#This Row],[Single Family]]+[1]!Table323[[#This Row],[2-4 Units]]+[1]!Table323[[#This Row],[&gt;4 Units]]</f>
        <v>10</v>
      </c>
      <c r="G804" s="13">
        <v>10</v>
      </c>
      <c r="H804" s="13">
        <v>0</v>
      </c>
      <c r="I804" s="13">
        <v>0</v>
      </c>
      <c r="J804" s="68">
        <v>4967.1903000000002</v>
      </c>
      <c r="K804">
        <f t="shared" si="12"/>
        <v>0</v>
      </c>
      <c r="L804" s="13">
        <v>0</v>
      </c>
      <c r="M804" s="13">
        <v>0</v>
      </c>
      <c r="N804" s="13">
        <v>0</v>
      </c>
      <c r="O804" s="68">
        <v>0</v>
      </c>
      <c r="P804" s="155">
        <f>VLOOKUP(Table323[[#This Row],[Census Tract]],'Population and Diversity Data'!$B$2:$K$823,10,FALSE)</f>
        <v>5</v>
      </c>
      <c r="Q804" s="155" t="str">
        <f>VLOOKUP(Table323[[#This Row],[Census Tract]],'ES Energy Burden'!$B$2:$E$914,4,FALSE)</f>
        <v>No</v>
      </c>
    </row>
    <row r="805" spans="1:17" x14ac:dyDescent="0.2">
      <c r="A805" s="101">
        <v>9009351601</v>
      </c>
      <c r="B805" s="102" t="s">
        <v>982</v>
      </c>
      <c r="C805" s="104" t="s">
        <v>944</v>
      </c>
      <c r="D805" s="69">
        <v>54795.537365759999</v>
      </c>
      <c r="E805" s="69">
        <v>22097.49</v>
      </c>
      <c r="F805" s="13">
        <f>[1]!Table323[[#This Row],[Single Family]]+[1]!Table323[[#This Row],[2-4 Units]]+[1]!Table323[[#This Row],[&gt;4 Units]]</f>
        <v>7</v>
      </c>
      <c r="G805" s="13">
        <v>6</v>
      </c>
      <c r="H805" s="13">
        <v>1</v>
      </c>
      <c r="I805" s="13">
        <v>0</v>
      </c>
      <c r="J805" s="68">
        <v>5016</v>
      </c>
      <c r="K805">
        <f t="shared" si="12"/>
        <v>0</v>
      </c>
      <c r="L805" s="13">
        <v>0</v>
      </c>
      <c r="M805" s="13">
        <v>0</v>
      </c>
      <c r="N805" s="13">
        <v>0</v>
      </c>
      <c r="O805" s="68">
        <v>0</v>
      </c>
      <c r="P805" s="155">
        <f>VLOOKUP(Table323[[#This Row],[Census Tract]],'Population and Diversity Data'!$B$2:$K$823,10,FALSE)</f>
        <v>3</v>
      </c>
      <c r="Q805" s="155" t="str">
        <f>VLOOKUP(Table323[[#This Row],[Census Tract]],'ES Energy Burden'!$B$2:$E$914,4,FALSE)</f>
        <v>Yes</v>
      </c>
    </row>
    <row r="806" spans="1:17" x14ac:dyDescent="0.2">
      <c r="A806" s="101">
        <v>9009351602</v>
      </c>
      <c r="B806" s="102" t="s">
        <v>982</v>
      </c>
      <c r="C806" s="104" t="s">
        <v>944</v>
      </c>
      <c r="D806" s="69">
        <v>223993.97310816002</v>
      </c>
      <c r="E806" s="69">
        <v>1331999.4979000001</v>
      </c>
      <c r="F806" s="13">
        <f>[1]!Table323[[#This Row],[Single Family]]+[1]!Table323[[#This Row],[2-4 Units]]+[1]!Table323[[#This Row],[&gt;4 Units]]</f>
        <v>193</v>
      </c>
      <c r="G806" s="13">
        <v>35</v>
      </c>
      <c r="H806" s="13">
        <v>2</v>
      </c>
      <c r="I806" s="13">
        <v>156</v>
      </c>
      <c r="J806" s="68">
        <v>27775.5481</v>
      </c>
      <c r="K806">
        <f t="shared" si="12"/>
        <v>2073</v>
      </c>
      <c r="L806" s="13">
        <v>844</v>
      </c>
      <c r="M806" s="13">
        <v>30</v>
      </c>
      <c r="N806" s="13">
        <v>1199</v>
      </c>
      <c r="O806" s="68">
        <v>1304220</v>
      </c>
      <c r="P806" s="155">
        <f>VLOOKUP(Table323[[#This Row],[Census Tract]],'Population and Diversity Data'!$B$2:$K$823,10,FALSE)</f>
        <v>1</v>
      </c>
      <c r="Q806" s="155" t="str">
        <f>VLOOKUP(Table323[[#This Row],[Census Tract]],'ES Energy Burden'!$B$2:$E$914,4,FALSE)</f>
        <v>No</v>
      </c>
    </row>
    <row r="807" spans="1:17" x14ac:dyDescent="0.2">
      <c r="A807" s="101">
        <v>9009351700</v>
      </c>
      <c r="B807" s="102" t="s">
        <v>982</v>
      </c>
      <c r="C807" s="104" t="s">
        <v>944</v>
      </c>
      <c r="D807" s="69">
        <v>40955.166647999999</v>
      </c>
      <c r="E807" s="69">
        <v>9409.7900000000009</v>
      </c>
      <c r="F807" s="13">
        <f>[1]!Table323[[#This Row],[Single Family]]+[1]!Table323[[#This Row],[2-4 Units]]+[1]!Table323[[#This Row],[&gt;4 Units]]</f>
        <v>2</v>
      </c>
      <c r="G807" s="13">
        <v>2</v>
      </c>
      <c r="H807" s="13">
        <v>0</v>
      </c>
      <c r="I807" s="13">
        <v>0</v>
      </c>
      <c r="J807" s="68">
        <v>390.31</v>
      </c>
      <c r="K807">
        <f t="shared" si="12"/>
        <v>0</v>
      </c>
      <c r="L807" s="13">
        <v>0</v>
      </c>
      <c r="M807" s="13">
        <v>0</v>
      </c>
      <c r="N807" s="13">
        <v>0</v>
      </c>
      <c r="O807" s="68">
        <v>0</v>
      </c>
      <c r="P807" s="155">
        <f>VLOOKUP(Table323[[#This Row],[Census Tract]],'Population and Diversity Data'!$B$2:$K$823,10,FALSE)</f>
        <v>3</v>
      </c>
      <c r="Q807" s="155" t="str">
        <f>VLOOKUP(Table323[[#This Row],[Census Tract]],'ES Energy Burden'!$B$2:$E$914,4,FALSE)</f>
        <v>Yes</v>
      </c>
    </row>
    <row r="808" spans="1:17" x14ac:dyDescent="0.2">
      <c r="A808" s="101">
        <v>9009351800</v>
      </c>
      <c r="B808" s="102" t="s">
        <v>982</v>
      </c>
      <c r="C808" s="104" t="s">
        <v>944</v>
      </c>
      <c r="D808" s="69">
        <v>78963.979973759997</v>
      </c>
      <c r="E808" s="69">
        <v>32630.14</v>
      </c>
      <c r="F808" s="13">
        <f>[1]!Table323[[#This Row],[Single Family]]+[1]!Table323[[#This Row],[2-4 Units]]+[1]!Table323[[#This Row],[&gt;4 Units]]</f>
        <v>19</v>
      </c>
      <c r="G808" s="13">
        <v>19</v>
      </c>
      <c r="H808" s="13">
        <v>0</v>
      </c>
      <c r="I808" s="13">
        <v>0</v>
      </c>
      <c r="J808" s="68">
        <v>14412.83</v>
      </c>
      <c r="K808">
        <f t="shared" si="12"/>
        <v>0</v>
      </c>
      <c r="L808" s="13">
        <v>0</v>
      </c>
      <c r="M808" s="13">
        <v>0</v>
      </c>
      <c r="N808" s="13">
        <v>0</v>
      </c>
      <c r="O808" s="68">
        <v>0</v>
      </c>
      <c r="P808" s="155">
        <f>VLOOKUP(Table323[[#This Row],[Census Tract]],'Population and Diversity Data'!$B$2:$K$823,10,FALSE)</f>
        <v>3</v>
      </c>
      <c r="Q808" s="155" t="str">
        <f>VLOOKUP(Table323[[#This Row],[Census Tract]],'ES Energy Burden'!$B$2:$E$914,4,FALSE)</f>
        <v>No</v>
      </c>
    </row>
    <row r="809" spans="1:17" x14ac:dyDescent="0.2">
      <c r="A809" s="101">
        <v>9009351900</v>
      </c>
      <c r="B809" s="102" t="s">
        <v>982</v>
      </c>
      <c r="C809" s="104" t="s">
        <v>944</v>
      </c>
      <c r="D809" s="69">
        <v>46036.982819519995</v>
      </c>
      <c r="E809" s="69">
        <v>33038.6175</v>
      </c>
      <c r="F809" s="13">
        <f>[1]!Table323[[#This Row],[Single Family]]+[1]!Table323[[#This Row],[2-4 Units]]+[1]!Table323[[#This Row],[&gt;4 Units]]</f>
        <v>18</v>
      </c>
      <c r="G809" s="13">
        <v>18</v>
      </c>
      <c r="H809" s="13">
        <v>0</v>
      </c>
      <c r="I809" s="13">
        <v>0</v>
      </c>
      <c r="J809" s="68">
        <v>17892.057499999999</v>
      </c>
      <c r="K809">
        <f t="shared" si="12"/>
        <v>0</v>
      </c>
      <c r="L809" s="13">
        <v>0</v>
      </c>
      <c r="M809" s="13">
        <v>0</v>
      </c>
      <c r="N809" s="13">
        <v>0</v>
      </c>
      <c r="O809" s="68">
        <v>0</v>
      </c>
      <c r="P809" s="155">
        <f>VLOOKUP(Table323[[#This Row],[Census Tract]],'Population and Diversity Data'!$B$2:$K$823,10,FALSE)</f>
        <v>4</v>
      </c>
      <c r="Q809" s="155" t="str">
        <f>VLOOKUP(Table323[[#This Row],[Census Tract]],'ES Energy Burden'!$B$2:$E$914,4,FALSE)</f>
        <v>No</v>
      </c>
    </row>
    <row r="810" spans="1:17" x14ac:dyDescent="0.2">
      <c r="A810" s="101">
        <v>9009352000</v>
      </c>
      <c r="B810" s="102" t="s">
        <v>982</v>
      </c>
      <c r="C810" s="104" t="s">
        <v>944</v>
      </c>
      <c r="D810" s="69">
        <v>86934.247574400011</v>
      </c>
      <c r="E810" s="69">
        <v>43374.961799999997</v>
      </c>
      <c r="F810" s="13">
        <f>[1]!Table323[[#This Row],[Single Family]]+[1]!Table323[[#This Row],[2-4 Units]]+[1]!Table323[[#This Row],[&gt;4 Units]]</f>
        <v>30</v>
      </c>
      <c r="G810" s="13">
        <v>30</v>
      </c>
      <c r="H810" s="13">
        <v>0</v>
      </c>
      <c r="I810" s="13">
        <v>0</v>
      </c>
      <c r="J810" s="68">
        <v>21477.041799999999</v>
      </c>
      <c r="K810">
        <f t="shared" si="12"/>
        <v>0</v>
      </c>
      <c r="L810" s="13">
        <v>0</v>
      </c>
      <c r="M810" s="13">
        <v>0</v>
      </c>
      <c r="N810" s="13">
        <v>0</v>
      </c>
      <c r="O810" s="68">
        <v>0</v>
      </c>
      <c r="P810" s="155">
        <f>VLOOKUP(Table323[[#This Row],[Census Tract]],'Population and Diversity Data'!$B$2:$K$823,10,FALSE)</f>
        <v>4</v>
      </c>
      <c r="Q810" s="155" t="str">
        <f>VLOOKUP(Table323[[#This Row],[Census Tract]],'ES Energy Burden'!$B$2:$E$914,4,FALSE)</f>
        <v>No</v>
      </c>
    </row>
    <row r="811" spans="1:17" x14ac:dyDescent="0.2">
      <c r="A811" s="101">
        <v>9009352100</v>
      </c>
      <c r="B811" s="102" t="s">
        <v>982</v>
      </c>
      <c r="C811" s="104" t="s">
        <v>944</v>
      </c>
      <c r="D811" s="69">
        <v>66312.099100799998</v>
      </c>
      <c r="E811" s="69">
        <v>16926.25</v>
      </c>
      <c r="F811" s="13">
        <f>[1]!Table323[[#This Row],[Single Family]]+[1]!Table323[[#This Row],[2-4 Units]]+[1]!Table323[[#This Row],[&gt;4 Units]]</f>
        <v>10</v>
      </c>
      <c r="G811" s="13">
        <v>10</v>
      </c>
      <c r="H811" s="13">
        <v>0</v>
      </c>
      <c r="I811" s="13">
        <v>0</v>
      </c>
      <c r="J811" s="68">
        <v>7374.02</v>
      </c>
      <c r="K811">
        <f t="shared" si="12"/>
        <v>0</v>
      </c>
      <c r="L811" s="13">
        <v>0</v>
      </c>
      <c r="M811" s="13">
        <v>0</v>
      </c>
      <c r="N811" s="13">
        <v>0</v>
      </c>
      <c r="O811" s="68">
        <v>0</v>
      </c>
      <c r="P811" s="155">
        <f>VLOOKUP(Table323[[#This Row],[Census Tract]],'Population and Diversity Data'!$B$2:$K$823,10,FALSE)</f>
        <v>2</v>
      </c>
      <c r="Q811" s="155" t="str">
        <f>VLOOKUP(Table323[[#This Row],[Census Tract]],'ES Energy Burden'!$B$2:$E$914,4,FALSE)</f>
        <v>No</v>
      </c>
    </row>
    <row r="812" spans="1:17" x14ac:dyDescent="0.2">
      <c r="A812" s="101">
        <v>9009352200</v>
      </c>
      <c r="B812" s="102" t="s">
        <v>982</v>
      </c>
      <c r="C812" s="104" t="s">
        <v>944</v>
      </c>
      <c r="D812" s="69">
        <v>30857.74312608</v>
      </c>
      <c r="E812" s="69">
        <v>3404.86</v>
      </c>
      <c r="F812" s="13">
        <f>[1]!Table323[[#This Row],[Single Family]]+[1]!Table323[[#This Row],[2-4 Units]]+[1]!Table323[[#This Row],[&gt;4 Units]]</f>
        <v>2</v>
      </c>
      <c r="G812" s="13">
        <v>2</v>
      </c>
      <c r="H812" s="13">
        <v>0</v>
      </c>
      <c r="I812" s="13">
        <v>0</v>
      </c>
      <c r="J812" s="68">
        <v>1334.99</v>
      </c>
      <c r="K812">
        <f t="shared" si="12"/>
        <v>0</v>
      </c>
      <c r="L812" s="13">
        <v>0</v>
      </c>
      <c r="M812" s="13">
        <v>0</v>
      </c>
      <c r="N812" s="13">
        <v>0</v>
      </c>
      <c r="O812" s="68">
        <v>0</v>
      </c>
      <c r="P812" s="155">
        <f>VLOOKUP(Table323[[#This Row],[Census Tract]],'Population and Diversity Data'!$B$2:$K$823,10,FALSE)</f>
        <v>4</v>
      </c>
      <c r="Q812" s="155" t="str">
        <f>VLOOKUP(Table323[[#This Row],[Census Tract]],'ES Energy Burden'!$B$2:$E$914,4,FALSE)</f>
        <v>Yes</v>
      </c>
    </row>
    <row r="813" spans="1:17" x14ac:dyDescent="0.2">
      <c r="A813" s="101">
        <v>9009352300</v>
      </c>
      <c r="B813" s="102" t="s">
        <v>982</v>
      </c>
      <c r="C813" s="104" t="s">
        <v>944</v>
      </c>
      <c r="D813" s="69">
        <v>41957.293023359998</v>
      </c>
      <c r="E813" s="69">
        <v>70837.55</v>
      </c>
      <c r="F813" s="13">
        <f>[1]!Table323[[#This Row],[Single Family]]+[1]!Table323[[#This Row],[2-4 Units]]+[1]!Table323[[#This Row],[&gt;4 Units]]</f>
        <v>8</v>
      </c>
      <c r="G813" s="13">
        <v>8</v>
      </c>
      <c r="H813" s="13">
        <v>0</v>
      </c>
      <c r="I813" s="13">
        <v>0</v>
      </c>
      <c r="J813" s="68">
        <v>6499.38</v>
      </c>
      <c r="K813">
        <f t="shared" si="12"/>
        <v>0</v>
      </c>
      <c r="L813" s="13">
        <v>0</v>
      </c>
      <c r="M813" s="13">
        <v>0</v>
      </c>
      <c r="N813" s="13">
        <v>0</v>
      </c>
      <c r="O813" s="68">
        <v>0</v>
      </c>
      <c r="P813" s="155">
        <f>VLOOKUP(Table323[[#This Row],[Census Tract]],'Population and Diversity Data'!$B$2:$K$823,10,FALSE)</f>
        <v>2</v>
      </c>
      <c r="Q813" s="155" t="str">
        <f>VLOOKUP(Table323[[#This Row],[Census Tract]],'ES Energy Burden'!$B$2:$E$914,4,FALSE)</f>
        <v>Yes</v>
      </c>
    </row>
    <row r="814" spans="1:17" x14ac:dyDescent="0.2">
      <c r="A814" s="101">
        <v>9009352400</v>
      </c>
      <c r="B814" s="102" t="s">
        <v>982</v>
      </c>
      <c r="C814" s="104" t="s">
        <v>944</v>
      </c>
      <c r="D814" s="69">
        <v>67567.224980159997</v>
      </c>
      <c r="E814" s="69">
        <v>18995.95</v>
      </c>
      <c r="F814" s="13">
        <f>[1]!Table323[[#This Row],[Single Family]]+[1]!Table323[[#This Row],[2-4 Units]]+[1]!Table323[[#This Row],[&gt;4 Units]]</f>
        <v>6</v>
      </c>
      <c r="G814" s="13">
        <v>6</v>
      </c>
      <c r="H814" s="13">
        <v>0</v>
      </c>
      <c r="I814" s="13">
        <v>0</v>
      </c>
      <c r="J814" s="68">
        <v>2708.83</v>
      </c>
      <c r="K814">
        <f t="shared" si="12"/>
        <v>0</v>
      </c>
      <c r="L814" s="13">
        <v>0</v>
      </c>
      <c r="M814" s="13">
        <v>0</v>
      </c>
      <c r="N814" s="13">
        <v>0</v>
      </c>
      <c r="O814" s="68">
        <v>0</v>
      </c>
      <c r="P814" s="155">
        <f>VLOOKUP(Table323[[#This Row],[Census Tract]],'Population and Diversity Data'!$B$2:$K$823,10,FALSE)</f>
        <v>4</v>
      </c>
      <c r="Q814" s="155" t="str">
        <f>VLOOKUP(Table323[[#This Row],[Census Tract]],'ES Energy Burden'!$B$2:$E$914,4,FALSE)</f>
        <v>Yes</v>
      </c>
    </row>
    <row r="815" spans="1:17" x14ac:dyDescent="0.2">
      <c r="A815" s="101">
        <v>9009352500</v>
      </c>
      <c r="B815" s="102" t="s">
        <v>982</v>
      </c>
      <c r="C815" s="104" t="s">
        <v>944</v>
      </c>
      <c r="D815" s="69">
        <v>68249.952578880009</v>
      </c>
      <c r="E815" s="69">
        <v>82131.960000000006</v>
      </c>
      <c r="F815" s="13">
        <f>[1]!Table323[[#This Row],[Single Family]]+[1]!Table323[[#This Row],[2-4 Units]]+[1]!Table323[[#This Row],[&gt;4 Units]]</f>
        <v>12</v>
      </c>
      <c r="G815" s="13">
        <v>12</v>
      </c>
      <c r="H815" s="13">
        <v>0</v>
      </c>
      <c r="I815" s="13">
        <v>0</v>
      </c>
      <c r="J815" s="68">
        <v>9203.7199999999993</v>
      </c>
      <c r="K815">
        <f t="shared" si="12"/>
        <v>0</v>
      </c>
      <c r="L815" s="13">
        <v>0</v>
      </c>
      <c r="M815" s="13">
        <v>0</v>
      </c>
      <c r="N815" s="13">
        <v>0</v>
      </c>
      <c r="O815" s="68">
        <v>0</v>
      </c>
      <c r="P815" s="155">
        <f>VLOOKUP(Table323[[#This Row],[Census Tract]],'Population and Diversity Data'!$B$2:$K$823,10,FALSE)</f>
        <v>3</v>
      </c>
      <c r="Q815" s="155" t="str">
        <f>VLOOKUP(Table323[[#This Row],[Census Tract]],'ES Energy Burden'!$B$2:$E$914,4,FALSE)</f>
        <v>No</v>
      </c>
    </row>
    <row r="816" spans="1:17" x14ac:dyDescent="0.2">
      <c r="A816" s="101">
        <v>9009352600</v>
      </c>
      <c r="B816" s="102" t="s">
        <v>982</v>
      </c>
      <c r="C816" s="104" t="s">
        <v>944</v>
      </c>
      <c r="D816" s="69">
        <v>102977.93166624001</v>
      </c>
      <c r="E816" s="69">
        <v>126038.12</v>
      </c>
      <c r="F816" s="13">
        <f>[1]!Table323[[#This Row],[Single Family]]+[1]!Table323[[#This Row],[2-4 Units]]+[1]!Table323[[#This Row],[&gt;4 Units]]</f>
        <v>8</v>
      </c>
      <c r="G816" s="13">
        <v>8</v>
      </c>
      <c r="H816" s="13">
        <v>0</v>
      </c>
      <c r="I816" s="13">
        <v>0</v>
      </c>
      <c r="J816" s="68">
        <v>4005.22</v>
      </c>
      <c r="K816">
        <f t="shared" si="12"/>
        <v>0</v>
      </c>
      <c r="L816" s="13">
        <v>0</v>
      </c>
      <c r="M816" s="13">
        <v>0</v>
      </c>
      <c r="N816" s="13">
        <v>0</v>
      </c>
      <c r="O816" s="68">
        <v>0</v>
      </c>
      <c r="P816" s="155">
        <f>VLOOKUP(Table323[[#This Row],[Census Tract]],'Population and Diversity Data'!$B$2:$K$823,10,FALSE)</f>
        <v>3</v>
      </c>
      <c r="Q816" s="155" t="str">
        <f>VLOOKUP(Table323[[#This Row],[Census Tract]],'ES Energy Burden'!$B$2:$E$914,4,FALSE)</f>
        <v>Yes</v>
      </c>
    </row>
    <row r="817" spans="1:17" x14ac:dyDescent="0.2">
      <c r="A817" s="101">
        <v>9009352701</v>
      </c>
      <c r="B817" s="102" t="s">
        <v>982</v>
      </c>
      <c r="C817" s="104" t="s">
        <v>944</v>
      </c>
      <c r="D817" s="69">
        <v>41794.131643200002</v>
      </c>
      <c r="E817" s="69">
        <v>5658.59</v>
      </c>
      <c r="F817" s="13">
        <f>[1]!Table323[[#This Row],[Single Family]]+[1]!Table323[[#This Row],[2-4 Units]]+[1]!Table323[[#This Row],[&gt;4 Units]]</f>
        <v>3</v>
      </c>
      <c r="G817" s="13">
        <v>2</v>
      </c>
      <c r="H817" s="13">
        <v>1</v>
      </c>
      <c r="I817" s="13">
        <v>0</v>
      </c>
      <c r="J817" s="68">
        <v>1728.53</v>
      </c>
      <c r="K817">
        <f t="shared" si="12"/>
        <v>0</v>
      </c>
      <c r="L817" s="13">
        <v>0</v>
      </c>
      <c r="M817" s="13">
        <v>0</v>
      </c>
      <c r="N817" s="13">
        <v>0</v>
      </c>
      <c r="O817" s="68">
        <v>0</v>
      </c>
      <c r="P817" s="155">
        <f>VLOOKUP(Table323[[#This Row],[Census Tract]],'Population and Diversity Data'!$B$2:$K$823,10,FALSE)</f>
        <v>4</v>
      </c>
      <c r="Q817" s="155" t="str">
        <f>VLOOKUP(Table323[[#This Row],[Census Tract]],'ES Energy Burden'!$B$2:$E$914,4,FALSE)</f>
        <v>Yes</v>
      </c>
    </row>
    <row r="818" spans="1:17" x14ac:dyDescent="0.2">
      <c r="A818" s="101">
        <v>9009352702</v>
      </c>
      <c r="B818" s="102" t="s">
        <v>982</v>
      </c>
      <c r="C818" s="104" t="s">
        <v>944</v>
      </c>
      <c r="D818" s="69">
        <v>111415.61708064002</v>
      </c>
      <c r="E818" s="69">
        <v>168967.71100000001</v>
      </c>
      <c r="F818" s="13">
        <f>[1]!Table323[[#This Row],[Single Family]]+[1]!Table323[[#This Row],[2-4 Units]]+[1]!Table323[[#This Row],[&gt;4 Units]]</f>
        <v>18</v>
      </c>
      <c r="G818" s="13">
        <v>18</v>
      </c>
      <c r="H818" s="13">
        <v>0</v>
      </c>
      <c r="I818" s="13">
        <v>0</v>
      </c>
      <c r="J818" s="68">
        <v>12223.191000000001</v>
      </c>
      <c r="K818">
        <f t="shared" si="12"/>
        <v>0</v>
      </c>
      <c r="L818" s="13">
        <v>0</v>
      </c>
      <c r="M818" s="13">
        <v>0</v>
      </c>
      <c r="N818" s="13">
        <v>0</v>
      </c>
      <c r="O818" s="68">
        <v>0</v>
      </c>
      <c r="P818" s="155">
        <f>VLOOKUP(Table323[[#This Row],[Census Tract]],'Population and Diversity Data'!$B$2:$K$823,10,FALSE)</f>
        <v>4</v>
      </c>
      <c r="Q818" s="155" t="str">
        <f>VLOOKUP(Table323[[#This Row],[Census Tract]],'ES Energy Burden'!$B$2:$E$914,4,FALSE)</f>
        <v>No</v>
      </c>
    </row>
    <row r="819" spans="1:17" x14ac:dyDescent="0.2">
      <c r="A819" s="101">
        <v>9009352800</v>
      </c>
      <c r="B819" s="102" t="s">
        <v>982</v>
      </c>
      <c r="C819" s="104" t="s">
        <v>944</v>
      </c>
      <c r="D819" s="69">
        <v>97466.550065279996</v>
      </c>
      <c r="E819" s="69">
        <v>57930.291700000002</v>
      </c>
      <c r="F819" s="13">
        <f>[1]!Table323[[#This Row],[Single Family]]+[1]!Table323[[#This Row],[2-4 Units]]+[1]!Table323[[#This Row],[&gt;4 Units]]</f>
        <v>19</v>
      </c>
      <c r="G819" s="13">
        <v>18</v>
      </c>
      <c r="H819" s="13">
        <v>1</v>
      </c>
      <c r="I819" s="13">
        <v>0</v>
      </c>
      <c r="J819" s="68">
        <v>12718.331700000001</v>
      </c>
      <c r="K819">
        <f t="shared" si="12"/>
        <v>0</v>
      </c>
      <c r="L819" s="13">
        <v>0</v>
      </c>
      <c r="M819" s="13">
        <v>0</v>
      </c>
      <c r="N819" s="13">
        <v>0</v>
      </c>
      <c r="O819" s="68">
        <v>0</v>
      </c>
      <c r="P819" s="155">
        <f>VLOOKUP(Table323[[#This Row],[Census Tract]],'Population and Diversity Data'!$B$2:$K$823,10,FALSE)</f>
        <v>5</v>
      </c>
      <c r="Q819" s="155" t="str">
        <f>VLOOKUP(Table323[[#This Row],[Census Tract]],'ES Energy Burden'!$B$2:$E$914,4,FALSE)</f>
        <v>No</v>
      </c>
    </row>
    <row r="820" spans="1:17" x14ac:dyDescent="0.2">
      <c r="A820" s="101">
        <v>9009361100</v>
      </c>
      <c r="B820" s="102" t="s">
        <v>982</v>
      </c>
      <c r="C820" s="104" t="s">
        <v>944</v>
      </c>
      <c r="D820" s="69">
        <v>944.42535360000011</v>
      </c>
      <c r="E820" s="69">
        <v>0</v>
      </c>
      <c r="F820" s="13">
        <f>[1]!Table323[[#This Row],[Single Family]]+[1]!Table323[[#This Row],[2-4 Units]]+[1]!Table323[[#This Row],[&gt;4 Units]]</f>
        <v>1</v>
      </c>
      <c r="G820" s="13">
        <v>1</v>
      </c>
      <c r="H820" s="13">
        <v>0</v>
      </c>
      <c r="I820" s="13">
        <v>0</v>
      </c>
      <c r="J820" s="68">
        <v>0</v>
      </c>
      <c r="K820">
        <f t="shared" si="12"/>
        <v>0</v>
      </c>
      <c r="L820" s="13">
        <v>0</v>
      </c>
      <c r="M820" s="13">
        <v>0</v>
      </c>
      <c r="N820" s="13">
        <v>0</v>
      </c>
      <c r="O820" s="68">
        <v>0</v>
      </c>
      <c r="P820" s="155">
        <f>VLOOKUP(Table323[[#This Row],[Census Tract]],'Population and Diversity Data'!$B$2:$K$823,10,FALSE)</f>
        <v>2</v>
      </c>
      <c r="Q820" s="155" t="str">
        <f>VLOOKUP(Table323[[#This Row],[Census Tract]],'ES Energy Burden'!$B$2:$E$914,4,FALSE)</f>
        <v>No</v>
      </c>
    </row>
    <row r="821" spans="1:17" x14ac:dyDescent="0.2">
      <c r="A821" s="101">
        <v>9011690300</v>
      </c>
      <c r="B821" s="102" t="s">
        <v>2859</v>
      </c>
      <c r="C821" s="104" t="s">
        <v>944</v>
      </c>
      <c r="D821" s="69">
        <v>129.32179199999999</v>
      </c>
      <c r="E821" s="69">
        <v>0</v>
      </c>
      <c r="F821" s="13">
        <f>[1]!Table323[[#This Row],[Single Family]]+[1]!Table323[[#This Row],[2-4 Units]]+[1]!Table323[[#This Row],[&gt;4 Units]]</f>
        <v>0</v>
      </c>
      <c r="G821" s="13">
        <v>0</v>
      </c>
      <c r="H821" s="13">
        <v>0</v>
      </c>
      <c r="I821" s="13">
        <v>0</v>
      </c>
      <c r="J821" s="68">
        <v>0</v>
      </c>
      <c r="K821">
        <f t="shared" si="12"/>
        <v>0</v>
      </c>
      <c r="L821" s="13">
        <v>0</v>
      </c>
      <c r="M821" s="13">
        <v>0</v>
      </c>
      <c r="N821" s="13">
        <v>0</v>
      </c>
      <c r="O821" s="68">
        <v>0</v>
      </c>
      <c r="P821" s="155">
        <f>VLOOKUP(Table323[[#This Row],[Census Tract]],'Population and Diversity Data'!$B$2:$K$823,10,FALSE)</f>
        <v>5</v>
      </c>
      <c r="Q821" s="155" t="str">
        <f>VLOOKUP(Table323[[#This Row],[Census Tract]],'ES Energy Burden'!$B$2:$E$914,4,FALSE)</f>
        <v>No</v>
      </c>
    </row>
    <row r="822" spans="1:17" x14ac:dyDescent="0.2">
      <c r="A822" s="101">
        <v>9011693300</v>
      </c>
      <c r="B822" s="102" t="s">
        <v>2859</v>
      </c>
      <c r="C822" s="104" t="s">
        <v>944</v>
      </c>
      <c r="D822" s="69">
        <v>136900.22383296001</v>
      </c>
      <c r="E822" s="69">
        <v>454674.54180000001</v>
      </c>
      <c r="F822" s="13">
        <f>[1]!Table323[[#This Row],[Single Family]]+[1]!Table323[[#This Row],[2-4 Units]]+[1]!Table323[[#This Row],[&gt;4 Units]]</f>
        <v>54</v>
      </c>
      <c r="G822" s="13">
        <v>53</v>
      </c>
      <c r="H822" s="13">
        <v>1</v>
      </c>
      <c r="I822" s="13">
        <v>0</v>
      </c>
      <c r="J822" s="68">
        <v>45498.142200000002</v>
      </c>
      <c r="K822">
        <f t="shared" si="12"/>
        <v>7</v>
      </c>
      <c r="L822" s="13">
        <v>7</v>
      </c>
      <c r="M822" s="13">
        <v>0</v>
      </c>
      <c r="N822" s="13">
        <v>0</v>
      </c>
      <c r="O822" s="68">
        <v>11876.6</v>
      </c>
      <c r="P822" s="155">
        <f>VLOOKUP(Table323[[#This Row],[Census Tract]],'Population and Diversity Data'!$B$2:$K$823,10,FALSE)</f>
        <v>4</v>
      </c>
      <c r="Q822" s="155" t="str">
        <f>VLOOKUP(Table323[[#This Row],[Census Tract]],'ES Energy Burden'!$B$2:$E$914,4,FALSE)</f>
        <v>No</v>
      </c>
    </row>
    <row r="823" spans="1:17" x14ac:dyDescent="0.2">
      <c r="A823" s="101">
        <v>9011693400</v>
      </c>
      <c r="B823" s="102" t="s">
        <v>2859</v>
      </c>
      <c r="C823" s="104" t="s">
        <v>944</v>
      </c>
      <c r="D823" s="69">
        <v>81427.319297280003</v>
      </c>
      <c r="E823" s="69">
        <v>20885.86</v>
      </c>
      <c r="F823" s="13">
        <f>[1]!Table323[[#This Row],[Single Family]]+[1]!Table323[[#This Row],[2-4 Units]]+[1]!Table323[[#This Row],[&gt;4 Units]]</f>
        <v>32</v>
      </c>
      <c r="G823" s="13">
        <v>32</v>
      </c>
      <c r="H823" s="13">
        <v>0</v>
      </c>
      <c r="I823" s="13">
        <v>0</v>
      </c>
      <c r="J823" s="68">
        <v>19381.48</v>
      </c>
      <c r="K823">
        <f t="shared" si="12"/>
        <v>0</v>
      </c>
      <c r="L823" s="13">
        <v>0</v>
      </c>
      <c r="M823" s="13">
        <v>0</v>
      </c>
      <c r="N823" s="13">
        <v>0</v>
      </c>
      <c r="O823" s="68">
        <v>0</v>
      </c>
      <c r="P823" s="155">
        <f>VLOOKUP(Table323[[#This Row],[Census Tract]],'Population and Diversity Data'!$B$2:$K$823,10,FALSE)</f>
        <v>3</v>
      </c>
      <c r="Q823" s="155" t="str">
        <f>VLOOKUP(Table323[[#This Row],[Census Tract]],'ES Energy Burden'!$B$2:$E$914,4,FALSE)</f>
        <v>No</v>
      </c>
    </row>
    <row r="824" spans="1:17" x14ac:dyDescent="0.2">
      <c r="A824" s="101">
        <v>9011693500</v>
      </c>
      <c r="B824" s="102" t="s">
        <v>2859</v>
      </c>
      <c r="C824" s="104" t="s">
        <v>944</v>
      </c>
      <c r="D824" s="69">
        <v>82657.042764479993</v>
      </c>
      <c r="E824" s="69">
        <v>39929.422500000001</v>
      </c>
      <c r="F824" s="13">
        <f>[1]!Table323[[#This Row],[Single Family]]+[1]!Table323[[#This Row],[2-4 Units]]+[1]!Table323[[#This Row],[&gt;4 Units]]</f>
        <v>41</v>
      </c>
      <c r="G824" s="13">
        <v>41</v>
      </c>
      <c r="H824" s="13">
        <v>0</v>
      </c>
      <c r="I824" s="13">
        <v>0</v>
      </c>
      <c r="J824" s="68">
        <v>39379.282500000001</v>
      </c>
      <c r="K824">
        <f t="shared" si="12"/>
        <v>0</v>
      </c>
      <c r="L824" s="13">
        <v>0</v>
      </c>
      <c r="M824" s="13">
        <v>0</v>
      </c>
      <c r="N824" s="13">
        <v>0</v>
      </c>
      <c r="O824" s="68">
        <v>0</v>
      </c>
      <c r="P824" s="155">
        <f>VLOOKUP(Table323[[#This Row],[Census Tract]],'Population and Diversity Data'!$B$2:$K$823,10,FALSE)</f>
        <v>1</v>
      </c>
      <c r="Q824" s="155" t="str">
        <f>VLOOKUP(Table323[[#This Row],[Census Tract]],'ES Energy Burden'!$B$2:$E$914,4,FALSE)</f>
        <v>No</v>
      </c>
    </row>
    <row r="825" spans="1:17" x14ac:dyDescent="0.2">
      <c r="A825" s="101">
        <v>9011693600</v>
      </c>
      <c r="B825" s="102" t="s">
        <v>2859</v>
      </c>
      <c r="C825" s="104" t="s">
        <v>944</v>
      </c>
      <c r="D825" s="69">
        <v>53180.512528320003</v>
      </c>
      <c r="E825" s="69">
        <v>17703.873200000002</v>
      </c>
      <c r="F825" s="13">
        <f>[1]!Table323[[#This Row],[Single Family]]+[1]!Table323[[#This Row],[2-4 Units]]+[1]!Table323[[#This Row],[&gt;4 Units]]</f>
        <v>23</v>
      </c>
      <c r="G825" s="13">
        <v>23</v>
      </c>
      <c r="H825" s="13">
        <v>0</v>
      </c>
      <c r="I825" s="13">
        <v>0</v>
      </c>
      <c r="J825" s="68">
        <v>17701.933199999999</v>
      </c>
      <c r="K825">
        <f t="shared" si="12"/>
        <v>0</v>
      </c>
      <c r="L825" s="13">
        <v>0</v>
      </c>
      <c r="M825" s="13">
        <v>0</v>
      </c>
      <c r="N825" s="13">
        <v>0</v>
      </c>
      <c r="O825" s="68">
        <v>0</v>
      </c>
      <c r="P825" s="155">
        <f>VLOOKUP(Table323[[#This Row],[Census Tract]],'Population and Diversity Data'!$B$2:$K$823,10,FALSE)</f>
        <v>2</v>
      </c>
      <c r="Q825" s="155" t="str">
        <f>VLOOKUP(Table323[[#This Row],[Census Tract]],'ES Energy Burden'!$B$2:$E$914,4,FALSE)</f>
        <v>No</v>
      </c>
    </row>
    <row r="826" spans="1:17" x14ac:dyDescent="0.2">
      <c r="A826" s="101">
        <v>9011693700</v>
      </c>
      <c r="B826" s="102" t="s">
        <v>2859</v>
      </c>
      <c r="C826" s="104" t="s">
        <v>944</v>
      </c>
      <c r="D826" s="69">
        <v>68545.761995520006</v>
      </c>
      <c r="E826" s="69">
        <v>23494.13</v>
      </c>
      <c r="F826" s="13">
        <f>[1]!Table323[[#This Row],[Single Family]]+[1]!Table323[[#This Row],[2-4 Units]]+[1]!Table323[[#This Row],[&gt;4 Units]]</f>
        <v>31</v>
      </c>
      <c r="G826" s="13">
        <v>31</v>
      </c>
      <c r="H826" s="13">
        <v>0</v>
      </c>
      <c r="I826" s="13">
        <v>0</v>
      </c>
      <c r="J826" s="68">
        <v>23490.3</v>
      </c>
      <c r="K826">
        <f t="shared" si="12"/>
        <v>0</v>
      </c>
      <c r="L826" s="13">
        <v>0</v>
      </c>
      <c r="M826" s="13">
        <v>0</v>
      </c>
      <c r="N826" s="13">
        <v>0</v>
      </c>
      <c r="O826" s="68">
        <v>0</v>
      </c>
      <c r="P826" s="155">
        <f>VLOOKUP(Table323[[#This Row],[Census Tract]],'Population and Diversity Data'!$B$2:$K$823,10,FALSE)</f>
        <v>4</v>
      </c>
      <c r="Q826" s="155" t="str">
        <f>VLOOKUP(Table323[[#This Row],[Census Tract]],'ES Energy Burden'!$B$2:$E$914,4,FALSE)</f>
        <v>No</v>
      </c>
    </row>
    <row r="827" spans="1:17" x14ac:dyDescent="0.2">
      <c r="A827" s="101">
        <v>9011695201</v>
      </c>
      <c r="B827" s="102" t="s">
        <v>2859</v>
      </c>
      <c r="C827" s="104" t="s">
        <v>944</v>
      </c>
      <c r="D827" s="69">
        <v>70.744924800000007</v>
      </c>
      <c r="E827" s="69">
        <v>0</v>
      </c>
      <c r="F827" s="13">
        <f>[1]!Table323[[#This Row],[Single Family]]+[1]!Table323[[#This Row],[2-4 Units]]+[1]!Table323[[#This Row],[&gt;4 Units]]</f>
        <v>0</v>
      </c>
      <c r="G827" s="13">
        <v>0</v>
      </c>
      <c r="H827" s="13">
        <v>0</v>
      </c>
      <c r="I827" s="13">
        <v>0</v>
      </c>
      <c r="J827" s="68">
        <v>0</v>
      </c>
      <c r="K827">
        <f t="shared" si="12"/>
        <v>0</v>
      </c>
      <c r="L827" s="13">
        <v>0</v>
      </c>
      <c r="M827" s="13">
        <v>0</v>
      </c>
      <c r="N827" s="13">
        <v>0</v>
      </c>
      <c r="O827" s="68">
        <v>0</v>
      </c>
      <c r="P827" s="155">
        <f>VLOOKUP(Table323[[#This Row],[Census Tract]],'Population and Diversity Data'!$B$2:$K$823,10,FALSE)</f>
        <v>3</v>
      </c>
      <c r="Q827" s="155" t="str">
        <f>VLOOKUP(Table323[[#This Row],[Census Tract]],'ES Energy Burden'!$B$2:$E$914,4,FALSE)</f>
        <v>No</v>
      </c>
    </row>
    <row r="828" spans="1:17" x14ac:dyDescent="0.2">
      <c r="A828" s="101">
        <v>9011870300</v>
      </c>
      <c r="B828" s="102" t="s">
        <v>2859</v>
      </c>
      <c r="C828" s="104" t="s">
        <v>944</v>
      </c>
      <c r="D828" s="69">
        <v>26.3506176</v>
      </c>
      <c r="E828" s="69">
        <v>0</v>
      </c>
      <c r="F828" s="13">
        <f>[1]!Table323[[#This Row],[Single Family]]+[1]!Table323[[#This Row],[2-4 Units]]+[1]!Table323[[#This Row],[&gt;4 Units]]</f>
        <v>0</v>
      </c>
      <c r="G828" s="13">
        <v>0</v>
      </c>
      <c r="H828" s="13">
        <v>0</v>
      </c>
      <c r="I828" s="13">
        <v>0</v>
      </c>
      <c r="J828" s="68">
        <v>0</v>
      </c>
      <c r="K828">
        <f t="shared" si="12"/>
        <v>0</v>
      </c>
      <c r="L828" s="13">
        <v>0</v>
      </c>
      <c r="M828" s="13">
        <v>0</v>
      </c>
      <c r="N828" s="13">
        <v>0</v>
      </c>
      <c r="O828" s="68">
        <v>0</v>
      </c>
      <c r="P828" s="155">
        <f>VLOOKUP(Table323[[#This Row],[Census Tract]],'Population and Diversity Data'!$B$2:$K$823,10,FALSE)</f>
        <v>5</v>
      </c>
      <c r="Q828" s="155" t="str">
        <f>VLOOKUP(Table323[[#This Row],[Census Tract]],'ES Energy Burden'!$B$2:$E$914,4,FALSE)</f>
        <v>No</v>
      </c>
    </row>
    <row r="829" spans="1:17" x14ac:dyDescent="0.2">
      <c r="A829" s="101">
        <v>9011870502</v>
      </c>
      <c r="B829" s="102" t="s">
        <v>2859</v>
      </c>
      <c r="C829" s="104" t="s">
        <v>944</v>
      </c>
      <c r="D829" s="69">
        <v>48.816950399999996</v>
      </c>
      <c r="E829" s="69">
        <v>0</v>
      </c>
      <c r="F829" s="13">
        <f>[1]!Table323[[#This Row],[Single Family]]+[1]!Table323[[#This Row],[2-4 Units]]+[1]!Table323[[#This Row],[&gt;4 Units]]</f>
        <v>0</v>
      </c>
      <c r="G829" s="13">
        <v>0</v>
      </c>
      <c r="H829" s="13">
        <v>0</v>
      </c>
      <c r="I829" s="13">
        <v>0</v>
      </c>
      <c r="J829" s="68">
        <v>0</v>
      </c>
      <c r="K829">
        <f t="shared" si="12"/>
        <v>0</v>
      </c>
      <c r="L829" s="13">
        <v>0</v>
      </c>
      <c r="M829" s="13">
        <v>0</v>
      </c>
      <c r="N829" s="13">
        <v>0</v>
      </c>
      <c r="O829" s="68">
        <v>0</v>
      </c>
      <c r="P829" s="155">
        <f>VLOOKUP(Table323[[#This Row],[Census Tract]],'Population and Diversity Data'!$B$2:$K$823,10,FALSE)</f>
        <v>5</v>
      </c>
      <c r="Q829" s="155" t="str">
        <f>VLOOKUP(Table323[[#This Row],[Census Tract]],'ES Energy Burden'!$B$2:$E$914,4,FALSE)</f>
        <v>No</v>
      </c>
    </row>
    <row r="830" spans="1:17" x14ac:dyDescent="0.2">
      <c r="A830" s="101">
        <v>9005342100</v>
      </c>
      <c r="B830" s="102" t="s">
        <v>2860</v>
      </c>
      <c r="C830" s="104" t="s">
        <v>944</v>
      </c>
      <c r="D830" s="69">
        <v>335.5998912</v>
      </c>
      <c r="E830" s="69">
        <v>0</v>
      </c>
      <c r="F830" s="13">
        <f>[1]!Table323[[#This Row],[Single Family]]+[1]!Table323[[#This Row],[2-4 Units]]+[1]!Table323[[#This Row],[&gt;4 Units]]</f>
        <v>0</v>
      </c>
      <c r="G830" s="13">
        <v>0</v>
      </c>
      <c r="H830" s="13">
        <v>0</v>
      </c>
      <c r="I830" s="13">
        <v>0</v>
      </c>
      <c r="J830" s="68">
        <v>0</v>
      </c>
      <c r="K830">
        <f t="shared" si="12"/>
        <v>0</v>
      </c>
      <c r="L830" s="13">
        <v>0</v>
      </c>
      <c r="M830" s="13">
        <v>0</v>
      </c>
      <c r="N830" s="13">
        <v>0</v>
      </c>
      <c r="O830" s="68">
        <v>0</v>
      </c>
      <c r="P830" s="155">
        <f>VLOOKUP(Table323[[#This Row],[Census Tract]],'Population and Diversity Data'!$B$2:$K$823,10,FALSE)</f>
        <v>2</v>
      </c>
      <c r="Q830" s="155" t="str">
        <f>VLOOKUP(Table323[[#This Row],[Census Tract]],'ES Energy Burden'!$B$2:$E$914,4,FALSE)</f>
        <v>No</v>
      </c>
    </row>
    <row r="831" spans="1:17" x14ac:dyDescent="0.2">
      <c r="A831" s="101">
        <v>9005360100</v>
      </c>
      <c r="B831" s="102" t="s">
        <v>2860</v>
      </c>
      <c r="C831" s="104" t="s">
        <v>944</v>
      </c>
      <c r="D831" s="69">
        <v>105586.70416991999</v>
      </c>
      <c r="E831" s="69">
        <v>30575.06</v>
      </c>
      <c r="F831" s="13">
        <f>[1]!Table323[[#This Row],[Single Family]]+[1]!Table323[[#This Row],[2-4 Units]]+[1]!Table323[[#This Row],[&gt;4 Units]]</f>
        <v>23</v>
      </c>
      <c r="G831" s="13">
        <v>23</v>
      </c>
      <c r="H831" s="13">
        <v>0</v>
      </c>
      <c r="I831" s="13">
        <v>0</v>
      </c>
      <c r="J831" s="68">
        <v>15401.32</v>
      </c>
      <c r="K831">
        <f t="shared" si="12"/>
        <v>0</v>
      </c>
      <c r="L831" s="13">
        <v>0</v>
      </c>
      <c r="M831" s="13">
        <v>0</v>
      </c>
      <c r="N831" s="13">
        <v>0</v>
      </c>
      <c r="O831" s="68">
        <v>0</v>
      </c>
      <c r="P831" s="155">
        <f>VLOOKUP(Table323[[#This Row],[Census Tract]],'Population and Diversity Data'!$B$2:$K$823,10,FALSE)</f>
        <v>3</v>
      </c>
      <c r="Q831" s="155" t="str">
        <f>VLOOKUP(Table323[[#This Row],[Census Tract]],'ES Energy Burden'!$B$2:$E$914,4,FALSE)</f>
        <v>No</v>
      </c>
    </row>
    <row r="832" spans="1:17" x14ac:dyDescent="0.2">
      <c r="A832" s="101">
        <v>9005360200</v>
      </c>
      <c r="B832" s="102" t="s">
        <v>2860</v>
      </c>
      <c r="C832" s="104" t="s">
        <v>944</v>
      </c>
      <c r="D832" s="69">
        <v>179501.00507423998</v>
      </c>
      <c r="E832" s="69">
        <v>167458.0411</v>
      </c>
      <c r="F832" s="13">
        <f>[1]!Table323[[#This Row],[Single Family]]+[1]!Table323[[#This Row],[2-4 Units]]+[1]!Table323[[#This Row],[&gt;4 Units]]</f>
        <v>49</v>
      </c>
      <c r="G832" s="13">
        <v>49</v>
      </c>
      <c r="H832" s="13">
        <v>0</v>
      </c>
      <c r="I832" s="13">
        <v>0</v>
      </c>
      <c r="J832" s="68">
        <v>48229.233099999998</v>
      </c>
      <c r="K832">
        <f t="shared" si="12"/>
        <v>54</v>
      </c>
      <c r="L832" s="13">
        <v>53</v>
      </c>
      <c r="M832" s="13">
        <v>1</v>
      </c>
      <c r="N832" s="13">
        <v>0</v>
      </c>
      <c r="O832" s="68">
        <v>116050</v>
      </c>
      <c r="P832" s="155">
        <f>VLOOKUP(Table323[[#This Row],[Census Tract]],'Population and Diversity Data'!$B$2:$K$823,10,FALSE)</f>
        <v>2</v>
      </c>
      <c r="Q832" s="155" t="str">
        <f>VLOOKUP(Table323[[#This Row],[Census Tract]],'ES Energy Burden'!$B$2:$E$914,4,FALSE)</f>
        <v>No</v>
      </c>
    </row>
    <row r="833" spans="1:17" x14ac:dyDescent="0.2">
      <c r="A833" s="101">
        <v>9005360300</v>
      </c>
      <c r="B833" s="102" t="s">
        <v>2860</v>
      </c>
      <c r="C833" s="104" t="s">
        <v>944</v>
      </c>
      <c r="D833" s="69">
        <v>58545.817234560003</v>
      </c>
      <c r="E833" s="69">
        <v>61008.1924</v>
      </c>
      <c r="F833" s="13">
        <f>[1]!Table323[[#This Row],[Single Family]]+[1]!Table323[[#This Row],[2-4 Units]]+[1]!Table323[[#This Row],[&gt;4 Units]]</f>
        <v>19</v>
      </c>
      <c r="G833" s="13">
        <v>19</v>
      </c>
      <c r="H833" s="13">
        <v>0</v>
      </c>
      <c r="I833" s="13">
        <v>0</v>
      </c>
      <c r="J833" s="68">
        <v>14116.152400000001</v>
      </c>
      <c r="K833">
        <f t="shared" si="12"/>
        <v>0</v>
      </c>
      <c r="L833" s="13">
        <v>0</v>
      </c>
      <c r="M833" s="13">
        <v>0</v>
      </c>
      <c r="N833" s="13">
        <v>0</v>
      </c>
      <c r="O833" s="68">
        <v>0</v>
      </c>
      <c r="P833" s="155">
        <f>VLOOKUP(Table323[[#This Row],[Census Tract]],'Population and Diversity Data'!$B$2:$K$823,10,FALSE)</f>
        <v>2</v>
      </c>
      <c r="Q833" s="155" t="str">
        <f>VLOOKUP(Table323[[#This Row],[Census Tract]],'ES Energy Burden'!$B$2:$E$914,4,FALSE)</f>
        <v>No</v>
      </c>
    </row>
    <row r="834" spans="1:17" x14ac:dyDescent="0.2">
      <c r="A834" s="101">
        <v>9005360400</v>
      </c>
      <c r="B834" s="102" t="s">
        <v>2860</v>
      </c>
      <c r="C834" s="104" t="s">
        <v>944</v>
      </c>
      <c r="D834" s="69">
        <v>107974.49965344</v>
      </c>
      <c r="E834" s="69">
        <v>39579.555399999997</v>
      </c>
      <c r="F834" s="13">
        <f>[1]!Table323[[#This Row],[Single Family]]+[1]!Table323[[#This Row],[2-4 Units]]+[1]!Table323[[#This Row],[&gt;4 Units]]</f>
        <v>26</v>
      </c>
      <c r="G834" s="13">
        <v>26</v>
      </c>
      <c r="H834" s="13">
        <v>0</v>
      </c>
      <c r="I834" s="13">
        <v>0</v>
      </c>
      <c r="J834" s="68">
        <v>16124.475399999999</v>
      </c>
      <c r="K834">
        <f t="shared" si="12"/>
        <v>0</v>
      </c>
      <c r="L834" s="13">
        <v>0</v>
      </c>
      <c r="M834" s="13">
        <v>0</v>
      </c>
      <c r="N834" s="13">
        <v>0</v>
      </c>
      <c r="O834" s="68">
        <v>0</v>
      </c>
      <c r="P834" s="155">
        <f>VLOOKUP(Table323[[#This Row],[Census Tract]],'Population and Diversity Data'!$B$2:$K$823,10,FALSE)</f>
        <v>4</v>
      </c>
      <c r="Q834" s="155" t="str">
        <f>VLOOKUP(Table323[[#This Row],[Census Tract]],'ES Energy Burden'!$B$2:$E$914,4,FALSE)</f>
        <v>No</v>
      </c>
    </row>
    <row r="835" spans="1:17" x14ac:dyDescent="0.2">
      <c r="A835" s="101">
        <v>9005362102</v>
      </c>
      <c r="B835" s="102" t="s">
        <v>2860</v>
      </c>
      <c r="C835" s="104" t="s">
        <v>944</v>
      </c>
      <c r="D835" s="69">
        <v>35.062761600000002</v>
      </c>
      <c r="E835" s="69">
        <v>0</v>
      </c>
      <c r="F835" s="13">
        <f>[1]!Table323[[#This Row],[Single Family]]+[1]!Table323[[#This Row],[2-4 Units]]+[1]!Table323[[#This Row],[&gt;4 Units]]</f>
        <v>0</v>
      </c>
      <c r="G835" s="13">
        <v>0</v>
      </c>
      <c r="H835" s="13">
        <v>0</v>
      </c>
      <c r="I835" s="13">
        <v>0</v>
      </c>
      <c r="J835" s="68">
        <v>0</v>
      </c>
      <c r="K835">
        <f t="shared" si="12"/>
        <v>0</v>
      </c>
      <c r="L835" s="13">
        <v>0</v>
      </c>
      <c r="M835" s="13">
        <v>0</v>
      </c>
      <c r="N835" s="13">
        <v>0</v>
      </c>
      <c r="O835" s="68">
        <v>0</v>
      </c>
      <c r="P835" s="155">
        <f>VLOOKUP(Table323[[#This Row],[Census Tract]],'Population and Diversity Data'!$B$2:$K$823,10,FALSE)</f>
        <v>1</v>
      </c>
      <c r="Q835" s="155" t="str">
        <f>VLOOKUP(Table323[[#This Row],[Census Tract]],'ES Energy Burden'!$B$2:$E$914,4,FALSE)</f>
        <v>No</v>
      </c>
    </row>
    <row r="836" spans="1:17" x14ac:dyDescent="0.2">
      <c r="A836" s="101">
        <v>9009352100</v>
      </c>
      <c r="B836" s="102" t="s">
        <v>2860</v>
      </c>
      <c r="C836" s="104" t="s">
        <v>944</v>
      </c>
      <c r="D836" s="69">
        <v>96.198278399999992</v>
      </c>
      <c r="E836" s="69">
        <v>0</v>
      </c>
      <c r="F836" s="13">
        <f>[1]!Table323[[#This Row],[Single Family]]+[1]!Table323[[#This Row],[2-4 Units]]+[1]!Table323[[#This Row],[&gt;4 Units]]</f>
        <v>0</v>
      </c>
      <c r="G836" s="13">
        <v>0</v>
      </c>
      <c r="H836" s="13">
        <v>0</v>
      </c>
      <c r="I836" s="13">
        <v>0</v>
      </c>
      <c r="J836" s="68">
        <v>0</v>
      </c>
      <c r="K836">
        <f t="shared" si="12"/>
        <v>0</v>
      </c>
      <c r="L836" s="13">
        <v>0</v>
      </c>
      <c r="M836" s="13">
        <v>0</v>
      </c>
      <c r="N836" s="13">
        <v>0</v>
      </c>
      <c r="O836" s="68">
        <v>0</v>
      </c>
      <c r="P836" s="155">
        <f>VLOOKUP(Table323[[#This Row],[Census Tract]],'Population and Diversity Data'!$B$2:$K$823,10,FALSE)</f>
        <v>2</v>
      </c>
      <c r="Q836" s="155" t="str">
        <f>VLOOKUP(Table323[[#This Row],[Census Tract]],'ES Energy Burden'!$B$2:$E$914,4,FALSE)</f>
        <v>No</v>
      </c>
    </row>
    <row r="837" spans="1:17" x14ac:dyDescent="0.2">
      <c r="A837" s="101">
        <v>9003460100</v>
      </c>
      <c r="B837" s="102" t="s">
        <v>2861</v>
      </c>
      <c r="C837" s="104" t="s">
        <v>944</v>
      </c>
      <c r="D837" s="69">
        <v>625.74612479999996</v>
      </c>
      <c r="E837" s="69">
        <v>1300.4000000000001</v>
      </c>
      <c r="F837" s="13">
        <f>[1]!Table323[[#This Row],[Single Family]]+[1]!Table323[[#This Row],[2-4 Units]]+[1]!Table323[[#This Row],[&gt;4 Units]]</f>
        <v>2</v>
      </c>
      <c r="G837" s="13">
        <v>2</v>
      </c>
      <c r="H837" s="13">
        <v>0</v>
      </c>
      <c r="I837" s="13">
        <v>0</v>
      </c>
      <c r="J837" s="68">
        <v>1300.02</v>
      </c>
      <c r="K837">
        <f t="shared" si="12"/>
        <v>0</v>
      </c>
      <c r="L837" s="13">
        <v>0</v>
      </c>
      <c r="M837" s="13">
        <v>0</v>
      </c>
      <c r="N837" s="13">
        <v>0</v>
      </c>
      <c r="O837" s="68">
        <v>0</v>
      </c>
      <c r="P837" s="155">
        <f>VLOOKUP(Table323[[#This Row],[Census Tract]],'Population and Diversity Data'!$B$2:$K$823,10,FALSE)</f>
        <v>3</v>
      </c>
      <c r="Q837" s="155" t="str">
        <f>VLOOKUP(Table323[[#This Row],[Census Tract]],'ES Energy Burden'!$B$2:$E$914,4,FALSE)</f>
        <v>No</v>
      </c>
    </row>
    <row r="838" spans="1:17" x14ac:dyDescent="0.2">
      <c r="A838" s="101">
        <v>9003471400</v>
      </c>
      <c r="B838" s="102" t="s">
        <v>2861</v>
      </c>
      <c r="C838" s="104" t="s">
        <v>944</v>
      </c>
      <c r="D838" s="69">
        <v>1128.0287232000001</v>
      </c>
      <c r="E838" s="69">
        <v>0</v>
      </c>
      <c r="F838" s="13">
        <f>[1]!Table323[[#This Row],[Single Family]]+[1]!Table323[[#This Row],[2-4 Units]]+[1]!Table323[[#This Row],[&gt;4 Units]]</f>
        <v>0</v>
      </c>
      <c r="G838" s="13">
        <v>0</v>
      </c>
      <c r="H838" s="13">
        <v>0</v>
      </c>
      <c r="I838" s="13">
        <v>0</v>
      </c>
      <c r="J838" s="68">
        <v>0</v>
      </c>
      <c r="K838">
        <f t="shared" ref="K838:K901" si="13">L838+M838+N838</f>
        <v>0</v>
      </c>
      <c r="L838" s="13">
        <v>0</v>
      </c>
      <c r="M838" s="13">
        <v>0</v>
      </c>
      <c r="N838" s="13">
        <v>0</v>
      </c>
      <c r="O838" s="68">
        <v>0</v>
      </c>
      <c r="P838" s="155">
        <f>VLOOKUP(Table323[[#This Row],[Census Tract]],'Population and Diversity Data'!$B$2:$K$823,10,FALSE)</f>
        <v>2</v>
      </c>
      <c r="Q838" s="155" t="str">
        <f>VLOOKUP(Table323[[#This Row],[Census Tract]],'ES Energy Burden'!$B$2:$E$914,4,FALSE)</f>
        <v>No</v>
      </c>
    </row>
    <row r="839" spans="1:17" x14ac:dyDescent="0.2">
      <c r="A839" s="101">
        <v>9003496100</v>
      </c>
      <c r="B839" s="102" t="s">
        <v>2861</v>
      </c>
      <c r="C839" s="104" t="s">
        <v>944</v>
      </c>
      <c r="D839" s="69">
        <v>28610.9587584</v>
      </c>
      <c r="E839" s="69">
        <v>2101.48</v>
      </c>
      <c r="F839" s="13">
        <f>[1]!Table323[[#This Row],[Single Family]]+[1]!Table323[[#This Row],[2-4 Units]]+[1]!Table323[[#This Row],[&gt;4 Units]]</f>
        <v>6</v>
      </c>
      <c r="G839" s="13">
        <v>6</v>
      </c>
      <c r="H839" s="13">
        <v>0</v>
      </c>
      <c r="I839" s="13">
        <v>0</v>
      </c>
      <c r="J839" s="68">
        <v>2098.02</v>
      </c>
      <c r="K839">
        <f t="shared" si="13"/>
        <v>0</v>
      </c>
      <c r="L839" s="13">
        <v>0</v>
      </c>
      <c r="M839" s="13">
        <v>0</v>
      </c>
      <c r="N839" s="13">
        <v>0</v>
      </c>
      <c r="O839" s="68">
        <v>0</v>
      </c>
      <c r="P839" s="155">
        <f>VLOOKUP(Table323[[#This Row],[Census Tract]],'Population and Diversity Data'!$B$2:$K$823,10,FALSE)</f>
        <v>5</v>
      </c>
      <c r="Q839" s="155" t="str">
        <f>VLOOKUP(Table323[[#This Row],[Census Tract]],'ES Energy Burden'!$B$2:$E$914,4,FALSE)</f>
        <v>No</v>
      </c>
    </row>
    <row r="840" spans="1:17" x14ac:dyDescent="0.2">
      <c r="A840" s="101">
        <v>9003496200</v>
      </c>
      <c r="B840" s="102" t="s">
        <v>2861</v>
      </c>
      <c r="C840" s="104" t="s">
        <v>944</v>
      </c>
      <c r="D840" s="69">
        <v>82021.309801919997</v>
      </c>
      <c r="E840" s="69">
        <v>9423.9668000000001</v>
      </c>
      <c r="F840" s="13">
        <f>[1]!Table323[[#This Row],[Single Family]]+[1]!Table323[[#This Row],[2-4 Units]]+[1]!Table323[[#This Row],[&gt;4 Units]]</f>
        <v>16</v>
      </c>
      <c r="G840" s="13">
        <v>16</v>
      </c>
      <c r="H840" s="13">
        <v>0</v>
      </c>
      <c r="I840" s="13">
        <v>0</v>
      </c>
      <c r="J840" s="68">
        <v>7830.5968000000003</v>
      </c>
      <c r="K840">
        <f t="shared" si="13"/>
        <v>0</v>
      </c>
      <c r="L840" s="13">
        <v>0</v>
      </c>
      <c r="M840" s="13">
        <v>0</v>
      </c>
      <c r="N840" s="13">
        <v>0</v>
      </c>
      <c r="O840" s="68">
        <v>0</v>
      </c>
      <c r="P840" s="155">
        <f>VLOOKUP(Table323[[#This Row],[Census Tract]],'Population and Diversity Data'!$B$2:$K$823,10,FALSE)</f>
        <v>5</v>
      </c>
      <c r="Q840" s="155" t="str">
        <f>VLOOKUP(Table323[[#This Row],[Census Tract]],'ES Energy Burden'!$B$2:$E$914,4,FALSE)</f>
        <v>No</v>
      </c>
    </row>
    <row r="841" spans="1:17" x14ac:dyDescent="0.2">
      <c r="A841" s="101">
        <v>9003496300</v>
      </c>
      <c r="B841" s="102" t="s">
        <v>2861</v>
      </c>
      <c r="C841" s="104" t="s">
        <v>944</v>
      </c>
      <c r="D841" s="69">
        <v>55727.230832640002</v>
      </c>
      <c r="E841" s="69">
        <v>8621.5300000000007</v>
      </c>
      <c r="F841" s="13">
        <f>[1]!Table323[[#This Row],[Single Family]]+[1]!Table323[[#This Row],[2-4 Units]]+[1]!Table323[[#This Row],[&gt;4 Units]]</f>
        <v>14</v>
      </c>
      <c r="G841" s="13">
        <v>13</v>
      </c>
      <c r="H841" s="13">
        <v>1</v>
      </c>
      <c r="I841" s="13">
        <v>0</v>
      </c>
      <c r="J841" s="68">
        <v>5853.27</v>
      </c>
      <c r="K841">
        <f t="shared" si="13"/>
        <v>0</v>
      </c>
      <c r="L841" s="13">
        <v>0</v>
      </c>
      <c r="M841" s="13">
        <v>0</v>
      </c>
      <c r="N841" s="13">
        <v>0</v>
      </c>
      <c r="O841" s="68">
        <v>0</v>
      </c>
      <c r="P841" s="155">
        <f>VLOOKUP(Table323[[#This Row],[Census Tract]],'Population and Diversity Data'!$B$2:$K$823,10,FALSE)</f>
        <v>3</v>
      </c>
      <c r="Q841" s="155" t="str">
        <f>VLOOKUP(Table323[[#This Row],[Census Tract]],'ES Energy Burden'!$B$2:$E$914,4,FALSE)</f>
        <v>No</v>
      </c>
    </row>
    <row r="842" spans="1:17" x14ac:dyDescent="0.2">
      <c r="A842" s="101">
        <v>9003496400</v>
      </c>
      <c r="B842" s="102" t="s">
        <v>2861</v>
      </c>
      <c r="C842" s="104" t="s">
        <v>944</v>
      </c>
      <c r="D842" s="69">
        <v>48185.508096000005</v>
      </c>
      <c r="E842" s="69">
        <v>6747.1818000000003</v>
      </c>
      <c r="F842" s="13">
        <f>[1]!Table323[[#This Row],[Single Family]]+[1]!Table323[[#This Row],[2-4 Units]]+[1]!Table323[[#This Row],[&gt;4 Units]]</f>
        <v>19</v>
      </c>
      <c r="G842" s="13">
        <v>19</v>
      </c>
      <c r="H842" s="13">
        <v>0</v>
      </c>
      <c r="I842" s="13">
        <v>0</v>
      </c>
      <c r="J842" s="68">
        <v>6743.6917999999996</v>
      </c>
      <c r="K842">
        <f t="shared" si="13"/>
        <v>0</v>
      </c>
      <c r="L842" s="13">
        <v>0</v>
      </c>
      <c r="M842" s="13">
        <v>0</v>
      </c>
      <c r="N842" s="13">
        <v>0</v>
      </c>
      <c r="O842" s="68">
        <v>0</v>
      </c>
      <c r="P842" s="155">
        <f>VLOOKUP(Table323[[#This Row],[Census Tract]],'Population and Diversity Data'!$B$2:$K$823,10,FALSE)</f>
        <v>2</v>
      </c>
      <c r="Q842" s="155" t="str">
        <f>VLOOKUP(Table323[[#This Row],[Census Tract]],'ES Energy Burden'!$B$2:$E$914,4,FALSE)</f>
        <v>No</v>
      </c>
    </row>
    <row r="843" spans="1:17" x14ac:dyDescent="0.2">
      <c r="A843" s="101">
        <v>9003496500</v>
      </c>
      <c r="B843" s="102" t="s">
        <v>2861</v>
      </c>
      <c r="C843" s="104" t="s">
        <v>944</v>
      </c>
      <c r="D843" s="69">
        <v>43302.135461760001</v>
      </c>
      <c r="E843" s="69">
        <v>18052.32</v>
      </c>
      <c r="F843" s="13">
        <f>[1]!Table323[[#This Row],[Single Family]]+[1]!Table323[[#This Row],[2-4 Units]]+[1]!Table323[[#This Row],[&gt;4 Units]]</f>
        <v>14</v>
      </c>
      <c r="G843" s="13">
        <v>14</v>
      </c>
      <c r="H843" s="13">
        <v>0</v>
      </c>
      <c r="I843" s="13">
        <v>0</v>
      </c>
      <c r="J843" s="68">
        <v>4636.5</v>
      </c>
      <c r="K843">
        <f t="shared" si="13"/>
        <v>0</v>
      </c>
      <c r="L843" s="13">
        <v>0</v>
      </c>
      <c r="M843" s="13">
        <v>0</v>
      </c>
      <c r="N843" s="13">
        <v>0</v>
      </c>
      <c r="O843" s="68">
        <v>0</v>
      </c>
      <c r="P843" s="155">
        <f>VLOOKUP(Table323[[#This Row],[Census Tract]],'Population and Diversity Data'!$B$2:$K$823,10,FALSE)</f>
        <v>3</v>
      </c>
      <c r="Q843" s="155" t="str">
        <f>VLOOKUP(Table323[[#This Row],[Census Tract]],'ES Energy Burden'!$B$2:$E$914,4,FALSE)</f>
        <v>No</v>
      </c>
    </row>
    <row r="844" spans="1:17" x14ac:dyDescent="0.2">
      <c r="A844" s="101">
        <v>9003496600</v>
      </c>
      <c r="B844" s="102" t="s">
        <v>2861</v>
      </c>
      <c r="C844" s="104" t="s">
        <v>944</v>
      </c>
      <c r="D844" s="69">
        <v>55057.849891200007</v>
      </c>
      <c r="E844" s="69">
        <v>28113.459900000002</v>
      </c>
      <c r="F844" s="13">
        <f>[1]!Table323[[#This Row],[Single Family]]+[1]!Table323[[#This Row],[2-4 Units]]+[1]!Table323[[#This Row],[&gt;4 Units]]</f>
        <v>19</v>
      </c>
      <c r="G844" s="13">
        <v>19</v>
      </c>
      <c r="H844" s="13">
        <v>0</v>
      </c>
      <c r="I844" s="13">
        <v>0</v>
      </c>
      <c r="J844" s="68">
        <v>9254.6699000000008</v>
      </c>
      <c r="K844">
        <f t="shared" si="13"/>
        <v>0</v>
      </c>
      <c r="L844" s="13">
        <v>0</v>
      </c>
      <c r="M844" s="13">
        <v>0</v>
      </c>
      <c r="N844" s="13">
        <v>0</v>
      </c>
      <c r="O844" s="68">
        <v>0</v>
      </c>
      <c r="P844" s="155">
        <f>VLOOKUP(Table323[[#This Row],[Census Tract]],'Population and Diversity Data'!$B$2:$K$823,10,FALSE)</f>
        <v>4</v>
      </c>
      <c r="Q844" s="155" t="str">
        <f>VLOOKUP(Table323[[#This Row],[Census Tract]],'ES Energy Burden'!$B$2:$E$914,4,FALSE)</f>
        <v>No</v>
      </c>
    </row>
    <row r="845" spans="1:17" x14ac:dyDescent="0.2">
      <c r="A845" s="101">
        <v>9003496700</v>
      </c>
      <c r="B845" s="102" t="s">
        <v>2861</v>
      </c>
      <c r="C845" s="104" t="s">
        <v>944</v>
      </c>
      <c r="D845" s="69">
        <v>46883.065144320004</v>
      </c>
      <c r="E845" s="69">
        <v>6747.4892</v>
      </c>
      <c r="F845" s="13">
        <f>[1]!Table323[[#This Row],[Single Family]]+[1]!Table323[[#This Row],[2-4 Units]]+[1]!Table323[[#This Row],[&gt;4 Units]]</f>
        <v>15</v>
      </c>
      <c r="G845" s="13">
        <v>14</v>
      </c>
      <c r="H845" s="13">
        <v>1</v>
      </c>
      <c r="I845" s="13">
        <v>0</v>
      </c>
      <c r="J845" s="68">
        <v>4898.5191999999997</v>
      </c>
      <c r="K845">
        <f t="shared" si="13"/>
        <v>0</v>
      </c>
      <c r="L845" s="13">
        <v>0</v>
      </c>
      <c r="M845" s="13">
        <v>0</v>
      </c>
      <c r="N845" s="13">
        <v>0</v>
      </c>
      <c r="O845" s="68">
        <v>0</v>
      </c>
      <c r="P845" s="155">
        <f>VLOOKUP(Table323[[#This Row],[Census Tract]],'Population and Diversity Data'!$B$2:$K$823,10,FALSE)</f>
        <v>5</v>
      </c>
      <c r="Q845" s="155" t="str">
        <f>VLOOKUP(Table323[[#This Row],[Census Tract]],'ES Energy Burden'!$B$2:$E$914,4,FALSE)</f>
        <v>No</v>
      </c>
    </row>
    <row r="846" spans="1:17" x14ac:dyDescent="0.2">
      <c r="A846" s="101">
        <v>9003496800</v>
      </c>
      <c r="B846" s="102" t="s">
        <v>2861</v>
      </c>
      <c r="C846" s="104" t="s">
        <v>944</v>
      </c>
      <c r="D846" s="69">
        <v>43290.247003199998</v>
      </c>
      <c r="E846" s="69">
        <v>4929.1130000000003</v>
      </c>
      <c r="F846" s="13">
        <f>[1]!Table323[[#This Row],[Single Family]]+[1]!Table323[[#This Row],[2-4 Units]]+[1]!Table323[[#This Row],[&gt;4 Units]]</f>
        <v>7</v>
      </c>
      <c r="G846" s="13">
        <v>7</v>
      </c>
      <c r="H846" s="13">
        <v>0</v>
      </c>
      <c r="I846" s="13">
        <v>0</v>
      </c>
      <c r="J846" s="68">
        <v>1563.403</v>
      </c>
      <c r="K846">
        <f t="shared" si="13"/>
        <v>0</v>
      </c>
      <c r="L846" s="13">
        <v>0</v>
      </c>
      <c r="M846" s="13">
        <v>0</v>
      </c>
      <c r="N846" s="13">
        <v>0</v>
      </c>
      <c r="O846" s="68">
        <v>0</v>
      </c>
      <c r="P846" s="155">
        <f>VLOOKUP(Table323[[#This Row],[Census Tract]],'Population and Diversity Data'!$B$2:$K$823,10,FALSE)</f>
        <v>5</v>
      </c>
      <c r="Q846" s="155" t="str">
        <f>VLOOKUP(Table323[[#This Row],[Census Tract]],'ES Energy Burden'!$B$2:$E$914,4,FALSE)</f>
        <v>No</v>
      </c>
    </row>
    <row r="847" spans="1:17" x14ac:dyDescent="0.2">
      <c r="A847" s="101">
        <v>9003496900</v>
      </c>
      <c r="B847" s="102" t="s">
        <v>2861</v>
      </c>
      <c r="C847" s="104" t="s">
        <v>944</v>
      </c>
      <c r="D847" s="69">
        <v>76690.901718720008</v>
      </c>
      <c r="E847" s="69">
        <v>8861.1478999999999</v>
      </c>
      <c r="F847" s="13">
        <f>[1]!Table323[[#This Row],[Single Family]]+[1]!Table323[[#This Row],[2-4 Units]]+[1]!Table323[[#This Row],[&gt;4 Units]]</f>
        <v>23</v>
      </c>
      <c r="G847" s="13">
        <v>20</v>
      </c>
      <c r="H847" s="13">
        <v>3</v>
      </c>
      <c r="I847" s="13">
        <v>0</v>
      </c>
      <c r="J847" s="68">
        <v>6614.31</v>
      </c>
      <c r="K847">
        <f t="shared" si="13"/>
        <v>0</v>
      </c>
      <c r="L847" s="13">
        <v>0</v>
      </c>
      <c r="M847" s="13">
        <v>0</v>
      </c>
      <c r="N847" s="13">
        <v>0</v>
      </c>
      <c r="O847" s="68">
        <v>0</v>
      </c>
      <c r="P847" s="155">
        <f>VLOOKUP(Table323[[#This Row],[Census Tract]],'Population and Diversity Data'!$B$2:$K$823,10,FALSE)</f>
        <v>3</v>
      </c>
      <c r="Q847" s="155" t="str">
        <f>VLOOKUP(Table323[[#This Row],[Census Tract]],'ES Energy Burden'!$B$2:$E$914,4,FALSE)</f>
        <v>No</v>
      </c>
    </row>
    <row r="848" spans="1:17" x14ac:dyDescent="0.2">
      <c r="A848" s="101">
        <v>9003497000</v>
      </c>
      <c r="B848" s="102" t="s">
        <v>2861</v>
      </c>
      <c r="C848" s="104" t="s">
        <v>944</v>
      </c>
      <c r="D848" s="69">
        <v>74474.39798496</v>
      </c>
      <c r="E848" s="69">
        <v>10418.5515</v>
      </c>
      <c r="F848" s="13">
        <f>[1]!Table323[[#This Row],[Single Family]]+[1]!Table323[[#This Row],[2-4 Units]]+[1]!Table323[[#This Row],[&gt;4 Units]]</f>
        <v>23</v>
      </c>
      <c r="G848" s="13">
        <v>23</v>
      </c>
      <c r="H848" s="13">
        <v>0</v>
      </c>
      <c r="I848" s="13">
        <v>0</v>
      </c>
      <c r="J848" s="68">
        <v>8090.3615</v>
      </c>
      <c r="K848">
        <f t="shared" si="13"/>
        <v>0</v>
      </c>
      <c r="L848" s="13">
        <v>0</v>
      </c>
      <c r="M848" s="13">
        <v>0</v>
      </c>
      <c r="N848" s="13">
        <v>0</v>
      </c>
      <c r="O848" s="68">
        <v>0</v>
      </c>
      <c r="P848" s="155">
        <f>VLOOKUP(Table323[[#This Row],[Census Tract]],'Population and Diversity Data'!$B$2:$K$823,10,FALSE)</f>
        <v>2</v>
      </c>
      <c r="Q848" s="155" t="str">
        <f>VLOOKUP(Table323[[#This Row],[Census Tract]],'ES Energy Burden'!$B$2:$E$914,4,FALSE)</f>
        <v>No</v>
      </c>
    </row>
    <row r="849" spans="1:17" x14ac:dyDescent="0.2">
      <c r="A849" s="101">
        <v>9003497100</v>
      </c>
      <c r="B849" s="102" t="s">
        <v>2861</v>
      </c>
      <c r="C849" s="104" t="s">
        <v>944</v>
      </c>
      <c r="D849" s="69">
        <v>49008.924374399998</v>
      </c>
      <c r="E849" s="69">
        <v>4881.03</v>
      </c>
      <c r="F849" s="13">
        <f>[1]!Table323[[#This Row],[Single Family]]+[1]!Table323[[#This Row],[2-4 Units]]+[1]!Table323[[#This Row],[&gt;4 Units]]</f>
        <v>17</v>
      </c>
      <c r="G849" s="13">
        <v>16</v>
      </c>
      <c r="H849" s="13">
        <v>1</v>
      </c>
      <c r="I849" s="13">
        <v>0</v>
      </c>
      <c r="J849" s="68">
        <v>4659.1899999999996</v>
      </c>
      <c r="K849">
        <f t="shared" si="13"/>
        <v>0</v>
      </c>
      <c r="L849" s="13">
        <v>0</v>
      </c>
      <c r="M849" s="13">
        <v>0</v>
      </c>
      <c r="N849" s="13">
        <v>0</v>
      </c>
      <c r="O849" s="68">
        <v>0</v>
      </c>
      <c r="P849" s="155">
        <f>VLOOKUP(Table323[[#This Row],[Census Tract]],'Population and Diversity Data'!$B$2:$K$823,10,FALSE)</f>
        <v>2</v>
      </c>
      <c r="Q849" s="155" t="str">
        <f>VLOOKUP(Table323[[#This Row],[Census Tract]],'ES Energy Burden'!$B$2:$E$914,4,FALSE)</f>
        <v>No</v>
      </c>
    </row>
    <row r="850" spans="1:17" x14ac:dyDescent="0.2">
      <c r="A850" s="101">
        <v>9003497200</v>
      </c>
      <c r="B850" s="102" t="s">
        <v>2861</v>
      </c>
      <c r="C850" s="104" t="s">
        <v>944</v>
      </c>
      <c r="D850" s="69">
        <v>32413.523068800001</v>
      </c>
      <c r="E850" s="69">
        <v>16865.05</v>
      </c>
      <c r="F850" s="13">
        <f>[1]!Table323[[#This Row],[Single Family]]+[1]!Table323[[#This Row],[2-4 Units]]+[1]!Table323[[#This Row],[&gt;4 Units]]</f>
        <v>7</v>
      </c>
      <c r="G850" s="13">
        <v>7</v>
      </c>
      <c r="H850" s="13">
        <v>0</v>
      </c>
      <c r="I850" s="13">
        <v>0</v>
      </c>
      <c r="J850" s="68">
        <v>3446.88</v>
      </c>
      <c r="K850">
        <f t="shared" si="13"/>
        <v>0</v>
      </c>
      <c r="L850" s="13">
        <v>0</v>
      </c>
      <c r="M850" s="13">
        <v>0</v>
      </c>
      <c r="N850" s="13">
        <v>0</v>
      </c>
      <c r="O850" s="68">
        <v>0</v>
      </c>
      <c r="P850" s="155">
        <f>VLOOKUP(Table323[[#This Row],[Census Tract]],'Population and Diversity Data'!$B$2:$K$823,10,FALSE)</f>
        <v>2</v>
      </c>
      <c r="Q850" s="155" t="str">
        <f>VLOOKUP(Table323[[#This Row],[Census Tract]],'ES Energy Burden'!$B$2:$E$914,4,FALSE)</f>
        <v>No</v>
      </c>
    </row>
    <row r="851" spans="1:17" x14ac:dyDescent="0.2">
      <c r="A851" s="101">
        <v>9003497300</v>
      </c>
      <c r="B851" s="102" t="s">
        <v>2861</v>
      </c>
      <c r="C851" s="104" t="s">
        <v>944</v>
      </c>
      <c r="D851" s="69">
        <v>80343.415123200015</v>
      </c>
      <c r="E851" s="69">
        <v>18040.036100000001</v>
      </c>
      <c r="F851" s="13">
        <f>[1]!Table323[[#This Row],[Single Family]]+[1]!Table323[[#This Row],[2-4 Units]]+[1]!Table323[[#This Row],[&gt;4 Units]]</f>
        <v>29</v>
      </c>
      <c r="G851" s="13">
        <v>29</v>
      </c>
      <c r="H851" s="13">
        <v>0</v>
      </c>
      <c r="I851" s="13">
        <v>0</v>
      </c>
      <c r="J851" s="68">
        <v>18033.036100000001</v>
      </c>
      <c r="K851">
        <f t="shared" si="13"/>
        <v>0</v>
      </c>
      <c r="L851" s="13">
        <v>0</v>
      </c>
      <c r="M851" s="13">
        <v>0</v>
      </c>
      <c r="N851" s="13">
        <v>0</v>
      </c>
      <c r="O851" s="68">
        <v>0</v>
      </c>
      <c r="P851" s="155">
        <f>VLOOKUP(Table323[[#This Row],[Census Tract]],'Population and Diversity Data'!$B$2:$K$823,10,FALSE)</f>
        <v>4</v>
      </c>
      <c r="Q851" s="155" t="str">
        <f>VLOOKUP(Table323[[#This Row],[Census Tract]],'ES Energy Burden'!$B$2:$E$914,4,FALSE)</f>
        <v>No</v>
      </c>
    </row>
    <row r="852" spans="1:17" x14ac:dyDescent="0.2">
      <c r="A852" s="101">
        <v>9003497400</v>
      </c>
      <c r="B852" s="102" t="s">
        <v>2861</v>
      </c>
      <c r="C852" s="104" t="s">
        <v>944</v>
      </c>
      <c r="D852" s="69">
        <v>76001.059105919994</v>
      </c>
      <c r="E852" s="69">
        <v>13016.7014</v>
      </c>
      <c r="F852" s="13">
        <f>[1]!Table323[[#This Row],[Single Family]]+[1]!Table323[[#This Row],[2-4 Units]]+[1]!Table323[[#This Row],[&gt;4 Units]]</f>
        <v>30</v>
      </c>
      <c r="G852" s="13">
        <v>30</v>
      </c>
      <c r="H852" s="13">
        <v>0</v>
      </c>
      <c r="I852" s="13">
        <v>0</v>
      </c>
      <c r="J852" s="68">
        <v>13015.4614</v>
      </c>
      <c r="K852">
        <f t="shared" si="13"/>
        <v>0</v>
      </c>
      <c r="L852" s="13">
        <v>0</v>
      </c>
      <c r="M852" s="13">
        <v>0</v>
      </c>
      <c r="N852" s="13">
        <v>0</v>
      </c>
      <c r="O852" s="68">
        <v>0</v>
      </c>
      <c r="P852" s="155">
        <f>VLOOKUP(Table323[[#This Row],[Census Tract]],'Population and Diversity Data'!$B$2:$K$823,10,FALSE)</f>
        <v>2</v>
      </c>
      <c r="Q852" s="155" t="str">
        <f>VLOOKUP(Table323[[#This Row],[Census Tract]],'ES Energy Burden'!$B$2:$E$914,4,FALSE)</f>
        <v>No</v>
      </c>
    </row>
    <row r="853" spans="1:17" x14ac:dyDescent="0.2">
      <c r="A853" s="101">
        <v>9003497500</v>
      </c>
      <c r="B853" s="102" t="s">
        <v>2861</v>
      </c>
      <c r="C853" s="104" t="s">
        <v>944</v>
      </c>
      <c r="D853" s="69">
        <v>74846.761387200007</v>
      </c>
      <c r="E853" s="69">
        <v>52438</v>
      </c>
      <c r="F853" s="13">
        <f>[1]!Table323[[#This Row],[Single Family]]+[1]!Table323[[#This Row],[2-4 Units]]+[1]!Table323[[#This Row],[&gt;4 Units]]</f>
        <v>24</v>
      </c>
      <c r="G853" s="13">
        <v>24</v>
      </c>
      <c r="H853" s="13">
        <v>0</v>
      </c>
      <c r="I853" s="13">
        <v>0</v>
      </c>
      <c r="J853" s="68">
        <v>13075.48</v>
      </c>
      <c r="K853">
        <f t="shared" si="13"/>
        <v>0</v>
      </c>
      <c r="L853" s="13">
        <v>0</v>
      </c>
      <c r="M853" s="13">
        <v>0</v>
      </c>
      <c r="N853" s="13">
        <v>0</v>
      </c>
      <c r="O853" s="68">
        <v>0</v>
      </c>
      <c r="P853" s="155">
        <f>VLOOKUP(Table323[[#This Row],[Census Tract]],'Population and Diversity Data'!$B$2:$K$823,10,FALSE)</f>
        <v>5</v>
      </c>
      <c r="Q853" s="155" t="str">
        <f>VLOOKUP(Table323[[#This Row],[Census Tract]],'ES Energy Burden'!$B$2:$E$914,4,FALSE)</f>
        <v>No</v>
      </c>
    </row>
    <row r="854" spans="1:17" x14ac:dyDescent="0.2">
      <c r="A854" s="101">
        <v>9003497600</v>
      </c>
      <c r="B854" s="102" t="s">
        <v>2861</v>
      </c>
      <c r="C854" s="104" t="s">
        <v>944</v>
      </c>
      <c r="D854" s="69">
        <v>35446.190293439999</v>
      </c>
      <c r="E854" s="69">
        <v>2038.99</v>
      </c>
      <c r="F854" s="13">
        <f>[1]!Table323[[#This Row],[Single Family]]+[1]!Table323[[#This Row],[2-4 Units]]+[1]!Table323[[#This Row],[&gt;4 Units]]</f>
        <v>8</v>
      </c>
      <c r="G854" s="13">
        <v>8</v>
      </c>
      <c r="H854" s="13">
        <v>0</v>
      </c>
      <c r="I854" s="13">
        <v>0</v>
      </c>
      <c r="J854" s="68">
        <v>1447.51</v>
      </c>
      <c r="K854">
        <f t="shared" si="13"/>
        <v>0</v>
      </c>
      <c r="L854" s="13">
        <v>0</v>
      </c>
      <c r="M854" s="13">
        <v>0</v>
      </c>
      <c r="N854" s="13">
        <v>0</v>
      </c>
      <c r="O854" s="68">
        <v>0</v>
      </c>
      <c r="P854" s="155">
        <f>VLOOKUP(Table323[[#This Row],[Census Tract]],'Population and Diversity Data'!$B$2:$K$823,10,FALSE)</f>
        <v>3</v>
      </c>
      <c r="Q854" s="155" t="str">
        <f>VLOOKUP(Table323[[#This Row],[Census Tract]],'ES Energy Burden'!$B$2:$E$914,4,FALSE)</f>
        <v>No</v>
      </c>
    </row>
    <row r="855" spans="1:17" x14ac:dyDescent="0.2">
      <c r="A855" s="101">
        <v>9003497700</v>
      </c>
      <c r="B855" s="102" t="s">
        <v>2861</v>
      </c>
      <c r="C855" s="104" t="s">
        <v>944</v>
      </c>
      <c r="D855" s="69">
        <v>140466.2942448</v>
      </c>
      <c r="E855" s="69">
        <v>408944.72220000002</v>
      </c>
      <c r="F855" s="13">
        <f>[1]!Table323[[#This Row],[Single Family]]+[1]!Table323[[#This Row],[2-4 Units]]+[1]!Table323[[#This Row],[&gt;4 Units]]</f>
        <v>200</v>
      </c>
      <c r="G855" s="13">
        <v>39</v>
      </c>
      <c r="H855" s="13">
        <v>0</v>
      </c>
      <c r="I855" s="13">
        <v>161</v>
      </c>
      <c r="J855" s="68">
        <v>69849.534400000004</v>
      </c>
      <c r="K855">
        <f t="shared" si="13"/>
        <v>286</v>
      </c>
      <c r="L855" s="13">
        <v>46</v>
      </c>
      <c r="M855" s="13">
        <v>0</v>
      </c>
      <c r="N855" s="13">
        <v>240</v>
      </c>
      <c r="O855" s="68">
        <v>131312.4</v>
      </c>
      <c r="P855" s="155">
        <f>VLOOKUP(Table323[[#This Row],[Census Tract]],'Population and Diversity Data'!$B$2:$K$823,10,FALSE)</f>
        <v>3</v>
      </c>
      <c r="Q855" s="155" t="str">
        <f>VLOOKUP(Table323[[#This Row],[Census Tract]],'ES Energy Burden'!$B$2:$E$914,4,FALSE)</f>
        <v>No</v>
      </c>
    </row>
    <row r="856" spans="1:17" x14ac:dyDescent="0.2">
      <c r="A856" s="101">
        <v>9007620100</v>
      </c>
      <c r="B856" s="102" t="s">
        <v>2862</v>
      </c>
      <c r="C856" s="104" t="s">
        <v>944</v>
      </c>
      <c r="D856" s="69">
        <v>98.137526400000013</v>
      </c>
      <c r="E856" s="69">
        <v>0</v>
      </c>
      <c r="F856" s="13">
        <f>[1]!Table323[[#This Row],[Single Family]]+[1]!Table323[[#This Row],[2-4 Units]]+[1]!Table323[[#This Row],[&gt;4 Units]]</f>
        <v>0</v>
      </c>
      <c r="G856" s="13">
        <v>0</v>
      </c>
      <c r="H856" s="13">
        <v>0</v>
      </c>
      <c r="I856" s="13">
        <v>0</v>
      </c>
      <c r="J856" s="68">
        <v>0</v>
      </c>
      <c r="K856">
        <f t="shared" si="13"/>
        <v>0</v>
      </c>
      <c r="L856" s="13">
        <v>0</v>
      </c>
      <c r="M856" s="13">
        <v>0</v>
      </c>
      <c r="N856" s="13">
        <v>0</v>
      </c>
      <c r="O856" s="68">
        <v>0</v>
      </c>
      <c r="P856" s="155">
        <f>VLOOKUP(Table323[[#This Row],[Census Tract]],'Population and Diversity Data'!$B$2:$K$823,10,FALSE)</f>
        <v>1</v>
      </c>
      <c r="Q856" s="155" t="str">
        <f>VLOOKUP(Table323[[#This Row],[Census Tract]],'ES Energy Burden'!$B$2:$E$914,4,FALSE)</f>
        <v>No</v>
      </c>
    </row>
    <row r="857" spans="1:17" x14ac:dyDescent="0.2">
      <c r="A857" s="101">
        <v>9007680100</v>
      </c>
      <c r="B857" s="102" t="s">
        <v>2862</v>
      </c>
      <c r="C857" s="104" t="s">
        <v>944</v>
      </c>
      <c r="D857" s="69">
        <v>182266.88445215998</v>
      </c>
      <c r="E857" s="69">
        <v>75057.263800000001</v>
      </c>
      <c r="F857" s="13">
        <f>[1]!Table323[[#This Row],[Single Family]]+[1]!Table323[[#This Row],[2-4 Units]]+[1]!Table323[[#This Row],[&gt;4 Units]]</f>
        <v>40</v>
      </c>
      <c r="G857" s="13">
        <v>40</v>
      </c>
      <c r="H857" s="13">
        <v>0</v>
      </c>
      <c r="I857" s="13">
        <v>0</v>
      </c>
      <c r="J857" s="68">
        <v>36447.0288</v>
      </c>
      <c r="K857">
        <f t="shared" si="13"/>
        <v>7</v>
      </c>
      <c r="L857" s="13">
        <v>7</v>
      </c>
      <c r="M857" s="13">
        <v>0</v>
      </c>
      <c r="N857" s="13">
        <v>0</v>
      </c>
      <c r="O857" s="68">
        <v>7136.24</v>
      </c>
      <c r="P857" s="155">
        <f>VLOOKUP(Table323[[#This Row],[Census Tract]],'Population and Diversity Data'!$B$2:$K$823,10,FALSE)</f>
        <v>2</v>
      </c>
      <c r="Q857" s="155" t="str">
        <f>VLOOKUP(Table323[[#This Row],[Census Tract]],'ES Energy Burden'!$B$2:$E$914,4,FALSE)</f>
        <v>No</v>
      </c>
    </row>
    <row r="858" spans="1:17" x14ac:dyDescent="0.2">
      <c r="A858" s="101">
        <v>9001050100</v>
      </c>
      <c r="B858" s="102" t="s">
        <v>2863</v>
      </c>
      <c r="C858" s="104" t="s">
        <v>944</v>
      </c>
      <c r="D858" s="69">
        <v>538.72309440000004</v>
      </c>
      <c r="E858" s="69">
        <v>0</v>
      </c>
      <c r="F858" s="13">
        <f>[1]!Table323[[#This Row],[Single Family]]+[1]!Table323[[#This Row],[2-4 Units]]+[1]!Table323[[#This Row],[&gt;4 Units]]</f>
        <v>0</v>
      </c>
      <c r="G858" s="13">
        <v>0</v>
      </c>
      <c r="H858" s="13">
        <v>0</v>
      </c>
      <c r="I858" s="13">
        <v>0</v>
      </c>
      <c r="J858" s="68">
        <v>0</v>
      </c>
      <c r="K858">
        <f t="shared" si="13"/>
        <v>0</v>
      </c>
      <c r="L858" s="13">
        <v>0</v>
      </c>
      <c r="M858" s="13">
        <v>0</v>
      </c>
      <c r="N858" s="13">
        <v>0</v>
      </c>
      <c r="O858" s="68">
        <v>0</v>
      </c>
      <c r="P858" s="155">
        <f>VLOOKUP(Table323[[#This Row],[Census Tract]],'Population and Diversity Data'!$B$2:$K$823,10,FALSE)</f>
        <v>2</v>
      </c>
      <c r="Q858" s="155" t="str">
        <f>VLOOKUP(Table323[[#This Row],[Census Tract]],'ES Energy Burden'!$B$2:$E$914,4,FALSE)</f>
        <v>No</v>
      </c>
    </row>
    <row r="859" spans="1:17" x14ac:dyDescent="0.2">
      <c r="A859" s="101">
        <v>9001050300</v>
      </c>
      <c r="B859" s="102" t="s">
        <v>2863</v>
      </c>
      <c r="C859" s="104" t="s">
        <v>944</v>
      </c>
      <c r="D859" s="69">
        <v>413.52292799999998</v>
      </c>
      <c r="E859" s="69">
        <v>0</v>
      </c>
      <c r="F859" s="13">
        <f>[1]!Table323[[#This Row],[Single Family]]+[1]!Table323[[#This Row],[2-4 Units]]+[1]!Table323[[#This Row],[&gt;4 Units]]</f>
        <v>0</v>
      </c>
      <c r="G859" s="13">
        <v>0</v>
      </c>
      <c r="H859" s="13">
        <v>0</v>
      </c>
      <c r="I859" s="13">
        <v>0</v>
      </c>
      <c r="J859" s="68">
        <v>0</v>
      </c>
      <c r="K859">
        <f t="shared" si="13"/>
        <v>0</v>
      </c>
      <c r="L859" s="13">
        <v>0</v>
      </c>
      <c r="M859" s="13">
        <v>0</v>
      </c>
      <c r="N859" s="13">
        <v>0</v>
      </c>
      <c r="O859" s="68">
        <v>0</v>
      </c>
      <c r="P859" s="155">
        <f>VLOOKUP(Table323[[#This Row],[Census Tract]],'Population and Diversity Data'!$B$2:$K$823,10,FALSE)</f>
        <v>3</v>
      </c>
      <c r="Q859" s="155" t="str">
        <f>VLOOKUP(Table323[[#This Row],[Census Tract]],'ES Energy Burden'!$B$2:$E$914,4,FALSE)</f>
        <v>No</v>
      </c>
    </row>
    <row r="860" spans="1:17" x14ac:dyDescent="0.2">
      <c r="A860" s="101">
        <v>9001055100</v>
      </c>
      <c r="B860" s="102" t="s">
        <v>2863</v>
      </c>
      <c r="C860" s="104" t="s">
        <v>944</v>
      </c>
      <c r="D860" s="69">
        <v>193190.98392576</v>
      </c>
      <c r="E860" s="69">
        <v>77275.853000000003</v>
      </c>
      <c r="F860" s="13">
        <f>[1]!Table323[[#This Row],[Single Family]]+[1]!Table323[[#This Row],[2-4 Units]]+[1]!Table323[[#This Row],[&gt;4 Units]]</f>
        <v>35</v>
      </c>
      <c r="G860" s="13">
        <v>35</v>
      </c>
      <c r="H860" s="13">
        <v>0</v>
      </c>
      <c r="I860" s="13">
        <v>0</v>
      </c>
      <c r="J860" s="68">
        <v>42856.148000000001</v>
      </c>
      <c r="K860">
        <f t="shared" si="13"/>
        <v>2</v>
      </c>
      <c r="L860" s="13">
        <v>2</v>
      </c>
      <c r="M860" s="13">
        <v>0</v>
      </c>
      <c r="N860" s="13">
        <v>0</v>
      </c>
      <c r="O860" s="68">
        <v>3592.1</v>
      </c>
      <c r="P860" s="155">
        <f>VLOOKUP(Table323[[#This Row],[Census Tract]],'Population and Diversity Data'!$B$2:$K$823,10,FALSE)</f>
        <v>4</v>
      </c>
      <c r="Q860" s="155" t="str">
        <f>VLOOKUP(Table323[[#This Row],[Census Tract]],'ES Energy Burden'!$B$2:$E$914,4,FALSE)</f>
        <v>No</v>
      </c>
    </row>
    <row r="861" spans="1:17" x14ac:dyDescent="0.2">
      <c r="A861" s="101">
        <v>9001055200</v>
      </c>
      <c r="B861" s="102" t="s">
        <v>2863</v>
      </c>
      <c r="C861" s="104" t="s">
        <v>944</v>
      </c>
      <c r="D861" s="69">
        <v>153141.29732160002</v>
      </c>
      <c r="E861" s="69">
        <v>30830.174299999999</v>
      </c>
      <c r="F861" s="13">
        <f>[1]!Table323[[#This Row],[Single Family]]+[1]!Table323[[#This Row],[2-4 Units]]+[1]!Table323[[#This Row],[&gt;4 Units]]</f>
        <v>28</v>
      </c>
      <c r="G861" s="13">
        <v>28</v>
      </c>
      <c r="H861" s="13">
        <v>0</v>
      </c>
      <c r="I861" s="13">
        <v>0</v>
      </c>
      <c r="J861" s="68">
        <v>30829.2402</v>
      </c>
      <c r="K861">
        <f t="shared" si="13"/>
        <v>0</v>
      </c>
      <c r="L861" s="13">
        <v>0</v>
      </c>
      <c r="M861" s="13">
        <v>0</v>
      </c>
      <c r="N861" s="13">
        <v>0</v>
      </c>
      <c r="O861" s="68">
        <v>0</v>
      </c>
      <c r="P861" s="155">
        <f>VLOOKUP(Table323[[#This Row],[Census Tract]],'Population and Diversity Data'!$B$2:$K$823,10,FALSE)</f>
        <v>1</v>
      </c>
      <c r="Q861" s="155" t="str">
        <f>VLOOKUP(Table323[[#This Row],[Census Tract]],'ES Energy Burden'!$B$2:$E$914,4,FALSE)</f>
        <v>No</v>
      </c>
    </row>
    <row r="862" spans="1:17" x14ac:dyDescent="0.2">
      <c r="A862" s="101">
        <v>9001105100</v>
      </c>
      <c r="B862" s="102" t="s">
        <v>2863</v>
      </c>
      <c r="C862" s="104" t="s">
        <v>944</v>
      </c>
      <c r="D862" s="69">
        <v>932.56989120000003</v>
      </c>
      <c r="E862" s="69">
        <v>0</v>
      </c>
      <c r="F862" s="13">
        <f>[1]!Table323[[#This Row],[Single Family]]+[1]!Table323[[#This Row],[2-4 Units]]+[1]!Table323[[#This Row],[&gt;4 Units]]</f>
        <v>0</v>
      </c>
      <c r="G862" s="13">
        <v>0</v>
      </c>
      <c r="H862" s="13">
        <v>0</v>
      </c>
      <c r="I862" s="13">
        <v>0</v>
      </c>
      <c r="J862" s="68">
        <v>0</v>
      </c>
      <c r="K862">
        <f t="shared" si="13"/>
        <v>0</v>
      </c>
      <c r="L862" s="13">
        <v>0</v>
      </c>
      <c r="M862" s="13">
        <v>0</v>
      </c>
      <c r="N862" s="13">
        <v>0</v>
      </c>
      <c r="O862" s="68">
        <v>0</v>
      </c>
      <c r="P862" s="155">
        <f>VLOOKUP(Table323[[#This Row],[Census Tract]],'Population and Diversity Data'!$B$2:$K$823,10,FALSE)</f>
        <v>1</v>
      </c>
      <c r="Q862" s="155" t="str">
        <f>VLOOKUP(Table323[[#This Row],[Census Tract]],'ES Energy Burden'!$B$2:$E$914,4,FALSE)</f>
        <v>No</v>
      </c>
    </row>
    <row r="863" spans="1:17" x14ac:dyDescent="0.2">
      <c r="A863" s="101">
        <v>9001042500</v>
      </c>
      <c r="B863" s="102" t="s">
        <v>2864</v>
      </c>
      <c r="C863" s="104" t="s">
        <v>944</v>
      </c>
      <c r="D863" s="69">
        <v>74.606054400000005</v>
      </c>
      <c r="E863" s="69">
        <v>0</v>
      </c>
      <c r="F863" s="13">
        <f>[1]!Table323[[#This Row],[Single Family]]+[1]!Table323[[#This Row],[2-4 Units]]+[1]!Table323[[#This Row],[&gt;4 Units]]</f>
        <v>0</v>
      </c>
      <c r="G863" s="13">
        <v>0</v>
      </c>
      <c r="H863" s="13">
        <v>0</v>
      </c>
      <c r="I863" s="13">
        <v>0</v>
      </c>
      <c r="J863" s="68">
        <v>0</v>
      </c>
      <c r="K863">
        <f t="shared" si="13"/>
        <v>0</v>
      </c>
      <c r="L863" s="13">
        <v>0</v>
      </c>
      <c r="M863" s="13">
        <v>0</v>
      </c>
      <c r="N863" s="13">
        <v>0</v>
      </c>
      <c r="O863" s="68">
        <v>0</v>
      </c>
      <c r="P863" s="155">
        <f>VLOOKUP(Table323[[#This Row],[Census Tract]],'Population and Diversity Data'!$B$2:$K$823,10,FALSE)</f>
        <v>1</v>
      </c>
      <c r="Q863" s="155" t="str">
        <f>VLOOKUP(Table323[[#This Row],[Census Tract]],'ES Energy Burden'!$B$2:$E$914,4,FALSE)</f>
        <v>No</v>
      </c>
    </row>
    <row r="864" spans="1:17" x14ac:dyDescent="0.2">
      <c r="A864" s="101">
        <v>9001042600</v>
      </c>
      <c r="B864" s="102" t="s">
        <v>2864</v>
      </c>
      <c r="C864" s="104" t="s">
        <v>944</v>
      </c>
      <c r="D864" s="69">
        <v>1610.4267936000001</v>
      </c>
      <c r="E864" s="69">
        <v>0</v>
      </c>
      <c r="F864" s="13">
        <f>[1]!Table323[[#This Row],[Single Family]]+[1]!Table323[[#This Row],[2-4 Units]]+[1]!Table323[[#This Row],[&gt;4 Units]]</f>
        <v>0</v>
      </c>
      <c r="G864" s="13">
        <v>0</v>
      </c>
      <c r="H864" s="13">
        <v>0</v>
      </c>
      <c r="I864" s="13">
        <v>0</v>
      </c>
      <c r="J864" s="68">
        <v>0</v>
      </c>
      <c r="K864">
        <f t="shared" si="13"/>
        <v>0</v>
      </c>
      <c r="L864" s="13">
        <v>0</v>
      </c>
      <c r="M864" s="13">
        <v>0</v>
      </c>
      <c r="N864" s="13">
        <v>0</v>
      </c>
      <c r="O864" s="68">
        <v>0</v>
      </c>
      <c r="P864" s="155">
        <f>VLOOKUP(Table323[[#This Row],[Census Tract]],'Population and Diversity Data'!$B$2:$K$823,10,FALSE)</f>
        <v>3</v>
      </c>
      <c r="Q864" s="155" t="str">
        <f>VLOOKUP(Table323[[#This Row],[Census Tract]],'ES Energy Burden'!$B$2:$E$914,4,FALSE)</f>
        <v>No</v>
      </c>
    </row>
    <row r="865" spans="1:17" x14ac:dyDescent="0.2">
      <c r="A865" s="101">
        <v>9001043500</v>
      </c>
      <c r="B865" s="102" t="s">
        <v>2864</v>
      </c>
      <c r="C865" s="104" t="s">
        <v>944</v>
      </c>
      <c r="D865" s="69">
        <v>1005.7692671999999</v>
      </c>
      <c r="E865" s="69">
        <v>1424.72</v>
      </c>
      <c r="F865" s="13">
        <f>[1]!Table323[[#This Row],[Single Family]]+[1]!Table323[[#This Row],[2-4 Units]]+[1]!Table323[[#This Row],[&gt;4 Units]]</f>
        <v>1</v>
      </c>
      <c r="G865" s="13">
        <v>1</v>
      </c>
      <c r="H865" s="13">
        <v>0</v>
      </c>
      <c r="I865" s="13">
        <v>0</v>
      </c>
      <c r="J865" s="68">
        <v>1421.53</v>
      </c>
      <c r="K865">
        <f t="shared" si="13"/>
        <v>0</v>
      </c>
      <c r="L865" s="13">
        <v>0</v>
      </c>
      <c r="M865" s="13">
        <v>0</v>
      </c>
      <c r="N865" s="13">
        <v>0</v>
      </c>
      <c r="O865" s="68">
        <v>0</v>
      </c>
      <c r="P865" s="155">
        <f>VLOOKUP(Table323[[#This Row],[Census Tract]],'Population and Diversity Data'!$B$2:$K$823,10,FALSE)</f>
        <v>1</v>
      </c>
      <c r="Q865" s="155" t="str">
        <f>VLOOKUP(Table323[[#This Row],[Census Tract]],'ES Energy Burden'!$B$2:$E$914,4,FALSE)</f>
        <v>No</v>
      </c>
    </row>
    <row r="866" spans="1:17" x14ac:dyDescent="0.2">
      <c r="A866" s="101">
        <v>9001044300</v>
      </c>
      <c r="B866" s="102" t="s">
        <v>2864</v>
      </c>
      <c r="C866" s="104" t="s">
        <v>944</v>
      </c>
      <c r="D866" s="69">
        <v>2160.7506432</v>
      </c>
      <c r="E866" s="69">
        <v>1007.24</v>
      </c>
      <c r="F866" s="13">
        <f>[1]!Table323[[#This Row],[Single Family]]+[1]!Table323[[#This Row],[2-4 Units]]+[1]!Table323[[#This Row],[&gt;4 Units]]</f>
        <v>1</v>
      </c>
      <c r="G866" s="13">
        <v>1</v>
      </c>
      <c r="H866" s="13">
        <v>0</v>
      </c>
      <c r="I866" s="13">
        <v>0</v>
      </c>
      <c r="J866" s="68">
        <v>990.05</v>
      </c>
      <c r="K866">
        <f t="shared" si="13"/>
        <v>0</v>
      </c>
      <c r="L866" s="13">
        <v>0</v>
      </c>
      <c r="M866" s="13">
        <v>0</v>
      </c>
      <c r="N866" s="13">
        <v>0</v>
      </c>
      <c r="O866" s="68">
        <v>0</v>
      </c>
      <c r="P866" s="155">
        <f>VLOOKUP(Table323[[#This Row],[Census Tract]],'Population and Diversity Data'!$B$2:$K$823,10,FALSE)</f>
        <v>3</v>
      </c>
      <c r="Q866" s="155" t="str">
        <f>VLOOKUP(Table323[[#This Row],[Census Tract]],'ES Energy Burden'!$B$2:$E$914,4,FALSE)</f>
        <v>No</v>
      </c>
    </row>
    <row r="867" spans="1:17" x14ac:dyDescent="0.2">
      <c r="A867" s="101">
        <v>9001045400</v>
      </c>
      <c r="B867" s="102" t="s">
        <v>2864</v>
      </c>
      <c r="C867" s="104" t="s">
        <v>944</v>
      </c>
      <c r="D867" s="69">
        <v>668.84374079999998</v>
      </c>
      <c r="E867" s="69">
        <v>0</v>
      </c>
      <c r="F867" s="13">
        <f>[1]!Table323[[#This Row],[Single Family]]+[1]!Table323[[#This Row],[2-4 Units]]+[1]!Table323[[#This Row],[&gt;4 Units]]</f>
        <v>0</v>
      </c>
      <c r="G867" s="13">
        <v>0</v>
      </c>
      <c r="H867" s="13">
        <v>0</v>
      </c>
      <c r="I867" s="13">
        <v>0</v>
      </c>
      <c r="J867" s="68">
        <v>0</v>
      </c>
      <c r="K867">
        <f t="shared" si="13"/>
        <v>0</v>
      </c>
      <c r="L867" s="13">
        <v>0</v>
      </c>
      <c r="M867" s="13">
        <v>0</v>
      </c>
      <c r="N867" s="13">
        <v>0</v>
      </c>
      <c r="O867" s="68">
        <v>0</v>
      </c>
      <c r="P867" s="155">
        <f>VLOOKUP(Table323[[#This Row],[Census Tract]],'Population and Diversity Data'!$B$2:$K$823,10,FALSE)</f>
        <v>4</v>
      </c>
      <c r="Q867" s="155" t="str">
        <f>VLOOKUP(Table323[[#This Row],[Census Tract]],'ES Energy Burden'!$B$2:$E$914,4,FALSE)</f>
        <v>No</v>
      </c>
    </row>
    <row r="868" spans="1:17" x14ac:dyDescent="0.2">
      <c r="A868" s="101">
        <v>9001050100</v>
      </c>
      <c r="B868" s="102" t="s">
        <v>2864</v>
      </c>
      <c r="C868" s="104" t="s">
        <v>944</v>
      </c>
      <c r="D868" s="69">
        <v>130976.70803711998</v>
      </c>
      <c r="E868" s="69">
        <v>20756.725299999998</v>
      </c>
      <c r="F868" s="13">
        <f>[1]!Table323[[#This Row],[Single Family]]+[1]!Table323[[#This Row],[2-4 Units]]+[1]!Table323[[#This Row],[&gt;4 Units]]</f>
        <v>19</v>
      </c>
      <c r="G868" s="13">
        <v>19</v>
      </c>
      <c r="H868" s="13">
        <v>0</v>
      </c>
      <c r="I868" s="13">
        <v>0</v>
      </c>
      <c r="J868" s="68">
        <v>20753.665300000001</v>
      </c>
      <c r="K868">
        <f t="shared" si="13"/>
        <v>0</v>
      </c>
      <c r="L868" s="13">
        <v>0</v>
      </c>
      <c r="M868" s="13">
        <v>0</v>
      </c>
      <c r="N868" s="13">
        <v>0</v>
      </c>
      <c r="O868" s="68">
        <v>0</v>
      </c>
      <c r="P868" s="155">
        <f>VLOOKUP(Table323[[#This Row],[Census Tract]],'Population and Diversity Data'!$B$2:$K$823,10,FALSE)</f>
        <v>2</v>
      </c>
      <c r="Q868" s="155" t="str">
        <f>VLOOKUP(Table323[[#This Row],[Census Tract]],'ES Energy Burden'!$B$2:$E$914,4,FALSE)</f>
        <v>No</v>
      </c>
    </row>
    <row r="869" spans="1:17" x14ac:dyDescent="0.2">
      <c r="A869" s="101">
        <v>9001050200</v>
      </c>
      <c r="B869" s="102" t="s">
        <v>2864</v>
      </c>
      <c r="C869" s="104" t="s">
        <v>944</v>
      </c>
      <c r="D869" s="69">
        <v>121173.53558688</v>
      </c>
      <c r="E869" s="69">
        <v>21742.54</v>
      </c>
      <c r="F869" s="13">
        <f>[1]!Table323[[#This Row],[Single Family]]+[1]!Table323[[#This Row],[2-4 Units]]+[1]!Table323[[#This Row],[&gt;4 Units]]</f>
        <v>21</v>
      </c>
      <c r="G869" s="13">
        <v>21</v>
      </c>
      <c r="H869" s="13">
        <v>0</v>
      </c>
      <c r="I869" s="13">
        <v>0</v>
      </c>
      <c r="J869" s="68">
        <v>21733.31</v>
      </c>
      <c r="K869">
        <f t="shared" si="13"/>
        <v>0</v>
      </c>
      <c r="L869" s="13">
        <v>0</v>
      </c>
      <c r="M869" s="13">
        <v>0</v>
      </c>
      <c r="N869" s="13">
        <v>0</v>
      </c>
      <c r="O869" s="68">
        <v>0</v>
      </c>
      <c r="P869" s="155">
        <f>VLOOKUP(Table323[[#This Row],[Census Tract]],'Population and Diversity Data'!$B$2:$K$823,10,FALSE)</f>
        <v>4</v>
      </c>
      <c r="Q869" s="155" t="str">
        <f>VLOOKUP(Table323[[#This Row],[Census Tract]],'ES Energy Burden'!$B$2:$E$914,4,FALSE)</f>
        <v>No</v>
      </c>
    </row>
    <row r="870" spans="1:17" x14ac:dyDescent="0.2">
      <c r="A870" s="101">
        <v>9001050300</v>
      </c>
      <c r="B870" s="102" t="s">
        <v>2864</v>
      </c>
      <c r="C870" s="104" t="s">
        <v>944</v>
      </c>
      <c r="D870" s="69">
        <v>283530.12261696003</v>
      </c>
      <c r="E870" s="69">
        <v>126459.8762</v>
      </c>
      <c r="F870" s="13">
        <f>[1]!Table323[[#This Row],[Single Family]]+[1]!Table323[[#This Row],[2-4 Units]]+[1]!Table323[[#This Row],[&gt;4 Units]]</f>
        <v>44</v>
      </c>
      <c r="G870" s="13">
        <v>44</v>
      </c>
      <c r="H870" s="13">
        <v>0</v>
      </c>
      <c r="I870" s="13">
        <v>0</v>
      </c>
      <c r="J870" s="68">
        <v>43259.500099999997</v>
      </c>
      <c r="K870">
        <f t="shared" si="13"/>
        <v>82</v>
      </c>
      <c r="L870" s="13">
        <v>4</v>
      </c>
      <c r="M870" s="13">
        <v>0</v>
      </c>
      <c r="N870" s="13">
        <v>78</v>
      </c>
      <c r="O870" s="68">
        <v>12949.7</v>
      </c>
      <c r="P870" s="155">
        <f>VLOOKUP(Table323[[#This Row],[Census Tract]],'Population and Diversity Data'!$B$2:$K$823,10,FALSE)</f>
        <v>3</v>
      </c>
      <c r="Q870" s="155" t="str">
        <f>VLOOKUP(Table323[[#This Row],[Census Tract]],'ES Energy Burden'!$B$2:$E$914,4,FALSE)</f>
        <v>No</v>
      </c>
    </row>
    <row r="871" spans="1:17" x14ac:dyDescent="0.2">
      <c r="A871" s="101">
        <v>9001050400</v>
      </c>
      <c r="B871" s="102" t="s">
        <v>2864</v>
      </c>
      <c r="C871" s="104" t="s">
        <v>944</v>
      </c>
      <c r="D871" s="69">
        <v>74558.667283200004</v>
      </c>
      <c r="E871" s="69">
        <v>7135.08</v>
      </c>
      <c r="F871" s="13">
        <f>[1]!Table323[[#This Row],[Single Family]]+[1]!Table323[[#This Row],[2-4 Units]]+[1]!Table323[[#This Row],[&gt;4 Units]]</f>
        <v>8</v>
      </c>
      <c r="G871" s="13">
        <v>8</v>
      </c>
      <c r="H871" s="13">
        <v>0</v>
      </c>
      <c r="I871" s="13">
        <v>0</v>
      </c>
      <c r="J871" s="68">
        <v>7125.88</v>
      </c>
      <c r="K871">
        <f t="shared" si="13"/>
        <v>0</v>
      </c>
      <c r="L871" s="13">
        <v>0</v>
      </c>
      <c r="M871" s="13">
        <v>0</v>
      </c>
      <c r="N871" s="13">
        <v>0</v>
      </c>
      <c r="O871" s="68">
        <v>0</v>
      </c>
      <c r="P871" s="155">
        <f>VLOOKUP(Table323[[#This Row],[Census Tract]],'Population and Diversity Data'!$B$2:$K$823,10,FALSE)</f>
        <v>3</v>
      </c>
      <c r="Q871" s="155" t="str">
        <f>VLOOKUP(Table323[[#This Row],[Census Tract]],'ES Energy Burden'!$B$2:$E$914,4,FALSE)</f>
        <v>No</v>
      </c>
    </row>
    <row r="872" spans="1:17" x14ac:dyDescent="0.2">
      <c r="A872" s="101">
        <v>9001050500</v>
      </c>
      <c r="B872" s="102" t="s">
        <v>2864</v>
      </c>
      <c r="C872" s="104" t="s">
        <v>944</v>
      </c>
      <c r="D872" s="69">
        <v>146823.64934111998</v>
      </c>
      <c r="E872" s="69">
        <v>32140.67</v>
      </c>
      <c r="F872" s="13">
        <f>[1]!Table323[[#This Row],[Single Family]]+[1]!Table323[[#This Row],[2-4 Units]]+[1]!Table323[[#This Row],[&gt;4 Units]]</f>
        <v>13</v>
      </c>
      <c r="G872" s="13">
        <v>13</v>
      </c>
      <c r="H872" s="13">
        <v>0</v>
      </c>
      <c r="I872" s="13">
        <v>0</v>
      </c>
      <c r="J872" s="68">
        <v>16954.39</v>
      </c>
      <c r="K872">
        <f t="shared" si="13"/>
        <v>0</v>
      </c>
      <c r="L872" s="13">
        <v>0</v>
      </c>
      <c r="M872" s="13">
        <v>0</v>
      </c>
      <c r="N872" s="13">
        <v>0</v>
      </c>
      <c r="O872" s="68">
        <v>0</v>
      </c>
      <c r="P872" s="155">
        <f>VLOOKUP(Table323[[#This Row],[Census Tract]],'Population and Diversity Data'!$B$2:$K$823,10,FALSE)</f>
        <v>1</v>
      </c>
      <c r="Q872" s="155" t="str">
        <f>VLOOKUP(Table323[[#This Row],[Census Tract]],'ES Energy Burden'!$B$2:$E$914,4,FALSE)</f>
        <v>No</v>
      </c>
    </row>
    <row r="873" spans="1:17" x14ac:dyDescent="0.2">
      <c r="A873" s="101">
        <v>9001050600</v>
      </c>
      <c r="B873" s="102" t="s">
        <v>2864</v>
      </c>
      <c r="C873" s="104" t="s">
        <v>944</v>
      </c>
      <c r="D873" s="69">
        <v>125849.61476639999</v>
      </c>
      <c r="E873" s="69">
        <v>10952.81</v>
      </c>
      <c r="F873" s="13">
        <f>[1]!Table323[[#This Row],[Single Family]]+[1]!Table323[[#This Row],[2-4 Units]]+[1]!Table323[[#This Row],[&gt;4 Units]]</f>
        <v>15</v>
      </c>
      <c r="G873" s="13">
        <v>15</v>
      </c>
      <c r="H873" s="13">
        <v>0</v>
      </c>
      <c r="I873" s="13">
        <v>0</v>
      </c>
      <c r="J873" s="68">
        <v>10948.31</v>
      </c>
      <c r="K873">
        <f t="shared" si="13"/>
        <v>0</v>
      </c>
      <c r="L873" s="13">
        <v>0</v>
      </c>
      <c r="M873" s="13">
        <v>0</v>
      </c>
      <c r="N873" s="13">
        <v>0</v>
      </c>
      <c r="O873" s="68">
        <v>0</v>
      </c>
      <c r="P873" s="155">
        <f>VLOOKUP(Table323[[#This Row],[Census Tract]],'Population and Diversity Data'!$B$2:$K$823,10,FALSE)</f>
        <v>3</v>
      </c>
      <c r="Q873" s="155" t="str">
        <f>VLOOKUP(Table323[[#This Row],[Census Tract]],'ES Energy Burden'!$B$2:$E$914,4,FALSE)</f>
        <v>No</v>
      </c>
    </row>
    <row r="874" spans="1:17" x14ac:dyDescent="0.2">
      <c r="A874" s="101">
        <v>9001055200</v>
      </c>
      <c r="B874" s="102" t="s">
        <v>2864</v>
      </c>
      <c r="C874" s="104" t="s">
        <v>944</v>
      </c>
      <c r="D874" s="69">
        <v>5646.9512448000005</v>
      </c>
      <c r="E874" s="69">
        <v>0</v>
      </c>
      <c r="F874" s="13">
        <f>[1]!Table323[[#This Row],[Single Family]]+[1]!Table323[[#This Row],[2-4 Units]]+[1]!Table323[[#This Row],[&gt;4 Units]]</f>
        <v>1</v>
      </c>
      <c r="G874" s="13">
        <v>1</v>
      </c>
      <c r="H874" s="13">
        <v>0</v>
      </c>
      <c r="I874" s="13">
        <v>0</v>
      </c>
      <c r="J874" s="68">
        <v>0</v>
      </c>
      <c r="K874">
        <f t="shared" si="13"/>
        <v>0</v>
      </c>
      <c r="L874" s="13">
        <v>0</v>
      </c>
      <c r="M874" s="13">
        <v>0</v>
      </c>
      <c r="N874" s="13">
        <v>0</v>
      </c>
      <c r="O874" s="68">
        <v>0</v>
      </c>
      <c r="P874" s="155">
        <f>VLOOKUP(Table323[[#This Row],[Census Tract]],'Population and Diversity Data'!$B$2:$K$823,10,FALSE)</f>
        <v>1</v>
      </c>
      <c r="Q874" s="155" t="str">
        <f>VLOOKUP(Table323[[#This Row],[Census Tract]],'ES Energy Burden'!$B$2:$E$914,4,FALSE)</f>
        <v>No</v>
      </c>
    </row>
    <row r="875" spans="1:17" x14ac:dyDescent="0.2">
      <c r="A875" s="101">
        <v>9001060400</v>
      </c>
      <c r="B875" s="102" t="s">
        <v>2864</v>
      </c>
      <c r="C875" s="104" t="s">
        <v>944</v>
      </c>
      <c r="D875" s="69">
        <v>4359.446870400001</v>
      </c>
      <c r="E875" s="69">
        <v>1373.72</v>
      </c>
      <c r="F875" s="13">
        <f>[1]!Table323[[#This Row],[Single Family]]+[1]!Table323[[#This Row],[2-4 Units]]+[1]!Table323[[#This Row],[&gt;4 Units]]</f>
        <v>2</v>
      </c>
      <c r="G875" s="13">
        <v>2</v>
      </c>
      <c r="H875" s="13">
        <v>0</v>
      </c>
      <c r="I875" s="13">
        <v>0</v>
      </c>
      <c r="J875" s="68">
        <v>1339.34</v>
      </c>
      <c r="K875">
        <f t="shared" si="13"/>
        <v>0</v>
      </c>
      <c r="L875" s="13">
        <v>0</v>
      </c>
      <c r="M875" s="13">
        <v>0</v>
      </c>
      <c r="N875" s="13">
        <v>0</v>
      </c>
      <c r="O875" s="68">
        <v>0</v>
      </c>
      <c r="P875" s="155">
        <f>VLOOKUP(Table323[[#This Row],[Census Tract]],'Population and Diversity Data'!$B$2:$K$823,10,FALSE)</f>
        <v>1</v>
      </c>
      <c r="Q875" s="155" t="str">
        <f>VLOOKUP(Table323[[#This Row],[Census Tract]],'ES Energy Burden'!$B$2:$E$914,4,FALSE)</f>
        <v>No</v>
      </c>
    </row>
    <row r="876" spans="1:17" x14ac:dyDescent="0.2">
      <c r="A876" s="101">
        <v>9003492100</v>
      </c>
      <c r="B876" s="102" t="s">
        <v>2865</v>
      </c>
      <c r="C876" s="104" t="s">
        <v>944</v>
      </c>
      <c r="D876" s="69">
        <v>57897.0131616</v>
      </c>
      <c r="E876" s="69">
        <v>7088.3504999999996</v>
      </c>
      <c r="F876" s="13">
        <f>[1]!Table323[[#This Row],[Single Family]]+[1]!Table323[[#This Row],[2-4 Units]]+[1]!Table323[[#This Row],[&gt;4 Units]]</f>
        <v>17</v>
      </c>
      <c r="G876" s="13">
        <v>17</v>
      </c>
      <c r="H876" s="13">
        <v>0</v>
      </c>
      <c r="I876" s="13">
        <v>0</v>
      </c>
      <c r="J876" s="68">
        <v>7084.3305</v>
      </c>
      <c r="K876">
        <f t="shared" si="13"/>
        <v>0</v>
      </c>
      <c r="L876" s="13">
        <v>0</v>
      </c>
      <c r="M876" s="13">
        <v>0</v>
      </c>
      <c r="N876" s="13">
        <v>0</v>
      </c>
      <c r="O876" s="68">
        <v>0</v>
      </c>
      <c r="P876" s="155">
        <f>VLOOKUP(Table323[[#This Row],[Census Tract]],'Population and Diversity Data'!$B$2:$K$823,10,FALSE)</f>
        <v>1</v>
      </c>
      <c r="Q876" s="155" t="str">
        <f>VLOOKUP(Table323[[#This Row],[Census Tract]],'ES Energy Burden'!$B$2:$E$914,4,FALSE)</f>
        <v>No</v>
      </c>
    </row>
    <row r="877" spans="1:17" x14ac:dyDescent="0.2">
      <c r="A877" s="101">
        <v>9003492200</v>
      </c>
      <c r="B877" s="102" t="s">
        <v>2865</v>
      </c>
      <c r="C877" s="104" t="s">
        <v>944</v>
      </c>
      <c r="D877" s="69">
        <v>60830.6149152</v>
      </c>
      <c r="E877" s="69">
        <v>12981.8608</v>
      </c>
      <c r="F877" s="13">
        <f>[1]!Table323[[#This Row],[Single Family]]+[1]!Table323[[#This Row],[2-4 Units]]+[1]!Table323[[#This Row],[&gt;4 Units]]</f>
        <v>15</v>
      </c>
      <c r="G877" s="13">
        <v>15</v>
      </c>
      <c r="H877" s="13">
        <v>0</v>
      </c>
      <c r="I877" s="13">
        <v>0</v>
      </c>
      <c r="J877" s="68">
        <v>5466.6607999999997</v>
      </c>
      <c r="K877">
        <f t="shared" si="13"/>
        <v>0</v>
      </c>
      <c r="L877" s="13">
        <v>0</v>
      </c>
      <c r="M877" s="13">
        <v>0</v>
      </c>
      <c r="N877" s="13">
        <v>0</v>
      </c>
      <c r="O877" s="68">
        <v>0</v>
      </c>
      <c r="P877" s="155">
        <f>VLOOKUP(Table323[[#This Row],[Census Tract]],'Population and Diversity Data'!$B$2:$K$823,10,FALSE)</f>
        <v>3</v>
      </c>
      <c r="Q877" s="155" t="str">
        <f>VLOOKUP(Table323[[#This Row],[Census Tract]],'ES Energy Burden'!$B$2:$E$914,4,FALSE)</f>
        <v>No</v>
      </c>
    </row>
    <row r="878" spans="1:17" x14ac:dyDescent="0.2">
      <c r="A878" s="101">
        <v>9003492300</v>
      </c>
      <c r="B878" s="102" t="s">
        <v>2865</v>
      </c>
      <c r="C878" s="104" t="s">
        <v>944</v>
      </c>
      <c r="D878" s="69">
        <v>86123.850307199988</v>
      </c>
      <c r="E878" s="69">
        <v>9848.5290999999997</v>
      </c>
      <c r="F878" s="13">
        <f>[1]!Table323[[#This Row],[Single Family]]+[1]!Table323[[#This Row],[2-4 Units]]+[1]!Table323[[#This Row],[&gt;4 Units]]</f>
        <v>15</v>
      </c>
      <c r="G878" s="13">
        <v>15</v>
      </c>
      <c r="H878" s="13">
        <v>0</v>
      </c>
      <c r="I878" s="13">
        <v>0</v>
      </c>
      <c r="J878" s="68">
        <v>5572.0290999999997</v>
      </c>
      <c r="K878">
        <f t="shared" si="13"/>
        <v>0</v>
      </c>
      <c r="L878" s="13">
        <v>0</v>
      </c>
      <c r="M878" s="13">
        <v>0</v>
      </c>
      <c r="N878" s="13">
        <v>0</v>
      </c>
      <c r="O878" s="68">
        <v>0</v>
      </c>
      <c r="P878" s="155">
        <f>VLOOKUP(Table323[[#This Row],[Census Tract]],'Population and Diversity Data'!$B$2:$K$823,10,FALSE)</f>
        <v>5</v>
      </c>
      <c r="Q878" s="155" t="str">
        <f>VLOOKUP(Table323[[#This Row],[Census Tract]],'ES Energy Burden'!$B$2:$E$914,4,FALSE)</f>
        <v>No</v>
      </c>
    </row>
    <row r="879" spans="1:17" x14ac:dyDescent="0.2">
      <c r="A879" s="101">
        <v>9003492400</v>
      </c>
      <c r="B879" s="102" t="s">
        <v>2865</v>
      </c>
      <c r="C879" s="104" t="s">
        <v>944</v>
      </c>
      <c r="D879" s="69">
        <v>49411.587513600003</v>
      </c>
      <c r="E879" s="69">
        <v>6725.7366000000002</v>
      </c>
      <c r="F879" s="13">
        <f>[1]!Table323[[#This Row],[Single Family]]+[1]!Table323[[#This Row],[2-4 Units]]+[1]!Table323[[#This Row],[&gt;4 Units]]</f>
        <v>14</v>
      </c>
      <c r="G879" s="13">
        <v>14</v>
      </c>
      <c r="H879" s="13">
        <v>0</v>
      </c>
      <c r="I879" s="13">
        <v>0</v>
      </c>
      <c r="J879" s="68">
        <v>6721.6466</v>
      </c>
      <c r="K879">
        <f t="shared" si="13"/>
        <v>0</v>
      </c>
      <c r="L879" s="13">
        <v>0</v>
      </c>
      <c r="M879" s="13">
        <v>0</v>
      </c>
      <c r="N879" s="13">
        <v>0</v>
      </c>
      <c r="O879" s="68">
        <v>0</v>
      </c>
      <c r="P879" s="155">
        <f>VLOOKUP(Table323[[#This Row],[Census Tract]],'Population and Diversity Data'!$B$2:$K$823,10,FALSE)</f>
        <v>4</v>
      </c>
      <c r="Q879" s="155" t="str">
        <f>VLOOKUP(Table323[[#This Row],[Census Tract]],'ES Energy Burden'!$B$2:$E$914,4,FALSE)</f>
        <v>No</v>
      </c>
    </row>
    <row r="880" spans="1:17" x14ac:dyDescent="0.2">
      <c r="A880" s="101">
        <v>9003492500</v>
      </c>
      <c r="B880" s="102" t="s">
        <v>2865</v>
      </c>
      <c r="C880" s="104" t="s">
        <v>944</v>
      </c>
      <c r="D880" s="69">
        <v>59729.9845824</v>
      </c>
      <c r="E880" s="69">
        <v>10869.7922</v>
      </c>
      <c r="F880" s="13">
        <f>[1]!Table323[[#This Row],[Single Family]]+[1]!Table323[[#This Row],[2-4 Units]]+[1]!Table323[[#This Row],[&gt;4 Units]]</f>
        <v>20</v>
      </c>
      <c r="G880" s="13">
        <v>20</v>
      </c>
      <c r="H880" s="13">
        <v>0</v>
      </c>
      <c r="I880" s="13">
        <v>0</v>
      </c>
      <c r="J880" s="68">
        <v>9229.0421999999999</v>
      </c>
      <c r="K880">
        <f t="shared" si="13"/>
        <v>0</v>
      </c>
      <c r="L880" s="13">
        <v>0</v>
      </c>
      <c r="M880" s="13">
        <v>0</v>
      </c>
      <c r="N880" s="13">
        <v>0</v>
      </c>
      <c r="O880" s="68">
        <v>0</v>
      </c>
      <c r="P880" s="155">
        <f>VLOOKUP(Table323[[#This Row],[Census Tract]],'Population and Diversity Data'!$B$2:$K$823,10,FALSE)</f>
        <v>2</v>
      </c>
      <c r="Q880" s="155" t="str">
        <f>VLOOKUP(Table323[[#This Row],[Census Tract]],'ES Energy Burden'!$B$2:$E$914,4,FALSE)</f>
        <v>No</v>
      </c>
    </row>
    <row r="881" spans="1:17" x14ac:dyDescent="0.2">
      <c r="A881" s="101">
        <v>9003492600</v>
      </c>
      <c r="B881" s="102" t="s">
        <v>2865</v>
      </c>
      <c r="C881" s="104" t="s">
        <v>944</v>
      </c>
      <c r="D881" s="69">
        <v>142356.54063168002</v>
      </c>
      <c r="E881" s="69">
        <v>85449.179099999994</v>
      </c>
      <c r="F881" s="13">
        <f>[1]!Table323[[#This Row],[Single Family]]+[1]!Table323[[#This Row],[2-4 Units]]+[1]!Table323[[#This Row],[&gt;4 Units]]</f>
        <v>34</v>
      </c>
      <c r="G881" s="13">
        <v>34</v>
      </c>
      <c r="H881" s="13">
        <v>0</v>
      </c>
      <c r="I881" s="13">
        <v>0</v>
      </c>
      <c r="J881" s="68">
        <v>17815.886999999999</v>
      </c>
      <c r="K881">
        <f t="shared" si="13"/>
        <v>71</v>
      </c>
      <c r="L881" s="13">
        <v>25</v>
      </c>
      <c r="M881" s="13">
        <v>0</v>
      </c>
      <c r="N881" s="13">
        <v>46</v>
      </c>
      <c r="O881" s="68">
        <v>17589.8</v>
      </c>
      <c r="P881" s="155">
        <f>VLOOKUP(Table323[[#This Row],[Census Tract]],'Population and Diversity Data'!$B$2:$K$823,10,FALSE)</f>
        <v>1</v>
      </c>
      <c r="Q881" s="155" t="str">
        <f>VLOOKUP(Table323[[#This Row],[Census Tract]],'ES Energy Burden'!$B$2:$E$914,4,FALSE)</f>
        <v>No</v>
      </c>
    </row>
    <row r="882" spans="1:17" x14ac:dyDescent="0.2">
      <c r="A882" s="101">
        <v>9003494100</v>
      </c>
      <c r="B882" s="102" t="s">
        <v>2865</v>
      </c>
      <c r="C882" s="104" t="s">
        <v>944</v>
      </c>
      <c r="D882" s="69">
        <v>1420.2241919999999</v>
      </c>
      <c r="E882" s="69">
        <v>0</v>
      </c>
      <c r="F882" s="13">
        <f>[1]!Table323[[#This Row],[Single Family]]+[1]!Table323[[#This Row],[2-4 Units]]+[1]!Table323[[#This Row],[&gt;4 Units]]</f>
        <v>0</v>
      </c>
      <c r="G882" s="13">
        <v>0</v>
      </c>
      <c r="H882" s="13">
        <v>0</v>
      </c>
      <c r="I882" s="13">
        <v>0</v>
      </c>
      <c r="J882" s="68">
        <v>0</v>
      </c>
      <c r="K882">
        <f t="shared" si="13"/>
        <v>0</v>
      </c>
      <c r="L882" s="13">
        <v>0</v>
      </c>
      <c r="M882" s="13">
        <v>0</v>
      </c>
      <c r="N882" s="13">
        <v>0</v>
      </c>
      <c r="O882" s="68">
        <v>0</v>
      </c>
      <c r="P882" s="155">
        <f>VLOOKUP(Table323[[#This Row],[Census Tract]],'Population and Diversity Data'!$B$2:$K$823,10,FALSE)</f>
        <v>4</v>
      </c>
      <c r="Q882" s="155" t="str">
        <f>VLOOKUP(Table323[[#This Row],[Census Tract]],'ES Energy Burden'!$B$2:$E$914,4,FALSE)</f>
        <v>No</v>
      </c>
    </row>
    <row r="883" spans="1:17" x14ac:dyDescent="0.2">
      <c r="A883" s="101">
        <v>9013840100</v>
      </c>
      <c r="B883" s="102" t="s">
        <v>2866</v>
      </c>
      <c r="C883" s="104" t="s">
        <v>944</v>
      </c>
      <c r="D883" s="69">
        <v>112402.6694208</v>
      </c>
      <c r="E883" s="69">
        <v>38610.5</v>
      </c>
      <c r="F883" s="13">
        <f>[1]!Table323[[#This Row],[Single Family]]+[1]!Table323[[#This Row],[2-4 Units]]+[1]!Table323[[#This Row],[&gt;4 Units]]</f>
        <v>13</v>
      </c>
      <c r="G883" s="13">
        <v>13</v>
      </c>
      <c r="H883" s="13">
        <v>0</v>
      </c>
      <c r="I883" s="13">
        <v>0</v>
      </c>
      <c r="J883" s="68">
        <v>12202.61</v>
      </c>
      <c r="K883">
        <f t="shared" si="13"/>
        <v>111</v>
      </c>
      <c r="L883" s="13">
        <v>5</v>
      </c>
      <c r="M883" s="13">
        <v>0</v>
      </c>
      <c r="N883" s="13">
        <v>106</v>
      </c>
      <c r="O883" s="68">
        <v>10860.6</v>
      </c>
      <c r="P883" s="155">
        <f>VLOOKUP(Table323[[#This Row],[Census Tract]],'Population and Diversity Data'!$B$2:$K$823,10,FALSE)</f>
        <v>4</v>
      </c>
      <c r="Q883" s="155" t="str">
        <f>VLOOKUP(Table323[[#This Row],[Census Tract]],'ES Energy Burden'!$B$2:$E$914,4,FALSE)</f>
        <v>No</v>
      </c>
    </row>
    <row r="884" spans="1:17" x14ac:dyDescent="0.2">
      <c r="A884" s="101">
        <v>9013890201</v>
      </c>
      <c r="B884" s="102" t="s">
        <v>2866</v>
      </c>
      <c r="C884" s="104" t="s">
        <v>944</v>
      </c>
      <c r="D884" s="69">
        <v>219.38394240000002</v>
      </c>
      <c r="E884" s="69">
        <v>0</v>
      </c>
      <c r="F884" s="13">
        <f>[1]!Table323[[#This Row],[Single Family]]+[1]!Table323[[#This Row],[2-4 Units]]+[1]!Table323[[#This Row],[&gt;4 Units]]</f>
        <v>0</v>
      </c>
      <c r="G884" s="13">
        <v>0</v>
      </c>
      <c r="H884" s="13">
        <v>0</v>
      </c>
      <c r="I884" s="13">
        <v>0</v>
      </c>
      <c r="J884" s="68">
        <v>0</v>
      </c>
      <c r="K884">
        <f t="shared" si="13"/>
        <v>0</v>
      </c>
      <c r="L884" s="13">
        <v>0</v>
      </c>
      <c r="M884" s="13">
        <v>0</v>
      </c>
      <c r="N884" s="13">
        <v>0</v>
      </c>
      <c r="O884" s="68">
        <v>0</v>
      </c>
      <c r="P884" s="155">
        <f>VLOOKUP(Table323[[#This Row],[Census Tract]],'Population and Diversity Data'!$B$2:$K$823,10,FALSE)</f>
        <v>4</v>
      </c>
      <c r="Q884" s="155" t="str">
        <f>VLOOKUP(Table323[[#This Row],[Census Tract]],'ES Energy Burden'!$B$2:$E$914,4,FALSE)</f>
        <v>No</v>
      </c>
    </row>
    <row r="885" spans="1:17" x14ac:dyDescent="0.2">
      <c r="A885" s="101">
        <v>9015830100</v>
      </c>
      <c r="B885" s="102" t="s">
        <v>2866</v>
      </c>
      <c r="C885" s="104" t="s">
        <v>944</v>
      </c>
      <c r="D885" s="69">
        <v>663.49488960000008</v>
      </c>
      <c r="E885" s="69">
        <v>0</v>
      </c>
      <c r="F885" s="13">
        <f>[1]!Table323[[#This Row],[Single Family]]+[1]!Table323[[#This Row],[2-4 Units]]+[1]!Table323[[#This Row],[&gt;4 Units]]</f>
        <v>0</v>
      </c>
      <c r="G885" s="13">
        <v>0</v>
      </c>
      <c r="H885" s="13">
        <v>0</v>
      </c>
      <c r="I885" s="13">
        <v>0</v>
      </c>
      <c r="J885" s="68">
        <v>0</v>
      </c>
      <c r="K885">
        <f t="shared" si="13"/>
        <v>0</v>
      </c>
      <c r="L885" s="13">
        <v>0</v>
      </c>
      <c r="M885" s="13">
        <v>0</v>
      </c>
      <c r="N885" s="13">
        <v>0</v>
      </c>
      <c r="O885" s="68">
        <v>0</v>
      </c>
      <c r="P885" s="155">
        <f>VLOOKUP(Table323[[#This Row],[Census Tract]],'Population and Diversity Data'!$B$2:$K$823,10,FALSE)</f>
        <v>4</v>
      </c>
      <c r="Q885" s="155" t="str">
        <f>VLOOKUP(Table323[[#This Row],[Census Tract]],'ES Energy Burden'!$B$2:$E$914,4,FALSE)</f>
        <v>No</v>
      </c>
    </row>
    <row r="886" spans="1:17" x14ac:dyDescent="0.2">
      <c r="A886" s="101">
        <v>9001035400</v>
      </c>
      <c r="B886" s="102" t="s">
        <v>2867</v>
      </c>
      <c r="C886" s="104" t="s">
        <v>944</v>
      </c>
      <c r="D886" s="69">
        <v>213.86721600000001</v>
      </c>
      <c r="E886" s="69">
        <v>0</v>
      </c>
      <c r="F886" s="13">
        <f>[1]!Table323[[#This Row],[Single Family]]+[1]!Table323[[#This Row],[2-4 Units]]+[1]!Table323[[#This Row],[&gt;4 Units]]</f>
        <v>0</v>
      </c>
      <c r="G886" s="13">
        <v>0</v>
      </c>
      <c r="H886" s="13">
        <v>0</v>
      </c>
      <c r="I886" s="13">
        <v>0</v>
      </c>
      <c r="J886" s="68">
        <v>0</v>
      </c>
      <c r="K886">
        <f t="shared" si="13"/>
        <v>0</v>
      </c>
      <c r="L886" s="13">
        <v>0</v>
      </c>
      <c r="M886" s="13">
        <v>0</v>
      </c>
      <c r="N886" s="13">
        <v>0</v>
      </c>
      <c r="O886" s="68">
        <v>0</v>
      </c>
      <c r="P886" s="155">
        <f>VLOOKUP(Table323[[#This Row],[Census Tract]],'Population and Diversity Data'!$B$2:$K$823,10,FALSE)</f>
        <v>2</v>
      </c>
      <c r="Q886" s="155" t="str">
        <f>VLOOKUP(Table323[[#This Row],[Census Tract]],'ES Energy Burden'!$B$2:$E$914,4,FALSE)</f>
        <v>No</v>
      </c>
    </row>
    <row r="887" spans="1:17" x14ac:dyDescent="0.2">
      <c r="A887" s="101">
        <v>9001042900</v>
      </c>
      <c r="B887" s="102" t="s">
        <v>2867</v>
      </c>
      <c r="C887" s="104" t="s">
        <v>944</v>
      </c>
      <c r="D887" s="69">
        <v>355.58282880000002</v>
      </c>
      <c r="E887" s="69">
        <v>0</v>
      </c>
      <c r="F887" s="13">
        <f>[1]!Table323[[#This Row],[Single Family]]+[1]!Table323[[#This Row],[2-4 Units]]+[1]!Table323[[#This Row],[&gt;4 Units]]</f>
        <v>0</v>
      </c>
      <c r="G887" s="13">
        <v>0</v>
      </c>
      <c r="H887" s="13">
        <v>0</v>
      </c>
      <c r="I887" s="13">
        <v>0</v>
      </c>
      <c r="J887" s="68">
        <v>0</v>
      </c>
      <c r="K887">
        <f t="shared" si="13"/>
        <v>0</v>
      </c>
      <c r="L887" s="13">
        <v>0</v>
      </c>
      <c r="M887" s="13">
        <v>0</v>
      </c>
      <c r="N887" s="13">
        <v>0</v>
      </c>
      <c r="O887" s="68">
        <v>0</v>
      </c>
      <c r="P887" s="155">
        <f>VLOOKUP(Table323[[#This Row],[Census Tract]],'Population and Diversity Data'!$B$2:$K$823,10,FALSE)</f>
        <v>1</v>
      </c>
      <c r="Q887" s="155" t="str">
        <f>VLOOKUP(Table323[[#This Row],[Census Tract]],'ES Energy Burden'!$B$2:$E$914,4,FALSE)</f>
        <v>No</v>
      </c>
    </row>
    <row r="888" spans="1:17" x14ac:dyDescent="0.2">
      <c r="A888" s="101">
        <v>9001045101</v>
      </c>
      <c r="B888" s="102" t="s">
        <v>2867</v>
      </c>
      <c r="C888" s="104" t="s">
        <v>944</v>
      </c>
      <c r="D888" s="69">
        <v>121792.58059679999</v>
      </c>
      <c r="E888" s="69">
        <v>26942.549299999999</v>
      </c>
      <c r="F888" s="13">
        <f>[1]!Table323[[#This Row],[Single Family]]+[1]!Table323[[#This Row],[2-4 Units]]+[1]!Table323[[#This Row],[&gt;4 Units]]</f>
        <v>23</v>
      </c>
      <c r="G888" s="13">
        <v>23</v>
      </c>
      <c r="H888" s="13">
        <v>0</v>
      </c>
      <c r="I888" s="13">
        <v>0</v>
      </c>
      <c r="J888" s="68">
        <v>26937.999299999999</v>
      </c>
      <c r="K888">
        <f t="shared" si="13"/>
        <v>0</v>
      </c>
      <c r="L888" s="13">
        <v>0</v>
      </c>
      <c r="M888" s="13">
        <v>0</v>
      </c>
      <c r="N888" s="13">
        <v>0</v>
      </c>
      <c r="O888" s="68">
        <v>0</v>
      </c>
      <c r="P888" s="155">
        <f>VLOOKUP(Table323[[#This Row],[Census Tract]],'Population and Diversity Data'!$B$2:$K$823,10,FALSE)</f>
        <v>3</v>
      </c>
      <c r="Q888" s="155" t="str">
        <f>VLOOKUP(Table323[[#This Row],[Census Tract]],'ES Energy Burden'!$B$2:$E$914,4,FALSE)</f>
        <v>No</v>
      </c>
    </row>
    <row r="889" spans="1:17" x14ac:dyDescent="0.2">
      <c r="A889" s="101">
        <v>9001045102</v>
      </c>
      <c r="B889" s="102" t="s">
        <v>2867</v>
      </c>
      <c r="C889" s="104" t="s">
        <v>944</v>
      </c>
      <c r="D889" s="69">
        <v>164794.82669568001</v>
      </c>
      <c r="E889" s="69">
        <v>80385.501600000105</v>
      </c>
      <c r="F889" s="13">
        <f>[1]!Table323[[#This Row],[Single Family]]+[1]!Table323[[#This Row],[2-4 Units]]+[1]!Table323[[#This Row],[&gt;4 Units]]</f>
        <v>26</v>
      </c>
      <c r="G889" s="13">
        <v>26</v>
      </c>
      <c r="H889" s="13">
        <v>0</v>
      </c>
      <c r="I889" s="13">
        <v>0</v>
      </c>
      <c r="J889" s="68">
        <v>41175.417600000001</v>
      </c>
      <c r="K889">
        <f t="shared" si="13"/>
        <v>7</v>
      </c>
      <c r="L889" s="13">
        <v>7</v>
      </c>
      <c r="M889" s="13">
        <v>0</v>
      </c>
      <c r="N889" s="13">
        <v>0</v>
      </c>
      <c r="O889" s="68">
        <v>14578.6</v>
      </c>
      <c r="P889" s="155">
        <f>VLOOKUP(Table323[[#This Row],[Census Tract]],'Population and Diversity Data'!$B$2:$K$823,10,FALSE)</f>
        <v>3</v>
      </c>
      <c r="Q889" s="155" t="str">
        <f>VLOOKUP(Table323[[#This Row],[Census Tract]],'ES Energy Burden'!$B$2:$E$914,4,FALSE)</f>
        <v>No</v>
      </c>
    </row>
    <row r="890" spans="1:17" x14ac:dyDescent="0.2">
      <c r="A890" s="101">
        <v>9001045200</v>
      </c>
      <c r="B890" s="102" t="s">
        <v>2867</v>
      </c>
      <c r="C890" s="104" t="s">
        <v>944</v>
      </c>
      <c r="D890" s="69">
        <v>79552.867651200009</v>
      </c>
      <c r="E890" s="69">
        <v>17456.605100000001</v>
      </c>
      <c r="F890" s="13">
        <f>[1]!Table323[[#This Row],[Single Family]]+[1]!Table323[[#This Row],[2-4 Units]]+[1]!Table323[[#This Row],[&gt;4 Units]]</f>
        <v>13</v>
      </c>
      <c r="G890" s="13">
        <v>13</v>
      </c>
      <c r="H890" s="13">
        <v>0</v>
      </c>
      <c r="I890" s="13">
        <v>0</v>
      </c>
      <c r="J890" s="68">
        <v>16972.4751</v>
      </c>
      <c r="K890">
        <f t="shared" si="13"/>
        <v>0</v>
      </c>
      <c r="L890" s="13">
        <v>0</v>
      </c>
      <c r="M890" s="13">
        <v>0</v>
      </c>
      <c r="N890" s="13">
        <v>0</v>
      </c>
      <c r="O890" s="68">
        <v>0</v>
      </c>
      <c r="P890" s="155">
        <f>VLOOKUP(Table323[[#This Row],[Census Tract]],'Population and Diversity Data'!$B$2:$K$823,10,FALSE)</f>
        <v>3</v>
      </c>
      <c r="Q890" s="155" t="str">
        <f>VLOOKUP(Table323[[#This Row],[Census Tract]],'ES Energy Burden'!$B$2:$E$914,4,FALSE)</f>
        <v>No</v>
      </c>
    </row>
    <row r="891" spans="1:17" x14ac:dyDescent="0.2">
      <c r="A891" s="101">
        <v>9001045300</v>
      </c>
      <c r="B891" s="102" t="s">
        <v>2867</v>
      </c>
      <c r="C891" s="104" t="s">
        <v>944</v>
      </c>
      <c r="D891" s="69">
        <v>59936.719996799999</v>
      </c>
      <c r="E891" s="69">
        <v>10246.200000000001</v>
      </c>
      <c r="F891" s="13">
        <f>[1]!Table323[[#This Row],[Single Family]]+[1]!Table323[[#This Row],[2-4 Units]]+[1]!Table323[[#This Row],[&gt;4 Units]]</f>
        <v>1</v>
      </c>
      <c r="G891" s="13">
        <v>1</v>
      </c>
      <c r="H891" s="13">
        <v>0</v>
      </c>
      <c r="I891" s="13">
        <v>0</v>
      </c>
      <c r="J891" s="68">
        <v>799.49</v>
      </c>
      <c r="K891">
        <f t="shared" si="13"/>
        <v>0</v>
      </c>
      <c r="L891" s="13">
        <v>0</v>
      </c>
      <c r="M891" s="13">
        <v>0</v>
      </c>
      <c r="N891" s="13">
        <v>0</v>
      </c>
      <c r="O891" s="68">
        <v>0</v>
      </c>
      <c r="P891" s="155">
        <f>VLOOKUP(Table323[[#This Row],[Census Tract]],'Population and Diversity Data'!$B$2:$K$823,10,FALSE)</f>
        <v>4</v>
      </c>
      <c r="Q891" s="155" t="str">
        <f>VLOOKUP(Table323[[#This Row],[Census Tract]],'ES Energy Burden'!$B$2:$E$914,4,FALSE)</f>
        <v>No</v>
      </c>
    </row>
    <row r="892" spans="1:17" x14ac:dyDescent="0.2">
      <c r="A892" s="101">
        <v>9001045400</v>
      </c>
      <c r="B892" s="102" t="s">
        <v>2867</v>
      </c>
      <c r="C892" s="104" t="s">
        <v>944</v>
      </c>
      <c r="D892" s="69">
        <v>84004.02648</v>
      </c>
      <c r="E892" s="69">
        <v>24622.080000000002</v>
      </c>
      <c r="F892" s="13">
        <f>[1]!Table323[[#This Row],[Single Family]]+[1]!Table323[[#This Row],[2-4 Units]]+[1]!Table323[[#This Row],[&gt;4 Units]]</f>
        <v>15</v>
      </c>
      <c r="G892" s="13">
        <v>15</v>
      </c>
      <c r="H892" s="13">
        <v>0</v>
      </c>
      <c r="I892" s="13">
        <v>0</v>
      </c>
      <c r="J892" s="68">
        <v>21421.58</v>
      </c>
      <c r="K892">
        <f t="shared" si="13"/>
        <v>0</v>
      </c>
      <c r="L892" s="13">
        <v>0</v>
      </c>
      <c r="M892" s="13">
        <v>0</v>
      </c>
      <c r="N892" s="13">
        <v>0</v>
      </c>
      <c r="O892" s="68">
        <v>0</v>
      </c>
      <c r="P892" s="155">
        <f>VLOOKUP(Table323[[#This Row],[Census Tract]],'Population and Diversity Data'!$B$2:$K$823,10,FALSE)</f>
        <v>4</v>
      </c>
      <c r="Q892" s="155" t="str">
        <f>VLOOKUP(Table323[[#This Row],[Census Tract]],'ES Energy Burden'!$B$2:$E$914,4,FALSE)</f>
        <v>No</v>
      </c>
    </row>
    <row r="893" spans="1:17" x14ac:dyDescent="0.2">
      <c r="A893" s="101">
        <v>9001055100</v>
      </c>
      <c r="B893" s="102" t="s">
        <v>2867</v>
      </c>
      <c r="C893" s="104" t="s">
        <v>944</v>
      </c>
      <c r="D893" s="69">
        <v>581.2128864</v>
      </c>
      <c r="E893" s="69">
        <v>0</v>
      </c>
      <c r="F893" s="13">
        <f>[1]!Table323[[#This Row],[Single Family]]+[1]!Table323[[#This Row],[2-4 Units]]+[1]!Table323[[#This Row],[&gt;4 Units]]</f>
        <v>0</v>
      </c>
      <c r="G893" s="13">
        <v>0</v>
      </c>
      <c r="H893" s="13">
        <v>0</v>
      </c>
      <c r="I893" s="13">
        <v>0</v>
      </c>
      <c r="J893" s="68">
        <v>0</v>
      </c>
      <c r="K893">
        <f t="shared" si="13"/>
        <v>0</v>
      </c>
      <c r="L893" s="13">
        <v>0</v>
      </c>
      <c r="M893" s="13">
        <v>0</v>
      </c>
      <c r="N893" s="13">
        <v>0</v>
      </c>
      <c r="O893" s="68">
        <v>0</v>
      </c>
      <c r="P893" s="155">
        <f>VLOOKUP(Table323[[#This Row],[Census Tract]],'Population and Diversity Data'!$B$2:$K$823,10,FALSE)</f>
        <v>4</v>
      </c>
      <c r="Q893" s="155" t="str">
        <f>VLOOKUP(Table323[[#This Row],[Census Tract]],'ES Energy Burden'!$B$2:$E$914,4,FALSE)</f>
        <v>No</v>
      </c>
    </row>
    <row r="894" spans="1:17" x14ac:dyDescent="0.2">
      <c r="A894" s="101">
        <v>9001240100</v>
      </c>
      <c r="B894" s="102" t="s">
        <v>2867</v>
      </c>
      <c r="C894" s="104" t="s">
        <v>944</v>
      </c>
      <c r="D894" s="69">
        <v>504.25079040000003</v>
      </c>
      <c r="E894" s="69">
        <v>0</v>
      </c>
      <c r="F894" s="13">
        <f>[1]!Table323[[#This Row],[Single Family]]+[1]!Table323[[#This Row],[2-4 Units]]+[1]!Table323[[#This Row],[&gt;4 Units]]</f>
        <v>0</v>
      </c>
      <c r="G894" s="13">
        <v>0</v>
      </c>
      <c r="H894" s="13">
        <v>0</v>
      </c>
      <c r="I894" s="13">
        <v>0</v>
      </c>
      <c r="J894" s="68">
        <v>0</v>
      </c>
      <c r="K894">
        <f t="shared" si="13"/>
        <v>0</v>
      </c>
      <c r="L894" s="13">
        <v>0</v>
      </c>
      <c r="M894" s="13">
        <v>0</v>
      </c>
      <c r="N894" s="13">
        <v>0</v>
      </c>
      <c r="O894" s="68">
        <v>0</v>
      </c>
      <c r="P894" s="155">
        <f>VLOOKUP(Table323[[#This Row],[Census Tract]],'Population and Diversity Data'!$B$2:$K$823,10,FALSE)</f>
        <v>1</v>
      </c>
      <c r="Q894" s="155" t="str">
        <f>VLOOKUP(Table323[[#This Row],[Census Tract]],'ES Energy Burden'!$B$2:$E$914,4,FALSE)</f>
        <v>No</v>
      </c>
    </row>
    <row r="895" spans="1:17" x14ac:dyDescent="0.2">
      <c r="A895" s="101">
        <v>9001245400</v>
      </c>
      <c r="B895" s="102" t="s">
        <v>2867</v>
      </c>
      <c r="C895" s="104" t="s">
        <v>944</v>
      </c>
      <c r="D895" s="69">
        <v>431.873424</v>
      </c>
      <c r="E895" s="69">
        <v>0</v>
      </c>
      <c r="F895" s="13">
        <f>[1]!Table323[[#This Row],[Single Family]]+[1]!Table323[[#This Row],[2-4 Units]]+[1]!Table323[[#This Row],[&gt;4 Units]]</f>
        <v>0</v>
      </c>
      <c r="G895" s="13">
        <v>0</v>
      </c>
      <c r="H895" s="13">
        <v>0</v>
      </c>
      <c r="I895" s="13">
        <v>0</v>
      </c>
      <c r="J895" s="68">
        <v>0</v>
      </c>
      <c r="K895">
        <f t="shared" si="13"/>
        <v>0</v>
      </c>
      <c r="L895" s="13">
        <v>0</v>
      </c>
      <c r="M895" s="13">
        <v>0</v>
      </c>
      <c r="N895" s="13">
        <v>0</v>
      </c>
      <c r="O895" s="68">
        <v>0</v>
      </c>
      <c r="P895" s="155">
        <f>VLOOKUP(Table323[[#This Row],[Census Tract]],'Population and Diversity Data'!$B$2:$K$823,10,FALSE)</f>
        <v>1</v>
      </c>
      <c r="Q895" s="155" t="str">
        <f>VLOOKUP(Table323[[#This Row],[Census Tract]],'ES Energy Burden'!$B$2:$E$914,4,FALSE)</f>
        <v>No</v>
      </c>
    </row>
    <row r="896" spans="1:17" x14ac:dyDescent="0.2">
      <c r="A896" s="101">
        <v>9005290100</v>
      </c>
      <c r="B896" s="102" t="s">
        <v>2868</v>
      </c>
      <c r="C896" s="104" t="s">
        <v>944</v>
      </c>
      <c r="D896" s="69">
        <v>2422.8848736</v>
      </c>
      <c r="E896" s="69">
        <v>0</v>
      </c>
      <c r="F896" s="13">
        <f>[1]!Table323[[#This Row],[Single Family]]+[1]!Table323[[#This Row],[2-4 Units]]+[1]!Table323[[#This Row],[&gt;4 Units]]</f>
        <v>0</v>
      </c>
      <c r="G896" s="13">
        <v>0</v>
      </c>
      <c r="H896" s="13">
        <v>0</v>
      </c>
      <c r="I896" s="13">
        <v>0</v>
      </c>
      <c r="J896" s="68">
        <v>0</v>
      </c>
      <c r="K896">
        <f t="shared" si="13"/>
        <v>0</v>
      </c>
      <c r="L896" s="13">
        <v>0</v>
      </c>
      <c r="M896" s="13">
        <v>0</v>
      </c>
      <c r="N896" s="13">
        <v>0</v>
      </c>
      <c r="O896" s="68">
        <v>0</v>
      </c>
      <c r="P896" s="155">
        <f>VLOOKUP(Table323[[#This Row],[Census Tract]],'Population and Diversity Data'!$B$2:$K$823,10,FALSE)</f>
        <v>2</v>
      </c>
      <c r="Q896" s="155" t="str">
        <f>VLOOKUP(Table323[[#This Row],[Census Tract]],'ES Energy Burden'!$B$2:$E$914,4,FALSE)</f>
        <v>No</v>
      </c>
    </row>
    <row r="897" spans="1:17" x14ac:dyDescent="0.2">
      <c r="A897" s="101">
        <v>9005293100</v>
      </c>
      <c r="B897" s="102" t="s">
        <v>2868</v>
      </c>
      <c r="C897" s="104" t="s">
        <v>944</v>
      </c>
      <c r="D897" s="69">
        <v>6067.4323103999996</v>
      </c>
      <c r="E897" s="69">
        <v>1576.65</v>
      </c>
      <c r="F897" s="13">
        <f>[1]!Table323[[#This Row],[Single Family]]+[1]!Table323[[#This Row],[2-4 Units]]+[1]!Table323[[#This Row],[&gt;4 Units]]</f>
        <v>2</v>
      </c>
      <c r="G897" s="13">
        <v>2</v>
      </c>
      <c r="H897" s="13">
        <v>0</v>
      </c>
      <c r="I897" s="13">
        <v>0</v>
      </c>
      <c r="J897" s="68">
        <v>1576.27</v>
      </c>
      <c r="K897">
        <f t="shared" si="13"/>
        <v>0</v>
      </c>
      <c r="L897" s="13">
        <v>0</v>
      </c>
      <c r="M897" s="13">
        <v>0</v>
      </c>
      <c r="N897" s="13">
        <v>0</v>
      </c>
      <c r="O897" s="68">
        <v>0</v>
      </c>
      <c r="P897" s="155">
        <f>VLOOKUP(Table323[[#This Row],[Census Tract]],'Population and Diversity Data'!$B$2:$K$823,10,FALSE)</f>
        <v>1</v>
      </c>
      <c r="Q897" s="155" t="str">
        <f>VLOOKUP(Table323[[#This Row],[Census Tract]],'ES Energy Burden'!$B$2:$E$914,4,FALSE)</f>
        <v>No</v>
      </c>
    </row>
    <row r="898" spans="1:17" x14ac:dyDescent="0.2">
      <c r="A898" s="101">
        <v>9005310700</v>
      </c>
      <c r="B898" s="102" t="s">
        <v>2868</v>
      </c>
      <c r="C898" s="104" t="s">
        <v>944</v>
      </c>
      <c r="D898" s="69">
        <v>515.61999360000004</v>
      </c>
      <c r="E898" s="69">
        <v>0</v>
      </c>
      <c r="F898" s="13">
        <f>[1]!Table323[[#This Row],[Single Family]]+[1]!Table323[[#This Row],[2-4 Units]]+[1]!Table323[[#This Row],[&gt;4 Units]]</f>
        <v>0</v>
      </c>
      <c r="G898" s="13">
        <v>0</v>
      </c>
      <c r="H898" s="13">
        <v>0</v>
      </c>
      <c r="I898" s="13">
        <v>0</v>
      </c>
      <c r="J898" s="68">
        <v>0</v>
      </c>
      <c r="K898">
        <f t="shared" si="13"/>
        <v>0</v>
      </c>
      <c r="L898" s="13">
        <v>0</v>
      </c>
      <c r="M898" s="13">
        <v>0</v>
      </c>
      <c r="N898" s="13">
        <v>0</v>
      </c>
      <c r="O898" s="68">
        <v>0</v>
      </c>
      <c r="P898" s="155">
        <f>VLOOKUP(Table323[[#This Row],[Census Tract]],'Population and Diversity Data'!$B$2:$K$823,10,FALSE)</f>
        <v>1</v>
      </c>
      <c r="Q898" s="155" t="str">
        <f>VLOOKUP(Table323[[#This Row],[Census Tract]],'ES Energy Burden'!$B$2:$E$914,4,FALSE)</f>
        <v>No</v>
      </c>
    </row>
    <row r="899" spans="1:17" x14ac:dyDescent="0.2">
      <c r="A899" s="101">
        <v>9005320100</v>
      </c>
      <c r="B899" s="102" t="s">
        <v>2868</v>
      </c>
      <c r="C899" s="104" t="s">
        <v>944</v>
      </c>
      <c r="D899" s="69">
        <v>112367.13834528001</v>
      </c>
      <c r="E899" s="69">
        <v>28255.501</v>
      </c>
      <c r="F899" s="13">
        <f>[1]!Table323[[#This Row],[Single Family]]+[1]!Table323[[#This Row],[2-4 Units]]+[1]!Table323[[#This Row],[&gt;4 Units]]</f>
        <v>6</v>
      </c>
      <c r="G899" s="13">
        <v>6</v>
      </c>
      <c r="H899" s="13">
        <v>0</v>
      </c>
      <c r="I899" s="13">
        <v>0</v>
      </c>
      <c r="J899" s="68">
        <v>8629.4699999999993</v>
      </c>
      <c r="K899">
        <f t="shared" si="13"/>
        <v>18</v>
      </c>
      <c r="L899" s="13">
        <v>18</v>
      </c>
      <c r="M899" s="13">
        <v>0</v>
      </c>
      <c r="N899" s="13">
        <v>0</v>
      </c>
      <c r="O899" s="68">
        <v>4470.49</v>
      </c>
      <c r="P899" s="155">
        <f>VLOOKUP(Table323[[#This Row],[Census Tract]],'Population and Diversity Data'!$B$2:$K$823,10,FALSE)</f>
        <v>1</v>
      </c>
      <c r="Q899" s="155" t="str">
        <f>VLOOKUP(Table323[[#This Row],[Census Tract]],'ES Energy Burden'!$B$2:$E$914,4,FALSE)</f>
        <v>No</v>
      </c>
    </row>
    <row r="900" spans="1:17" x14ac:dyDescent="0.2">
      <c r="A900" s="101">
        <v>9005320200</v>
      </c>
      <c r="B900" s="102" t="s">
        <v>2868</v>
      </c>
      <c r="C900" s="104" t="s">
        <v>944</v>
      </c>
      <c r="D900" s="69">
        <v>83128.746026879991</v>
      </c>
      <c r="E900" s="69">
        <v>13461.21</v>
      </c>
      <c r="F900" s="13">
        <f>[1]!Table323[[#This Row],[Single Family]]+[1]!Table323[[#This Row],[2-4 Units]]+[1]!Table323[[#This Row],[&gt;4 Units]]</f>
        <v>10</v>
      </c>
      <c r="G900" s="13">
        <v>10</v>
      </c>
      <c r="H900" s="13">
        <v>0</v>
      </c>
      <c r="I900" s="13">
        <v>0</v>
      </c>
      <c r="J900" s="68">
        <v>8285.17</v>
      </c>
      <c r="K900">
        <f t="shared" si="13"/>
        <v>0</v>
      </c>
      <c r="L900" s="13">
        <v>0</v>
      </c>
      <c r="M900" s="13">
        <v>0</v>
      </c>
      <c r="N900" s="13">
        <v>0</v>
      </c>
      <c r="O900" s="68">
        <v>0</v>
      </c>
      <c r="P900" s="155">
        <f>VLOOKUP(Table323[[#This Row],[Census Tract]],'Population and Diversity Data'!$B$2:$K$823,10,FALSE)</f>
        <v>3</v>
      </c>
      <c r="Q900" s="155" t="str">
        <f>VLOOKUP(Table323[[#This Row],[Census Tract]],'ES Energy Burden'!$B$2:$E$914,4,FALSE)</f>
        <v>No</v>
      </c>
    </row>
    <row r="901" spans="1:17" x14ac:dyDescent="0.2">
      <c r="A901" s="101">
        <v>9013881500</v>
      </c>
      <c r="B901" s="102" t="s">
        <v>2869</v>
      </c>
      <c r="C901" s="104" t="s">
        <v>944</v>
      </c>
      <c r="D901" s="69">
        <v>3206.7462816000002</v>
      </c>
      <c r="E901" s="69">
        <v>0</v>
      </c>
      <c r="F901" s="13">
        <f>[1]!Table323[[#This Row],[Single Family]]+[1]!Table323[[#This Row],[2-4 Units]]+[1]!Table323[[#This Row],[&gt;4 Units]]</f>
        <v>0</v>
      </c>
      <c r="G901" s="13">
        <v>0</v>
      </c>
      <c r="H901" s="13">
        <v>0</v>
      </c>
      <c r="I901" s="13">
        <v>0</v>
      </c>
      <c r="J901" s="68">
        <v>0</v>
      </c>
      <c r="K901">
        <f t="shared" si="13"/>
        <v>0</v>
      </c>
      <c r="L901" s="13">
        <v>0</v>
      </c>
      <c r="M901" s="13">
        <v>0</v>
      </c>
      <c r="N901" s="13">
        <v>0</v>
      </c>
      <c r="O901" s="68">
        <v>0</v>
      </c>
      <c r="P901" s="155">
        <f>VLOOKUP(Table323[[#This Row],[Census Tract]],'Population and Diversity Data'!$B$2:$K$823,10,FALSE)</f>
        <v>4</v>
      </c>
      <c r="Q901" s="155" t="str">
        <f>VLOOKUP(Table323[[#This Row],[Census Tract]],'ES Energy Burden'!$B$2:$E$914,4,FALSE)</f>
        <v>No</v>
      </c>
    </row>
    <row r="902" spans="1:17" x14ac:dyDescent="0.2">
      <c r="A902" s="101">
        <v>9015800300</v>
      </c>
      <c r="B902" s="102" t="s">
        <v>2869</v>
      </c>
      <c r="C902" s="104" t="s">
        <v>944</v>
      </c>
      <c r="D902" s="69">
        <v>46300.286966400003</v>
      </c>
      <c r="E902" s="69">
        <v>43359.29</v>
      </c>
      <c r="F902" s="13">
        <f>[1]!Table323[[#This Row],[Single Family]]+[1]!Table323[[#This Row],[2-4 Units]]+[1]!Table323[[#This Row],[&gt;4 Units]]</f>
        <v>5</v>
      </c>
      <c r="G902" s="13">
        <v>5</v>
      </c>
      <c r="H902" s="13">
        <v>0</v>
      </c>
      <c r="I902" s="13">
        <v>0</v>
      </c>
      <c r="J902" s="68">
        <v>3776.43</v>
      </c>
      <c r="K902">
        <f t="shared" ref="K902:K936" si="14">L902+M902+N902</f>
        <v>0</v>
      </c>
      <c r="L902" s="13">
        <v>0</v>
      </c>
      <c r="M902" s="13">
        <v>0</v>
      </c>
      <c r="N902" s="13">
        <v>0</v>
      </c>
      <c r="O902" s="68">
        <v>0</v>
      </c>
      <c r="P902" s="155">
        <f>VLOOKUP(Table323[[#This Row],[Census Tract]],'Population and Diversity Data'!$B$2:$K$823,10,FALSE)</f>
        <v>5</v>
      </c>
      <c r="Q902" s="155" t="str">
        <f>VLOOKUP(Table323[[#This Row],[Census Tract]],'ES Energy Burden'!$B$2:$E$914,4,FALSE)</f>
        <v>Yes</v>
      </c>
    </row>
    <row r="903" spans="1:17" x14ac:dyDescent="0.2">
      <c r="A903" s="101">
        <v>9015800400</v>
      </c>
      <c r="B903" s="102" t="s">
        <v>2869</v>
      </c>
      <c r="C903" s="104" t="s">
        <v>944</v>
      </c>
      <c r="D903" s="69">
        <v>60159.073014720001</v>
      </c>
      <c r="E903" s="69">
        <v>17243.333500000001</v>
      </c>
      <c r="F903" s="13">
        <f>[1]!Table323[[#This Row],[Single Family]]+[1]!Table323[[#This Row],[2-4 Units]]+[1]!Table323[[#This Row],[&gt;4 Units]]</f>
        <v>10</v>
      </c>
      <c r="G903" s="13">
        <v>10</v>
      </c>
      <c r="H903" s="13">
        <v>0</v>
      </c>
      <c r="I903" s="13">
        <v>0</v>
      </c>
      <c r="J903" s="68">
        <v>5757.9335000000001</v>
      </c>
      <c r="K903">
        <f t="shared" si="14"/>
        <v>0</v>
      </c>
      <c r="L903" s="13">
        <v>0</v>
      </c>
      <c r="M903" s="13">
        <v>0</v>
      </c>
      <c r="N903" s="13">
        <v>0</v>
      </c>
      <c r="O903" s="68">
        <v>0</v>
      </c>
      <c r="P903" s="155">
        <f>VLOOKUP(Table323[[#This Row],[Census Tract]],'Population and Diversity Data'!$B$2:$K$823,10,FALSE)</f>
        <v>5</v>
      </c>
      <c r="Q903" s="155" t="str">
        <f>VLOOKUP(Table323[[#This Row],[Census Tract]],'ES Energy Burden'!$B$2:$E$914,4,FALSE)</f>
        <v>No</v>
      </c>
    </row>
    <row r="904" spans="1:17" x14ac:dyDescent="0.2">
      <c r="A904" s="101">
        <v>9015800500</v>
      </c>
      <c r="B904" s="102" t="s">
        <v>2869</v>
      </c>
      <c r="C904" s="104" t="s">
        <v>944</v>
      </c>
      <c r="D904" s="69">
        <v>129961.81041120001</v>
      </c>
      <c r="E904" s="69">
        <v>408720.65419999999</v>
      </c>
      <c r="F904" s="13">
        <f>[1]!Table323[[#This Row],[Single Family]]+[1]!Table323[[#This Row],[2-4 Units]]+[1]!Table323[[#This Row],[&gt;4 Units]]</f>
        <v>26</v>
      </c>
      <c r="G904" s="13">
        <v>26</v>
      </c>
      <c r="H904" s="13">
        <v>0</v>
      </c>
      <c r="I904" s="13">
        <v>0</v>
      </c>
      <c r="J904" s="68">
        <v>22184.503000000001</v>
      </c>
      <c r="K904">
        <f t="shared" si="14"/>
        <v>101</v>
      </c>
      <c r="L904" s="13">
        <v>23</v>
      </c>
      <c r="M904" s="13">
        <v>1</v>
      </c>
      <c r="N904" s="13">
        <v>77</v>
      </c>
      <c r="O904" s="68">
        <v>286608</v>
      </c>
      <c r="P904" s="155">
        <f>VLOOKUP(Table323[[#This Row],[Census Tract]],'Population and Diversity Data'!$B$2:$K$823,10,FALSE)</f>
        <v>5</v>
      </c>
      <c r="Q904" s="155" t="str">
        <f>VLOOKUP(Table323[[#This Row],[Census Tract]],'ES Energy Burden'!$B$2:$E$914,4,FALSE)</f>
        <v>No</v>
      </c>
    </row>
    <row r="905" spans="1:17" x14ac:dyDescent="0.2">
      <c r="A905" s="101">
        <v>9015800600</v>
      </c>
      <c r="B905" s="102" t="s">
        <v>2869</v>
      </c>
      <c r="C905" s="104" t="s">
        <v>944</v>
      </c>
      <c r="D905" s="69">
        <v>64791.193204800002</v>
      </c>
      <c r="E905" s="69">
        <v>890.52359999999999</v>
      </c>
      <c r="F905" s="13">
        <f>[1]!Table323[[#This Row],[Single Family]]+[1]!Table323[[#This Row],[2-4 Units]]+[1]!Table323[[#This Row],[&gt;4 Units]]</f>
        <v>4</v>
      </c>
      <c r="G905" s="13">
        <v>2</v>
      </c>
      <c r="H905" s="13">
        <v>2</v>
      </c>
      <c r="I905" s="13">
        <v>0</v>
      </c>
      <c r="J905" s="68">
        <v>802.30359999999996</v>
      </c>
      <c r="K905">
        <f t="shared" si="14"/>
        <v>0</v>
      </c>
      <c r="L905" s="13">
        <v>0</v>
      </c>
      <c r="M905" s="13">
        <v>0</v>
      </c>
      <c r="N905" s="13">
        <v>0</v>
      </c>
      <c r="O905" s="68">
        <v>0</v>
      </c>
      <c r="P905" s="155">
        <f>VLOOKUP(Table323[[#This Row],[Census Tract]],'Population and Diversity Data'!$B$2:$K$823,10,FALSE)</f>
        <v>5</v>
      </c>
      <c r="Q905" s="155" t="str">
        <f>VLOOKUP(Table323[[#This Row],[Census Tract]],'ES Energy Burden'!$B$2:$E$914,4,FALSE)</f>
        <v>Yes</v>
      </c>
    </row>
    <row r="906" spans="1:17" x14ac:dyDescent="0.2">
      <c r="A906" s="101">
        <v>9015800700</v>
      </c>
      <c r="B906" s="102" t="s">
        <v>2869</v>
      </c>
      <c r="C906" s="104" t="s">
        <v>944</v>
      </c>
      <c r="D906" s="69">
        <v>41272.490139839996</v>
      </c>
      <c r="E906" s="69">
        <v>41619.35</v>
      </c>
      <c r="F906" s="13">
        <f>[1]!Table323[[#This Row],[Single Family]]+[1]!Table323[[#This Row],[2-4 Units]]+[1]!Table323[[#This Row],[&gt;4 Units]]</f>
        <v>9</v>
      </c>
      <c r="G906" s="13">
        <v>9</v>
      </c>
      <c r="H906" s="13">
        <v>0</v>
      </c>
      <c r="I906" s="13">
        <v>0</v>
      </c>
      <c r="J906" s="68">
        <v>6267.48</v>
      </c>
      <c r="K906">
        <f t="shared" si="14"/>
        <v>0</v>
      </c>
      <c r="L906" s="13">
        <v>0</v>
      </c>
      <c r="M906" s="13">
        <v>0</v>
      </c>
      <c r="N906" s="13">
        <v>0</v>
      </c>
      <c r="O906" s="68">
        <v>0</v>
      </c>
      <c r="P906" s="155">
        <f>VLOOKUP(Table323[[#This Row],[Census Tract]],'Population and Diversity Data'!$B$2:$K$823,10,FALSE)</f>
        <v>5</v>
      </c>
      <c r="Q906" s="155" t="str">
        <f>VLOOKUP(Table323[[#This Row],[Census Tract]],'ES Energy Burden'!$B$2:$E$914,4,FALSE)</f>
        <v>Yes</v>
      </c>
    </row>
    <row r="907" spans="1:17" x14ac:dyDescent="0.2">
      <c r="A907" s="101">
        <v>9015815000</v>
      </c>
      <c r="B907" s="102" t="s">
        <v>2869</v>
      </c>
      <c r="C907" s="104" t="s">
        <v>944</v>
      </c>
      <c r="D907" s="69">
        <v>265.50331199999999</v>
      </c>
      <c r="E907" s="69">
        <v>0</v>
      </c>
      <c r="F907" s="13">
        <f>[1]!Table323[[#This Row],[Single Family]]+[1]!Table323[[#This Row],[2-4 Units]]+[1]!Table323[[#This Row],[&gt;4 Units]]</f>
        <v>0</v>
      </c>
      <c r="G907" s="13">
        <v>0</v>
      </c>
      <c r="H907" s="13">
        <v>0</v>
      </c>
      <c r="I907" s="13">
        <v>0</v>
      </c>
      <c r="J907" s="68">
        <v>0</v>
      </c>
      <c r="K907">
        <f t="shared" si="14"/>
        <v>0</v>
      </c>
      <c r="L907" s="13">
        <v>0</v>
      </c>
      <c r="M907" s="13">
        <v>0</v>
      </c>
      <c r="N907" s="13">
        <v>0</v>
      </c>
      <c r="O907" s="68">
        <v>0</v>
      </c>
      <c r="P907" s="155">
        <f>VLOOKUP(Table323[[#This Row],[Census Tract]],'Population and Diversity Data'!$B$2:$K$823,10,FALSE)</f>
        <v>5</v>
      </c>
      <c r="Q907" s="155" t="str">
        <f>VLOOKUP(Table323[[#This Row],[Census Tract]],'ES Energy Burden'!$B$2:$E$914,4,FALSE)</f>
        <v>No</v>
      </c>
    </row>
    <row r="908" spans="1:17" x14ac:dyDescent="0.2">
      <c r="A908" s="101">
        <v>9015825000</v>
      </c>
      <c r="B908" s="102" t="s">
        <v>2869</v>
      </c>
      <c r="C908" s="104" t="s">
        <v>944</v>
      </c>
      <c r="D908" s="69">
        <v>399.06829440000001</v>
      </c>
      <c r="E908" s="69">
        <v>0</v>
      </c>
      <c r="F908" s="13">
        <f>[1]!Table323[[#This Row],[Single Family]]+[1]!Table323[[#This Row],[2-4 Units]]+[1]!Table323[[#This Row],[&gt;4 Units]]</f>
        <v>0</v>
      </c>
      <c r="G908" s="13">
        <v>0</v>
      </c>
      <c r="H908" s="13">
        <v>0</v>
      </c>
      <c r="I908" s="13">
        <v>0</v>
      </c>
      <c r="J908" s="68">
        <v>0</v>
      </c>
      <c r="K908">
        <f t="shared" si="14"/>
        <v>0</v>
      </c>
      <c r="L908" s="13">
        <v>0</v>
      </c>
      <c r="M908" s="13">
        <v>0</v>
      </c>
      <c r="N908" s="13">
        <v>0</v>
      </c>
      <c r="O908" s="68">
        <v>0</v>
      </c>
      <c r="P908" s="155">
        <f>VLOOKUP(Table323[[#This Row],[Census Tract]],'Population and Diversity Data'!$B$2:$K$823,10,FALSE)</f>
        <v>2</v>
      </c>
      <c r="Q908" s="155" t="str">
        <f>VLOOKUP(Table323[[#This Row],[Census Tract]],'ES Energy Burden'!$B$2:$E$914,4,FALSE)</f>
        <v>No</v>
      </c>
    </row>
    <row r="909" spans="1:17" x14ac:dyDescent="0.2">
      <c r="A909" s="101">
        <v>9003470100</v>
      </c>
      <c r="B909" s="102" t="s">
        <v>2870</v>
      </c>
      <c r="C909" s="104" t="s">
        <v>944</v>
      </c>
      <c r="D909" s="69">
        <v>284.12588160000001</v>
      </c>
      <c r="E909" s="69">
        <v>0</v>
      </c>
      <c r="F909" s="13">
        <f>[1]!Table323[[#This Row],[Single Family]]+[1]!Table323[[#This Row],[2-4 Units]]+[1]!Table323[[#This Row],[&gt;4 Units]]</f>
        <v>0</v>
      </c>
      <c r="G909" s="13">
        <v>0</v>
      </c>
      <c r="H909" s="13">
        <v>0</v>
      </c>
      <c r="I909" s="13">
        <v>0</v>
      </c>
      <c r="J909" s="68">
        <v>0</v>
      </c>
      <c r="K909">
        <f t="shared" si="14"/>
        <v>0</v>
      </c>
      <c r="L909" s="13">
        <v>0</v>
      </c>
      <c r="M909" s="13">
        <v>0</v>
      </c>
      <c r="N909" s="13">
        <v>0</v>
      </c>
      <c r="O909" s="68">
        <v>0</v>
      </c>
      <c r="P909" s="155">
        <f>VLOOKUP(Table323[[#This Row],[Census Tract]],'Population and Diversity Data'!$B$2:$K$823,10,FALSE)</f>
        <v>3</v>
      </c>
      <c r="Q909" s="155" t="str">
        <f>VLOOKUP(Table323[[#This Row],[Census Tract]],'ES Energy Burden'!$B$2:$E$914,4,FALSE)</f>
        <v>No</v>
      </c>
    </row>
    <row r="910" spans="1:17" x14ac:dyDescent="0.2">
      <c r="A910" s="101">
        <v>9003471400</v>
      </c>
      <c r="B910" s="102" t="s">
        <v>2870</v>
      </c>
      <c r="C910" s="104" t="s">
        <v>944</v>
      </c>
      <c r="D910" s="69">
        <v>152.0659872</v>
      </c>
      <c r="E910" s="69">
        <v>0</v>
      </c>
      <c r="F910" s="13">
        <f>[1]!Table323[[#This Row],[Single Family]]+[1]!Table323[[#This Row],[2-4 Units]]+[1]!Table323[[#This Row],[&gt;4 Units]]</f>
        <v>0</v>
      </c>
      <c r="G910" s="13">
        <v>0</v>
      </c>
      <c r="H910" s="13">
        <v>0</v>
      </c>
      <c r="I910" s="13">
        <v>0</v>
      </c>
      <c r="J910" s="68">
        <v>0</v>
      </c>
      <c r="K910">
        <f t="shared" si="14"/>
        <v>0</v>
      </c>
      <c r="L910" s="13">
        <v>0</v>
      </c>
      <c r="M910" s="13">
        <v>0</v>
      </c>
      <c r="N910" s="13">
        <v>0</v>
      </c>
      <c r="O910" s="68">
        <v>0</v>
      </c>
      <c r="P910" s="155">
        <f>VLOOKUP(Table323[[#This Row],[Census Tract]],'Population and Diversity Data'!$B$2:$K$823,10,FALSE)</f>
        <v>2</v>
      </c>
      <c r="Q910" s="155" t="str">
        <f>VLOOKUP(Table323[[#This Row],[Census Tract]],'ES Energy Burden'!$B$2:$E$914,4,FALSE)</f>
        <v>No</v>
      </c>
    </row>
    <row r="911" spans="1:17" x14ac:dyDescent="0.2">
      <c r="A911" s="101">
        <v>9003473100</v>
      </c>
      <c r="B911" s="102" t="s">
        <v>2870</v>
      </c>
      <c r="C911" s="104" t="s">
        <v>944</v>
      </c>
      <c r="D911" s="69">
        <v>118829.24582976</v>
      </c>
      <c r="E911" s="69">
        <v>227525.2506</v>
      </c>
      <c r="F911" s="13">
        <f>[1]!Table323[[#This Row],[Single Family]]+[1]!Table323[[#This Row],[2-4 Units]]+[1]!Table323[[#This Row],[&gt;4 Units]]</f>
        <v>45</v>
      </c>
      <c r="G911" s="13">
        <v>45</v>
      </c>
      <c r="H911" s="13">
        <v>0</v>
      </c>
      <c r="I911" s="13">
        <v>0</v>
      </c>
      <c r="J911" s="68">
        <v>27490.858700000001</v>
      </c>
      <c r="K911">
        <f t="shared" si="14"/>
        <v>247</v>
      </c>
      <c r="L911" s="13">
        <v>202</v>
      </c>
      <c r="M911" s="13">
        <v>1</v>
      </c>
      <c r="N911" s="13">
        <v>44</v>
      </c>
      <c r="O911" s="68">
        <v>200030</v>
      </c>
      <c r="P911" s="155">
        <f>VLOOKUP(Table323[[#This Row],[Census Tract]],'Population and Diversity Data'!$B$2:$K$823,10,FALSE)</f>
        <v>1</v>
      </c>
      <c r="Q911" s="155" t="str">
        <f>VLOOKUP(Table323[[#This Row],[Census Tract]],'ES Energy Burden'!$B$2:$E$914,4,FALSE)</f>
        <v>No</v>
      </c>
    </row>
    <row r="912" spans="1:17" x14ac:dyDescent="0.2">
      <c r="A912" s="101">
        <v>9003473400</v>
      </c>
      <c r="B912" s="102" t="s">
        <v>2870</v>
      </c>
      <c r="C912" s="104" t="s">
        <v>944</v>
      </c>
      <c r="D912" s="69">
        <v>31967.588649600002</v>
      </c>
      <c r="E912" s="69">
        <v>52940.47</v>
      </c>
      <c r="F912" s="13">
        <f>[1]!Table323[[#This Row],[Single Family]]+[1]!Table323[[#This Row],[2-4 Units]]+[1]!Table323[[#This Row],[&gt;4 Units]]</f>
        <v>7</v>
      </c>
      <c r="G912" s="13">
        <v>7</v>
      </c>
      <c r="H912" s="13">
        <v>0</v>
      </c>
      <c r="I912" s="13">
        <v>0</v>
      </c>
      <c r="J912" s="68">
        <v>3643.49</v>
      </c>
      <c r="K912">
        <f t="shared" si="14"/>
        <v>0</v>
      </c>
      <c r="L912" s="13">
        <v>0</v>
      </c>
      <c r="M912" s="13">
        <v>0</v>
      </c>
      <c r="N912" s="13">
        <v>0</v>
      </c>
      <c r="O912" s="68">
        <v>0</v>
      </c>
      <c r="P912" s="155">
        <f>VLOOKUP(Table323[[#This Row],[Census Tract]],'Population and Diversity Data'!$B$2:$K$823,10,FALSE)</f>
        <v>2</v>
      </c>
      <c r="Q912" s="155" t="str">
        <f>VLOOKUP(Table323[[#This Row],[Census Tract]],'ES Energy Burden'!$B$2:$E$914,4,FALSE)</f>
        <v>No</v>
      </c>
    </row>
    <row r="913" spans="1:17" x14ac:dyDescent="0.2">
      <c r="A913" s="101">
        <v>9003473501</v>
      </c>
      <c r="B913" s="102" t="s">
        <v>2870</v>
      </c>
      <c r="C913" s="104" t="s">
        <v>944</v>
      </c>
      <c r="D913" s="69">
        <v>82414.184659199993</v>
      </c>
      <c r="E913" s="69">
        <v>20406.150000000001</v>
      </c>
      <c r="F913" s="13">
        <f>[1]!Table323[[#This Row],[Single Family]]+[1]!Table323[[#This Row],[2-4 Units]]+[1]!Table323[[#This Row],[&gt;4 Units]]</f>
        <v>26</v>
      </c>
      <c r="G913" s="13">
        <v>26</v>
      </c>
      <c r="H913" s="13">
        <v>0</v>
      </c>
      <c r="I913" s="13">
        <v>0</v>
      </c>
      <c r="J913" s="68">
        <v>19672.96</v>
      </c>
      <c r="K913">
        <f t="shared" si="14"/>
        <v>0</v>
      </c>
      <c r="L913" s="13">
        <v>0</v>
      </c>
      <c r="M913" s="13">
        <v>0</v>
      </c>
      <c r="N913" s="13">
        <v>0</v>
      </c>
      <c r="O913" s="68">
        <v>0</v>
      </c>
      <c r="P913" s="155">
        <f>VLOOKUP(Table323[[#This Row],[Census Tract]],'Population and Diversity Data'!$B$2:$K$823,10,FALSE)</f>
        <v>3</v>
      </c>
      <c r="Q913" s="155" t="str">
        <f>VLOOKUP(Table323[[#This Row],[Census Tract]],'ES Energy Burden'!$B$2:$E$914,4,FALSE)</f>
        <v>No</v>
      </c>
    </row>
    <row r="914" spans="1:17" x14ac:dyDescent="0.2">
      <c r="A914" s="101">
        <v>9003473502</v>
      </c>
      <c r="B914" s="102" t="s">
        <v>2870</v>
      </c>
      <c r="C914" s="104" t="s">
        <v>944</v>
      </c>
      <c r="D914" s="69">
        <v>54612.039352320004</v>
      </c>
      <c r="E914" s="69">
        <v>15242.11</v>
      </c>
      <c r="F914" s="13">
        <f>[1]!Table323[[#This Row],[Single Family]]+[1]!Table323[[#This Row],[2-4 Units]]+[1]!Table323[[#This Row],[&gt;4 Units]]</f>
        <v>3</v>
      </c>
      <c r="G914" s="13">
        <v>3</v>
      </c>
      <c r="H914" s="13">
        <v>0</v>
      </c>
      <c r="I914" s="13">
        <v>0</v>
      </c>
      <c r="J914" s="68">
        <v>664.7</v>
      </c>
      <c r="K914">
        <f t="shared" si="14"/>
        <v>0</v>
      </c>
      <c r="L914" s="13">
        <v>0</v>
      </c>
      <c r="M914" s="13">
        <v>0</v>
      </c>
      <c r="N914" s="13">
        <v>0</v>
      </c>
      <c r="O914" s="68">
        <v>0</v>
      </c>
      <c r="P914" s="155">
        <f>VLOOKUP(Table323[[#This Row],[Census Tract]],'Population and Diversity Data'!$B$2:$K$823,10,FALSE)</f>
        <v>2</v>
      </c>
      <c r="Q914" s="155" t="str">
        <f>VLOOKUP(Table323[[#This Row],[Census Tract]],'ES Energy Burden'!$B$2:$E$914,4,FALSE)</f>
        <v>No</v>
      </c>
    </row>
    <row r="915" spans="1:17" x14ac:dyDescent="0.2">
      <c r="A915" s="101">
        <v>9003473601</v>
      </c>
      <c r="B915" s="102" t="s">
        <v>2870</v>
      </c>
      <c r="C915" s="104" t="s">
        <v>944</v>
      </c>
      <c r="D915" s="69">
        <v>56273.828431679998</v>
      </c>
      <c r="E915" s="69">
        <v>30001.8174</v>
      </c>
      <c r="F915" s="13">
        <f>[1]!Table323[[#This Row],[Single Family]]+[1]!Table323[[#This Row],[2-4 Units]]+[1]!Table323[[#This Row],[&gt;4 Units]]</f>
        <v>20</v>
      </c>
      <c r="G915" s="13">
        <v>20</v>
      </c>
      <c r="H915" s="13">
        <v>0</v>
      </c>
      <c r="I915" s="13">
        <v>0</v>
      </c>
      <c r="J915" s="68">
        <v>13248.5674</v>
      </c>
      <c r="K915">
        <f t="shared" si="14"/>
        <v>0</v>
      </c>
      <c r="L915" s="13">
        <v>0</v>
      </c>
      <c r="M915" s="13">
        <v>0</v>
      </c>
      <c r="N915" s="13">
        <v>0</v>
      </c>
      <c r="O915" s="68">
        <v>0</v>
      </c>
      <c r="P915" s="155">
        <f>VLOOKUP(Table323[[#This Row],[Census Tract]],'Population and Diversity Data'!$B$2:$K$823,10,FALSE)</f>
        <v>3</v>
      </c>
      <c r="Q915" s="155" t="str">
        <f>VLOOKUP(Table323[[#This Row],[Census Tract]],'ES Energy Burden'!$B$2:$E$914,4,FALSE)</f>
        <v>No</v>
      </c>
    </row>
    <row r="916" spans="1:17" x14ac:dyDescent="0.2">
      <c r="A916" s="101">
        <v>9003473602</v>
      </c>
      <c r="B916" s="102" t="s">
        <v>2870</v>
      </c>
      <c r="C916" s="104" t="s">
        <v>944</v>
      </c>
      <c r="D916" s="69">
        <v>40136.663324160007</v>
      </c>
      <c r="E916" s="69">
        <v>7232.82</v>
      </c>
      <c r="F916" s="13">
        <f>[1]!Table323[[#This Row],[Single Family]]+[1]!Table323[[#This Row],[2-4 Units]]+[1]!Table323[[#This Row],[&gt;4 Units]]</f>
        <v>2</v>
      </c>
      <c r="G916" s="13">
        <v>2</v>
      </c>
      <c r="H916" s="13">
        <v>0</v>
      </c>
      <c r="I916" s="13">
        <v>0</v>
      </c>
      <c r="J916" s="68">
        <v>2736.64</v>
      </c>
      <c r="K916">
        <f t="shared" si="14"/>
        <v>0</v>
      </c>
      <c r="L916" s="13">
        <v>0</v>
      </c>
      <c r="M916" s="13">
        <v>0</v>
      </c>
      <c r="N916" s="13">
        <v>0</v>
      </c>
      <c r="O916" s="68">
        <v>0</v>
      </c>
      <c r="P916" s="155">
        <f>VLOOKUP(Table323[[#This Row],[Census Tract]],'Population and Diversity Data'!$B$2:$K$823,10,FALSE)</f>
        <v>5</v>
      </c>
      <c r="Q916" s="155" t="str">
        <f>VLOOKUP(Table323[[#This Row],[Census Tract]],'ES Energy Burden'!$B$2:$E$914,4,FALSE)</f>
        <v>No</v>
      </c>
    </row>
    <row r="917" spans="1:17" x14ac:dyDescent="0.2">
      <c r="A917" s="101">
        <v>9003473700</v>
      </c>
      <c r="B917" s="102" t="s">
        <v>2870</v>
      </c>
      <c r="C917" s="104" t="s">
        <v>944</v>
      </c>
      <c r="D917" s="69">
        <v>82475.239132800009</v>
      </c>
      <c r="E917" s="69">
        <v>115028.0877</v>
      </c>
      <c r="F917" s="13">
        <f>[1]!Table323[[#This Row],[Single Family]]+[1]!Table323[[#This Row],[2-4 Units]]+[1]!Table323[[#This Row],[&gt;4 Units]]</f>
        <v>34</v>
      </c>
      <c r="G917" s="13">
        <v>34</v>
      </c>
      <c r="H917" s="13">
        <v>0</v>
      </c>
      <c r="I917" s="13">
        <v>0</v>
      </c>
      <c r="J917" s="68">
        <v>22317.327700000002</v>
      </c>
      <c r="K917">
        <f t="shared" si="14"/>
        <v>0</v>
      </c>
      <c r="L917" s="13">
        <v>0</v>
      </c>
      <c r="M917" s="13">
        <v>0</v>
      </c>
      <c r="N917" s="13">
        <v>0</v>
      </c>
      <c r="O917" s="68">
        <v>0</v>
      </c>
      <c r="P917" s="155">
        <f>VLOOKUP(Table323[[#This Row],[Census Tract]],'Population and Diversity Data'!$B$2:$K$823,10,FALSE)</f>
        <v>3</v>
      </c>
      <c r="Q917" s="155" t="str">
        <f>VLOOKUP(Table323[[#This Row],[Census Tract]],'ES Energy Burden'!$B$2:$E$914,4,FALSE)</f>
        <v>No</v>
      </c>
    </row>
    <row r="918" spans="1:17" x14ac:dyDescent="0.2">
      <c r="A918" s="101">
        <v>9003473800</v>
      </c>
      <c r="B918" s="102" t="s">
        <v>2870</v>
      </c>
      <c r="C918" s="104" t="s">
        <v>944</v>
      </c>
      <c r="D918" s="69">
        <v>25234.275885120005</v>
      </c>
      <c r="E918" s="69">
        <v>23928.34</v>
      </c>
      <c r="F918" s="13">
        <f>[1]!Table323[[#This Row],[Single Family]]+[1]!Table323[[#This Row],[2-4 Units]]+[1]!Table323[[#This Row],[&gt;4 Units]]</f>
        <v>5</v>
      </c>
      <c r="G918" s="13">
        <v>5</v>
      </c>
      <c r="H918" s="13">
        <v>0</v>
      </c>
      <c r="I918" s="13">
        <v>0</v>
      </c>
      <c r="J918" s="68">
        <v>2051.94</v>
      </c>
      <c r="K918">
        <f t="shared" si="14"/>
        <v>0</v>
      </c>
      <c r="L918" s="13">
        <v>0</v>
      </c>
      <c r="M918" s="13">
        <v>0</v>
      </c>
      <c r="N918" s="13">
        <v>0</v>
      </c>
      <c r="O918" s="68">
        <v>0</v>
      </c>
      <c r="P918" s="155">
        <f>VLOOKUP(Table323[[#This Row],[Census Tract]],'Population and Diversity Data'!$B$2:$K$823,10,FALSE)</f>
        <v>5</v>
      </c>
      <c r="Q918" s="155" t="str">
        <f>VLOOKUP(Table323[[#This Row],[Census Tract]],'ES Energy Burden'!$B$2:$E$914,4,FALSE)</f>
        <v>No</v>
      </c>
    </row>
    <row r="919" spans="1:17" x14ac:dyDescent="0.2">
      <c r="A919" s="101">
        <v>9003524400</v>
      </c>
      <c r="B919" s="102" t="s">
        <v>2870</v>
      </c>
      <c r="C919" s="104" t="s">
        <v>944</v>
      </c>
      <c r="D919" s="69">
        <v>500.29877664000003</v>
      </c>
      <c r="E919" s="69">
        <v>0</v>
      </c>
      <c r="F919" s="13">
        <f>[1]!Table323[[#This Row],[Single Family]]+[1]!Table323[[#This Row],[2-4 Units]]+[1]!Table323[[#This Row],[&gt;4 Units]]</f>
        <v>0</v>
      </c>
      <c r="G919" s="13">
        <v>0</v>
      </c>
      <c r="H919" s="13">
        <v>0</v>
      </c>
      <c r="I919" s="13">
        <v>0</v>
      </c>
      <c r="J919" s="68">
        <v>0</v>
      </c>
      <c r="K919">
        <f t="shared" si="14"/>
        <v>0</v>
      </c>
      <c r="L919" s="13">
        <v>0</v>
      </c>
      <c r="M919" s="13">
        <v>0</v>
      </c>
      <c r="N919" s="13">
        <v>0</v>
      </c>
      <c r="O919" s="68">
        <v>0</v>
      </c>
      <c r="P919" s="155">
        <f>VLOOKUP(Table323[[#This Row],[Census Tract]],'Population and Diversity Data'!$B$2:$K$823,10,FALSE)</f>
        <v>5</v>
      </c>
      <c r="Q919" s="155" t="str">
        <f>VLOOKUP(Table323[[#This Row],[Census Tract]],'ES Energy Burden'!$B$2:$E$914,4,FALSE)</f>
        <v>Yes</v>
      </c>
    </row>
    <row r="920" spans="1:17" x14ac:dyDescent="0.2">
      <c r="A920" s="101">
        <v>9003476100</v>
      </c>
      <c r="B920" s="102" t="s">
        <v>2871</v>
      </c>
      <c r="C920" s="104" t="s">
        <v>944</v>
      </c>
      <c r="D920" s="69">
        <v>70373.131015680003</v>
      </c>
      <c r="E920" s="69">
        <v>22750.9817</v>
      </c>
      <c r="F920" s="13">
        <f>[1]!Table323[[#This Row],[Single Family]]+[1]!Table323[[#This Row],[2-4 Units]]+[1]!Table323[[#This Row],[&gt;4 Units]]</f>
        <v>14</v>
      </c>
      <c r="G920" s="13">
        <v>14</v>
      </c>
      <c r="H920" s="13">
        <v>0</v>
      </c>
      <c r="I920" s="13">
        <v>0</v>
      </c>
      <c r="J920" s="68">
        <v>9058.5116999999991</v>
      </c>
      <c r="K920">
        <f t="shared" si="14"/>
        <v>0</v>
      </c>
      <c r="L920" s="13">
        <v>0</v>
      </c>
      <c r="M920" s="13">
        <v>0</v>
      </c>
      <c r="N920" s="13">
        <v>0</v>
      </c>
      <c r="O920" s="68">
        <v>0</v>
      </c>
      <c r="P920" s="155">
        <f>VLOOKUP(Table323[[#This Row],[Census Tract]],'Population and Diversity Data'!$B$2:$K$823,10,FALSE)</f>
        <v>2</v>
      </c>
      <c r="Q920" s="155" t="str">
        <f>VLOOKUP(Table323[[#This Row],[Census Tract]],'ES Energy Burden'!$B$2:$E$914,4,FALSE)</f>
        <v>No</v>
      </c>
    </row>
    <row r="921" spans="1:17" x14ac:dyDescent="0.2">
      <c r="A921" s="101">
        <v>9003476200</v>
      </c>
      <c r="B921" s="102" t="s">
        <v>2871</v>
      </c>
      <c r="C921" s="104" t="s">
        <v>944</v>
      </c>
      <c r="D921" s="69">
        <v>41918.246409600004</v>
      </c>
      <c r="E921" s="69">
        <v>14140.3282</v>
      </c>
      <c r="F921" s="13">
        <f>[1]!Table323[[#This Row],[Single Family]]+[1]!Table323[[#This Row],[2-4 Units]]+[1]!Table323[[#This Row],[&gt;4 Units]]</f>
        <v>10</v>
      </c>
      <c r="G921" s="13">
        <v>10</v>
      </c>
      <c r="H921" s="13">
        <v>0</v>
      </c>
      <c r="I921" s="13">
        <v>0</v>
      </c>
      <c r="J921" s="68">
        <v>2763.3406</v>
      </c>
      <c r="K921">
        <f t="shared" si="14"/>
        <v>0</v>
      </c>
      <c r="L921" s="13">
        <v>0</v>
      </c>
      <c r="M921" s="13">
        <v>0</v>
      </c>
      <c r="N921" s="13">
        <v>0</v>
      </c>
      <c r="O921" s="68">
        <v>0</v>
      </c>
      <c r="P921" s="155">
        <f>VLOOKUP(Table323[[#This Row],[Census Tract]],'Population and Diversity Data'!$B$2:$K$823,10,FALSE)</f>
        <v>2</v>
      </c>
      <c r="Q921" s="155" t="str">
        <f>VLOOKUP(Table323[[#This Row],[Census Tract]],'ES Energy Burden'!$B$2:$E$914,4,FALSE)</f>
        <v>No</v>
      </c>
    </row>
    <row r="922" spans="1:17" x14ac:dyDescent="0.2">
      <c r="A922" s="101">
        <v>9003476300</v>
      </c>
      <c r="B922" s="102" t="s">
        <v>2871</v>
      </c>
      <c r="C922" s="104" t="s">
        <v>944</v>
      </c>
      <c r="D922" s="69">
        <v>94845.80458656</v>
      </c>
      <c r="E922" s="69">
        <v>363957.26539999997</v>
      </c>
      <c r="F922" s="13">
        <f>[1]!Table323[[#This Row],[Single Family]]+[1]!Table323[[#This Row],[2-4 Units]]+[1]!Table323[[#This Row],[&gt;4 Units]]</f>
        <v>18</v>
      </c>
      <c r="G922" s="13">
        <v>18</v>
      </c>
      <c r="H922" s="13">
        <v>0</v>
      </c>
      <c r="I922" s="13">
        <v>0</v>
      </c>
      <c r="J922" s="68">
        <v>10964.32</v>
      </c>
      <c r="K922">
        <f t="shared" si="14"/>
        <v>49</v>
      </c>
      <c r="L922" s="13">
        <v>49</v>
      </c>
      <c r="M922" s="13">
        <v>0</v>
      </c>
      <c r="N922" s="13">
        <v>0</v>
      </c>
      <c r="O922" s="68">
        <v>92372.4</v>
      </c>
      <c r="P922" s="155">
        <f>VLOOKUP(Table323[[#This Row],[Census Tract]],'Population and Diversity Data'!$B$2:$K$823,10,FALSE)</f>
        <v>4</v>
      </c>
      <c r="Q922" s="155" t="str">
        <f>VLOOKUP(Table323[[#This Row],[Census Tract]],'ES Energy Burden'!$B$2:$E$914,4,FALSE)</f>
        <v>No</v>
      </c>
    </row>
    <row r="923" spans="1:17" x14ac:dyDescent="0.2">
      <c r="A923" s="101">
        <v>9009352600</v>
      </c>
      <c r="B923" s="177" t="s">
        <v>2872</v>
      </c>
      <c r="C923" s="178" t="s">
        <v>944</v>
      </c>
      <c r="D923" s="179">
        <v>260.68703039999997</v>
      </c>
      <c r="E923" s="179">
        <v>0</v>
      </c>
      <c r="F923" s="13">
        <f>[1]!Table323[[#This Row],[Single Family]]+[1]!Table323[[#This Row],[2-4 Units]]+[1]!Table323[[#This Row],[&gt;4 Units]]</f>
        <v>0</v>
      </c>
      <c r="G923" s="180">
        <v>0</v>
      </c>
      <c r="H923" s="180">
        <v>0</v>
      </c>
      <c r="I923" s="180">
        <v>0</v>
      </c>
      <c r="J923" s="181">
        <v>0</v>
      </c>
      <c r="K923">
        <f t="shared" si="14"/>
        <v>0</v>
      </c>
      <c r="L923" s="180">
        <v>0</v>
      </c>
      <c r="M923" s="180">
        <v>0</v>
      </c>
      <c r="N923" s="180">
        <v>0</v>
      </c>
      <c r="O923" s="182">
        <v>0</v>
      </c>
      <c r="P923" s="155">
        <f>VLOOKUP(Table323[[#This Row],[Census Tract]],'Population and Diversity Data'!$B$2:$K$823,10,FALSE)</f>
        <v>3</v>
      </c>
      <c r="Q923" s="155" t="str">
        <f>VLOOKUP(Table323[[#This Row],[Census Tract]],'ES Energy Burden'!$B$2:$E$914,4,FALSE)</f>
        <v>Yes</v>
      </c>
    </row>
    <row r="924" spans="1:17" x14ac:dyDescent="0.2">
      <c r="A924" s="101">
        <v>9009352701</v>
      </c>
      <c r="B924" s="177" t="s">
        <v>2872</v>
      </c>
      <c r="C924" s="178" t="s">
        <v>944</v>
      </c>
      <c r="D924" s="179">
        <v>82.195171200000004</v>
      </c>
      <c r="E924" s="179">
        <v>0</v>
      </c>
      <c r="F924" s="13">
        <f>[1]!Table323[[#This Row],[Single Family]]+[1]!Table323[[#This Row],[2-4 Units]]+[1]!Table323[[#This Row],[&gt;4 Units]]</f>
        <v>0</v>
      </c>
      <c r="G924" s="180">
        <v>0</v>
      </c>
      <c r="H924" s="180">
        <v>0</v>
      </c>
      <c r="I924" s="180">
        <v>0</v>
      </c>
      <c r="J924" s="181">
        <v>0</v>
      </c>
      <c r="K924">
        <f t="shared" si="14"/>
        <v>0</v>
      </c>
      <c r="L924" s="180">
        <v>0</v>
      </c>
      <c r="M924" s="180">
        <v>0</v>
      </c>
      <c r="N924" s="180">
        <v>0</v>
      </c>
      <c r="O924" s="182">
        <v>0</v>
      </c>
      <c r="P924" s="155">
        <f>VLOOKUP(Table323[[#This Row],[Census Tract]],'Population and Diversity Data'!$B$2:$K$823,10,FALSE)</f>
        <v>4</v>
      </c>
      <c r="Q924" s="155" t="str">
        <f>VLOOKUP(Table323[[#This Row],[Census Tract]],'ES Energy Burden'!$B$2:$E$914,4,FALSE)</f>
        <v>Yes</v>
      </c>
    </row>
    <row r="925" spans="1:17" x14ac:dyDescent="0.2">
      <c r="A925" s="101">
        <v>9009352800</v>
      </c>
      <c r="B925" s="177" t="s">
        <v>2872</v>
      </c>
      <c r="C925" s="178" t="s">
        <v>944</v>
      </c>
      <c r="D925" s="179">
        <v>1097.1107423999999</v>
      </c>
      <c r="E925" s="179">
        <v>213.16</v>
      </c>
      <c r="F925" s="13">
        <f>[1]!Table323[[#This Row],[Single Family]]+[1]!Table323[[#This Row],[2-4 Units]]+[1]!Table323[[#This Row],[&gt;4 Units]]</f>
        <v>1</v>
      </c>
      <c r="G925" s="180">
        <v>1</v>
      </c>
      <c r="H925" s="180">
        <v>0</v>
      </c>
      <c r="I925" s="180">
        <v>0</v>
      </c>
      <c r="J925" s="181">
        <v>195.97</v>
      </c>
      <c r="K925">
        <f t="shared" si="14"/>
        <v>0</v>
      </c>
      <c r="L925" s="180">
        <v>0</v>
      </c>
      <c r="M925" s="180">
        <v>0</v>
      </c>
      <c r="N925" s="180">
        <v>0</v>
      </c>
      <c r="O925" s="182">
        <v>0</v>
      </c>
      <c r="P925" s="155">
        <f>VLOOKUP(Table323[[#This Row],[Census Tract]],'Population and Diversity Data'!$B$2:$K$823,10,FALSE)</f>
        <v>5</v>
      </c>
      <c r="Q925" s="155" t="str">
        <f>VLOOKUP(Table323[[#This Row],[Census Tract]],'ES Energy Burden'!$B$2:$E$914,4,FALSE)</f>
        <v>No</v>
      </c>
    </row>
    <row r="926" spans="1:17" x14ac:dyDescent="0.2">
      <c r="A926" s="101">
        <v>9009361100</v>
      </c>
      <c r="B926" s="177" t="s">
        <v>2872</v>
      </c>
      <c r="C926" s="178" t="s">
        <v>944</v>
      </c>
      <c r="D926" s="179">
        <v>148173.60502655999</v>
      </c>
      <c r="E926" s="179">
        <v>252065.73869999999</v>
      </c>
      <c r="F926" s="13">
        <f>[1]!Table323[[#This Row],[Single Family]]+[1]!Table323[[#This Row],[2-4 Units]]+[1]!Table323[[#This Row],[&gt;4 Units]]</f>
        <v>73</v>
      </c>
      <c r="G926" s="180">
        <v>32</v>
      </c>
      <c r="H926" s="180">
        <v>0</v>
      </c>
      <c r="I926" s="180">
        <v>41</v>
      </c>
      <c r="J926" s="181">
        <v>40764.5389</v>
      </c>
      <c r="K926">
        <f t="shared" si="14"/>
        <v>134</v>
      </c>
      <c r="L926" s="180">
        <v>54</v>
      </c>
      <c r="M926" s="180">
        <v>0</v>
      </c>
      <c r="N926" s="180">
        <v>80</v>
      </c>
      <c r="O926" s="182">
        <v>211300</v>
      </c>
      <c r="P926" s="155">
        <f>VLOOKUP(Table323[[#This Row],[Census Tract]],'Population and Diversity Data'!$B$2:$K$823,10,FALSE)</f>
        <v>2</v>
      </c>
      <c r="Q926" s="155" t="str">
        <f>VLOOKUP(Table323[[#This Row],[Census Tract]],'ES Energy Burden'!$B$2:$E$914,4,FALSE)</f>
        <v>No</v>
      </c>
    </row>
    <row r="927" spans="1:17" x14ac:dyDescent="0.2">
      <c r="A927" s="101">
        <v>9009361200</v>
      </c>
      <c r="B927" s="177" t="s">
        <v>2872</v>
      </c>
      <c r="C927" s="178" t="s">
        <v>944</v>
      </c>
      <c r="D927" s="179">
        <v>114930.85025088002</v>
      </c>
      <c r="E927" s="179">
        <v>58843.71</v>
      </c>
      <c r="F927" s="13">
        <f>[1]!Table323[[#This Row],[Single Family]]+[1]!Table323[[#This Row],[2-4 Units]]+[1]!Table323[[#This Row],[&gt;4 Units]]</f>
        <v>21</v>
      </c>
      <c r="G927" s="180">
        <v>21</v>
      </c>
      <c r="H927" s="180">
        <v>0</v>
      </c>
      <c r="I927" s="180">
        <v>0</v>
      </c>
      <c r="J927" s="181">
        <v>22600.89</v>
      </c>
      <c r="K927">
        <f t="shared" si="14"/>
        <v>0</v>
      </c>
      <c r="L927" s="180">
        <v>0</v>
      </c>
      <c r="M927" s="180">
        <v>0</v>
      </c>
      <c r="N927" s="180">
        <v>0</v>
      </c>
      <c r="O927" s="182">
        <v>0</v>
      </c>
      <c r="P927" s="155">
        <f>VLOOKUP(Table323[[#This Row],[Census Tract]],'Population and Diversity Data'!$B$2:$K$823,10,FALSE)</f>
        <v>2</v>
      </c>
      <c r="Q927" s="155" t="str">
        <f>VLOOKUP(Table323[[#This Row],[Census Tract]],'ES Energy Burden'!$B$2:$E$914,4,FALSE)</f>
        <v>No</v>
      </c>
    </row>
    <row r="928" spans="1:17" x14ac:dyDescent="0.2">
      <c r="A928" s="101">
        <v>9009361300</v>
      </c>
      <c r="B928" s="177" t="s">
        <v>2872</v>
      </c>
      <c r="C928" s="178" t="s">
        <v>944</v>
      </c>
      <c r="D928" s="179">
        <v>84091.987296000007</v>
      </c>
      <c r="E928" s="179">
        <v>68011.649999999994</v>
      </c>
      <c r="F928" s="13">
        <f>[1]!Table323[[#This Row],[Single Family]]+[1]!Table323[[#This Row],[2-4 Units]]+[1]!Table323[[#This Row],[&gt;4 Units]]</f>
        <v>15</v>
      </c>
      <c r="G928" s="180">
        <v>15</v>
      </c>
      <c r="H928" s="180">
        <v>0</v>
      </c>
      <c r="I928" s="180">
        <v>0</v>
      </c>
      <c r="J928" s="181">
        <v>12352.86</v>
      </c>
      <c r="K928">
        <f t="shared" si="14"/>
        <v>0</v>
      </c>
      <c r="L928" s="180">
        <v>0</v>
      </c>
      <c r="M928" s="180">
        <v>0</v>
      </c>
      <c r="N928" s="180">
        <v>0</v>
      </c>
      <c r="O928" s="182">
        <v>0</v>
      </c>
      <c r="P928" s="155">
        <f>VLOOKUP(Table323[[#This Row],[Census Tract]],'Population and Diversity Data'!$B$2:$K$823,10,FALSE)</f>
        <v>1</v>
      </c>
      <c r="Q928" s="155" t="str">
        <f>VLOOKUP(Table323[[#This Row],[Census Tract]],'ES Energy Burden'!$B$2:$E$914,4,FALSE)</f>
        <v>No</v>
      </c>
    </row>
    <row r="929" spans="1:17" x14ac:dyDescent="0.2">
      <c r="A929" s="101">
        <v>9005342100</v>
      </c>
      <c r="B929" s="177" t="s">
        <v>2873</v>
      </c>
      <c r="C929" s="178" t="s">
        <v>944</v>
      </c>
      <c r="D929" s="179">
        <v>65.123999999999995</v>
      </c>
      <c r="E929" s="179">
        <v>0</v>
      </c>
      <c r="F929" s="13">
        <f>[1]!Table323[[#This Row],[Single Family]]+[1]!Table323[[#This Row],[2-4 Units]]+[1]!Table323[[#This Row],[&gt;4 Units]]</f>
        <v>0</v>
      </c>
      <c r="G929" s="180">
        <v>0</v>
      </c>
      <c r="H929" s="180">
        <v>0</v>
      </c>
      <c r="I929" s="180">
        <v>0</v>
      </c>
      <c r="J929" s="181">
        <v>0</v>
      </c>
      <c r="K929">
        <f t="shared" si="14"/>
        <v>0</v>
      </c>
      <c r="L929" s="180">
        <v>0</v>
      </c>
      <c r="M929" s="180">
        <v>0</v>
      </c>
      <c r="N929" s="180">
        <v>0</v>
      </c>
      <c r="O929" s="182">
        <v>0</v>
      </c>
      <c r="P929" s="155">
        <f>VLOOKUP(Table323[[#This Row],[Census Tract]],'Population and Diversity Data'!$B$2:$K$823,10,FALSE)</f>
        <v>2</v>
      </c>
      <c r="Q929" s="155" t="str">
        <f>VLOOKUP(Table323[[#This Row],[Census Tract]],'ES Energy Burden'!$B$2:$E$914,4,FALSE)</f>
        <v>No</v>
      </c>
    </row>
    <row r="930" spans="1:17" x14ac:dyDescent="0.2">
      <c r="A930" s="101">
        <v>9005360200</v>
      </c>
      <c r="B930" s="177" t="s">
        <v>2873</v>
      </c>
      <c r="C930" s="178" t="s">
        <v>944</v>
      </c>
      <c r="D930" s="179">
        <v>58.432147200000003</v>
      </c>
      <c r="E930" s="179">
        <v>0</v>
      </c>
      <c r="F930" s="13">
        <f>[1]!Table323[[#This Row],[Single Family]]+[1]!Table323[[#This Row],[2-4 Units]]+[1]!Table323[[#This Row],[&gt;4 Units]]</f>
        <v>0</v>
      </c>
      <c r="G930" s="180">
        <v>0</v>
      </c>
      <c r="H930" s="180">
        <v>0</v>
      </c>
      <c r="I930" s="180">
        <v>0</v>
      </c>
      <c r="J930" s="181">
        <v>0</v>
      </c>
      <c r="K930">
        <f t="shared" si="14"/>
        <v>0</v>
      </c>
      <c r="L930" s="180">
        <v>0</v>
      </c>
      <c r="M930" s="180">
        <v>0</v>
      </c>
      <c r="N930" s="180">
        <v>0</v>
      </c>
      <c r="O930" s="182">
        <v>0</v>
      </c>
      <c r="P930" s="155">
        <f>VLOOKUP(Table323[[#This Row],[Census Tract]],'Population and Diversity Data'!$B$2:$K$823,10,FALSE)</f>
        <v>2</v>
      </c>
      <c r="Q930" s="155" t="str">
        <f>VLOOKUP(Table323[[#This Row],[Census Tract]],'ES Energy Burden'!$B$2:$E$914,4,FALSE)</f>
        <v>No</v>
      </c>
    </row>
    <row r="931" spans="1:17" x14ac:dyDescent="0.2">
      <c r="A931" s="101">
        <v>9005362101</v>
      </c>
      <c r="B931" s="177" t="s">
        <v>2873</v>
      </c>
      <c r="C931" s="178" t="s">
        <v>944</v>
      </c>
      <c r="D931" s="179">
        <v>121303.913256</v>
      </c>
      <c r="E931" s="179">
        <v>26145.79</v>
      </c>
      <c r="F931" s="13">
        <f>[1]!Table323[[#This Row],[Single Family]]+[1]!Table323[[#This Row],[2-4 Units]]+[1]!Table323[[#This Row],[&gt;4 Units]]</f>
        <v>20</v>
      </c>
      <c r="G931" s="180">
        <v>18</v>
      </c>
      <c r="H931" s="180">
        <v>2</v>
      </c>
      <c r="I931" s="180">
        <v>0</v>
      </c>
      <c r="J931" s="181">
        <v>24051.47</v>
      </c>
      <c r="K931">
        <f t="shared" si="14"/>
        <v>0</v>
      </c>
      <c r="L931" s="180">
        <v>0</v>
      </c>
      <c r="M931" s="180">
        <v>0</v>
      </c>
      <c r="N931" s="180">
        <v>0</v>
      </c>
      <c r="O931" s="182">
        <v>0</v>
      </c>
      <c r="P931" s="155">
        <f>VLOOKUP(Table323[[#This Row],[Census Tract]],'Population and Diversity Data'!$B$2:$K$823,10,FALSE)</f>
        <v>2</v>
      </c>
      <c r="Q931" s="155" t="str">
        <f>VLOOKUP(Table323[[#This Row],[Census Tract]],'ES Energy Burden'!$B$2:$E$914,4,FALSE)</f>
        <v>No</v>
      </c>
    </row>
    <row r="932" spans="1:17" x14ac:dyDescent="0.2">
      <c r="A932" s="101">
        <v>9005362102</v>
      </c>
      <c r="B932" s="177" t="s">
        <v>2873</v>
      </c>
      <c r="C932" s="178" t="s">
        <v>944</v>
      </c>
      <c r="D932" s="179">
        <v>148869.85352544003</v>
      </c>
      <c r="E932" s="179">
        <v>147193.30799999999</v>
      </c>
      <c r="F932" s="13">
        <f>[1]!Table323[[#This Row],[Single Family]]+[1]!Table323[[#This Row],[2-4 Units]]+[1]!Table323[[#This Row],[&gt;4 Units]]</f>
        <v>27</v>
      </c>
      <c r="G932" s="180">
        <v>25</v>
      </c>
      <c r="H932" s="180">
        <v>2</v>
      </c>
      <c r="I932" s="180">
        <v>0</v>
      </c>
      <c r="J932" s="181">
        <v>23234.639999999999</v>
      </c>
      <c r="K932">
        <f t="shared" si="14"/>
        <v>10</v>
      </c>
      <c r="L932" s="180">
        <v>10</v>
      </c>
      <c r="M932" s="180">
        <v>0</v>
      </c>
      <c r="N932" s="180">
        <v>0</v>
      </c>
      <c r="O932" s="182">
        <v>84063.2</v>
      </c>
      <c r="P932" s="155">
        <f>VLOOKUP(Table323[[#This Row],[Census Tract]],'Population and Diversity Data'!$B$2:$K$823,10,FALSE)</f>
        <v>1</v>
      </c>
      <c r="Q932" s="155" t="str">
        <f>VLOOKUP(Table323[[#This Row],[Census Tract]],'ES Energy Burden'!$B$2:$E$914,4,FALSE)</f>
        <v>No</v>
      </c>
    </row>
    <row r="933" spans="1:17" x14ac:dyDescent="0.2">
      <c r="A933" s="101">
        <v>9015900200</v>
      </c>
      <c r="B933" s="177" t="s">
        <v>2874</v>
      </c>
      <c r="C933" s="178" t="s">
        <v>944</v>
      </c>
      <c r="D933" s="179">
        <v>326.09468160000006</v>
      </c>
      <c r="E933" s="179">
        <v>0</v>
      </c>
      <c r="F933" s="13">
        <f>[1]!Table323[[#This Row],[Single Family]]+[1]!Table323[[#This Row],[2-4 Units]]+[1]!Table323[[#This Row],[&gt;4 Units]]</f>
        <v>0</v>
      </c>
      <c r="G933" s="180">
        <v>0</v>
      </c>
      <c r="H933" s="180">
        <v>0</v>
      </c>
      <c r="I933" s="180">
        <v>0</v>
      </c>
      <c r="J933" s="181">
        <v>0</v>
      </c>
      <c r="K933">
        <f t="shared" si="14"/>
        <v>0</v>
      </c>
      <c r="L933" s="180">
        <v>0</v>
      </c>
      <c r="M933" s="180">
        <v>0</v>
      </c>
      <c r="N933" s="180">
        <v>0</v>
      </c>
      <c r="O933" s="182">
        <v>0</v>
      </c>
      <c r="P933" s="155">
        <f>VLOOKUP(Table323[[#This Row],[Census Tract]],'Population and Diversity Data'!$B$2:$K$823,10,FALSE)</f>
        <v>2</v>
      </c>
      <c r="Q933" s="155" t="str">
        <f>VLOOKUP(Table323[[#This Row],[Census Tract]],'ES Energy Burden'!$B$2:$E$914,4,FALSE)</f>
        <v>No</v>
      </c>
    </row>
    <row r="934" spans="1:17" x14ac:dyDescent="0.2">
      <c r="A934" s="101">
        <v>9015901100</v>
      </c>
      <c r="B934" s="177" t="s">
        <v>2874</v>
      </c>
      <c r="C934" s="178" t="s">
        <v>944</v>
      </c>
      <c r="D934" s="179">
        <v>184113.16258751997</v>
      </c>
      <c r="E934" s="179">
        <v>95417.545599999998</v>
      </c>
      <c r="F934" s="13">
        <f>[1]!Table323[[#This Row],[Single Family]]+[1]!Table323[[#This Row],[2-4 Units]]+[1]!Table323[[#This Row],[&gt;4 Units]]</f>
        <v>41</v>
      </c>
      <c r="G934" s="180">
        <v>39</v>
      </c>
      <c r="H934" s="180">
        <v>2</v>
      </c>
      <c r="I934" s="180">
        <v>0</v>
      </c>
      <c r="J934" s="181">
        <v>34356.2356</v>
      </c>
      <c r="K934">
        <f t="shared" si="14"/>
        <v>6</v>
      </c>
      <c r="L934" s="180">
        <v>6</v>
      </c>
      <c r="M934" s="180">
        <v>0</v>
      </c>
      <c r="N934" s="180">
        <v>0</v>
      </c>
      <c r="O934" s="182">
        <v>20358.5</v>
      </c>
      <c r="P934" s="155">
        <f>VLOOKUP(Table323[[#This Row],[Census Tract]],'Population and Diversity Data'!$B$2:$K$823,10,FALSE)</f>
        <v>1</v>
      </c>
      <c r="Q934" s="155" t="str">
        <f>VLOOKUP(Table323[[#This Row],[Census Tract]],'ES Energy Burden'!$B$2:$E$914,4,FALSE)</f>
        <v>No</v>
      </c>
    </row>
    <row r="935" spans="1:17" x14ac:dyDescent="0.2">
      <c r="A935" s="101">
        <v>9015902200</v>
      </c>
      <c r="B935" s="177" t="s">
        <v>2874</v>
      </c>
      <c r="C935" s="178" t="s">
        <v>944</v>
      </c>
      <c r="D935" s="179">
        <v>989.16698880000013</v>
      </c>
      <c r="E935" s="179">
        <v>107.52</v>
      </c>
      <c r="F935" s="13">
        <f>[1]!Table323[[#This Row],[Single Family]]+[1]!Table323[[#This Row],[2-4 Units]]+[1]!Table323[[#This Row],[&gt;4 Units]]</f>
        <v>0</v>
      </c>
      <c r="G935" s="180">
        <v>0</v>
      </c>
      <c r="H935" s="180">
        <v>0</v>
      </c>
      <c r="I935" s="180">
        <v>0</v>
      </c>
      <c r="J935" s="181">
        <v>0</v>
      </c>
      <c r="K935">
        <f t="shared" si="14"/>
        <v>0</v>
      </c>
      <c r="L935" s="180">
        <v>0</v>
      </c>
      <c r="M935" s="180">
        <v>0</v>
      </c>
      <c r="N935" s="180">
        <v>0</v>
      </c>
      <c r="O935" s="182">
        <v>0</v>
      </c>
      <c r="P935" s="155">
        <f>VLOOKUP(Table323[[#This Row],[Census Tract]],'Population and Diversity Data'!$B$2:$K$823,10,FALSE)</f>
        <v>2</v>
      </c>
      <c r="Q935" s="155" t="str">
        <f>VLOOKUP(Table323[[#This Row],[Census Tract]],'ES Energy Burden'!$B$2:$E$914,4,FALSE)</f>
        <v>No</v>
      </c>
    </row>
    <row r="936" spans="1:17" x14ac:dyDescent="0.2">
      <c r="A936" s="101">
        <v>9015902500</v>
      </c>
      <c r="B936" s="177" t="s">
        <v>2874</v>
      </c>
      <c r="C936" s="178" t="s">
        <v>944</v>
      </c>
      <c r="D936" s="179">
        <v>2271.4498656000001</v>
      </c>
      <c r="E936" s="179">
        <v>121.98</v>
      </c>
      <c r="F936" s="13">
        <f>[1]!Table323[[#This Row],[Single Family]]+[1]!Table323[[#This Row],[2-4 Units]]+[1]!Table323[[#This Row],[&gt;4 Units]]</f>
        <v>1</v>
      </c>
      <c r="G936" s="180">
        <v>1</v>
      </c>
      <c r="H936" s="180">
        <v>0</v>
      </c>
      <c r="I936" s="180">
        <v>0</v>
      </c>
      <c r="J936" s="181">
        <v>104.79</v>
      </c>
      <c r="K936">
        <f t="shared" si="14"/>
        <v>0</v>
      </c>
      <c r="L936" s="180">
        <v>0</v>
      </c>
      <c r="M936" s="180">
        <v>0</v>
      </c>
      <c r="N936" s="180">
        <v>0</v>
      </c>
      <c r="O936" s="182">
        <v>0</v>
      </c>
      <c r="P936" s="155">
        <f>VLOOKUP(Table323[[#This Row],[Census Tract]],'Population and Diversity Data'!$B$2:$K$823,10,FALSE)</f>
        <v>2</v>
      </c>
      <c r="Q936" s="155" t="str">
        <f>VLOOKUP(Table323[[#This Row],[Census Tract]],'ES Energy Burden'!$B$2:$E$914,4,FALSE)</f>
        <v>No</v>
      </c>
    </row>
    <row r="937" spans="1:17" x14ac:dyDescent="0.2">
      <c r="A937" s="183"/>
      <c r="B937" s="184"/>
      <c r="C937" s="185"/>
      <c r="D937" s="69"/>
      <c r="E937" s="69"/>
      <c r="F937" s="13"/>
      <c r="G937" s="13"/>
      <c r="H937" s="13"/>
      <c r="I937" s="13"/>
      <c r="J937" s="68"/>
      <c r="L937" s="13"/>
      <c r="M937" s="13"/>
      <c r="N937" s="13"/>
      <c r="O937" s="68"/>
      <c r="P937" s="155" t="e">
        <f>VLOOKUP(Table323[[#This Row],[Census Tract]],'Population and Diversity Data'!$B$2:$K$823,10,FALSE)</f>
        <v>#N/A</v>
      </c>
      <c r="Q937" s="155" t="e">
        <f>VLOOKUP(Table323[[#This Row],[Census Tract]],'ES Energy Burden'!$B$2:$E$914,4,FALSE)</f>
        <v>#N/A</v>
      </c>
    </row>
    <row r="938" spans="1:17" ht="16" thickBot="1" x14ac:dyDescent="0.25">
      <c r="A938" s="186"/>
      <c r="B938" s="187"/>
      <c r="C938" s="188" t="s">
        <v>2885</v>
      </c>
      <c r="D938" s="189">
        <f>SUBTOTAL(109,[1]!Table323[CLM $ Collected ])</f>
        <v>52682522.847269721</v>
      </c>
      <c r="E938" s="189">
        <f>SUBTOTAL(109,[1]!Table323[Incentive Disbursements])</f>
        <v>36999853.3169</v>
      </c>
      <c r="F938" s="190">
        <f>SUBTOTAL(109,[1]!Table323[Total Units])</f>
        <v>17709</v>
      </c>
      <c r="G938" s="190">
        <f>SUBTOTAL(109,[1]!Table323[Single Family])</f>
        <v>9981</v>
      </c>
      <c r="H938" s="190">
        <f>SUBTOTAL(109,[1]!Table323[2-4 Units])</f>
        <v>169</v>
      </c>
      <c r="I938" s="190">
        <f>SUBTOTAL(109,[1]!Table323[&gt;4 Units])</f>
        <v>7559</v>
      </c>
      <c r="J938" s="191">
        <f>SUBTOTAL(109,[1]!Table323[Incentives])</f>
        <v>9666135.8076000139</v>
      </c>
      <c r="K938" s="190">
        <f>SUBTOTAL(109,[1]!Table323[Total Units2])</f>
        <v>12528</v>
      </c>
      <c r="L938" s="190">
        <f>SUBTOTAL(109,[1]!Table323[[Single Family ]])</f>
        <v>4976</v>
      </c>
      <c r="M938" s="190">
        <f>SUBTOTAL(109,[1]!Table323[ 2-4 Units])</f>
        <v>87</v>
      </c>
      <c r="N938" s="190">
        <f>SUBTOTAL(109,[1]!Table323[&gt;4 Units ])</f>
        <v>7465</v>
      </c>
      <c r="O938" s="192">
        <f>SUBTOTAL(109,[1]!Table323[[Incentives ]])</f>
        <v>12564514.349999992</v>
      </c>
    </row>
    <row r="939" spans="1:17" s="30" customFormat="1" x14ac:dyDescent="0.2">
      <c r="A939"/>
      <c r="B939"/>
      <c r="C939"/>
      <c r="D939" s="35"/>
      <c r="E939" s="35"/>
      <c r="F939"/>
      <c r="G939"/>
      <c r="H939"/>
      <c r="I939"/>
      <c r="J939"/>
      <c r="K939"/>
      <c r="L939"/>
      <c r="M939"/>
      <c r="N939"/>
      <c r="O939"/>
      <c r="P939" s="32"/>
    </row>
    <row r="940" spans="1:17" s="30" customFormat="1" x14ac:dyDescent="0.2">
      <c r="A940" s="29" t="s">
        <v>2707</v>
      </c>
      <c r="C940" s="31"/>
      <c r="D940" s="31"/>
      <c r="E940" s="32"/>
      <c r="F940" s="32"/>
      <c r="G940" s="32"/>
      <c r="H940" s="32"/>
      <c r="I940" s="32"/>
      <c r="J940" s="32"/>
      <c r="K940" s="32"/>
      <c r="L940" s="32"/>
      <c r="M940" s="32"/>
      <c r="N940" s="32"/>
      <c r="O940" s="32"/>
      <c r="P940" s="32"/>
    </row>
    <row r="941" spans="1:17" x14ac:dyDescent="0.2">
      <c r="A941" s="29" t="s">
        <v>3879</v>
      </c>
      <c r="B941" s="30"/>
      <c r="C941" s="31"/>
      <c r="D941" s="31"/>
      <c r="E941" s="32"/>
      <c r="F941" s="32"/>
      <c r="G941" s="32"/>
      <c r="H941" s="32"/>
      <c r="I941" s="32"/>
      <c r="J941" s="32"/>
      <c r="K941" s="32"/>
      <c r="L941" s="32"/>
      <c r="M941" s="32"/>
      <c r="N941" s="32"/>
      <c r="O941" s="32"/>
    </row>
    <row r="942" spans="1:17" x14ac:dyDescent="0.2">
      <c r="A942" t="s">
        <v>3878</v>
      </c>
      <c r="D942"/>
      <c r="E942"/>
    </row>
    <row r="943" spans="1:17" x14ac:dyDescent="0.2">
      <c r="A943" s="67" t="s">
        <v>3881</v>
      </c>
    </row>
  </sheetData>
  <mergeCells count="7">
    <mergeCell ref="A1:O2"/>
    <mergeCell ref="A3:C3"/>
    <mergeCell ref="D3:O3"/>
    <mergeCell ref="A4:C4"/>
    <mergeCell ref="D4:E4"/>
    <mergeCell ref="K4:O4"/>
    <mergeCell ref="F4:J4"/>
  </mergeCells>
  <pageMargins left="0.7" right="0.7" top="0.75" bottom="0.75" header="0.3" footer="0.3"/>
  <pageSetup paperSize="5" scale="65" fitToHeight="25" orientation="landscape"/>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9241E-F218-4369-8875-FF8ACF6EE80E}">
  <sheetPr>
    <tabColor theme="6" tint="0.59999389629810485"/>
  </sheetPr>
  <dimension ref="B1:H2253"/>
  <sheetViews>
    <sheetView workbookViewId="0">
      <selection activeCell="P25" sqref="P25"/>
    </sheetView>
  </sheetViews>
  <sheetFormatPr baseColWidth="10" defaultColWidth="8.83203125" defaultRowHeight="15" x14ac:dyDescent="0.2"/>
  <cols>
    <col min="2" max="2" width="23.6640625" bestFit="1" customWidth="1"/>
    <col min="3" max="3" width="5" bestFit="1" customWidth="1"/>
    <col min="4" max="4" width="7" bestFit="1" customWidth="1"/>
    <col min="5" max="5" width="14.33203125" bestFit="1" customWidth="1"/>
    <col min="7" max="7" width="23.6640625" bestFit="1" customWidth="1"/>
    <col min="8" max="8" width="22.83203125" customWidth="1"/>
  </cols>
  <sheetData>
    <row r="1" spans="2:8" x14ac:dyDescent="0.2">
      <c r="B1" s="324" t="s">
        <v>2886</v>
      </c>
      <c r="C1" s="325"/>
      <c r="D1" s="325"/>
      <c r="E1" s="326"/>
    </row>
    <row r="2" spans="2:8" x14ac:dyDescent="0.2">
      <c r="B2" s="148" t="s">
        <v>2713</v>
      </c>
      <c r="C2" s="149" t="s">
        <v>2887</v>
      </c>
      <c r="D2" s="149" t="s">
        <v>2888</v>
      </c>
      <c r="E2" s="149" t="s">
        <v>2889</v>
      </c>
      <c r="G2" t="s">
        <v>2713</v>
      </c>
      <c r="H2" t="s">
        <v>2890</v>
      </c>
    </row>
    <row r="3" spans="2:8" x14ac:dyDescent="0.2">
      <c r="B3" s="150" t="s">
        <v>2891</v>
      </c>
      <c r="C3" s="151">
        <v>2019</v>
      </c>
      <c r="D3" s="151">
        <v>4</v>
      </c>
      <c r="E3" s="151">
        <v>5</v>
      </c>
      <c r="G3" t="s">
        <v>951</v>
      </c>
      <c r="H3">
        <v>77814</v>
      </c>
    </row>
    <row r="4" spans="2:8" x14ac:dyDescent="0.2">
      <c r="B4" s="150" t="s">
        <v>2891</v>
      </c>
      <c r="C4" s="151">
        <v>2019</v>
      </c>
      <c r="D4" s="151">
        <v>8</v>
      </c>
      <c r="E4" s="151">
        <v>5</v>
      </c>
      <c r="G4" t="s">
        <v>979</v>
      </c>
      <c r="H4">
        <v>10445</v>
      </c>
    </row>
    <row r="5" spans="2:8" x14ac:dyDescent="0.2">
      <c r="B5" s="150" t="s">
        <v>2891</v>
      </c>
      <c r="C5" s="151">
        <v>2019</v>
      </c>
      <c r="D5" s="151">
        <v>3</v>
      </c>
      <c r="E5" s="151">
        <v>4</v>
      </c>
      <c r="G5" t="s">
        <v>982</v>
      </c>
      <c r="H5">
        <v>8219</v>
      </c>
    </row>
    <row r="6" spans="2:8" x14ac:dyDescent="0.2">
      <c r="B6" s="150" t="s">
        <v>2891</v>
      </c>
      <c r="C6" s="151">
        <v>2019</v>
      </c>
      <c r="D6" s="151">
        <v>10</v>
      </c>
      <c r="E6" s="151">
        <v>3</v>
      </c>
      <c r="G6" t="s">
        <v>985</v>
      </c>
      <c r="H6">
        <v>4786</v>
      </c>
    </row>
    <row r="7" spans="2:8" x14ac:dyDescent="0.2">
      <c r="B7" s="150" t="s">
        <v>2891</v>
      </c>
      <c r="C7" s="151">
        <v>2019</v>
      </c>
      <c r="D7" s="151">
        <v>5</v>
      </c>
      <c r="E7" s="151">
        <v>2</v>
      </c>
      <c r="G7" t="s">
        <v>988</v>
      </c>
      <c r="H7">
        <v>3603</v>
      </c>
    </row>
    <row r="8" spans="2:8" x14ac:dyDescent="0.2">
      <c r="B8" s="150" t="s">
        <v>2891</v>
      </c>
      <c r="C8" s="151">
        <v>2019</v>
      </c>
      <c r="D8" s="151">
        <v>6</v>
      </c>
      <c r="E8" s="151">
        <v>1</v>
      </c>
      <c r="G8" t="s">
        <v>991</v>
      </c>
      <c r="H8">
        <v>3174</v>
      </c>
    </row>
    <row r="9" spans="2:8" x14ac:dyDescent="0.2">
      <c r="B9" s="150" t="s">
        <v>2891</v>
      </c>
      <c r="C9" s="151">
        <v>2019</v>
      </c>
      <c r="D9" s="151">
        <v>7</v>
      </c>
      <c r="E9" s="151">
        <v>1</v>
      </c>
      <c r="G9" t="s">
        <v>2761</v>
      </c>
      <c r="H9">
        <v>3036</v>
      </c>
    </row>
    <row r="10" spans="2:8" x14ac:dyDescent="0.2">
      <c r="B10" s="150" t="s">
        <v>2891</v>
      </c>
      <c r="C10" s="151">
        <v>2019</v>
      </c>
      <c r="D10" s="151">
        <v>9</v>
      </c>
      <c r="E10" s="151">
        <v>1</v>
      </c>
      <c r="G10" t="s">
        <v>2768</v>
      </c>
      <c r="H10">
        <v>2737</v>
      </c>
    </row>
    <row r="11" spans="2:8" x14ac:dyDescent="0.2">
      <c r="B11" s="150" t="s">
        <v>2891</v>
      </c>
      <c r="C11" s="151">
        <v>2019</v>
      </c>
      <c r="D11" s="151">
        <v>11</v>
      </c>
      <c r="E11" s="151">
        <v>1</v>
      </c>
      <c r="G11" t="s">
        <v>2744</v>
      </c>
      <c r="H11">
        <v>2527</v>
      </c>
    </row>
    <row r="12" spans="2:8" x14ac:dyDescent="0.2">
      <c r="B12" s="150" t="s">
        <v>2731</v>
      </c>
      <c r="C12" s="151">
        <v>2019</v>
      </c>
      <c r="D12" s="151">
        <v>8</v>
      </c>
      <c r="E12" s="151">
        <v>11</v>
      </c>
      <c r="G12" t="s">
        <v>2798</v>
      </c>
      <c r="H12">
        <v>2222</v>
      </c>
    </row>
    <row r="13" spans="2:8" x14ac:dyDescent="0.2">
      <c r="B13" s="150" t="s">
        <v>2731</v>
      </c>
      <c r="C13" s="151">
        <v>2019</v>
      </c>
      <c r="D13" s="151">
        <v>5</v>
      </c>
      <c r="E13" s="151">
        <v>9</v>
      </c>
      <c r="G13" t="s">
        <v>2818</v>
      </c>
      <c r="H13">
        <v>2183</v>
      </c>
    </row>
    <row r="14" spans="2:8" x14ac:dyDescent="0.2">
      <c r="B14" s="150" t="s">
        <v>2731</v>
      </c>
      <c r="C14" s="151">
        <v>2019</v>
      </c>
      <c r="D14" s="151">
        <v>1</v>
      </c>
      <c r="E14" s="151">
        <v>5</v>
      </c>
      <c r="G14" t="s">
        <v>2803</v>
      </c>
      <c r="H14">
        <v>1575</v>
      </c>
    </row>
    <row r="15" spans="2:8" x14ac:dyDescent="0.2">
      <c r="B15" s="150" t="s">
        <v>2731</v>
      </c>
      <c r="C15" s="151">
        <v>2019</v>
      </c>
      <c r="D15" s="151">
        <v>3</v>
      </c>
      <c r="E15" s="151">
        <v>4</v>
      </c>
      <c r="G15" t="s">
        <v>2861</v>
      </c>
      <c r="H15">
        <v>1362</v>
      </c>
    </row>
    <row r="16" spans="2:8" x14ac:dyDescent="0.2">
      <c r="B16" s="150" t="s">
        <v>2731</v>
      </c>
      <c r="C16" s="151">
        <v>2019</v>
      </c>
      <c r="D16" s="151">
        <v>7</v>
      </c>
      <c r="E16" s="151">
        <v>2</v>
      </c>
      <c r="G16" t="s">
        <v>2811</v>
      </c>
      <c r="H16">
        <v>1346</v>
      </c>
    </row>
    <row r="17" spans="2:8" x14ac:dyDescent="0.2">
      <c r="B17" s="150" t="s">
        <v>2731</v>
      </c>
      <c r="C17" s="151">
        <v>2019</v>
      </c>
      <c r="D17" s="151">
        <v>4</v>
      </c>
      <c r="E17" s="151">
        <v>1</v>
      </c>
      <c r="G17" t="s">
        <v>2853</v>
      </c>
      <c r="H17">
        <v>1256</v>
      </c>
    </row>
    <row r="18" spans="2:8" x14ac:dyDescent="0.2">
      <c r="B18" s="150" t="s">
        <v>2731</v>
      </c>
      <c r="C18" s="151">
        <v>2019</v>
      </c>
      <c r="D18" s="151">
        <v>6</v>
      </c>
      <c r="E18" s="151">
        <v>1</v>
      </c>
      <c r="G18" t="s">
        <v>2807</v>
      </c>
      <c r="H18">
        <v>1113</v>
      </c>
    </row>
    <row r="19" spans="2:8" x14ac:dyDescent="0.2">
      <c r="B19" s="150" t="s">
        <v>2731</v>
      </c>
      <c r="C19" s="151">
        <v>2019</v>
      </c>
      <c r="D19" s="151">
        <v>9</v>
      </c>
      <c r="E19" s="151">
        <v>1</v>
      </c>
      <c r="G19" t="s">
        <v>2773</v>
      </c>
      <c r="H19">
        <v>1070</v>
      </c>
    </row>
    <row r="20" spans="2:8" x14ac:dyDescent="0.2">
      <c r="B20" s="150" t="s">
        <v>2732</v>
      </c>
      <c r="C20" s="151">
        <v>2019</v>
      </c>
      <c r="D20" s="151">
        <v>5</v>
      </c>
      <c r="E20" s="151">
        <v>15</v>
      </c>
      <c r="G20" t="s">
        <v>2870</v>
      </c>
      <c r="H20">
        <v>998</v>
      </c>
    </row>
    <row r="21" spans="2:8" x14ac:dyDescent="0.2">
      <c r="B21" s="150" t="s">
        <v>2732</v>
      </c>
      <c r="C21" s="151">
        <v>2019</v>
      </c>
      <c r="D21" s="151">
        <v>6</v>
      </c>
      <c r="E21" s="151">
        <v>13</v>
      </c>
      <c r="G21" t="s">
        <v>2740</v>
      </c>
      <c r="H21">
        <v>869</v>
      </c>
    </row>
    <row r="22" spans="2:8" x14ac:dyDescent="0.2">
      <c r="B22" s="150" t="s">
        <v>2732</v>
      </c>
      <c r="C22" s="151">
        <v>2019</v>
      </c>
      <c r="D22" s="151">
        <v>7</v>
      </c>
      <c r="E22" s="151">
        <v>9</v>
      </c>
      <c r="G22" t="s">
        <v>2855</v>
      </c>
      <c r="H22">
        <v>814</v>
      </c>
    </row>
    <row r="23" spans="2:8" x14ac:dyDescent="0.2">
      <c r="B23" s="150" t="s">
        <v>2732</v>
      </c>
      <c r="C23" s="151">
        <v>2019</v>
      </c>
      <c r="D23" s="151">
        <v>1</v>
      </c>
      <c r="E23" s="151">
        <v>5</v>
      </c>
      <c r="G23" t="s">
        <v>2742</v>
      </c>
      <c r="H23">
        <v>792</v>
      </c>
    </row>
    <row r="24" spans="2:8" x14ac:dyDescent="0.2">
      <c r="B24" s="150" t="s">
        <v>2732</v>
      </c>
      <c r="C24" s="151">
        <v>2019</v>
      </c>
      <c r="D24" s="151">
        <v>4</v>
      </c>
      <c r="E24" s="151">
        <v>4</v>
      </c>
      <c r="G24" t="s">
        <v>2812</v>
      </c>
      <c r="H24">
        <v>679</v>
      </c>
    </row>
    <row r="25" spans="2:8" x14ac:dyDescent="0.2">
      <c r="B25" s="150" t="s">
        <v>2732</v>
      </c>
      <c r="C25" s="151">
        <v>2019</v>
      </c>
      <c r="D25" s="151">
        <v>10</v>
      </c>
      <c r="E25" s="151">
        <v>4</v>
      </c>
      <c r="G25" t="s">
        <v>2844</v>
      </c>
      <c r="H25">
        <v>673</v>
      </c>
    </row>
    <row r="26" spans="2:8" x14ac:dyDescent="0.2">
      <c r="B26" s="150" t="s">
        <v>2732</v>
      </c>
      <c r="C26" s="151">
        <v>2019</v>
      </c>
      <c r="D26" s="151">
        <v>2</v>
      </c>
      <c r="E26" s="151">
        <v>2</v>
      </c>
      <c r="G26" t="s">
        <v>2892</v>
      </c>
      <c r="H26">
        <v>648</v>
      </c>
    </row>
    <row r="27" spans="2:8" x14ac:dyDescent="0.2">
      <c r="B27" s="150" t="s">
        <v>2732</v>
      </c>
      <c r="C27" s="151">
        <v>2019</v>
      </c>
      <c r="D27" s="151">
        <v>3</v>
      </c>
      <c r="E27" s="151">
        <v>1</v>
      </c>
      <c r="G27" t="s">
        <v>2813</v>
      </c>
      <c r="H27">
        <v>597</v>
      </c>
    </row>
    <row r="28" spans="2:8" x14ac:dyDescent="0.2">
      <c r="B28" s="150" t="s">
        <v>2733</v>
      </c>
      <c r="C28" s="151">
        <v>2019</v>
      </c>
      <c r="D28" s="151">
        <v>4</v>
      </c>
      <c r="E28" s="151">
        <v>56</v>
      </c>
      <c r="G28" t="s">
        <v>2823</v>
      </c>
      <c r="H28">
        <v>545</v>
      </c>
    </row>
    <row r="29" spans="2:8" x14ac:dyDescent="0.2">
      <c r="B29" s="150" t="s">
        <v>2733</v>
      </c>
      <c r="C29" s="151">
        <v>2019</v>
      </c>
      <c r="D29" s="151">
        <v>11</v>
      </c>
      <c r="E29" s="151">
        <v>19</v>
      </c>
      <c r="G29" t="s">
        <v>2738</v>
      </c>
      <c r="H29">
        <v>527</v>
      </c>
    </row>
    <row r="30" spans="2:8" x14ac:dyDescent="0.2">
      <c r="B30" s="150" t="s">
        <v>2733</v>
      </c>
      <c r="C30" s="151">
        <v>2019</v>
      </c>
      <c r="D30" s="151">
        <v>7</v>
      </c>
      <c r="E30" s="151">
        <v>17</v>
      </c>
      <c r="G30" t="s">
        <v>2865</v>
      </c>
      <c r="H30">
        <v>504</v>
      </c>
    </row>
    <row r="31" spans="2:8" x14ac:dyDescent="0.2">
      <c r="B31" s="150" t="s">
        <v>2733</v>
      </c>
      <c r="C31" s="151">
        <v>2019</v>
      </c>
      <c r="D31" s="151">
        <v>10</v>
      </c>
      <c r="E31" s="151">
        <v>16</v>
      </c>
      <c r="G31" t="s">
        <v>2780</v>
      </c>
      <c r="H31">
        <v>474</v>
      </c>
    </row>
    <row r="32" spans="2:8" x14ac:dyDescent="0.2">
      <c r="B32" s="150" t="s">
        <v>2733</v>
      </c>
      <c r="C32" s="151">
        <v>2019</v>
      </c>
      <c r="D32" s="151">
        <v>8</v>
      </c>
      <c r="E32" s="151">
        <v>14</v>
      </c>
      <c r="G32" t="s">
        <v>2842</v>
      </c>
      <c r="H32">
        <v>459</v>
      </c>
    </row>
    <row r="33" spans="2:8" x14ac:dyDescent="0.2">
      <c r="B33" s="150" t="s">
        <v>2733</v>
      </c>
      <c r="C33" s="151">
        <v>2019</v>
      </c>
      <c r="D33" s="151">
        <v>6</v>
      </c>
      <c r="E33" s="151">
        <v>13</v>
      </c>
      <c r="G33" t="s">
        <v>2837</v>
      </c>
      <c r="H33">
        <v>452</v>
      </c>
    </row>
    <row r="34" spans="2:8" x14ac:dyDescent="0.2">
      <c r="B34" s="150" t="s">
        <v>2733</v>
      </c>
      <c r="C34" s="151">
        <v>2019</v>
      </c>
      <c r="D34" s="151">
        <v>5</v>
      </c>
      <c r="E34" s="151">
        <v>12</v>
      </c>
      <c r="G34" t="s">
        <v>2864</v>
      </c>
      <c r="H34">
        <v>385</v>
      </c>
    </row>
    <row r="35" spans="2:8" x14ac:dyDescent="0.2">
      <c r="B35" s="150" t="s">
        <v>2733</v>
      </c>
      <c r="C35" s="151">
        <v>2019</v>
      </c>
      <c r="D35" s="151">
        <v>1</v>
      </c>
      <c r="E35" s="151">
        <v>8</v>
      </c>
      <c r="G35" t="s">
        <v>2893</v>
      </c>
      <c r="H35">
        <v>380</v>
      </c>
    </row>
    <row r="36" spans="2:8" x14ac:dyDescent="0.2">
      <c r="B36" s="150" t="s">
        <v>2733</v>
      </c>
      <c r="C36" s="151">
        <v>2019</v>
      </c>
      <c r="D36" s="151">
        <v>3</v>
      </c>
      <c r="E36" s="151">
        <v>7</v>
      </c>
      <c r="G36" t="s">
        <v>2832</v>
      </c>
      <c r="H36">
        <v>370</v>
      </c>
    </row>
    <row r="37" spans="2:8" x14ac:dyDescent="0.2">
      <c r="B37" s="150" t="s">
        <v>2733</v>
      </c>
      <c r="C37" s="151">
        <v>2019</v>
      </c>
      <c r="D37" s="151">
        <v>9</v>
      </c>
      <c r="E37" s="151">
        <v>4</v>
      </c>
      <c r="G37" t="s">
        <v>2777</v>
      </c>
      <c r="H37">
        <v>345</v>
      </c>
    </row>
    <row r="38" spans="2:8" x14ac:dyDescent="0.2">
      <c r="B38" s="150" t="s">
        <v>2733</v>
      </c>
      <c r="C38" s="151">
        <v>2019</v>
      </c>
      <c r="D38" s="151">
        <v>12</v>
      </c>
      <c r="E38" s="151">
        <v>4</v>
      </c>
      <c r="G38" t="s">
        <v>2752</v>
      </c>
      <c r="H38">
        <v>342</v>
      </c>
    </row>
    <row r="39" spans="2:8" x14ac:dyDescent="0.2">
      <c r="B39" s="150" t="s">
        <v>2733</v>
      </c>
      <c r="C39" s="151">
        <v>2019</v>
      </c>
      <c r="D39" s="151">
        <v>2</v>
      </c>
      <c r="E39" s="151">
        <v>1</v>
      </c>
      <c r="G39" t="s">
        <v>2859</v>
      </c>
      <c r="H39">
        <v>317</v>
      </c>
    </row>
    <row r="40" spans="2:8" x14ac:dyDescent="0.2">
      <c r="B40" s="150" t="s">
        <v>2894</v>
      </c>
      <c r="C40" s="151">
        <v>2019</v>
      </c>
      <c r="D40" s="151">
        <v>8</v>
      </c>
      <c r="E40" s="151">
        <v>2</v>
      </c>
      <c r="G40" t="s">
        <v>2745</v>
      </c>
      <c r="H40">
        <v>311</v>
      </c>
    </row>
    <row r="41" spans="2:8" x14ac:dyDescent="0.2">
      <c r="B41" s="150" t="s">
        <v>2894</v>
      </c>
      <c r="C41" s="151">
        <v>2019</v>
      </c>
      <c r="D41" s="151">
        <v>1</v>
      </c>
      <c r="E41" s="151">
        <v>1</v>
      </c>
      <c r="G41" t="s">
        <v>2760</v>
      </c>
      <c r="H41">
        <v>308</v>
      </c>
    </row>
    <row r="42" spans="2:8" x14ac:dyDescent="0.2">
      <c r="B42" s="150" t="s">
        <v>2894</v>
      </c>
      <c r="C42" s="151">
        <v>2019</v>
      </c>
      <c r="D42" s="151">
        <v>4</v>
      </c>
      <c r="E42" s="151">
        <v>1</v>
      </c>
      <c r="G42" t="s">
        <v>2871</v>
      </c>
      <c r="H42">
        <v>301</v>
      </c>
    </row>
    <row r="43" spans="2:8" x14ac:dyDescent="0.2">
      <c r="B43" s="150" t="s">
        <v>2894</v>
      </c>
      <c r="C43" s="151">
        <v>2019</v>
      </c>
      <c r="D43" s="151">
        <v>7</v>
      </c>
      <c r="E43" s="151">
        <v>1</v>
      </c>
      <c r="G43" t="s">
        <v>2831</v>
      </c>
      <c r="H43">
        <v>285</v>
      </c>
    </row>
    <row r="44" spans="2:8" x14ac:dyDescent="0.2">
      <c r="B44" s="150" t="s">
        <v>2895</v>
      </c>
      <c r="C44" s="151">
        <v>2019</v>
      </c>
      <c r="D44" s="151">
        <v>4</v>
      </c>
      <c r="E44" s="151">
        <v>18</v>
      </c>
      <c r="G44" t="s">
        <v>2804</v>
      </c>
      <c r="H44">
        <v>280</v>
      </c>
    </row>
    <row r="45" spans="2:8" x14ac:dyDescent="0.2">
      <c r="B45" s="150" t="s">
        <v>2895</v>
      </c>
      <c r="C45" s="151">
        <v>2019</v>
      </c>
      <c r="D45" s="151">
        <v>5</v>
      </c>
      <c r="E45" s="151">
        <v>15</v>
      </c>
      <c r="G45" t="s">
        <v>2860</v>
      </c>
      <c r="H45">
        <v>278</v>
      </c>
    </row>
    <row r="46" spans="2:8" x14ac:dyDescent="0.2">
      <c r="B46" s="150" t="s">
        <v>2895</v>
      </c>
      <c r="C46" s="151">
        <v>2019</v>
      </c>
      <c r="D46" s="151">
        <v>2</v>
      </c>
      <c r="E46" s="151">
        <v>6</v>
      </c>
      <c r="G46" t="s">
        <v>2814</v>
      </c>
      <c r="H46">
        <v>277</v>
      </c>
    </row>
    <row r="47" spans="2:8" x14ac:dyDescent="0.2">
      <c r="B47" s="150" t="s">
        <v>2895</v>
      </c>
      <c r="C47" s="151">
        <v>2019</v>
      </c>
      <c r="D47" s="151">
        <v>1</v>
      </c>
      <c r="E47" s="151">
        <v>5</v>
      </c>
      <c r="G47" t="s">
        <v>2783</v>
      </c>
      <c r="H47">
        <v>269</v>
      </c>
    </row>
    <row r="48" spans="2:8" x14ac:dyDescent="0.2">
      <c r="B48" s="150" t="s">
        <v>2895</v>
      </c>
      <c r="C48" s="151">
        <v>2019</v>
      </c>
      <c r="D48" s="151">
        <v>6</v>
      </c>
      <c r="E48" s="151">
        <v>4</v>
      </c>
      <c r="G48" t="s">
        <v>2872</v>
      </c>
      <c r="H48">
        <v>267</v>
      </c>
    </row>
    <row r="49" spans="2:8" x14ac:dyDescent="0.2">
      <c r="B49" s="150" t="s">
        <v>2895</v>
      </c>
      <c r="C49" s="151">
        <v>2019</v>
      </c>
      <c r="D49" s="151">
        <v>12</v>
      </c>
      <c r="E49" s="151">
        <v>4</v>
      </c>
      <c r="G49" t="s">
        <v>2896</v>
      </c>
      <c r="H49">
        <v>265</v>
      </c>
    </row>
    <row r="50" spans="2:8" x14ac:dyDescent="0.2">
      <c r="B50" s="150" t="s">
        <v>2895</v>
      </c>
      <c r="C50" s="151">
        <v>2019</v>
      </c>
      <c r="D50" s="151">
        <v>3</v>
      </c>
      <c r="E50" s="151">
        <v>3</v>
      </c>
      <c r="G50" t="s">
        <v>2754</v>
      </c>
      <c r="H50">
        <v>252</v>
      </c>
    </row>
    <row r="51" spans="2:8" x14ac:dyDescent="0.2">
      <c r="B51" s="150" t="s">
        <v>2895</v>
      </c>
      <c r="C51" s="151">
        <v>2019</v>
      </c>
      <c r="D51" s="151">
        <v>7</v>
      </c>
      <c r="E51" s="151">
        <v>3</v>
      </c>
      <c r="G51" t="s">
        <v>2897</v>
      </c>
      <c r="H51">
        <v>249</v>
      </c>
    </row>
    <row r="52" spans="2:8" x14ac:dyDescent="0.2">
      <c r="B52" s="150" t="s">
        <v>2895</v>
      </c>
      <c r="C52" s="151">
        <v>2019</v>
      </c>
      <c r="D52" s="151">
        <v>9</v>
      </c>
      <c r="E52" s="151">
        <v>2</v>
      </c>
      <c r="G52" t="s">
        <v>2829</v>
      </c>
      <c r="H52">
        <v>249</v>
      </c>
    </row>
    <row r="53" spans="2:8" x14ac:dyDescent="0.2">
      <c r="B53" s="150" t="s">
        <v>2898</v>
      </c>
      <c r="C53" s="151">
        <v>2019</v>
      </c>
      <c r="D53" s="151">
        <v>3</v>
      </c>
      <c r="E53" s="151">
        <v>8</v>
      </c>
      <c r="G53" t="s">
        <v>2755</v>
      </c>
      <c r="H53">
        <v>246</v>
      </c>
    </row>
    <row r="54" spans="2:8" x14ac:dyDescent="0.2">
      <c r="B54" s="150" t="s">
        <v>2898</v>
      </c>
      <c r="C54" s="151">
        <v>2019</v>
      </c>
      <c r="D54" s="151">
        <v>6</v>
      </c>
      <c r="E54" s="151">
        <v>5</v>
      </c>
      <c r="G54" t="s">
        <v>2808</v>
      </c>
      <c r="H54">
        <v>238</v>
      </c>
    </row>
    <row r="55" spans="2:8" x14ac:dyDescent="0.2">
      <c r="B55" s="150" t="s">
        <v>2898</v>
      </c>
      <c r="C55" s="151">
        <v>2019</v>
      </c>
      <c r="D55" s="151">
        <v>10</v>
      </c>
      <c r="E55" s="151">
        <v>4</v>
      </c>
      <c r="G55" t="s">
        <v>2899</v>
      </c>
      <c r="H55">
        <v>236</v>
      </c>
    </row>
    <row r="56" spans="2:8" x14ac:dyDescent="0.2">
      <c r="B56" s="150" t="s">
        <v>2898</v>
      </c>
      <c r="C56" s="151">
        <v>2019</v>
      </c>
      <c r="D56" s="151">
        <v>7</v>
      </c>
      <c r="E56" s="151">
        <v>3</v>
      </c>
      <c r="G56" t="s">
        <v>2843</v>
      </c>
      <c r="H56">
        <v>225</v>
      </c>
    </row>
    <row r="57" spans="2:8" x14ac:dyDescent="0.2">
      <c r="B57" s="150" t="s">
        <v>2898</v>
      </c>
      <c r="C57" s="151">
        <v>2019</v>
      </c>
      <c r="D57" s="151">
        <v>1</v>
      </c>
      <c r="E57" s="151">
        <v>2</v>
      </c>
      <c r="G57" t="s">
        <v>2900</v>
      </c>
      <c r="H57">
        <v>222</v>
      </c>
    </row>
    <row r="58" spans="2:8" x14ac:dyDescent="0.2">
      <c r="B58" s="150" t="s">
        <v>2898</v>
      </c>
      <c r="C58" s="151">
        <v>2019</v>
      </c>
      <c r="D58" s="151">
        <v>4</v>
      </c>
      <c r="E58" s="151">
        <v>2</v>
      </c>
      <c r="G58" t="s">
        <v>2901</v>
      </c>
      <c r="H58">
        <v>219</v>
      </c>
    </row>
    <row r="59" spans="2:8" x14ac:dyDescent="0.2">
      <c r="B59" s="150" t="s">
        <v>2898</v>
      </c>
      <c r="C59" s="151">
        <v>2019</v>
      </c>
      <c r="D59" s="151">
        <v>9</v>
      </c>
      <c r="E59" s="151">
        <v>2</v>
      </c>
      <c r="G59" t="s">
        <v>2902</v>
      </c>
      <c r="H59">
        <v>215</v>
      </c>
    </row>
    <row r="60" spans="2:8" x14ac:dyDescent="0.2">
      <c r="B60" s="150" t="s">
        <v>2898</v>
      </c>
      <c r="C60" s="151">
        <v>2019</v>
      </c>
      <c r="D60" s="151">
        <v>2</v>
      </c>
      <c r="E60" s="151">
        <v>1</v>
      </c>
      <c r="G60" t="s">
        <v>2775</v>
      </c>
      <c r="H60">
        <v>212</v>
      </c>
    </row>
    <row r="61" spans="2:8" x14ac:dyDescent="0.2">
      <c r="B61" s="150" t="s">
        <v>2898</v>
      </c>
      <c r="C61" s="151">
        <v>2019</v>
      </c>
      <c r="D61" s="151">
        <v>5</v>
      </c>
      <c r="E61" s="151">
        <v>1</v>
      </c>
      <c r="G61" t="s">
        <v>2767</v>
      </c>
      <c r="H61">
        <v>207</v>
      </c>
    </row>
    <row r="62" spans="2:8" x14ac:dyDescent="0.2">
      <c r="B62" s="150" t="s">
        <v>2898</v>
      </c>
      <c r="C62" s="151">
        <v>2019</v>
      </c>
      <c r="D62" s="151">
        <v>8</v>
      </c>
      <c r="E62" s="151">
        <v>1</v>
      </c>
      <c r="G62" t="s">
        <v>2903</v>
      </c>
      <c r="H62">
        <v>202</v>
      </c>
    </row>
    <row r="63" spans="2:8" x14ac:dyDescent="0.2">
      <c r="B63" s="150" t="s">
        <v>2898</v>
      </c>
      <c r="C63" s="151">
        <v>2019</v>
      </c>
      <c r="D63" s="151">
        <v>11</v>
      </c>
      <c r="E63" s="151">
        <v>1</v>
      </c>
      <c r="G63" t="s">
        <v>2904</v>
      </c>
      <c r="H63">
        <v>201</v>
      </c>
    </row>
    <row r="64" spans="2:8" x14ac:dyDescent="0.2">
      <c r="B64" s="150" t="s">
        <v>2898</v>
      </c>
      <c r="C64" s="151">
        <v>2019</v>
      </c>
      <c r="D64" s="151">
        <v>12</v>
      </c>
      <c r="E64" s="151">
        <v>1</v>
      </c>
      <c r="G64" t="s">
        <v>2797</v>
      </c>
      <c r="H64">
        <v>199</v>
      </c>
    </row>
    <row r="65" spans="2:8" x14ac:dyDescent="0.2">
      <c r="B65" s="150" t="s">
        <v>2734</v>
      </c>
      <c r="C65" s="151">
        <v>2019</v>
      </c>
      <c r="D65" s="151">
        <v>1</v>
      </c>
      <c r="E65" s="151">
        <v>5</v>
      </c>
      <c r="G65" t="s">
        <v>2772</v>
      </c>
      <c r="H65">
        <v>196</v>
      </c>
    </row>
    <row r="66" spans="2:8" x14ac:dyDescent="0.2">
      <c r="B66" s="150" t="s">
        <v>2734</v>
      </c>
      <c r="C66" s="151">
        <v>2019</v>
      </c>
      <c r="D66" s="151">
        <v>5</v>
      </c>
      <c r="E66" s="151">
        <v>5</v>
      </c>
      <c r="G66" t="s">
        <v>2821</v>
      </c>
      <c r="H66">
        <v>188</v>
      </c>
    </row>
    <row r="67" spans="2:8" x14ac:dyDescent="0.2">
      <c r="B67" s="150" t="s">
        <v>2734</v>
      </c>
      <c r="C67" s="151">
        <v>2019</v>
      </c>
      <c r="D67" s="151">
        <v>8</v>
      </c>
      <c r="E67" s="151">
        <v>4</v>
      </c>
      <c r="G67" t="s">
        <v>2867</v>
      </c>
      <c r="H67">
        <v>184</v>
      </c>
    </row>
    <row r="68" spans="2:8" x14ac:dyDescent="0.2">
      <c r="B68" s="150" t="s">
        <v>2734</v>
      </c>
      <c r="C68" s="151">
        <v>2019</v>
      </c>
      <c r="D68" s="151">
        <v>9</v>
      </c>
      <c r="E68" s="151">
        <v>4</v>
      </c>
      <c r="G68" t="s">
        <v>2905</v>
      </c>
      <c r="H68">
        <v>181</v>
      </c>
    </row>
    <row r="69" spans="2:8" x14ac:dyDescent="0.2">
      <c r="B69" s="150" t="s">
        <v>2734</v>
      </c>
      <c r="C69" s="151">
        <v>2019</v>
      </c>
      <c r="D69" s="151">
        <v>12</v>
      </c>
      <c r="E69" s="151">
        <v>4</v>
      </c>
      <c r="G69" t="s">
        <v>2850</v>
      </c>
      <c r="H69">
        <v>178</v>
      </c>
    </row>
    <row r="70" spans="2:8" x14ac:dyDescent="0.2">
      <c r="B70" s="150" t="s">
        <v>2734</v>
      </c>
      <c r="C70" s="151">
        <v>2019</v>
      </c>
      <c r="D70" s="151">
        <v>2</v>
      </c>
      <c r="E70" s="151">
        <v>3</v>
      </c>
      <c r="G70" t="s">
        <v>2809</v>
      </c>
      <c r="H70">
        <v>172</v>
      </c>
    </row>
    <row r="71" spans="2:8" x14ac:dyDescent="0.2">
      <c r="B71" s="150" t="s">
        <v>2734</v>
      </c>
      <c r="C71" s="151">
        <v>2019</v>
      </c>
      <c r="D71" s="151">
        <v>3</v>
      </c>
      <c r="E71" s="151">
        <v>3</v>
      </c>
      <c r="G71" t="s">
        <v>2733</v>
      </c>
      <c r="H71">
        <v>171</v>
      </c>
    </row>
    <row r="72" spans="2:8" x14ac:dyDescent="0.2">
      <c r="B72" s="150" t="s">
        <v>2734</v>
      </c>
      <c r="C72" s="151">
        <v>2019</v>
      </c>
      <c r="D72" s="151">
        <v>10</v>
      </c>
      <c r="E72" s="151">
        <v>3</v>
      </c>
      <c r="G72" t="s">
        <v>2840</v>
      </c>
      <c r="H72">
        <v>170</v>
      </c>
    </row>
    <row r="73" spans="2:8" x14ac:dyDescent="0.2">
      <c r="B73" s="150" t="s">
        <v>2734</v>
      </c>
      <c r="C73" s="151">
        <v>2019</v>
      </c>
      <c r="D73" s="151">
        <v>6</v>
      </c>
      <c r="E73" s="151">
        <v>2</v>
      </c>
      <c r="G73" t="s">
        <v>2759</v>
      </c>
      <c r="H73">
        <v>169</v>
      </c>
    </row>
    <row r="74" spans="2:8" x14ac:dyDescent="0.2">
      <c r="B74" s="150" t="s">
        <v>2734</v>
      </c>
      <c r="C74" s="151">
        <v>2019</v>
      </c>
      <c r="D74" s="151">
        <v>4</v>
      </c>
      <c r="E74" s="151">
        <v>1</v>
      </c>
      <c r="G74" t="s">
        <v>2873</v>
      </c>
      <c r="H74">
        <v>164</v>
      </c>
    </row>
    <row r="75" spans="2:8" x14ac:dyDescent="0.2">
      <c r="B75" s="150" t="s">
        <v>2734</v>
      </c>
      <c r="C75" s="151">
        <v>2019</v>
      </c>
      <c r="D75" s="151">
        <v>7</v>
      </c>
      <c r="E75" s="151">
        <v>1</v>
      </c>
      <c r="G75" t="s">
        <v>2906</v>
      </c>
      <c r="H75">
        <v>163</v>
      </c>
    </row>
    <row r="76" spans="2:8" x14ac:dyDescent="0.2">
      <c r="B76" s="150" t="s">
        <v>2735</v>
      </c>
      <c r="C76" s="151">
        <v>2019</v>
      </c>
      <c r="D76" s="151">
        <v>3</v>
      </c>
      <c r="E76" s="151">
        <v>30</v>
      </c>
      <c r="G76" t="s">
        <v>2819</v>
      </c>
      <c r="H76">
        <v>163</v>
      </c>
    </row>
    <row r="77" spans="2:8" x14ac:dyDescent="0.2">
      <c r="B77" s="150" t="s">
        <v>2735</v>
      </c>
      <c r="C77" s="151">
        <v>2019</v>
      </c>
      <c r="D77" s="151">
        <v>4</v>
      </c>
      <c r="E77" s="151">
        <v>17</v>
      </c>
      <c r="G77" t="s">
        <v>2852</v>
      </c>
      <c r="H77">
        <v>163</v>
      </c>
    </row>
    <row r="78" spans="2:8" x14ac:dyDescent="0.2">
      <c r="B78" s="150" t="s">
        <v>2735</v>
      </c>
      <c r="C78" s="151">
        <v>2019</v>
      </c>
      <c r="D78" s="151">
        <v>11</v>
      </c>
      <c r="E78" s="151">
        <v>15</v>
      </c>
      <c r="G78" t="s">
        <v>2907</v>
      </c>
      <c r="H78">
        <v>154</v>
      </c>
    </row>
    <row r="79" spans="2:8" x14ac:dyDescent="0.2">
      <c r="B79" s="150" t="s">
        <v>2735</v>
      </c>
      <c r="C79" s="151">
        <v>2019</v>
      </c>
      <c r="D79" s="151">
        <v>6</v>
      </c>
      <c r="E79" s="151">
        <v>14</v>
      </c>
      <c r="G79" t="s">
        <v>2826</v>
      </c>
      <c r="H79">
        <v>151</v>
      </c>
    </row>
    <row r="80" spans="2:8" x14ac:dyDescent="0.2">
      <c r="B80" s="150" t="s">
        <v>2735</v>
      </c>
      <c r="C80" s="151">
        <v>2019</v>
      </c>
      <c r="D80" s="151">
        <v>9</v>
      </c>
      <c r="E80" s="151">
        <v>13</v>
      </c>
      <c r="G80" t="s">
        <v>2828</v>
      </c>
      <c r="H80">
        <v>147</v>
      </c>
    </row>
    <row r="81" spans="2:8" x14ac:dyDescent="0.2">
      <c r="B81" s="150" t="s">
        <v>2735</v>
      </c>
      <c r="C81" s="151">
        <v>2019</v>
      </c>
      <c r="D81" s="151">
        <v>5</v>
      </c>
      <c r="E81" s="151">
        <v>10</v>
      </c>
      <c r="G81" t="s">
        <v>2822</v>
      </c>
      <c r="H81">
        <v>140</v>
      </c>
    </row>
    <row r="82" spans="2:8" x14ac:dyDescent="0.2">
      <c r="B82" s="150" t="s">
        <v>2735</v>
      </c>
      <c r="C82" s="151">
        <v>2019</v>
      </c>
      <c r="D82" s="151">
        <v>7</v>
      </c>
      <c r="E82" s="151">
        <v>10</v>
      </c>
      <c r="G82" t="s">
        <v>2762</v>
      </c>
      <c r="H82">
        <v>139</v>
      </c>
    </row>
    <row r="83" spans="2:8" x14ac:dyDescent="0.2">
      <c r="B83" s="150" t="s">
        <v>2735</v>
      </c>
      <c r="C83" s="151">
        <v>2019</v>
      </c>
      <c r="D83" s="151">
        <v>8</v>
      </c>
      <c r="E83" s="151">
        <v>10</v>
      </c>
      <c r="G83" t="s">
        <v>2770</v>
      </c>
      <c r="H83">
        <v>138</v>
      </c>
    </row>
    <row r="84" spans="2:8" x14ac:dyDescent="0.2">
      <c r="B84" s="150" t="s">
        <v>2735</v>
      </c>
      <c r="C84" s="151">
        <v>2019</v>
      </c>
      <c r="D84" s="151">
        <v>2</v>
      </c>
      <c r="E84" s="151">
        <v>2</v>
      </c>
      <c r="G84" t="s">
        <v>2908</v>
      </c>
      <c r="H84">
        <v>135</v>
      </c>
    </row>
    <row r="85" spans="2:8" x14ac:dyDescent="0.2">
      <c r="B85" s="150" t="s">
        <v>2735</v>
      </c>
      <c r="C85" s="151">
        <v>2019</v>
      </c>
      <c r="D85" s="151">
        <v>10</v>
      </c>
      <c r="E85" s="151">
        <v>1</v>
      </c>
      <c r="G85" t="s">
        <v>2793</v>
      </c>
      <c r="H85">
        <v>126</v>
      </c>
    </row>
    <row r="86" spans="2:8" x14ac:dyDescent="0.2">
      <c r="B86" s="150" t="s">
        <v>2736</v>
      </c>
      <c r="C86" s="151">
        <v>2019</v>
      </c>
      <c r="D86" s="151">
        <v>2</v>
      </c>
      <c r="E86" s="151">
        <v>24</v>
      </c>
      <c r="G86" t="s">
        <v>2909</v>
      </c>
      <c r="H86">
        <v>124</v>
      </c>
    </row>
    <row r="87" spans="2:8" x14ac:dyDescent="0.2">
      <c r="B87" s="150" t="s">
        <v>2736</v>
      </c>
      <c r="C87" s="151">
        <v>2019</v>
      </c>
      <c r="D87" s="151">
        <v>10</v>
      </c>
      <c r="E87" s="151">
        <v>23</v>
      </c>
      <c r="G87" t="s">
        <v>2820</v>
      </c>
      <c r="H87">
        <v>123</v>
      </c>
    </row>
    <row r="88" spans="2:8" x14ac:dyDescent="0.2">
      <c r="B88" s="150" t="s">
        <v>2736</v>
      </c>
      <c r="C88" s="151">
        <v>2019</v>
      </c>
      <c r="D88" s="151">
        <v>7</v>
      </c>
      <c r="E88" s="151">
        <v>13</v>
      </c>
      <c r="G88" t="s">
        <v>2735</v>
      </c>
      <c r="H88">
        <v>122</v>
      </c>
    </row>
    <row r="89" spans="2:8" x14ac:dyDescent="0.2">
      <c r="B89" s="150" t="s">
        <v>2736</v>
      </c>
      <c r="C89" s="151">
        <v>2019</v>
      </c>
      <c r="D89" s="151">
        <v>6</v>
      </c>
      <c r="E89" s="151">
        <v>11</v>
      </c>
      <c r="G89" t="s">
        <v>2862</v>
      </c>
      <c r="H89">
        <v>120</v>
      </c>
    </row>
    <row r="90" spans="2:8" x14ac:dyDescent="0.2">
      <c r="B90" s="150" t="s">
        <v>2736</v>
      </c>
      <c r="C90" s="151">
        <v>2019</v>
      </c>
      <c r="D90" s="151">
        <v>5</v>
      </c>
      <c r="E90" s="151">
        <v>10</v>
      </c>
      <c r="G90" t="s">
        <v>2910</v>
      </c>
      <c r="H90">
        <v>109</v>
      </c>
    </row>
    <row r="91" spans="2:8" x14ac:dyDescent="0.2">
      <c r="B91" s="150" t="s">
        <v>2736</v>
      </c>
      <c r="C91" s="151">
        <v>2019</v>
      </c>
      <c r="D91" s="151">
        <v>8</v>
      </c>
      <c r="E91" s="151">
        <v>10</v>
      </c>
      <c r="G91" t="s">
        <v>2863</v>
      </c>
      <c r="H91">
        <v>109</v>
      </c>
    </row>
    <row r="92" spans="2:8" x14ac:dyDescent="0.2">
      <c r="B92" s="150" t="s">
        <v>2736</v>
      </c>
      <c r="C92" s="151">
        <v>2019</v>
      </c>
      <c r="D92" s="151">
        <v>9</v>
      </c>
      <c r="E92" s="151">
        <v>3</v>
      </c>
      <c r="G92" t="s">
        <v>2769</v>
      </c>
      <c r="H92">
        <v>105</v>
      </c>
    </row>
    <row r="93" spans="2:8" x14ac:dyDescent="0.2">
      <c r="B93" s="150" t="s">
        <v>2736</v>
      </c>
      <c r="C93" s="151">
        <v>2019</v>
      </c>
      <c r="D93" s="151">
        <v>3</v>
      </c>
      <c r="E93" s="151">
        <v>2</v>
      </c>
      <c r="G93" t="s">
        <v>2841</v>
      </c>
      <c r="H93">
        <v>100</v>
      </c>
    </row>
    <row r="94" spans="2:8" x14ac:dyDescent="0.2">
      <c r="B94" s="150" t="s">
        <v>2736</v>
      </c>
      <c r="C94" s="151">
        <v>2019</v>
      </c>
      <c r="D94" s="151">
        <v>4</v>
      </c>
      <c r="E94" s="151">
        <v>1</v>
      </c>
      <c r="G94" t="s">
        <v>2736</v>
      </c>
      <c r="H94">
        <v>99</v>
      </c>
    </row>
    <row r="95" spans="2:8" x14ac:dyDescent="0.2">
      <c r="B95" s="150" t="s">
        <v>2736</v>
      </c>
      <c r="C95" s="151">
        <v>2019</v>
      </c>
      <c r="D95" s="151">
        <v>11</v>
      </c>
      <c r="E95" s="151">
        <v>1</v>
      </c>
      <c r="G95" t="s">
        <v>2817</v>
      </c>
      <c r="H95">
        <v>99</v>
      </c>
    </row>
    <row r="96" spans="2:8" x14ac:dyDescent="0.2">
      <c r="B96" s="150" t="s">
        <v>2736</v>
      </c>
      <c r="C96" s="151">
        <v>2019</v>
      </c>
      <c r="D96" s="151">
        <v>12</v>
      </c>
      <c r="E96" s="151">
        <v>1</v>
      </c>
      <c r="G96" t="s">
        <v>2849</v>
      </c>
      <c r="H96">
        <v>99</v>
      </c>
    </row>
    <row r="97" spans="2:8" x14ac:dyDescent="0.2">
      <c r="B97" s="150" t="s">
        <v>2737</v>
      </c>
      <c r="C97" s="151">
        <v>2019</v>
      </c>
      <c r="D97" s="151">
        <v>9</v>
      </c>
      <c r="E97" s="151">
        <v>13</v>
      </c>
      <c r="G97" t="s">
        <v>2750</v>
      </c>
      <c r="H97">
        <v>98</v>
      </c>
    </row>
    <row r="98" spans="2:8" x14ac:dyDescent="0.2">
      <c r="B98" s="150" t="s">
        <v>2737</v>
      </c>
      <c r="C98" s="151">
        <v>2019</v>
      </c>
      <c r="D98" s="151">
        <v>5</v>
      </c>
      <c r="E98" s="151">
        <v>12</v>
      </c>
      <c r="G98" t="s">
        <v>2810</v>
      </c>
      <c r="H98">
        <v>95</v>
      </c>
    </row>
    <row r="99" spans="2:8" x14ac:dyDescent="0.2">
      <c r="B99" s="150" t="s">
        <v>2737</v>
      </c>
      <c r="C99" s="151">
        <v>2019</v>
      </c>
      <c r="D99" s="151">
        <v>6</v>
      </c>
      <c r="E99" s="151">
        <v>10</v>
      </c>
      <c r="G99" t="s">
        <v>2746</v>
      </c>
      <c r="H99">
        <v>94</v>
      </c>
    </row>
    <row r="100" spans="2:8" x14ac:dyDescent="0.2">
      <c r="B100" s="150" t="s">
        <v>2737</v>
      </c>
      <c r="C100" s="151">
        <v>2019</v>
      </c>
      <c r="D100" s="151">
        <v>7</v>
      </c>
      <c r="E100" s="151">
        <v>10</v>
      </c>
      <c r="G100" t="s">
        <v>2795</v>
      </c>
      <c r="H100">
        <v>93</v>
      </c>
    </row>
    <row r="101" spans="2:8" x14ac:dyDescent="0.2">
      <c r="B101" s="150" t="s">
        <v>2737</v>
      </c>
      <c r="C101" s="151">
        <v>2019</v>
      </c>
      <c r="D101" s="151">
        <v>8</v>
      </c>
      <c r="E101" s="151">
        <v>10</v>
      </c>
      <c r="G101" t="s">
        <v>2816</v>
      </c>
      <c r="H101">
        <v>90</v>
      </c>
    </row>
    <row r="102" spans="2:8" x14ac:dyDescent="0.2">
      <c r="B102" s="150" t="s">
        <v>2737</v>
      </c>
      <c r="C102" s="151">
        <v>2019</v>
      </c>
      <c r="D102" s="151">
        <v>11</v>
      </c>
      <c r="E102" s="151">
        <v>5</v>
      </c>
      <c r="G102" t="s">
        <v>2911</v>
      </c>
      <c r="H102">
        <v>89</v>
      </c>
    </row>
    <row r="103" spans="2:8" x14ac:dyDescent="0.2">
      <c r="B103" s="150" t="s">
        <v>2737</v>
      </c>
      <c r="C103" s="151">
        <v>2019</v>
      </c>
      <c r="D103" s="151">
        <v>10</v>
      </c>
      <c r="E103" s="151">
        <v>4</v>
      </c>
      <c r="G103" t="s">
        <v>2912</v>
      </c>
      <c r="H103">
        <v>89</v>
      </c>
    </row>
    <row r="104" spans="2:8" x14ac:dyDescent="0.2">
      <c r="B104" s="150" t="s">
        <v>2737</v>
      </c>
      <c r="C104" s="151">
        <v>2019</v>
      </c>
      <c r="D104" s="151">
        <v>3</v>
      </c>
      <c r="E104" s="151">
        <v>3</v>
      </c>
      <c r="G104" t="s">
        <v>2913</v>
      </c>
      <c r="H104">
        <v>88</v>
      </c>
    </row>
    <row r="105" spans="2:8" x14ac:dyDescent="0.2">
      <c r="B105" s="150" t="s">
        <v>2737</v>
      </c>
      <c r="C105" s="151">
        <v>2019</v>
      </c>
      <c r="D105" s="151">
        <v>4</v>
      </c>
      <c r="E105" s="151">
        <v>2</v>
      </c>
      <c r="G105" t="s">
        <v>2851</v>
      </c>
      <c r="H105">
        <v>88</v>
      </c>
    </row>
    <row r="106" spans="2:8" x14ac:dyDescent="0.2">
      <c r="B106" s="150" t="s">
        <v>2737</v>
      </c>
      <c r="C106" s="151">
        <v>2019</v>
      </c>
      <c r="D106" s="151">
        <v>12</v>
      </c>
      <c r="E106" s="151">
        <v>2</v>
      </c>
      <c r="G106" t="s">
        <v>2757</v>
      </c>
      <c r="H106">
        <v>87</v>
      </c>
    </row>
    <row r="107" spans="2:8" x14ac:dyDescent="0.2">
      <c r="B107" s="150" t="s">
        <v>2737</v>
      </c>
      <c r="C107" s="151">
        <v>2019</v>
      </c>
      <c r="D107" s="151">
        <v>1</v>
      </c>
      <c r="E107" s="151">
        <v>1</v>
      </c>
      <c r="G107" t="s">
        <v>2866</v>
      </c>
      <c r="H107">
        <v>85</v>
      </c>
    </row>
    <row r="108" spans="2:8" x14ac:dyDescent="0.2">
      <c r="B108" s="150" t="s">
        <v>2738</v>
      </c>
      <c r="C108" s="151">
        <v>2019</v>
      </c>
      <c r="D108" s="151">
        <v>4</v>
      </c>
      <c r="E108" s="151">
        <v>90</v>
      </c>
      <c r="G108" t="s">
        <v>2874</v>
      </c>
      <c r="H108">
        <v>84</v>
      </c>
    </row>
    <row r="109" spans="2:8" x14ac:dyDescent="0.2">
      <c r="B109" s="150" t="s">
        <v>2738</v>
      </c>
      <c r="C109" s="151">
        <v>2019</v>
      </c>
      <c r="D109" s="151">
        <v>5</v>
      </c>
      <c r="E109" s="151">
        <v>76</v>
      </c>
      <c r="G109" t="s">
        <v>2914</v>
      </c>
      <c r="H109">
        <v>81</v>
      </c>
    </row>
    <row r="110" spans="2:8" x14ac:dyDescent="0.2">
      <c r="B110" s="150" t="s">
        <v>2738</v>
      </c>
      <c r="C110" s="151">
        <v>2019</v>
      </c>
      <c r="D110" s="151">
        <v>10</v>
      </c>
      <c r="E110" s="151">
        <v>57</v>
      </c>
      <c r="G110" t="s">
        <v>2737</v>
      </c>
      <c r="H110">
        <v>72</v>
      </c>
    </row>
    <row r="111" spans="2:8" x14ac:dyDescent="0.2">
      <c r="B111" s="150" t="s">
        <v>2738</v>
      </c>
      <c r="C111" s="151">
        <v>2019</v>
      </c>
      <c r="D111" s="151">
        <v>6</v>
      </c>
      <c r="E111" s="151">
        <v>55</v>
      </c>
      <c r="G111" t="s">
        <v>2779</v>
      </c>
      <c r="H111">
        <v>72</v>
      </c>
    </row>
    <row r="112" spans="2:8" x14ac:dyDescent="0.2">
      <c r="B112" s="150" t="s">
        <v>2738</v>
      </c>
      <c r="C112" s="151">
        <v>2019</v>
      </c>
      <c r="D112" s="151">
        <v>7</v>
      </c>
      <c r="E112" s="151">
        <v>50</v>
      </c>
      <c r="G112" t="s">
        <v>2799</v>
      </c>
      <c r="H112">
        <v>71</v>
      </c>
    </row>
    <row r="113" spans="2:8" x14ac:dyDescent="0.2">
      <c r="B113" s="150" t="s">
        <v>2738</v>
      </c>
      <c r="C113" s="151">
        <v>2019</v>
      </c>
      <c r="D113" s="151">
        <v>8</v>
      </c>
      <c r="E113" s="151">
        <v>44</v>
      </c>
      <c r="G113" t="s">
        <v>2915</v>
      </c>
      <c r="H113">
        <v>71</v>
      </c>
    </row>
    <row r="114" spans="2:8" x14ac:dyDescent="0.2">
      <c r="B114" s="150" t="s">
        <v>2738</v>
      </c>
      <c r="C114" s="151">
        <v>2019</v>
      </c>
      <c r="D114" s="151">
        <v>11</v>
      </c>
      <c r="E114" s="151">
        <v>39</v>
      </c>
      <c r="G114" t="s">
        <v>2916</v>
      </c>
      <c r="H114">
        <v>71</v>
      </c>
    </row>
    <row r="115" spans="2:8" x14ac:dyDescent="0.2">
      <c r="B115" s="150" t="s">
        <v>2738</v>
      </c>
      <c r="C115" s="151">
        <v>2019</v>
      </c>
      <c r="D115" s="151">
        <v>2</v>
      </c>
      <c r="E115" s="151">
        <v>35</v>
      </c>
      <c r="G115" t="s">
        <v>2801</v>
      </c>
      <c r="H115">
        <v>69</v>
      </c>
    </row>
    <row r="116" spans="2:8" x14ac:dyDescent="0.2">
      <c r="B116" s="150" t="s">
        <v>2738</v>
      </c>
      <c r="C116" s="151">
        <v>2019</v>
      </c>
      <c r="D116" s="151">
        <v>9</v>
      </c>
      <c r="E116" s="151">
        <v>22</v>
      </c>
      <c r="G116" t="s">
        <v>2747</v>
      </c>
      <c r="H116">
        <v>68</v>
      </c>
    </row>
    <row r="117" spans="2:8" x14ac:dyDescent="0.2">
      <c r="B117" s="150" t="s">
        <v>2738</v>
      </c>
      <c r="C117" s="151">
        <v>2019</v>
      </c>
      <c r="D117" s="151">
        <v>1</v>
      </c>
      <c r="E117" s="151">
        <v>21</v>
      </c>
      <c r="G117" t="s">
        <v>2787</v>
      </c>
      <c r="H117">
        <v>68</v>
      </c>
    </row>
    <row r="118" spans="2:8" x14ac:dyDescent="0.2">
      <c r="B118" s="150" t="s">
        <v>2738</v>
      </c>
      <c r="C118" s="151">
        <v>2019</v>
      </c>
      <c r="D118" s="151">
        <v>12</v>
      </c>
      <c r="E118" s="151">
        <v>20</v>
      </c>
      <c r="G118" t="s">
        <v>2765</v>
      </c>
      <c r="H118">
        <v>67</v>
      </c>
    </row>
    <row r="119" spans="2:8" x14ac:dyDescent="0.2">
      <c r="B119" s="150" t="s">
        <v>2738</v>
      </c>
      <c r="C119" s="151">
        <v>2019</v>
      </c>
      <c r="D119" s="151">
        <v>3</v>
      </c>
      <c r="E119" s="151">
        <v>18</v>
      </c>
      <c r="G119" t="s">
        <v>2917</v>
      </c>
      <c r="H119">
        <v>67</v>
      </c>
    </row>
    <row r="120" spans="2:8" x14ac:dyDescent="0.2">
      <c r="B120" s="150" t="s">
        <v>2739</v>
      </c>
      <c r="C120" s="151">
        <v>2019</v>
      </c>
      <c r="D120" s="151">
        <v>11</v>
      </c>
      <c r="E120" s="151">
        <v>9</v>
      </c>
      <c r="G120" t="s">
        <v>2764</v>
      </c>
      <c r="H120">
        <v>66</v>
      </c>
    </row>
    <row r="121" spans="2:8" x14ac:dyDescent="0.2">
      <c r="B121" s="150" t="s">
        <v>2739</v>
      </c>
      <c r="C121" s="151">
        <v>2019</v>
      </c>
      <c r="D121" s="151">
        <v>3</v>
      </c>
      <c r="E121" s="151">
        <v>6</v>
      </c>
      <c r="G121" t="s">
        <v>2766</v>
      </c>
      <c r="H121">
        <v>66</v>
      </c>
    </row>
    <row r="122" spans="2:8" x14ac:dyDescent="0.2">
      <c r="B122" s="150" t="s">
        <v>2739</v>
      </c>
      <c r="C122" s="151">
        <v>2019</v>
      </c>
      <c r="D122" s="151">
        <v>6</v>
      </c>
      <c r="E122" s="151">
        <v>6</v>
      </c>
      <c r="G122" t="s">
        <v>2802</v>
      </c>
      <c r="H122">
        <v>65</v>
      </c>
    </row>
    <row r="123" spans="2:8" x14ac:dyDescent="0.2">
      <c r="B123" s="150" t="s">
        <v>2739</v>
      </c>
      <c r="C123" s="151">
        <v>2019</v>
      </c>
      <c r="D123" s="151">
        <v>10</v>
      </c>
      <c r="E123" s="151">
        <v>6</v>
      </c>
      <c r="G123" t="s">
        <v>2788</v>
      </c>
      <c r="H123">
        <v>64</v>
      </c>
    </row>
    <row r="124" spans="2:8" x14ac:dyDescent="0.2">
      <c r="B124" s="150" t="s">
        <v>2739</v>
      </c>
      <c r="C124" s="151">
        <v>2019</v>
      </c>
      <c r="D124" s="151">
        <v>1</v>
      </c>
      <c r="E124" s="151">
        <v>5</v>
      </c>
      <c r="G124" t="s">
        <v>2848</v>
      </c>
      <c r="H124">
        <v>64</v>
      </c>
    </row>
    <row r="125" spans="2:8" x14ac:dyDescent="0.2">
      <c r="B125" s="150" t="s">
        <v>2739</v>
      </c>
      <c r="C125" s="151">
        <v>2019</v>
      </c>
      <c r="D125" s="151">
        <v>5</v>
      </c>
      <c r="E125" s="151">
        <v>5</v>
      </c>
      <c r="G125" t="s">
        <v>2918</v>
      </c>
      <c r="H125">
        <v>63</v>
      </c>
    </row>
    <row r="126" spans="2:8" x14ac:dyDescent="0.2">
      <c r="B126" s="150" t="s">
        <v>2739</v>
      </c>
      <c r="C126" s="151">
        <v>2019</v>
      </c>
      <c r="D126" s="151">
        <v>7</v>
      </c>
      <c r="E126" s="151">
        <v>3</v>
      </c>
      <c r="G126" t="s">
        <v>2763</v>
      </c>
      <c r="H126">
        <v>61</v>
      </c>
    </row>
    <row r="127" spans="2:8" x14ac:dyDescent="0.2">
      <c r="B127" s="150" t="s">
        <v>2739</v>
      </c>
      <c r="C127" s="151">
        <v>2019</v>
      </c>
      <c r="D127" s="151">
        <v>8</v>
      </c>
      <c r="E127" s="151">
        <v>3</v>
      </c>
      <c r="G127" t="s">
        <v>2800</v>
      </c>
      <c r="H127">
        <v>61</v>
      </c>
    </row>
    <row r="128" spans="2:8" x14ac:dyDescent="0.2">
      <c r="B128" s="150" t="s">
        <v>2739</v>
      </c>
      <c r="C128" s="151">
        <v>2019</v>
      </c>
      <c r="D128" s="151">
        <v>9</v>
      </c>
      <c r="E128" s="151">
        <v>2</v>
      </c>
      <c r="G128" t="s">
        <v>2895</v>
      </c>
      <c r="H128">
        <v>60</v>
      </c>
    </row>
    <row r="129" spans="2:8" x14ac:dyDescent="0.2">
      <c r="B129" s="150" t="s">
        <v>2739</v>
      </c>
      <c r="C129" s="151">
        <v>2019</v>
      </c>
      <c r="D129" s="151">
        <v>2</v>
      </c>
      <c r="E129" s="151">
        <v>1</v>
      </c>
      <c r="G129" t="s">
        <v>2781</v>
      </c>
      <c r="H129">
        <v>60</v>
      </c>
    </row>
    <row r="130" spans="2:8" x14ac:dyDescent="0.2">
      <c r="B130" s="150" t="s">
        <v>2740</v>
      </c>
      <c r="C130" s="151">
        <v>2019</v>
      </c>
      <c r="D130" s="151">
        <v>10</v>
      </c>
      <c r="E130" s="151">
        <v>105</v>
      </c>
      <c r="G130" t="s">
        <v>2789</v>
      </c>
      <c r="H130">
        <v>60</v>
      </c>
    </row>
    <row r="131" spans="2:8" x14ac:dyDescent="0.2">
      <c r="B131" s="150" t="s">
        <v>2740</v>
      </c>
      <c r="C131" s="151">
        <v>2019</v>
      </c>
      <c r="D131" s="151">
        <v>2</v>
      </c>
      <c r="E131" s="151">
        <v>103</v>
      </c>
      <c r="G131" t="s">
        <v>2741</v>
      </c>
      <c r="H131">
        <v>59</v>
      </c>
    </row>
    <row r="132" spans="2:8" x14ac:dyDescent="0.2">
      <c r="B132" s="150" t="s">
        <v>2740</v>
      </c>
      <c r="C132" s="151">
        <v>2019</v>
      </c>
      <c r="D132" s="151">
        <v>4</v>
      </c>
      <c r="E132" s="151">
        <v>87</v>
      </c>
      <c r="G132" t="s">
        <v>2838</v>
      </c>
      <c r="H132">
        <v>59</v>
      </c>
    </row>
    <row r="133" spans="2:8" x14ac:dyDescent="0.2">
      <c r="B133" s="150" t="s">
        <v>2740</v>
      </c>
      <c r="C133" s="151">
        <v>2019</v>
      </c>
      <c r="D133" s="151">
        <v>9</v>
      </c>
      <c r="E133" s="151">
        <v>87</v>
      </c>
      <c r="G133" t="s">
        <v>2869</v>
      </c>
      <c r="H133">
        <v>59</v>
      </c>
    </row>
    <row r="134" spans="2:8" x14ac:dyDescent="0.2">
      <c r="B134" s="150" t="s">
        <v>2740</v>
      </c>
      <c r="C134" s="151">
        <v>2019</v>
      </c>
      <c r="D134" s="151">
        <v>6</v>
      </c>
      <c r="E134" s="151">
        <v>79</v>
      </c>
      <c r="G134" t="s">
        <v>2847</v>
      </c>
      <c r="H134">
        <v>58</v>
      </c>
    </row>
    <row r="135" spans="2:8" x14ac:dyDescent="0.2">
      <c r="B135" s="150" t="s">
        <v>2740</v>
      </c>
      <c r="C135" s="151">
        <v>2019</v>
      </c>
      <c r="D135" s="151">
        <v>8</v>
      </c>
      <c r="E135" s="151">
        <v>72</v>
      </c>
      <c r="G135" t="s">
        <v>2919</v>
      </c>
      <c r="H135">
        <v>57</v>
      </c>
    </row>
    <row r="136" spans="2:8" x14ac:dyDescent="0.2">
      <c r="B136" s="150" t="s">
        <v>2740</v>
      </c>
      <c r="C136" s="151">
        <v>2019</v>
      </c>
      <c r="D136" s="151">
        <v>3</v>
      </c>
      <c r="E136" s="151">
        <v>71</v>
      </c>
      <c r="G136" t="s">
        <v>2827</v>
      </c>
      <c r="H136">
        <v>56</v>
      </c>
    </row>
    <row r="137" spans="2:8" x14ac:dyDescent="0.2">
      <c r="B137" s="150" t="s">
        <v>2740</v>
      </c>
      <c r="C137" s="151">
        <v>2019</v>
      </c>
      <c r="D137" s="151">
        <v>11</v>
      </c>
      <c r="E137" s="151">
        <v>62</v>
      </c>
      <c r="G137" t="s">
        <v>2920</v>
      </c>
      <c r="H137">
        <v>55</v>
      </c>
    </row>
    <row r="138" spans="2:8" x14ac:dyDescent="0.2">
      <c r="B138" s="150" t="s">
        <v>2740</v>
      </c>
      <c r="C138" s="151">
        <v>2019</v>
      </c>
      <c r="D138" s="151">
        <v>5</v>
      </c>
      <c r="E138" s="151">
        <v>55</v>
      </c>
      <c r="G138" t="s">
        <v>2732</v>
      </c>
      <c r="H138">
        <v>53</v>
      </c>
    </row>
    <row r="139" spans="2:8" x14ac:dyDescent="0.2">
      <c r="B139" s="150" t="s">
        <v>2740</v>
      </c>
      <c r="C139" s="151">
        <v>2019</v>
      </c>
      <c r="D139" s="151">
        <v>1</v>
      </c>
      <c r="E139" s="151">
        <v>51</v>
      </c>
      <c r="G139" t="s">
        <v>2921</v>
      </c>
      <c r="H139">
        <v>52</v>
      </c>
    </row>
    <row r="140" spans="2:8" x14ac:dyDescent="0.2">
      <c r="B140" s="150" t="s">
        <v>2740</v>
      </c>
      <c r="C140" s="151">
        <v>2019</v>
      </c>
      <c r="D140" s="151">
        <v>7</v>
      </c>
      <c r="E140" s="151">
        <v>51</v>
      </c>
      <c r="G140" t="s">
        <v>2922</v>
      </c>
      <c r="H140">
        <v>51</v>
      </c>
    </row>
    <row r="141" spans="2:8" x14ac:dyDescent="0.2">
      <c r="B141" s="150" t="s">
        <v>2740</v>
      </c>
      <c r="C141" s="151">
        <v>2019</v>
      </c>
      <c r="D141" s="151">
        <v>12</v>
      </c>
      <c r="E141" s="151">
        <v>46</v>
      </c>
      <c r="G141" t="s">
        <v>2824</v>
      </c>
      <c r="H141">
        <v>51</v>
      </c>
    </row>
    <row r="142" spans="2:8" x14ac:dyDescent="0.2">
      <c r="B142" s="150" t="s">
        <v>2741</v>
      </c>
      <c r="C142" s="151">
        <v>2019</v>
      </c>
      <c r="D142" s="151">
        <v>3</v>
      </c>
      <c r="E142" s="151">
        <v>20</v>
      </c>
      <c r="G142" t="s">
        <v>2923</v>
      </c>
      <c r="H142">
        <v>51</v>
      </c>
    </row>
    <row r="143" spans="2:8" x14ac:dyDescent="0.2">
      <c r="B143" s="150" t="s">
        <v>2741</v>
      </c>
      <c r="C143" s="151">
        <v>2019</v>
      </c>
      <c r="D143" s="151">
        <v>1</v>
      </c>
      <c r="E143" s="151">
        <v>7</v>
      </c>
      <c r="G143" t="s">
        <v>2924</v>
      </c>
      <c r="H143">
        <v>51</v>
      </c>
    </row>
    <row r="144" spans="2:8" x14ac:dyDescent="0.2">
      <c r="B144" s="150" t="s">
        <v>2741</v>
      </c>
      <c r="C144" s="151">
        <v>2019</v>
      </c>
      <c r="D144" s="151">
        <v>7</v>
      </c>
      <c r="E144" s="151">
        <v>7</v>
      </c>
      <c r="G144" t="s">
        <v>2791</v>
      </c>
      <c r="H144">
        <v>49</v>
      </c>
    </row>
    <row r="145" spans="2:8" x14ac:dyDescent="0.2">
      <c r="B145" s="150" t="s">
        <v>2741</v>
      </c>
      <c r="C145" s="151">
        <v>2019</v>
      </c>
      <c r="D145" s="151">
        <v>8</v>
      </c>
      <c r="E145" s="151">
        <v>5</v>
      </c>
      <c r="G145" t="s">
        <v>2792</v>
      </c>
      <c r="H145">
        <v>49</v>
      </c>
    </row>
    <row r="146" spans="2:8" x14ac:dyDescent="0.2">
      <c r="B146" s="150" t="s">
        <v>2741</v>
      </c>
      <c r="C146" s="151">
        <v>2019</v>
      </c>
      <c r="D146" s="151">
        <v>5</v>
      </c>
      <c r="E146" s="151">
        <v>4</v>
      </c>
      <c r="G146" t="s">
        <v>2815</v>
      </c>
      <c r="H146">
        <v>47</v>
      </c>
    </row>
    <row r="147" spans="2:8" x14ac:dyDescent="0.2">
      <c r="B147" s="150" t="s">
        <v>2741</v>
      </c>
      <c r="C147" s="151">
        <v>2019</v>
      </c>
      <c r="D147" s="151">
        <v>2</v>
      </c>
      <c r="E147" s="151">
        <v>3</v>
      </c>
      <c r="G147" t="s">
        <v>2739</v>
      </c>
      <c r="H147">
        <v>46</v>
      </c>
    </row>
    <row r="148" spans="2:8" x14ac:dyDescent="0.2">
      <c r="B148" s="150" t="s">
        <v>2741</v>
      </c>
      <c r="C148" s="151">
        <v>2019</v>
      </c>
      <c r="D148" s="151">
        <v>6</v>
      </c>
      <c r="E148" s="151">
        <v>3</v>
      </c>
      <c r="G148" t="s">
        <v>2925</v>
      </c>
      <c r="H148">
        <v>46</v>
      </c>
    </row>
    <row r="149" spans="2:8" x14ac:dyDescent="0.2">
      <c r="B149" s="150" t="s">
        <v>2741</v>
      </c>
      <c r="C149" s="151">
        <v>2019</v>
      </c>
      <c r="D149" s="151">
        <v>12</v>
      </c>
      <c r="E149" s="151">
        <v>3</v>
      </c>
      <c r="G149" t="s">
        <v>2751</v>
      </c>
      <c r="H149">
        <v>45</v>
      </c>
    </row>
    <row r="150" spans="2:8" x14ac:dyDescent="0.2">
      <c r="B150" s="150" t="s">
        <v>2741</v>
      </c>
      <c r="C150" s="151">
        <v>2019</v>
      </c>
      <c r="D150" s="151">
        <v>4</v>
      </c>
      <c r="E150" s="151">
        <v>2</v>
      </c>
      <c r="G150" t="s">
        <v>2926</v>
      </c>
      <c r="H150">
        <v>45</v>
      </c>
    </row>
    <row r="151" spans="2:8" x14ac:dyDescent="0.2">
      <c r="B151" s="150" t="s">
        <v>2741</v>
      </c>
      <c r="C151" s="151">
        <v>2019</v>
      </c>
      <c r="D151" s="151">
        <v>9</v>
      </c>
      <c r="E151" s="151">
        <v>2</v>
      </c>
      <c r="G151" t="s">
        <v>2834</v>
      </c>
      <c r="H151">
        <v>45</v>
      </c>
    </row>
    <row r="152" spans="2:8" x14ac:dyDescent="0.2">
      <c r="B152" s="150" t="s">
        <v>2741</v>
      </c>
      <c r="C152" s="151">
        <v>2019</v>
      </c>
      <c r="D152" s="151">
        <v>11</v>
      </c>
      <c r="E152" s="151">
        <v>2</v>
      </c>
      <c r="G152" t="s">
        <v>2753</v>
      </c>
      <c r="H152">
        <v>44</v>
      </c>
    </row>
    <row r="153" spans="2:8" x14ac:dyDescent="0.2">
      <c r="B153" s="150" t="s">
        <v>2741</v>
      </c>
      <c r="C153" s="151">
        <v>2019</v>
      </c>
      <c r="D153" s="151">
        <v>10</v>
      </c>
      <c r="E153" s="151">
        <v>1</v>
      </c>
      <c r="G153" t="s">
        <v>2927</v>
      </c>
      <c r="H153">
        <v>44</v>
      </c>
    </row>
    <row r="154" spans="2:8" x14ac:dyDescent="0.2">
      <c r="B154" s="150" t="s">
        <v>2742</v>
      </c>
      <c r="C154" s="151">
        <v>2019</v>
      </c>
      <c r="D154" s="151">
        <v>4</v>
      </c>
      <c r="E154" s="151">
        <v>110</v>
      </c>
      <c r="G154" t="s">
        <v>2749</v>
      </c>
      <c r="H154">
        <v>43</v>
      </c>
    </row>
    <row r="155" spans="2:8" x14ac:dyDescent="0.2">
      <c r="B155" s="150" t="s">
        <v>2742</v>
      </c>
      <c r="C155" s="151">
        <v>2019</v>
      </c>
      <c r="D155" s="151">
        <v>5</v>
      </c>
      <c r="E155" s="151">
        <v>92</v>
      </c>
      <c r="G155" t="s">
        <v>2778</v>
      </c>
      <c r="H155">
        <v>43</v>
      </c>
    </row>
    <row r="156" spans="2:8" x14ac:dyDescent="0.2">
      <c r="B156" s="150" t="s">
        <v>2742</v>
      </c>
      <c r="C156" s="151">
        <v>2019</v>
      </c>
      <c r="D156" s="151">
        <v>9</v>
      </c>
      <c r="E156" s="151">
        <v>91</v>
      </c>
      <c r="G156" t="s">
        <v>2806</v>
      </c>
      <c r="H156">
        <v>43</v>
      </c>
    </row>
    <row r="157" spans="2:8" x14ac:dyDescent="0.2">
      <c r="B157" s="150" t="s">
        <v>2742</v>
      </c>
      <c r="C157" s="151">
        <v>2019</v>
      </c>
      <c r="D157" s="151">
        <v>3</v>
      </c>
      <c r="E157" s="151">
        <v>84</v>
      </c>
      <c r="G157" t="s">
        <v>2928</v>
      </c>
      <c r="H157">
        <v>43</v>
      </c>
    </row>
    <row r="158" spans="2:8" x14ac:dyDescent="0.2">
      <c r="B158" s="150" t="s">
        <v>2742</v>
      </c>
      <c r="C158" s="151">
        <v>2019</v>
      </c>
      <c r="D158" s="151">
        <v>10</v>
      </c>
      <c r="E158" s="151">
        <v>77</v>
      </c>
      <c r="G158" t="s">
        <v>2784</v>
      </c>
      <c r="H158">
        <v>40</v>
      </c>
    </row>
    <row r="159" spans="2:8" x14ac:dyDescent="0.2">
      <c r="B159" s="150" t="s">
        <v>2742</v>
      </c>
      <c r="C159" s="151">
        <v>2019</v>
      </c>
      <c r="D159" s="151">
        <v>11</v>
      </c>
      <c r="E159" s="151">
        <v>69</v>
      </c>
      <c r="G159" t="s">
        <v>2929</v>
      </c>
      <c r="H159">
        <v>40</v>
      </c>
    </row>
    <row r="160" spans="2:8" x14ac:dyDescent="0.2">
      <c r="B160" s="150" t="s">
        <v>2742</v>
      </c>
      <c r="C160" s="151">
        <v>2019</v>
      </c>
      <c r="D160" s="151">
        <v>8</v>
      </c>
      <c r="E160" s="151">
        <v>68</v>
      </c>
      <c r="G160" t="s">
        <v>2930</v>
      </c>
      <c r="H160">
        <v>40</v>
      </c>
    </row>
    <row r="161" spans="2:8" x14ac:dyDescent="0.2">
      <c r="B161" s="150" t="s">
        <v>2742</v>
      </c>
      <c r="C161" s="151">
        <v>2019</v>
      </c>
      <c r="D161" s="151">
        <v>7</v>
      </c>
      <c r="E161" s="151">
        <v>54</v>
      </c>
      <c r="G161" t="s">
        <v>2835</v>
      </c>
      <c r="H161">
        <v>38</v>
      </c>
    </row>
    <row r="162" spans="2:8" x14ac:dyDescent="0.2">
      <c r="B162" s="150" t="s">
        <v>2742</v>
      </c>
      <c r="C162" s="151">
        <v>2019</v>
      </c>
      <c r="D162" s="151">
        <v>1</v>
      </c>
      <c r="E162" s="151">
        <v>49</v>
      </c>
      <c r="G162" t="s">
        <v>2748</v>
      </c>
      <c r="H162">
        <v>36</v>
      </c>
    </row>
    <row r="163" spans="2:8" x14ac:dyDescent="0.2">
      <c r="B163" s="150" t="s">
        <v>2742</v>
      </c>
      <c r="C163" s="151">
        <v>2019</v>
      </c>
      <c r="D163" s="151">
        <v>6</v>
      </c>
      <c r="E163" s="151">
        <v>49</v>
      </c>
      <c r="G163" t="s">
        <v>2839</v>
      </c>
      <c r="H163">
        <v>36</v>
      </c>
    </row>
    <row r="164" spans="2:8" x14ac:dyDescent="0.2">
      <c r="B164" s="150" t="s">
        <v>2742</v>
      </c>
      <c r="C164" s="151">
        <v>2019</v>
      </c>
      <c r="D164" s="151">
        <v>12</v>
      </c>
      <c r="E164" s="151">
        <v>30</v>
      </c>
      <c r="G164" t="s">
        <v>2734</v>
      </c>
      <c r="H164">
        <v>35</v>
      </c>
    </row>
    <row r="165" spans="2:8" x14ac:dyDescent="0.2">
      <c r="B165" s="150" t="s">
        <v>2742</v>
      </c>
      <c r="C165" s="151">
        <v>2019</v>
      </c>
      <c r="D165" s="151">
        <v>2</v>
      </c>
      <c r="E165" s="151">
        <v>19</v>
      </c>
      <c r="G165" t="s">
        <v>2731</v>
      </c>
      <c r="H165">
        <v>34</v>
      </c>
    </row>
    <row r="166" spans="2:8" x14ac:dyDescent="0.2">
      <c r="B166" s="150" t="s">
        <v>2743</v>
      </c>
      <c r="C166" s="151">
        <v>2019</v>
      </c>
      <c r="D166" s="151">
        <v>4</v>
      </c>
      <c r="E166" s="151">
        <v>5</v>
      </c>
      <c r="G166" t="s">
        <v>2774</v>
      </c>
      <c r="H166">
        <v>34</v>
      </c>
    </row>
    <row r="167" spans="2:8" x14ac:dyDescent="0.2">
      <c r="B167" s="150" t="s">
        <v>2743</v>
      </c>
      <c r="C167" s="151">
        <v>2019</v>
      </c>
      <c r="D167" s="151">
        <v>7</v>
      </c>
      <c r="E167" s="151">
        <v>5</v>
      </c>
      <c r="G167" t="s">
        <v>2794</v>
      </c>
      <c r="H167">
        <v>33</v>
      </c>
    </row>
    <row r="168" spans="2:8" x14ac:dyDescent="0.2">
      <c r="B168" s="150" t="s">
        <v>2743</v>
      </c>
      <c r="C168" s="151">
        <v>2019</v>
      </c>
      <c r="D168" s="151">
        <v>3</v>
      </c>
      <c r="E168" s="151">
        <v>3</v>
      </c>
      <c r="G168" t="s">
        <v>2931</v>
      </c>
      <c r="H168">
        <v>33</v>
      </c>
    </row>
    <row r="169" spans="2:8" x14ac:dyDescent="0.2">
      <c r="B169" s="150" t="s">
        <v>2743</v>
      </c>
      <c r="C169" s="151">
        <v>2019</v>
      </c>
      <c r="D169" s="151">
        <v>8</v>
      </c>
      <c r="E169" s="151">
        <v>3</v>
      </c>
      <c r="G169" t="s">
        <v>2856</v>
      </c>
      <c r="H169">
        <v>33</v>
      </c>
    </row>
    <row r="170" spans="2:8" x14ac:dyDescent="0.2">
      <c r="B170" s="150" t="s">
        <v>2743</v>
      </c>
      <c r="C170" s="151">
        <v>2019</v>
      </c>
      <c r="D170" s="151">
        <v>5</v>
      </c>
      <c r="E170" s="151">
        <v>2</v>
      </c>
      <c r="G170" t="s">
        <v>2830</v>
      </c>
      <c r="H170">
        <v>32</v>
      </c>
    </row>
    <row r="171" spans="2:8" x14ac:dyDescent="0.2">
      <c r="B171" s="150" t="s">
        <v>2743</v>
      </c>
      <c r="C171" s="151">
        <v>2019</v>
      </c>
      <c r="D171" s="151">
        <v>2</v>
      </c>
      <c r="E171" s="151">
        <v>1</v>
      </c>
      <c r="G171" t="s">
        <v>2898</v>
      </c>
      <c r="H171">
        <v>31</v>
      </c>
    </row>
    <row r="172" spans="2:8" x14ac:dyDescent="0.2">
      <c r="B172" s="150" t="s">
        <v>2743</v>
      </c>
      <c r="C172" s="151">
        <v>2019</v>
      </c>
      <c r="D172" s="151">
        <v>6</v>
      </c>
      <c r="E172" s="151">
        <v>1</v>
      </c>
      <c r="G172" t="s">
        <v>2932</v>
      </c>
      <c r="H172">
        <v>29</v>
      </c>
    </row>
    <row r="173" spans="2:8" x14ac:dyDescent="0.2">
      <c r="B173" s="150" t="s">
        <v>2743</v>
      </c>
      <c r="C173" s="151">
        <v>2019</v>
      </c>
      <c r="D173" s="151">
        <v>9</v>
      </c>
      <c r="E173" s="151">
        <v>1</v>
      </c>
      <c r="G173" t="s">
        <v>2790</v>
      </c>
      <c r="H173">
        <v>29</v>
      </c>
    </row>
    <row r="174" spans="2:8" x14ac:dyDescent="0.2">
      <c r="B174" s="150" t="s">
        <v>2744</v>
      </c>
      <c r="C174" s="151">
        <v>2019</v>
      </c>
      <c r="D174" s="151">
        <v>3</v>
      </c>
      <c r="E174" s="151">
        <v>295</v>
      </c>
      <c r="G174" t="s">
        <v>2933</v>
      </c>
      <c r="H174">
        <v>27</v>
      </c>
    </row>
    <row r="175" spans="2:8" x14ac:dyDescent="0.2">
      <c r="B175" s="150" t="s">
        <v>2744</v>
      </c>
      <c r="C175" s="151">
        <v>2019</v>
      </c>
      <c r="D175" s="151">
        <v>9</v>
      </c>
      <c r="E175" s="151">
        <v>285</v>
      </c>
      <c r="G175" t="s">
        <v>2833</v>
      </c>
      <c r="H175">
        <v>26</v>
      </c>
    </row>
    <row r="176" spans="2:8" x14ac:dyDescent="0.2">
      <c r="B176" s="150" t="s">
        <v>2744</v>
      </c>
      <c r="C176" s="151">
        <v>2019</v>
      </c>
      <c r="D176" s="151">
        <v>1</v>
      </c>
      <c r="E176" s="151">
        <v>283</v>
      </c>
      <c r="G176" t="s">
        <v>2796</v>
      </c>
      <c r="H176">
        <v>24</v>
      </c>
    </row>
    <row r="177" spans="2:8" x14ac:dyDescent="0.2">
      <c r="B177" s="150" t="s">
        <v>2744</v>
      </c>
      <c r="C177" s="151">
        <v>2019</v>
      </c>
      <c r="D177" s="151">
        <v>4</v>
      </c>
      <c r="E177" s="151">
        <v>276</v>
      </c>
      <c r="G177" t="s">
        <v>2934</v>
      </c>
      <c r="H177">
        <v>24</v>
      </c>
    </row>
    <row r="178" spans="2:8" x14ac:dyDescent="0.2">
      <c r="B178" s="150" t="s">
        <v>2744</v>
      </c>
      <c r="C178" s="151">
        <v>2019</v>
      </c>
      <c r="D178" s="151">
        <v>5</v>
      </c>
      <c r="E178" s="151">
        <v>258</v>
      </c>
      <c r="G178" t="s">
        <v>2935</v>
      </c>
      <c r="H178">
        <v>24</v>
      </c>
    </row>
    <row r="179" spans="2:8" x14ac:dyDescent="0.2">
      <c r="B179" s="150" t="s">
        <v>2744</v>
      </c>
      <c r="C179" s="151">
        <v>2019</v>
      </c>
      <c r="D179" s="151">
        <v>2</v>
      </c>
      <c r="E179" s="151">
        <v>195</v>
      </c>
      <c r="G179" t="s">
        <v>2891</v>
      </c>
      <c r="H179">
        <v>23</v>
      </c>
    </row>
    <row r="180" spans="2:8" x14ac:dyDescent="0.2">
      <c r="B180" s="150" t="s">
        <v>2744</v>
      </c>
      <c r="C180" s="151">
        <v>2019</v>
      </c>
      <c r="D180" s="151">
        <v>8</v>
      </c>
      <c r="E180" s="151">
        <v>184</v>
      </c>
      <c r="G180" t="s">
        <v>2782</v>
      </c>
      <c r="H180">
        <v>23</v>
      </c>
    </row>
    <row r="181" spans="2:8" x14ac:dyDescent="0.2">
      <c r="B181" s="150" t="s">
        <v>2744</v>
      </c>
      <c r="C181" s="151">
        <v>2019</v>
      </c>
      <c r="D181" s="151">
        <v>12</v>
      </c>
      <c r="E181" s="151">
        <v>180</v>
      </c>
      <c r="G181" t="s">
        <v>2936</v>
      </c>
      <c r="H181">
        <v>23</v>
      </c>
    </row>
    <row r="182" spans="2:8" x14ac:dyDescent="0.2">
      <c r="B182" s="150" t="s">
        <v>2744</v>
      </c>
      <c r="C182" s="151">
        <v>2019</v>
      </c>
      <c r="D182" s="151">
        <v>10</v>
      </c>
      <c r="E182" s="151">
        <v>171</v>
      </c>
      <c r="G182" t="s">
        <v>2937</v>
      </c>
      <c r="H182">
        <v>23</v>
      </c>
    </row>
    <row r="183" spans="2:8" x14ac:dyDescent="0.2">
      <c r="B183" s="150" t="s">
        <v>2744</v>
      </c>
      <c r="C183" s="151">
        <v>2019</v>
      </c>
      <c r="D183" s="151">
        <v>11</v>
      </c>
      <c r="E183" s="151">
        <v>136</v>
      </c>
      <c r="G183" t="s">
        <v>2743</v>
      </c>
      <c r="H183">
        <v>21</v>
      </c>
    </row>
    <row r="184" spans="2:8" x14ac:dyDescent="0.2">
      <c r="B184" s="150" t="s">
        <v>2744</v>
      </c>
      <c r="C184" s="151">
        <v>2019</v>
      </c>
      <c r="D184" s="151">
        <v>7</v>
      </c>
      <c r="E184" s="151">
        <v>133</v>
      </c>
      <c r="G184" t="s">
        <v>2938</v>
      </c>
      <c r="H184">
        <v>21</v>
      </c>
    </row>
    <row r="185" spans="2:8" x14ac:dyDescent="0.2">
      <c r="B185" s="150" t="s">
        <v>2744</v>
      </c>
      <c r="C185" s="151">
        <v>2019</v>
      </c>
      <c r="D185" s="151">
        <v>6</v>
      </c>
      <c r="E185" s="151">
        <v>131</v>
      </c>
      <c r="G185" t="s">
        <v>2771</v>
      </c>
      <c r="H185">
        <v>21</v>
      </c>
    </row>
    <row r="186" spans="2:8" x14ac:dyDescent="0.2">
      <c r="B186" s="150" t="s">
        <v>2909</v>
      </c>
      <c r="C186" s="151">
        <v>2019</v>
      </c>
      <c r="D186" s="151">
        <v>10</v>
      </c>
      <c r="E186" s="151">
        <v>24</v>
      </c>
      <c r="G186" t="s">
        <v>2939</v>
      </c>
      <c r="H186">
        <v>20</v>
      </c>
    </row>
    <row r="187" spans="2:8" x14ac:dyDescent="0.2">
      <c r="B187" s="150" t="s">
        <v>2909</v>
      </c>
      <c r="C187" s="151">
        <v>2019</v>
      </c>
      <c r="D187" s="151">
        <v>4</v>
      </c>
      <c r="E187" s="151">
        <v>22</v>
      </c>
      <c r="G187" t="s">
        <v>2940</v>
      </c>
      <c r="H187">
        <v>20</v>
      </c>
    </row>
    <row r="188" spans="2:8" x14ac:dyDescent="0.2">
      <c r="B188" s="150" t="s">
        <v>2909</v>
      </c>
      <c r="C188" s="151">
        <v>2019</v>
      </c>
      <c r="D188" s="151">
        <v>3</v>
      </c>
      <c r="E188" s="151">
        <v>17</v>
      </c>
      <c r="G188" t="s">
        <v>2941</v>
      </c>
      <c r="H188">
        <v>19</v>
      </c>
    </row>
    <row r="189" spans="2:8" x14ac:dyDescent="0.2">
      <c r="B189" s="150" t="s">
        <v>2909</v>
      </c>
      <c r="C189" s="151">
        <v>2019</v>
      </c>
      <c r="D189" s="151">
        <v>5</v>
      </c>
      <c r="E189" s="151">
        <v>13</v>
      </c>
      <c r="G189" t="s">
        <v>2825</v>
      </c>
      <c r="H189">
        <v>19</v>
      </c>
    </row>
    <row r="190" spans="2:8" x14ac:dyDescent="0.2">
      <c r="B190" s="150" t="s">
        <v>2909</v>
      </c>
      <c r="C190" s="151">
        <v>2019</v>
      </c>
      <c r="D190" s="151">
        <v>6</v>
      </c>
      <c r="E190" s="151">
        <v>10</v>
      </c>
      <c r="G190" t="s">
        <v>2836</v>
      </c>
      <c r="H190">
        <v>19</v>
      </c>
    </row>
    <row r="191" spans="2:8" x14ac:dyDescent="0.2">
      <c r="B191" s="150" t="s">
        <v>2909</v>
      </c>
      <c r="C191" s="151">
        <v>2019</v>
      </c>
      <c r="D191" s="151">
        <v>7</v>
      </c>
      <c r="E191" s="151">
        <v>10</v>
      </c>
      <c r="G191" t="s">
        <v>2756</v>
      </c>
      <c r="H191">
        <v>15</v>
      </c>
    </row>
    <row r="192" spans="2:8" x14ac:dyDescent="0.2">
      <c r="B192" s="150" t="s">
        <v>2909</v>
      </c>
      <c r="C192" s="151">
        <v>2019</v>
      </c>
      <c r="D192" s="151">
        <v>9</v>
      </c>
      <c r="E192" s="151">
        <v>10</v>
      </c>
      <c r="G192" t="s">
        <v>2942</v>
      </c>
      <c r="H192">
        <v>15</v>
      </c>
    </row>
    <row r="193" spans="2:8" x14ac:dyDescent="0.2">
      <c r="B193" s="150" t="s">
        <v>2909</v>
      </c>
      <c r="C193" s="151">
        <v>2019</v>
      </c>
      <c r="D193" s="151">
        <v>11</v>
      </c>
      <c r="E193" s="151">
        <v>7</v>
      </c>
      <c r="G193" t="s">
        <v>2943</v>
      </c>
      <c r="H193">
        <v>15</v>
      </c>
    </row>
    <row r="194" spans="2:8" x14ac:dyDescent="0.2">
      <c r="B194" s="150" t="s">
        <v>2909</v>
      </c>
      <c r="C194" s="151">
        <v>2019</v>
      </c>
      <c r="D194" s="151">
        <v>8</v>
      </c>
      <c r="E194" s="151">
        <v>5</v>
      </c>
      <c r="G194" t="s">
        <v>2944</v>
      </c>
      <c r="H194">
        <v>13</v>
      </c>
    </row>
    <row r="195" spans="2:8" x14ac:dyDescent="0.2">
      <c r="B195" s="150" t="s">
        <v>2909</v>
      </c>
      <c r="C195" s="151">
        <v>2019</v>
      </c>
      <c r="D195" s="151">
        <v>1</v>
      </c>
      <c r="E195" s="151">
        <v>3</v>
      </c>
      <c r="G195" t="s">
        <v>2785</v>
      </c>
      <c r="H195">
        <v>13</v>
      </c>
    </row>
    <row r="196" spans="2:8" x14ac:dyDescent="0.2">
      <c r="B196" s="150" t="s">
        <v>2909</v>
      </c>
      <c r="C196" s="151">
        <v>2019</v>
      </c>
      <c r="D196" s="151">
        <v>2</v>
      </c>
      <c r="E196" s="151">
        <v>3</v>
      </c>
      <c r="G196" t="s">
        <v>2945</v>
      </c>
      <c r="H196">
        <v>13</v>
      </c>
    </row>
    <row r="197" spans="2:8" x14ac:dyDescent="0.2">
      <c r="B197" s="150" t="s">
        <v>2745</v>
      </c>
      <c r="C197" s="151">
        <v>2019</v>
      </c>
      <c r="D197" s="151">
        <v>3</v>
      </c>
      <c r="E197" s="151">
        <v>39</v>
      </c>
      <c r="G197" t="s">
        <v>2946</v>
      </c>
      <c r="H197">
        <v>13</v>
      </c>
    </row>
    <row r="198" spans="2:8" x14ac:dyDescent="0.2">
      <c r="B198" s="150" t="s">
        <v>2745</v>
      </c>
      <c r="C198" s="151">
        <v>2019</v>
      </c>
      <c r="D198" s="151">
        <v>9</v>
      </c>
      <c r="E198" s="151">
        <v>33</v>
      </c>
      <c r="G198" t="s">
        <v>2947</v>
      </c>
      <c r="H198">
        <v>12</v>
      </c>
    </row>
    <row r="199" spans="2:8" x14ac:dyDescent="0.2">
      <c r="B199" s="150" t="s">
        <v>2745</v>
      </c>
      <c r="C199" s="151">
        <v>2019</v>
      </c>
      <c r="D199" s="151">
        <v>11</v>
      </c>
      <c r="E199" s="151">
        <v>31</v>
      </c>
      <c r="G199" t="s">
        <v>2948</v>
      </c>
      <c r="H199">
        <v>12</v>
      </c>
    </row>
    <row r="200" spans="2:8" x14ac:dyDescent="0.2">
      <c r="B200" s="150" t="s">
        <v>2745</v>
      </c>
      <c r="C200" s="151">
        <v>2019</v>
      </c>
      <c r="D200" s="151">
        <v>2</v>
      </c>
      <c r="E200" s="151">
        <v>29</v>
      </c>
      <c r="G200" t="s">
        <v>2949</v>
      </c>
      <c r="H200">
        <v>11</v>
      </c>
    </row>
    <row r="201" spans="2:8" x14ac:dyDescent="0.2">
      <c r="B201" s="150" t="s">
        <v>2745</v>
      </c>
      <c r="C201" s="151">
        <v>2019</v>
      </c>
      <c r="D201" s="151">
        <v>4</v>
      </c>
      <c r="E201" s="151">
        <v>29</v>
      </c>
      <c r="G201" t="s">
        <v>2805</v>
      </c>
      <c r="H201">
        <v>11</v>
      </c>
    </row>
    <row r="202" spans="2:8" x14ac:dyDescent="0.2">
      <c r="B202" s="150" t="s">
        <v>2745</v>
      </c>
      <c r="C202" s="151">
        <v>2019</v>
      </c>
      <c r="D202" s="151">
        <v>5</v>
      </c>
      <c r="E202" s="151">
        <v>29</v>
      </c>
      <c r="G202" t="s">
        <v>2950</v>
      </c>
      <c r="H202">
        <v>11</v>
      </c>
    </row>
    <row r="203" spans="2:8" x14ac:dyDescent="0.2">
      <c r="B203" s="150" t="s">
        <v>2745</v>
      </c>
      <c r="C203" s="151">
        <v>2019</v>
      </c>
      <c r="D203" s="151">
        <v>8</v>
      </c>
      <c r="E203" s="151">
        <v>28</v>
      </c>
      <c r="G203" t="s">
        <v>2951</v>
      </c>
      <c r="H203">
        <v>10</v>
      </c>
    </row>
    <row r="204" spans="2:8" x14ac:dyDescent="0.2">
      <c r="B204" s="150" t="s">
        <v>2745</v>
      </c>
      <c r="C204" s="151">
        <v>2019</v>
      </c>
      <c r="D204" s="151">
        <v>7</v>
      </c>
      <c r="E204" s="151">
        <v>26</v>
      </c>
      <c r="G204" t="s">
        <v>2952</v>
      </c>
      <c r="H204">
        <v>10</v>
      </c>
    </row>
    <row r="205" spans="2:8" x14ac:dyDescent="0.2">
      <c r="B205" s="150" t="s">
        <v>2745</v>
      </c>
      <c r="C205" s="151">
        <v>2019</v>
      </c>
      <c r="D205" s="151">
        <v>1</v>
      </c>
      <c r="E205" s="151">
        <v>21</v>
      </c>
      <c r="G205" t="s">
        <v>2953</v>
      </c>
      <c r="H205">
        <v>10</v>
      </c>
    </row>
    <row r="206" spans="2:8" x14ac:dyDescent="0.2">
      <c r="B206" s="150" t="s">
        <v>2745</v>
      </c>
      <c r="C206" s="151">
        <v>2019</v>
      </c>
      <c r="D206" s="151">
        <v>12</v>
      </c>
      <c r="E206" s="151">
        <v>20</v>
      </c>
      <c r="G206" t="s">
        <v>2954</v>
      </c>
      <c r="H206">
        <v>10</v>
      </c>
    </row>
    <row r="207" spans="2:8" x14ac:dyDescent="0.2">
      <c r="B207" s="150" t="s">
        <v>2745</v>
      </c>
      <c r="C207" s="151">
        <v>2019</v>
      </c>
      <c r="D207" s="151">
        <v>6</v>
      </c>
      <c r="E207" s="151">
        <v>15</v>
      </c>
      <c r="G207" t="s">
        <v>2955</v>
      </c>
      <c r="H207">
        <v>10</v>
      </c>
    </row>
    <row r="208" spans="2:8" x14ac:dyDescent="0.2">
      <c r="B208" s="150" t="s">
        <v>2745</v>
      </c>
      <c r="C208" s="151">
        <v>2019</v>
      </c>
      <c r="D208" s="151">
        <v>10</v>
      </c>
      <c r="E208" s="151">
        <v>11</v>
      </c>
      <c r="G208" t="s">
        <v>2758</v>
      </c>
      <c r="H208">
        <v>9</v>
      </c>
    </row>
    <row r="209" spans="2:8" x14ac:dyDescent="0.2">
      <c r="B209" s="150" t="s">
        <v>2746</v>
      </c>
      <c r="C209" s="151">
        <v>2019</v>
      </c>
      <c r="D209" s="151">
        <v>6</v>
      </c>
      <c r="E209" s="151">
        <v>23</v>
      </c>
      <c r="G209" t="s">
        <v>2956</v>
      </c>
      <c r="H209">
        <v>9</v>
      </c>
    </row>
    <row r="210" spans="2:8" x14ac:dyDescent="0.2">
      <c r="B210" s="150" t="s">
        <v>2746</v>
      </c>
      <c r="C210" s="151">
        <v>2019</v>
      </c>
      <c r="D210" s="151">
        <v>5</v>
      </c>
      <c r="E210" s="151">
        <v>14</v>
      </c>
      <c r="G210" t="s">
        <v>2857</v>
      </c>
      <c r="H210">
        <v>9</v>
      </c>
    </row>
    <row r="211" spans="2:8" x14ac:dyDescent="0.2">
      <c r="B211" s="150" t="s">
        <v>2746</v>
      </c>
      <c r="C211" s="151">
        <v>2019</v>
      </c>
      <c r="D211" s="151">
        <v>4</v>
      </c>
      <c r="E211" s="151">
        <v>12</v>
      </c>
      <c r="G211" t="s">
        <v>2776</v>
      </c>
      <c r="H211">
        <v>8</v>
      </c>
    </row>
    <row r="212" spans="2:8" x14ac:dyDescent="0.2">
      <c r="B212" s="150" t="s">
        <v>2746</v>
      </c>
      <c r="C212" s="151">
        <v>2019</v>
      </c>
      <c r="D212" s="151">
        <v>8</v>
      </c>
      <c r="E212" s="151">
        <v>11</v>
      </c>
      <c r="G212" t="s">
        <v>2957</v>
      </c>
      <c r="H212">
        <v>8</v>
      </c>
    </row>
    <row r="213" spans="2:8" x14ac:dyDescent="0.2">
      <c r="B213" s="150" t="s">
        <v>2746</v>
      </c>
      <c r="C213" s="151">
        <v>2019</v>
      </c>
      <c r="D213" s="151">
        <v>7</v>
      </c>
      <c r="E213" s="151">
        <v>9</v>
      </c>
      <c r="G213" t="s">
        <v>2958</v>
      </c>
      <c r="H213">
        <v>8</v>
      </c>
    </row>
    <row r="214" spans="2:8" x14ac:dyDescent="0.2">
      <c r="B214" s="150" t="s">
        <v>2746</v>
      </c>
      <c r="C214" s="151">
        <v>2019</v>
      </c>
      <c r="D214" s="151">
        <v>3</v>
      </c>
      <c r="E214" s="151">
        <v>7</v>
      </c>
      <c r="G214" t="s">
        <v>2959</v>
      </c>
      <c r="H214">
        <v>7</v>
      </c>
    </row>
    <row r="215" spans="2:8" x14ac:dyDescent="0.2">
      <c r="B215" s="150" t="s">
        <v>2746</v>
      </c>
      <c r="C215" s="151">
        <v>2019</v>
      </c>
      <c r="D215" s="151">
        <v>1</v>
      </c>
      <c r="E215" s="151">
        <v>6</v>
      </c>
      <c r="G215" t="s">
        <v>2960</v>
      </c>
      <c r="H215">
        <v>7</v>
      </c>
    </row>
    <row r="216" spans="2:8" x14ac:dyDescent="0.2">
      <c r="B216" s="150" t="s">
        <v>2746</v>
      </c>
      <c r="C216" s="151">
        <v>2019</v>
      </c>
      <c r="D216" s="151">
        <v>12</v>
      </c>
      <c r="E216" s="151">
        <v>5</v>
      </c>
      <c r="G216" t="s">
        <v>2961</v>
      </c>
      <c r="H216">
        <v>7</v>
      </c>
    </row>
    <row r="217" spans="2:8" x14ac:dyDescent="0.2">
      <c r="B217" s="150" t="s">
        <v>2746</v>
      </c>
      <c r="C217" s="151">
        <v>2019</v>
      </c>
      <c r="D217" s="151">
        <v>10</v>
      </c>
      <c r="E217" s="151">
        <v>4</v>
      </c>
      <c r="G217" t="s">
        <v>2962</v>
      </c>
      <c r="H217">
        <v>6</v>
      </c>
    </row>
    <row r="218" spans="2:8" x14ac:dyDescent="0.2">
      <c r="B218" s="150" t="s">
        <v>2746</v>
      </c>
      <c r="C218" s="151">
        <v>2019</v>
      </c>
      <c r="D218" s="151">
        <v>2</v>
      </c>
      <c r="E218" s="151">
        <v>3</v>
      </c>
      <c r="G218" t="s">
        <v>2963</v>
      </c>
      <c r="H218">
        <v>6</v>
      </c>
    </row>
    <row r="219" spans="2:8" x14ac:dyDescent="0.2">
      <c r="B219" s="150" t="s">
        <v>2747</v>
      </c>
      <c r="C219" s="151">
        <v>2019</v>
      </c>
      <c r="D219" s="151">
        <v>3</v>
      </c>
      <c r="E219" s="151">
        <v>12</v>
      </c>
      <c r="G219" t="s">
        <v>2964</v>
      </c>
      <c r="H219">
        <v>6</v>
      </c>
    </row>
    <row r="220" spans="2:8" x14ac:dyDescent="0.2">
      <c r="B220" s="150" t="s">
        <v>2747</v>
      </c>
      <c r="C220" s="151">
        <v>2019</v>
      </c>
      <c r="D220" s="151">
        <v>9</v>
      </c>
      <c r="E220" s="151">
        <v>10</v>
      </c>
      <c r="G220" t="s">
        <v>2965</v>
      </c>
      <c r="H220">
        <v>6</v>
      </c>
    </row>
    <row r="221" spans="2:8" x14ac:dyDescent="0.2">
      <c r="B221" s="150" t="s">
        <v>2747</v>
      </c>
      <c r="C221" s="151">
        <v>2019</v>
      </c>
      <c r="D221" s="151">
        <v>6</v>
      </c>
      <c r="E221" s="151">
        <v>9</v>
      </c>
      <c r="G221" t="s">
        <v>2966</v>
      </c>
      <c r="H221">
        <v>6</v>
      </c>
    </row>
    <row r="222" spans="2:8" x14ac:dyDescent="0.2">
      <c r="B222" s="150" t="s">
        <v>2747</v>
      </c>
      <c r="C222" s="151">
        <v>2019</v>
      </c>
      <c r="D222" s="151">
        <v>2</v>
      </c>
      <c r="E222" s="151">
        <v>6</v>
      </c>
      <c r="G222" t="s">
        <v>2967</v>
      </c>
      <c r="H222">
        <v>6</v>
      </c>
    </row>
    <row r="223" spans="2:8" x14ac:dyDescent="0.2">
      <c r="B223" s="150" t="s">
        <v>2747</v>
      </c>
      <c r="C223" s="151">
        <v>2019</v>
      </c>
      <c r="D223" s="151">
        <v>7</v>
      </c>
      <c r="E223" s="151">
        <v>6</v>
      </c>
      <c r="G223" t="s">
        <v>2894</v>
      </c>
      <c r="H223">
        <v>5</v>
      </c>
    </row>
    <row r="224" spans="2:8" x14ac:dyDescent="0.2">
      <c r="B224" s="150" t="s">
        <v>2747</v>
      </c>
      <c r="C224" s="151">
        <v>2019</v>
      </c>
      <c r="D224" s="151">
        <v>12</v>
      </c>
      <c r="E224" s="151">
        <v>6</v>
      </c>
      <c r="G224" t="s">
        <v>2968</v>
      </c>
      <c r="H224">
        <v>5</v>
      </c>
    </row>
    <row r="225" spans="2:8" x14ac:dyDescent="0.2">
      <c r="B225" s="150" t="s">
        <v>2747</v>
      </c>
      <c r="C225" s="151">
        <v>2019</v>
      </c>
      <c r="D225" s="151">
        <v>10</v>
      </c>
      <c r="E225" s="151">
        <v>5</v>
      </c>
      <c r="G225" t="s">
        <v>2969</v>
      </c>
      <c r="H225">
        <v>4</v>
      </c>
    </row>
    <row r="226" spans="2:8" x14ac:dyDescent="0.2">
      <c r="B226" s="150" t="s">
        <v>2747</v>
      </c>
      <c r="C226" s="151">
        <v>2019</v>
      </c>
      <c r="D226" s="151">
        <v>1</v>
      </c>
      <c r="E226" s="151">
        <v>4</v>
      </c>
      <c r="G226" t="s">
        <v>2970</v>
      </c>
      <c r="H226">
        <v>4</v>
      </c>
    </row>
    <row r="227" spans="2:8" x14ac:dyDescent="0.2">
      <c r="B227" s="150" t="s">
        <v>2747</v>
      </c>
      <c r="C227" s="151">
        <v>2019</v>
      </c>
      <c r="D227" s="151">
        <v>5</v>
      </c>
      <c r="E227" s="151">
        <v>4</v>
      </c>
      <c r="G227" t="s">
        <v>2971</v>
      </c>
      <c r="H227">
        <v>4</v>
      </c>
    </row>
    <row r="228" spans="2:8" x14ac:dyDescent="0.2">
      <c r="B228" s="150" t="s">
        <v>2747</v>
      </c>
      <c r="C228" s="151">
        <v>2019</v>
      </c>
      <c r="D228" s="151">
        <v>8</v>
      </c>
      <c r="E228" s="151">
        <v>3</v>
      </c>
      <c r="G228" t="s">
        <v>2972</v>
      </c>
      <c r="H228">
        <v>3</v>
      </c>
    </row>
    <row r="229" spans="2:8" x14ac:dyDescent="0.2">
      <c r="B229" s="150" t="s">
        <v>2747</v>
      </c>
      <c r="C229" s="151">
        <v>2019</v>
      </c>
      <c r="D229" s="151">
        <v>4</v>
      </c>
      <c r="E229" s="151">
        <v>2</v>
      </c>
      <c r="G229" t="s">
        <v>2973</v>
      </c>
      <c r="H229">
        <v>3</v>
      </c>
    </row>
    <row r="230" spans="2:8" x14ac:dyDescent="0.2">
      <c r="B230" s="150" t="s">
        <v>2747</v>
      </c>
      <c r="C230" s="151">
        <v>2019</v>
      </c>
      <c r="D230" s="151">
        <v>11</v>
      </c>
      <c r="E230" s="151">
        <v>1</v>
      </c>
      <c r="G230" t="s">
        <v>2854</v>
      </c>
      <c r="H230">
        <v>3</v>
      </c>
    </row>
    <row r="231" spans="2:8" x14ac:dyDescent="0.2">
      <c r="B231" s="150" t="s">
        <v>2748</v>
      </c>
      <c r="C231" s="151">
        <v>2019</v>
      </c>
      <c r="D231" s="151">
        <v>1</v>
      </c>
      <c r="E231" s="151">
        <v>6</v>
      </c>
      <c r="G231" t="s">
        <v>2974</v>
      </c>
      <c r="H231">
        <v>2</v>
      </c>
    </row>
    <row r="232" spans="2:8" x14ac:dyDescent="0.2">
      <c r="B232" s="150" t="s">
        <v>2748</v>
      </c>
      <c r="C232" s="151">
        <v>2019</v>
      </c>
      <c r="D232" s="151">
        <v>2</v>
      </c>
      <c r="E232" s="151">
        <v>5</v>
      </c>
      <c r="G232" t="s">
        <v>2975</v>
      </c>
      <c r="H232">
        <v>2</v>
      </c>
    </row>
    <row r="233" spans="2:8" x14ac:dyDescent="0.2">
      <c r="B233" s="150" t="s">
        <v>2748</v>
      </c>
      <c r="C233" s="151">
        <v>2019</v>
      </c>
      <c r="D233" s="151">
        <v>8</v>
      </c>
      <c r="E233" s="151">
        <v>5</v>
      </c>
      <c r="G233" t="s">
        <v>2976</v>
      </c>
      <c r="H233">
        <v>2</v>
      </c>
    </row>
    <row r="234" spans="2:8" x14ac:dyDescent="0.2">
      <c r="B234" s="150" t="s">
        <v>2748</v>
      </c>
      <c r="C234" s="151">
        <v>2019</v>
      </c>
      <c r="D234" s="151">
        <v>9</v>
      </c>
      <c r="E234" s="151">
        <v>4</v>
      </c>
      <c r="G234" t="s">
        <v>2977</v>
      </c>
      <c r="H234">
        <v>1</v>
      </c>
    </row>
    <row r="235" spans="2:8" x14ac:dyDescent="0.2">
      <c r="B235" s="150" t="s">
        <v>2748</v>
      </c>
      <c r="C235" s="151">
        <v>2019</v>
      </c>
      <c r="D235" s="151">
        <v>12</v>
      </c>
      <c r="E235" s="151">
        <v>4</v>
      </c>
      <c r="G235" t="s">
        <v>2978</v>
      </c>
      <c r="H235">
        <v>1</v>
      </c>
    </row>
    <row r="236" spans="2:8" x14ac:dyDescent="0.2">
      <c r="B236" s="150" t="s">
        <v>2748</v>
      </c>
      <c r="C236" s="151">
        <v>2019</v>
      </c>
      <c r="D236" s="151">
        <v>4</v>
      </c>
      <c r="E236" s="151">
        <v>3</v>
      </c>
      <c r="G236" t="s">
        <v>2845</v>
      </c>
      <c r="H236">
        <v>1</v>
      </c>
    </row>
    <row r="237" spans="2:8" x14ac:dyDescent="0.2">
      <c r="B237" s="150" t="s">
        <v>2748</v>
      </c>
      <c r="C237" s="151">
        <v>2019</v>
      </c>
      <c r="D237" s="151">
        <v>5</v>
      </c>
      <c r="E237" s="151">
        <v>3</v>
      </c>
      <c r="G237" t="s">
        <v>2979</v>
      </c>
      <c r="H237">
        <v>1</v>
      </c>
    </row>
    <row r="238" spans="2:8" x14ac:dyDescent="0.2">
      <c r="B238" s="150" t="s">
        <v>2748</v>
      </c>
      <c r="C238" s="151">
        <v>2019</v>
      </c>
      <c r="D238" s="151">
        <v>11</v>
      </c>
      <c r="E238" s="151">
        <v>3</v>
      </c>
      <c r="G238" t="s">
        <v>2858</v>
      </c>
      <c r="H238">
        <v>1</v>
      </c>
    </row>
    <row r="239" spans="2:8" x14ac:dyDescent="0.2">
      <c r="B239" s="150" t="s">
        <v>2748</v>
      </c>
      <c r="C239" s="151">
        <v>2019</v>
      </c>
      <c r="D239" s="151">
        <v>3</v>
      </c>
      <c r="E239" s="151">
        <v>2</v>
      </c>
      <c r="G239" t="s">
        <v>2980</v>
      </c>
      <c r="H239">
        <v>1</v>
      </c>
    </row>
    <row r="240" spans="2:8" x14ac:dyDescent="0.2">
      <c r="B240" s="150" t="s">
        <v>2748</v>
      </c>
      <c r="C240" s="151">
        <v>2019</v>
      </c>
      <c r="D240" s="151">
        <v>10</v>
      </c>
      <c r="E240" s="151">
        <v>1</v>
      </c>
    </row>
    <row r="241" spans="2:5" x14ac:dyDescent="0.2">
      <c r="B241" s="150" t="s">
        <v>2749</v>
      </c>
      <c r="C241" s="151">
        <v>2019</v>
      </c>
      <c r="D241" s="151">
        <v>1</v>
      </c>
      <c r="E241" s="151">
        <v>14</v>
      </c>
    </row>
    <row r="242" spans="2:5" x14ac:dyDescent="0.2">
      <c r="B242" s="150" t="s">
        <v>2749</v>
      </c>
      <c r="C242" s="151">
        <v>2019</v>
      </c>
      <c r="D242" s="151">
        <v>3</v>
      </c>
      <c r="E242" s="151">
        <v>7</v>
      </c>
    </row>
    <row r="243" spans="2:5" x14ac:dyDescent="0.2">
      <c r="B243" s="150" t="s">
        <v>2749</v>
      </c>
      <c r="C243" s="151">
        <v>2019</v>
      </c>
      <c r="D243" s="151">
        <v>4</v>
      </c>
      <c r="E243" s="151">
        <v>6</v>
      </c>
    </row>
    <row r="244" spans="2:5" x14ac:dyDescent="0.2">
      <c r="B244" s="150" t="s">
        <v>2749</v>
      </c>
      <c r="C244" s="151">
        <v>2019</v>
      </c>
      <c r="D244" s="151">
        <v>5</v>
      </c>
      <c r="E244" s="151">
        <v>4</v>
      </c>
    </row>
    <row r="245" spans="2:5" x14ac:dyDescent="0.2">
      <c r="B245" s="150" t="s">
        <v>2749</v>
      </c>
      <c r="C245" s="151">
        <v>2019</v>
      </c>
      <c r="D245" s="151">
        <v>6</v>
      </c>
      <c r="E245" s="151">
        <v>4</v>
      </c>
    </row>
    <row r="246" spans="2:5" x14ac:dyDescent="0.2">
      <c r="B246" s="150" t="s">
        <v>2749</v>
      </c>
      <c r="C246" s="151">
        <v>2019</v>
      </c>
      <c r="D246" s="151">
        <v>11</v>
      </c>
      <c r="E246" s="151">
        <v>3</v>
      </c>
    </row>
    <row r="247" spans="2:5" x14ac:dyDescent="0.2">
      <c r="B247" s="150" t="s">
        <v>2749</v>
      </c>
      <c r="C247" s="151">
        <v>2019</v>
      </c>
      <c r="D247" s="151">
        <v>7</v>
      </c>
      <c r="E247" s="151">
        <v>2</v>
      </c>
    </row>
    <row r="248" spans="2:5" x14ac:dyDescent="0.2">
      <c r="B248" s="150" t="s">
        <v>2749</v>
      </c>
      <c r="C248" s="151">
        <v>2019</v>
      </c>
      <c r="D248" s="151">
        <v>2</v>
      </c>
      <c r="E248" s="151">
        <v>1</v>
      </c>
    </row>
    <row r="249" spans="2:5" x14ac:dyDescent="0.2">
      <c r="B249" s="150" t="s">
        <v>2749</v>
      </c>
      <c r="C249" s="151">
        <v>2019</v>
      </c>
      <c r="D249" s="151">
        <v>9</v>
      </c>
      <c r="E249" s="151">
        <v>1</v>
      </c>
    </row>
    <row r="250" spans="2:5" x14ac:dyDescent="0.2">
      <c r="B250" s="150" t="s">
        <v>2749</v>
      </c>
      <c r="C250" s="151">
        <v>2019</v>
      </c>
      <c r="D250" s="151">
        <v>10</v>
      </c>
      <c r="E250" s="151">
        <v>1</v>
      </c>
    </row>
    <row r="251" spans="2:5" x14ac:dyDescent="0.2">
      <c r="B251" s="150" t="s">
        <v>2750</v>
      </c>
      <c r="C251" s="151">
        <v>2019</v>
      </c>
      <c r="D251" s="151">
        <v>5</v>
      </c>
      <c r="E251" s="151">
        <v>13</v>
      </c>
    </row>
    <row r="252" spans="2:5" x14ac:dyDescent="0.2">
      <c r="B252" s="150" t="s">
        <v>2750</v>
      </c>
      <c r="C252" s="151">
        <v>2019</v>
      </c>
      <c r="D252" s="151">
        <v>2</v>
      </c>
      <c r="E252" s="151">
        <v>12</v>
      </c>
    </row>
    <row r="253" spans="2:5" x14ac:dyDescent="0.2">
      <c r="B253" s="150" t="s">
        <v>2750</v>
      </c>
      <c r="C253" s="151">
        <v>2019</v>
      </c>
      <c r="D253" s="151">
        <v>8</v>
      </c>
      <c r="E253" s="151">
        <v>11</v>
      </c>
    </row>
    <row r="254" spans="2:5" x14ac:dyDescent="0.2">
      <c r="B254" s="150" t="s">
        <v>2750</v>
      </c>
      <c r="C254" s="151">
        <v>2019</v>
      </c>
      <c r="D254" s="151">
        <v>9</v>
      </c>
      <c r="E254" s="151">
        <v>11</v>
      </c>
    </row>
    <row r="255" spans="2:5" x14ac:dyDescent="0.2">
      <c r="B255" s="150" t="s">
        <v>2750</v>
      </c>
      <c r="C255" s="151">
        <v>2019</v>
      </c>
      <c r="D255" s="151">
        <v>7</v>
      </c>
      <c r="E255" s="151">
        <v>9</v>
      </c>
    </row>
    <row r="256" spans="2:5" x14ac:dyDescent="0.2">
      <c r="B256" s="150" t="s">
        <v>2750</v>
      </c>
      <c r="C256" s="151">
        <v>2019</v>
      </c>
      <c r="D256" s="151">
        <v>3</v>
      </c>
      <c r="E256" s="151">
        <v>8</v>
      </c>
    </row>
    <row r="257" spans="2:5" x14ac:dyDescent="0.2">
      <c r="B257" s="150" t="s">
        <v>2750</v>
      </c>
      <c r="C257" s="151">
        <v>2019</v>
      </c>
      <c r="D257" s="151">
        <v>10</v>
      </c>
      <c r="E257" s="151">
        <v>8</v>
      </c>
    </row>
    <row r="258" spans="2:5" x14ac:dyDescent="0.2">
      <c r="B258" s="150" t="s">
        <v>2750</v>
      </c>
      <c r="C258" s="151">
        <v>2019</v>
      </c>
      <c r="D258" s="151">
        <v>6</v>
      </c>
      <c r="E258" s="151">
        <v>7</v>
      </c>
    </row>
    <row r="259" spans="2:5" x14ac:dyDescent="0.2">
      <c r="B259" s="150" t="s">
        <v>2750</v>
      </c>
      <c r="C259" s="151">
        <v>2019</v>
      </c>
      <c r="D259" s="151">
        <v>4</v>
      </c>
      <c r="E259" s="151">
        <v>6</v>
      </c>
    </row>
    <row r="260" spans="2:5" x14ac:dyDescent="0.2">
      <c r="B260" s="150" t="s">
        <v>2750</v>
      </c>
      <c r="C260" s="151">
        <v>2019</v>
      </c>
      <c r="D260" s="151">
        <v>12</v>
      </c>
      <c r="E260" s="151">
        <v>6</v>
      </c>
    </row>
    <row r="261" spans="2:5" x14ac:dyDescent="0.2">
      <c r="B261" s="150" t="s">
        <v>2750</v>
      </c>
      <c r="C261" s="151">
        <v>2019</v>
      </c>
      <c r="D261" s="151">
        <v>1</v>
      </c>
      <c r="E261" s="151">
        <v>5</v>
      </c>
    </row>
    <row r="262" spans="2:5" x14ac:dyDescent="0.2">
      <c r="B262" s="150" t="s">
        <v>2750</v>
      </c>
      <c r="C262" s="151">
        <v>2019</v>
      </c>
      <c r="D262" s="151">
        <v>11</v>
      </c>
      <c r="E262" s="151">
        <v>2</v>
      </c>
    </row>
    <row r="263" spans="2:5" x14ac:dyDescent="0.2">
      <c r="B263" s="150" t="s">
        <v>2951</v>
      </c>
      <c r="C263" s="151">
        <v>2019</v>
      </c>
      <c r="D263" s="151">
        <v>6</v>
      </c>
      <c r="E263" s="151">
        <v>4</v>
      </c>
    </row>
    <row r="264" spans="2:5" x14ac:dyDescent="0.2">
      <c r="B264" s="150" t="s">
        <v>2951</v>
      </c>
      <c r="C264" s="151">
        <v>2019</v>
      </c>
      <c r="D264" s="151">
        <v>5</v>
      </c>
      <c r="E264" s="151">
        <v>2</v>
      </c>
    </row>
    <row r="265" spans="2:5" x14ac:dyDescent="0.2">
      <c r="B265" s="150" t="s">
        <v>2951</v>
      </c>
      <c r="C265" s="151">
        <v>2019</v>
      </c>
      <c r="D265" s="151">
        <v>2</v>
      </c>
      <c r="E265" s="151">
        <v>1</v>
      </c>
    </row>
    <row r="266" spans="2:5" x14ac:dyDescent="0.2">
      <c r="B266" s="150" t="s">
        <v>2951</v>
      </c>
      <c r="C266" s="151">
        <v>2019</v>
      </c>
      <c r="D266" s="151">
        <v>4</v>
      </c>
      <c r="E266" s="151">
        <v>1</v>
      </c>
    </row>
    <row r="267" spans="2:5" x14ac:dyDescent="0.2">
      <c r="B267" s="150" t="s">
        <v>2951</v>
      </c>
      <c r="C267" s="151">
        <v>2019</v>
      </c>
      <c r="D267" s="151">
        <v>9</v>
      </c>
      <c r="E267" s="151">
        <v>1</v>
      </c>
    </row>
    <row r="268" spans="2:5" x14ac:dyDescent="0.2">
      <c r="B268" s="150" t="s">
        <v>2951</v>
      </c>
      <c r="C268" s="151">
        <v>2019</v>
      </c>
      <c r="D268" s="151">
        <v>10</v>
      </c>
      <c r="E268" s="151">
        <v>1</v>
      </c>
    </row>
    <row r="269" spans="2:5" x14ac:dyDescent="0.2">
      <c r="B269" s="150" t="s">
        <v>2932</v>
      </c>
      <c r="C269" s="151">
        <v>2019</v>
      </c>
      <c r="D269" s="151">
        <v>5</v>
      </c>
      <c r="E269" s="151">
        <v>8</v>
      </c>
    </row>
    <row r="270" spans="2:5" x14ac:dyDescent="0.2">
      <c r="B270" s="150" t="s">
        <v>2932</v>
      </c>
      <c r="C270" s="151">
        <v>2019</v>
      </c>
      <c r="D270" s="151">
        <v>4</v>
      </c>
      <c r="E270" s="151">
        <v>6</v>
      </c>
    </row>
    <row r="271" spans="2:5" x14ac:dyDescent="0.2">
      <c r="B271" s="150" t="s">
        <v>2932</v>
      </c>
      <c r="C271" s="151">
        <v>2019</v>
      </c>
      <c r="D271" s="151">
        <v>2</v>
      </c>
      <c r="E271" s="151">
        <v>5</v>
      </c>
    </row>
    <row r="272" spans="2:5" x14ac:dyDescent="0.2">
      <c r="B272" s="150" t="s">
        <v>2932</v>
      </c>
      <c r="C272" s="151">
        <v>2019</v>
      </c>
      <c r="D272" s="151">
        <v>6</v>
      </c>
      <c r="E272" s="151">
        <v>5</v>
      </c>
    </row>
    <row r="273" spans="2:5" x14ac:dyDescent="0.2">
      <c r="B273" s="150" t="s">
        <v>2932</v>
      </c>
      <c r="C273" s="151">
        <v>2019</v>
      </c>
      <c r="D273" s="151">
        <v>3</v>
      </c>
      <c r="E273" s="151">
        <v>2</v>
      </c>
    </row>
    <row r="274" spans="2:5" x14ac:dyDescent="0.2">
      <c r="B274" s="150" t="s">
        <v>2932</v>
      </c>
      <c r="C274" s="151">
        <v>2019</v>
      </c>
      <c r="D274" s="151">
        <v>8</v>
      </c>
      <c r="E274" s="151">
        <v>1</v>
      </c>
    </row>
    <row r="275" spans="2:5" x14ac:dyDescent="0.2">
      <c r="B275" s="150" t="s">
        <v>2932</v>
      </c>
      <c r="C275" s="151">
        <v>2019</v>
      </c>
      <c r="D275" s="151">
        <v>9</v>
      </c>
      <c r="E275" s="151">
        <v>1</v>
      </c>
    </row>
    <row r="276" spans="2:5" x14ac:dyDescent="0.2">
      <c r="B276" s="150" t="s">
        <v>2932</v>
      </c>
      <c r="C276" s="151">
        <v>2019</v>
      </c>
      <c r="D276" s="151">
        <v>12</v>
      </c>
      <c r="E276" s="151">
        <v>1</v>
      </c>
    </row>
    <row r="277" spans="2:5" x14ac:dyDescent="0.2">
      <c r="B277" s="150" t="s">
        <v>2751</v>
      </c>
      <c r="C277" s="151">
        <v>2019</v>
      </c>
      <c r="D277" s="151">
        <v>10</v>
      </c>
      <c r="E277" s="151">
        <v>15</v>
      </c>
    </row>
    <row r="278" spans="2:5" x14ac:dyDescent="0.2">
      <c r="B278" s="150" t="s">
        <v>2751</v>
      </c>
      <c r="C278" s="151">
        <v>2019</v>
      </c>
      <c r="D278" s="151">
        <v>4</v>
      </c>
      <c r="E278" s="151">
        <v>8</v>
      </c>
    </row>
    <row r="279" spans="2:5" x14ac:dyDescent="0.2">
      <c r="B279" s="150" t="s">
        <v>2751</v>
      </c>
      <c r="C279" s="151">
        <v>2019</v>
      </c>
      <c r="D279" s="151">
        <v>1</v>
      </c>
      <c r="E279" s="151">
        <v>6</v>
      </c>
    </row>
    <row r="280" spans="2:5" x14ac:dyDescent="0.2">
      <c r="B280" s="150" t="s">
        <v>2751</v>
      </c>
      <c r="C280" s="151">
        <v>2019</v>
      </c>
      <c r="D280" s="151">
        <v>6</v>
      </c>
      <c r="E280" s="151">
        <v>4</v>
      </c>
    </row>
    <row r="281" spans="2:5" x14ac:dyDescent="0.2">
      <c r="B281" s="150" t="s">
        <v>2751</v>
      </c>
      <c r="C281" s="151">
        <v>2019</v>
      </c>
      <c r="D281" s="151">
        <v>11</v>
      </c>
      <c r="E281" s="151">
        <v>4</v>
      </c>
    </row>
    <row r="282" spans="2:5" x14ac:dyDescent="0.2">
      <c r="B282" s="150" t="s">
        <v>2751</v>
      </c>
      <c r="C282" s="151">
        <v>2019</v>
      </c>
      <c r="D282" s="151">
        <v>5</v>
      </c>
      <c r="E282" s="151">
        <v>3</v>
      </c>
    </row>
    <row r="283" spans="2:5" x14ac:dyDescent="0.2">
      <c r="B283" s="150" t="s">
        <v>2751</v>
      </c>
      <c r="C283" s="151">
        <v>2019</v>
      </c>
      <c r="D283" s="151">
        <v>3</v>
      </c>
      <c r="E283" s="151">
        <v>2</v>
      </c>
    </row>
    <row r="284" spans="2:5" x14ac:dyDescent="0.2">
      <c r="B284" s="150" t="s">
        <v>2751</v>
      </c>
      <c r="C284" s="151">
        <v>2019</v>
      </c>
      <c r="D284" s="151">
        <v>7</v>
      </c>
      <c r="E284" s="151">
        <v>1</v>
      </c>
    </row>
    <row r="285" spans="2:5" x14ac:dyDescent="0.2">
      <c r="B285" s="150" t="s">
        <v>2751</v>
      </c>
      <c r="C285" s="151">
        <v>2019</v>
      </c>
      <c r="D285" s="151">
        <v>8</v>
      </c>
      <c r="E285" s="151">
        <v>1</v>
      </c>
    </row>
    <row r="286" spans="2:5" x14ac:dyDescent="0.2">
      <c r="B286" s="150" t="s">
        <v>2751</v>
      </c>
      <c r="C286" s="151">
        <v>2019</v>
      </c>
      <c r="D286" s="151">
        <v>9</v>
      </c>
      <c r="E286" s="151">
        <v>1</v>
      </c>
    </row>
    <row r="287" spans="2:5" x14ac:dyDescent="0.2">
      <c r="B287" s="150" t="s">
        <v>2752</v>
      </c>
      <c r="C287" s="151">
        <v>2019</v>
      </c>
      <c r="D287" s="151">
        <v>4</v>
      </c>
      <c r="E287" s="151">
        <v>57</v>
      </c>
    </row>
    <row r="288" spans="2:5" x14ac:dyDescent="0.2">
      <c r="B288" s="150" t="s">
        <v>2752</v>
      </c>
      <c r="C288" s="151">
        <v>2019</v>
      </c>
      <c r="D288" s="151">
        <v>3</v>
      </c>
      <c r="E288" s="151">
        <v>49</v>
      </c>
    </row>
    <row r="289" spans="2:5" x14ac:dyDescent="0.2">
      <c r="B289" s="150" t="s">
        <v>2752</v>
      </c>
      <c r="C289" s="151">
        <v>2019</v>
      </c>
      <c r="D289" s="151">
        <v>10</v>
      </c>
      <c r="E289" s="151">
        <v>42</v>
      </c>
    </row>
    <row r="290" spans="2:5" x14ac:dyDescent="0.2">
      <c r="B290" s="150" t="s">
        <v>2752</v>
      </c>
      <c r="C290" s="151">
        <v>2019</v>
      </c>
      <c r="D290" s="151">
        <v>9</v>
      </c>
      <c r="E290" s="151">
        <v>41</v>
      </c>
    </row>
    <row r="291" spans="2:5" x14ac:dyDescent="0.2">
      <c r="B291" s="150" t="s">
        <v>2752</v>
      </c>
      <c r="C291" s="151">
        <v>2019</v>
      </c>
      <c r="D291" s="151">
        <v>8</v>
      </c>
      <c r="E291" s="151">
        <v>29</v>
      </c>
    </row>
    <row r="292" spans="2:5" x14ac:dyDescent="0.2">
      <c r="B292" s="150" t="s">
        <v>2752</v>
      </c>
      <c r="C292" s="151">
        <v>2019</v>
      </c>
      <c r="D292" s="151">
        <v>11</v>
      </c>
      <c r="E292" s="151">
        <v>28</v>
      </c>
    </row>
    <row r="293" spans="2:5" x14ac:dyDescent="0.2">
      <c r="B293" s="150" t="s">
        <v>2752</v>
      </c>
      <c r="C293" s="151">
        <v>2019</v>
      </c>
      <c r="D293" s="151">
        <v>12</v>
      </c>
      <c r="E293" s="151">
        <v>27</v>
      </c>
    </row>
    <row r="294" spans="2:5" x14ac:dyDescent="0.2">
      <c r="B294" s="150" t="s">
        <v>2752</v>
      </c>
      <c r="C294" s="151">
        <v>2019</v>
      </c>
      <c r="D294" s="151">
        <v>7</v>
      </c>
      <c r="E294" s="151">
        <v>24</v>
      </c>
    </row>
    <row r="295" spans="2:5" x14ac:dyDescent="0.2">
      <c r="B295" s="150" t="s">
        <v>2752</v>
      </c>
      <c r="C295" s="151">
        <v>2019</v>
      </c>
      <c r="D295" s="151">
        <v>6</v>
      </c>
      <c r="E295" s="151">
        <v>21</v>
      </c>
    </row>
    <row r="296" spans="2:5" x14ac:dyDescent="0.2">
      <c r="B296" s="150" t="s">
        <v>2752</v>
      </c>
      <c r="C296" s="151">
        <v>2019</v>
      </c>
      <c r="D296" s="151">
        <v>5</v>
      </c>
      <c r="E296" s="151">
        <v>19</v>
      </c>
    </row>
    <row r="297" spans="2:5" x14ac:dyDescent="0.2">
      <c r="B297" s="150" t="s">
        <v>2752</v>
      </c>
      <c r="C297" s="151">
        <v>2019</v>
      </c>
      <c r="D297" s="151">
        <v>2</v>
      </c>
      <c r="E297" s="151">
        <v>4</v>
      </c>
    </row>
    <row r="298" spans="2:5" x14ac:dyDescent="0.2">
      <c r="B298" s="150" t="s">
        <v>2752</v>
      </c>
      <c r="C298" s="151">
        <v>2019</v>
      </c>
      <c r="D298" s="151">
        <v>1</v>
      </c>
      <c r="E298" s="151">
        <v>1</v>
      </c>
    </row>
    <row r="299" spans="2:5" x14ac:dyDescent="0.2">
      <c r="B299" s="150" t="s">
        <v>2753</v>
      </c>
      <c r="C299" s="151">
        <v>2019</v>
      </c>
      <c r="D299" s="151">
        <v>3</v>
      </c>
      <c r="E299" s="151">
        <v>13</v>
      </c>
    </row>
    <row r="300" spans="2:5" x14ac:dyDescent="0.2">
      <c r="B300" s="150" t="s">
        <v>2753</v>
      </c>
      <c r="C300" s="151">
        <v>2019</v>
      </c>
      <c r="D300" s="151">
        <v>4</v>
      </c>
      <c r="E300" s="151">
        <v>10</v>
      </c>
    </row>
    <row r="301" spans="2:5" x14ac:dyDescent="0.2">
      <c r="B301" s="150" t="s">
        <v>2753</v>
      </c>
      <c r="C301" s="151">
        <v>2019</v>
      </c>
      <c r="D301" s="151">
        <v>8</v>
      </c>
      <c r="E301" s="151">
        <v>9</v>
      </c>
    </row>
    <row r="302" spans="2:5" x14ac:dyDescent="0.2">
      <c r="B302" s="150" t="s">
        <v>2753</v>
      </c>
      <c r="C302" s="151">
        <v>2019</v>
      </c>
      <c r="D302" s="151">
        <v>5</v>
      </c>
      <c r="E302" s="151">
        <v>4</v>
      </c>
    </row>
    <row r="303" spans="2:5" x14ac:dyDescent="0.2">
      <c r="B303" s="150" t="s">
        <v>2753</v>
      </c>
      <c r="C303" s="151">
        <v>2019</v>
      </c>
      <c r="D303" s="151">
        <v>6</v>
      </c>
      <c r="E303" s="151">
        <v>4</v>
      </c>
    </row>
    <row r="304" spans="2:5" x14ac:dyDescent="0.2">
      <c r="B304" s="150" t="s">
        <v>2753</v>
      </c>
      <c r="C304" s="151">
        <v>2019</v>
      </c>
      <c r="D304" s="151">
        <v>10</v>
      </c>
      <c r="E304" s="151">
        <v>3</v>
      </c>
    </row>
    <row r="305" spans="2:5" x14ac:dyDescent="0.2">
      <c r="B305" s="150" t="s">
        <v>2753</v>
      </c>
      <c r="C305" s="151">
        <v>2019</v>
      </c>
      <c r="D305" s="151">
        <v>9</v>
      </c>
      <c r="E305" s="151">
        <v>1</v>
      </c>
    </row>
    <row r="306" spans="2:5" x14ac:dyDescent="0.2">
      <c r="B306" s="150" t="s">
        <v>2754</v>
      </c>
      <c r="C306" s="151">
        <v>2019</v>
      </c>
      <c r="D306" s="151">
        <v>4</v>
      </c>
      <c r="E306" s="151">
        <v>50</v>
      </c>
    </row>
    <row r="307" spans="2:5" x14ac:dyDescent="0.2">
      <c r="B307" s="150" t="s">
        <v>2754</v>
      </c>
      <c r="C307" s="151">
        <v>2019</v>
      </c>
      <c r="D307" s="151">
        <v>8</v>
      </c>
      <c r="E307" s="151">
        <v>47</v>
      </c>
    </row>
    <row r="308" spans="2:5" x14ac:dyDescent="0.2">
      <c r="B308" s="150" t="s">
        <v>2754</v>
      </c>
      <c r="C308" s="151">
        <v>2019</v>
      </c>
      <c r="D308" s="151">
        <v>5</v>
      </c>
      <c r="E308" s="151">
        <v>41</v>
      </c>
    </row>
    <row r="309" spans="2:5" x14ac:dyDescent="0.2">
      <c r="B309" s="150" t="s">
        <v>2754</v>
      </c>
      <c r="C309" s="151">
        <v>2019</v>
      </c>
      <c r="D309" s="151">
        <v>10</v>
      </c>
      <c r="E309" s="151">
        <v>36</v>
      </c>
    </row>
    <row r="310" spans="2:5" x14ac:dyDescent="0.2">
      <c r="B310" s="150" t="s">
        <v>2754</v>
      </c>
      <c r="C310" s="151">
        <v>2019</v>
      </c>
      <c r="D310" s="151">
        <v>3</v>
      </c>
      <c r="E310" s="151">
        <v>20</v>
      </c>
    </row>
    <row r="311" spans="2:5" x14ac:dyDescent="0.2">
      <c r="B311" s="150" t="s">
        <v>2754</v>
      </c>
      <c r="C311" s="151">
        <v>2019</v>
      </c>
      <c r="D311" s="151">
        <v>12</v>
      </c>
      <c r="E311" s="151">
        <v>14</v>
      </c>
    </row>
    <row r="312" spans="2:5" x14ac:dyDescent="0.2">
      <c r="B312" s="150" t="s">
        <v>2754</v>
      </c>
      <c r="C312" s="151">
        <v>2019</v>
      </c>
      <c r="D312" s="151">
        <v>2</v>
      </c>
      <c r="E312" s="151">
        <v>13</v>
      </c>
    </row>
    <row r="313" spans="2:5" x14ac:dyDescent="0.2">
      <c r="B313" s="150" t="s">
        <v>2754</v>
      </c>
      <c r="C313" s="151">
        <v>2019</v>
      </c>
      <c r="D313" s="151">
        <v>6</v>
      </c>
      <c r="E313" s="151">
        <v>13</v>
      </c>
    </row>
    <row r="314" spans="2:5" x14ac:dyDescent="0.2">
      <c r="B314" s="150" t="s">
        <v>2754</v>
      </c>
      <c r="C314" s="151">
        <v>2019</v>
      </c>
      <c r="D314" s="151">
        <v>11</v>
      </c>
      <c r="E314" s="151">
        <v>6</v>
      </c>
    </row>
    <row r="315" spans="2:5" x14ac:dyDescent="0.2">
      <c r="B315" s="150" t="s">
        <v>2754</v>
      </c>
      <c r="C315" s="151">
        <v>2019</v>
      </c>
      <c r="D315" s="151">
        <v>7</v>
      </c>
      <c r="E315" s="151">
        <v>5</v>
      </c>
    </row>
    <row r="316" spans="2:5" x14ac:dyDescent="0.2">
      <c r="B316" s="150" t="s">
        <v>2754</v>
      </c>
      <c r="C316" s="151">
        <v>2019</v>
      </c>
      <c r="D316" s="151">
        <v>9</v>
      </c>
      <c r="E316" s="151">
        <v>4</v>
      </c>
    </row>
    <row r="317" spans="2:5" x14ac:dyDescent="0.2">
      <c r="B317" s="150" t="s">
        <v>2754</v>
      </c>
      <c r="C317" s="151">
        <v>2019</v>
      </c>
      <c r="D317" s="151">
        <v>1</v>
      </c>
      <c r="E317" s="151">
        <v>3</v>
      </c>
    </row>
    <row r="318" spans="2:5" x14ac:dyDescent="0.2">
      <c r="B318" s="150" t="s">
        <v>2962</v>
      </c>
      <c r="C318" s="151">
        <v>2019</v>
      </c>
      <c r="D318" s="151">
        <v>4</v>
      </c>
      <c r="E318" s="151">
        <v>3</v>
      </c>
    </row>
    <row r="319" spans="2:5" x14ac:dyDescent="0.2">
      <c r="B319" s="150" t="s">
        <v>2962</v>
      </c>
      <c r="C319" s="151">
        <v>2019</v>
      </c>
      <c r="D319" s="151">
        <v>10</v>
      </c>
      <c r="E319" s="151">
        <v>2</v>
      </c>
    </row>
    <row r="320" spans="2:5" x14ac:dyDescent="0.2">
      <c r="B320" s="150" t="s">
        <v>2962</v>
      </c>
      <c r="C320" s="151">
        <v>2019</v>
      </c>
      <c r="D320" s="151">
        <v>5</v>
      </c>
      <c r="E320" s="151">
        <v>1</v>
      </c>
    </row>
    <row r="321" spans="2:5" x14ac:dyDescent="0.2">
      <c r="B321" s="150" t="s">
        <v>2755</v>
      </c>
      <c r="C321" s="151">
        <v>2019</v>
      </c>
      <c r="D321" s="151">
        <v>4</v>
      </c>
      <c r="E321" s="151">
        <v>47</v>
      </c>
    </row>
    <row r="322" spans="2:5" x14ac:dyDescent="0.2">
      <c r="B322" s="150" t="s">
        <v>2755</v>
      </c>
      <c r="C322" s="151">
        <v>2019</v>
      </c>
      <c r="D322" s="151">
        <v>10</v>
      </c>
      <c r="E322" s="151">
        <v>46</v>
      </c>
    </row>
    <row r="323" spans="2:5" x14ac:dyDescent="0.2">
      <c r="B323" s="150" t="s">
        <v>2755</v>
      </c>
      <c r="C323" s="151">
        <v>2019</v>
      </c>
      <c r="D323" s="151">
        <v>2</v>
      </c>
      <c r="E323" s="151">
        <v>38</v>
      </c>
    </row>
    <row r="324" spans="2:5" x14ac:dyDescent="0.2">
      <c r="B324" s="150" t="s">
        <v>2755</v>
      </c>
      <c r="C324" s="151">
        <v>2019</v>
      </c>
      <c r="D324" s="151">
        <v>3</v>
      </c>
      <c r="E324" s="151">
        <v>27</v>
      </c>
    </row>
    <row r="325" spans="2:5" x14ac:dyDescent="0.2">
      <c r="B325" s="150" t="s">
        <v>2755</v>
      </c>
      <c r="C325" s="151">
        <v>2019</v>
      </c>
      <c r="D325" s="151">
        <v>1</v>
      </c>
      <c r="E325" s="151">
        <v>16</v>
      </c>
    </row>
    <row r="326" spans="2:5" x14ac:dyDescent="0.2">
      <c r="B326" s="150" t="s">
        <v>2755</v>
      </c>
      <c r="C326" s="151">
        <v>2019</v>
      </c>
      <c r="D326" s="151">
        <v>6</v>
      </c>
      <c r="E326" s="151">
        <v>16</v>
      </c>
    </row>
    <row r="327" spans="2:5" x14ac:dyDescent="0.2">
      <c r="B327" s="150" t="s">
        <v>2755</v>
      </c>
      <c r="C327" s="151">
        <v>2019</v>
      </c>
      <c r="D327" s="151">
        <v>8</v>
      </c>
      <c r="E327" s="151">
        <v>16</v>
      </c>
    </row>
    <row r="328" spans="2:5" x14ac:dyDescent="0.2">
      <c r="B328" s="150" t="s">
        <v>2755</v>
      </c>
      <c r="C328" s="151">
        <v>2019</v>
      </c>
      <c r="D328" s="151">
        <v>9</v>
      </c>
      <c r="E328" s="151">
        <v>11</v>
      </c>
    </row>
    <row r="329" spans="2:5" x14ac:dyDescent="0.2">
      <c r="B329" s="150" t="s">
        <v>2755</v>
      </c>
      <c r="C329" s="151">
        <v>2019</v>
      </c>
      <c r="D329" s="151">
        <v>12</v>
      </c>
      <c r="E329" s="151">
        <v>11</v>
      </c>
    </row>
    <row r="330" spans="2:5" x14ac:dyDescent="0.2">
      <c r="B330" s="150" t="s">
        <v>2755</v>
      </c>
      <c r="C330" s="151">
        <v>2019</v>
      </c>
      <c r="D330" s="151">
        <v>5</v>
      </c>
      <c r="E330" s="151">
        <v>10</v>
      </c>
    </row>
    <row r="331" spans="2:5" x14ac:dyDescent="0.2">
      <c r="B331" s="150" t="s">
        <v>2755</v>
      </c>
      <c r="C331" s="151">
        <v>2019</v>
      </c>
      <c r="D331" s="151">
        <v>7</v>
      </c>
      <c r="E331" s="151">
        <v>7</v>
      </c>
    </row>
    <row r="332" spans="2:5" x14ac:dyDescent="0.2">
      <c r="B332" s="150" t="s">
        <v>2755</v>
      </c>
      <c r="C332" s="151">
        <v>2019</v>
      </c>
      <c r="D332" s="151">
        <v>11</v>
      </c>
      <c r="E332" s="151">
        <v>1</v>
      </c>
    </row>
    <row r="333" spans="2:5" x14ac:dyDescent="0.2">
      <c r="B333" s="150" t="s">
        <v>2756</v>
      </c>
      <c r="C333" s="151">
        <v>2019</v>
      </c>
      <c r="D333" s="151">
        <v>10</v>
      </c>
      <c r="E333" s="151">
        <v>6</v>
      </c>
    </row>
    <row r="334" spans="2:5" x14ac:dyDescent="0.2">
      <c r="B334" s="150" t="s">
        <v>2756</v>
      </c>
      <c r="C334" s="151">
        <v>2019</v>
      </c>
      <c r="D334" s="151">
        <v>3</v>
      </c>
      <c r="E334" s="151">
        <v>3</v>
      </c>
    </row>
    <row r="335" spans="2:5" x14ac:dyDescent="0.2">
      <c r="B335" s="150" t="s">
        <v>2756</v>
      </c>
      <c r="C335" s="151">
        <v>2019</v>
      </c>
      <c r="D335" s="151">
        <v>8</v>
      </c>
      <c r="E335" s="151">
        <v>2</v>
      </c>
    </row>
    <row r="336" spans="2:5" x14ac:dyDescent="0.2">
      <c r="B336" s="150" t="s">
        <v>2756</v>
      </c>
      <c r="C336" s="151">
        <v>2019</v>
      </c>
      <c r="D336" s="151">
        <v>11</v>
      </c>
      <c r="E336" s="151">
        <v>2</v>
      </c>
    </row>
    <row r="337" spans="2:5" x14ac:dyDescent="0.2">
      <c r="B337" s="150" t="s">
        <v>2756</v>
      </c>
      <c r="C337" s="151">
        <v>2019</v>
      </c>
      <c r="D337" s="151">
        <v>1</v>
      </c>
      <c r="E337" s="151">
        <v>1</v>
      </c>
    </row>
    <row r="338" spans="2:5" x14ac:dyDescent="0.2">
      <c r="B338" s="150" t="s">
        <v>2756</v>
      </c>
      <c r="C338" s="151">
        <v>2019</v>
      </c>
      <c r="D338" s="151">
        <v>6</v>
      </c>
      <c r="E338" s="151">
        <v>1</v>
      </c>
    </row>
    <row r="339" spans="2:5" x14ac:dyDescent="0.2">
      <c r="B339" s="150" t="s">
        <v>2911</v>
      </c>
      <c r="C339" s="151">
        <v>2019</v>
      </c>
      <c r="D339" s="151">
        <v>4</v>
      </c>
      <c r="E339" s="151">
        <v>17</v>
      </c>
    </row>
    <row r="340" spans="2:5" x14ac:dyDescent="0.2">
      <c r="B340" s="150" t="s">
        <v>2911</v>
      </c>
      <c r="C340" s="151">
        <v>2019</v>
      </c>
      <c r="D340" s="151">
        <v>10</v>
      </c>
      <c r="E340" s="151">
        <v>13</v>
      </c>
    </row>
    <row r="341" spans="2:5" x14ac:dyDescent="0.2">
      <c r="B341" s="150" t="s">
        <v>2911</v>
      </c>
      <c r="C341" s="151">
        <v>2019</v>
      </c>
      <c r="D341" s="151">
        <v>7</v>
      </c>
      <c r="E341" s="151">
        <v>12</v>
      </c>
    </row>
    <row r="342" spans="2:5" x14ac:dyDescent="0.2">
      <c r="B342" s="150" t="s">
        <v>2911</v>
      </c>
      <c r="C342" s="151">
        <v>2019</v>
      </c>
      <c r="D342" s="151">
        <v>5</v>
      </c>
      <c r="E342" s="151">
        <v>10</v>
      </c>
    </row>
    <row r="343" spans="2:5" x14ac:dyDescent="0.2">
      <c r="B343" s="150" t="s">
        <v>2911</v>
      </c>
      <c r="C343" s="151">
        <v>2019</v>
      </c>
      <c r="D343" s="151">
        <v>8</v>
      </c>
      <c r="E343" s="151">
        <v>8</v>
      </c>
    </row>
    <row r="344" spans="2:5" x14ac:dyDescent="0.2">
      <c r="B344" s="150" t="s">
        <v>2911</v>
      </c>
      <c r="C344" s="151">
        <v>2019</v>
      </c>
      <c r="D344" s="151">
        <v>1</v>
      </c>
      <c r="E344" s="151">
        <v>5</v>
      </c>
    </row>
    <row r="345" spans="2:5" x14ac:dyDescent="0.2">
      <c r="B345" s="150" t="s">
        <v>2911</v>
      </c>
      <c r="C345" s="151">
        <v>2019</v>
      </c>
      <c r="D345" s="151">
        <v>2</v>
      </c>
      <c r="E345" s="151">
        <v>5</v>
      </c>
    </row>
    <row r="346" spans="2:5" x14ac:dyDescent="0.2">
      <c r="B346" s="150" t="s">
        <v>2911</v>
      </c>
      <c r="C346" s="151">
        <v>2019</v>
      </c>
      <c r="D346" s="151">
        <v>9</v>
      </c>
      <c r="E346" s="151">
        <v>5</v>
      </c>
    </row>
    <row r="347" spans="2:5" x14ac:dyDescent="0.2">
      <c r="B347" s="150" t="s">
        <v>2911</v>
      </c>
      <c r="C347" s="151">
        <v>2019</v>
      </c>
      <c r="D347" s="151">
        <v>12</v>
      </c>
      <c r="E347" s="151">
        <v>5</v>
      </c>
    </row>
    <row r="348" spans="2:5" x14ac:dyDescent="0.2">
      <c r="B348" s="150" t="s">
        <v>2911</v>
      </c>
      <c r="C348" s="151">
        <v>2019</v>
      </c>
      <c r="D348" s="151">
        <v>3</v>
      </c>
      <c r="E348" s="151">
        <v>4</v>
      </c>
    </row>
    <row r="349" spans="2:5" x14ac:dyDescent="0.2">
      <c r="B349" s="150" t="s">
        <v>2911</v>
      </c>
      <c r="C349" s="151">
        <v>2019</v>
      </c>
      <c r="D349" s="151">
        <v>6</v>
      </c>
      <c r="E349" s="151">
        <v>3</v>
      </c>
    </row>
    <row r="350" spans="2:5" x14ac:dyDescent="0.2">
      <c r="B350" s="150" t="s">
        <v>2911</v>
      </c>
      <c r="C350" s="151">
        <v>2019</v>
      </c>
      <c r="D350" s="151">
        <v>11</v>
      </c>
      <c r="E350" s="151">
        <v>2</v>
      </c>
    </row>
    <row r="351" spans="2:5" x14ac:dyDescent="0.2">
      <c r="B351" s="150" t="s">
        <v>2757</v>
      </c>
      <c r="C351" s="151">
        <v>2019</v>
      </c>
      <c r="D351" s="151">
        <v>8</v>
      </c>
      <c r="E351" s="151">
        <v>16</v>
      </c>
    </row>
    <row r="352" spans="2:5" x14ac:dyDescent="0.2">
      <c r="B352" s="150" t="s">
        <v>2757</v>
      </c>
      <c r="C352" s="151">
        <v>2019</v>
      </c>
      <c r="D352" s="151">
        <v>9</v>
      </c>
      <c r="E352" s="151">
        <v>15</v>
      </c>
    </row>
    <row r="353" spans="2:5" x14ac:dyDescent="0.2">
      <c r="B353" s="150" t="s">
        <v>2757</v>
      </c>
      <c r="C353" s="151">
        <v>2019</v>
      </c>
      <c r="D353" s="151">
        <v>3</v>
      </c>
      <c r="E353" s="151">
        <v>10</v>
      </c>
    </row>
    <row r="354" spans="2:5" x14ac:dyDescent="0.2">
      <c r="B354" s="150" t="s">
        <v>2757</v>
      </c>
      <c r="C354" s="151">
        <v>2019</v>
      </c>
      <c r="D354" s="151">
        <v>5</v>
      </c>
      <c r="E354" s="151">
        <v>10</v>
      </c>
    </row>
    <row r="355" spans="2:5" x14ac:dyDescent="0.2">
      <c r="B355" s="150" t="s">
        <v>2757</v>
      </c>
      <c r="C355" s="151">
        <v>2019</v>
      </c>
      <c r="D355" s="151">
        <v>10</v>
      </c>
      <c r="E355" s="151">
        <v>8</v>
      </c>
    </row>
    <row r="356" spans="2:5" x14ac:dyDescent="0.2">
      <c r="B356" s="150" t="s">
        <v>2757</v>
      </c>
      <c r="C356" s="151">
        <v>2019</v>
      </c>
      <c r="D356" s="151">
        <v>4</v>
      </c>
      <c r="E356" s="151">
        <v>6</v>
      </c>
    </row>
    <row r="357" spans="2:5" x14ac:dyDescent="0.2">
      <c r="B357" s="150" t="s">
        <v>2757</v>
      </c>
      <c r="C357" s="151">
        <v>2019</v>
      </c>
      <c r="D357" s="151">
        <v>6</v>
      </c>
      <c r="E357" s="151">
        <v>6</v>
      </c>
    </row>
    <row r="358" spans="2:5" x14ac:dyDescent="0.2">
      <c r="B358" s="150" t="s">
        <v>2757</v>
      </c>
      <c r="C358" s="151">
        <v>2019</v>
      </c>
      <c r="D358" s="151">
        <v>2</v>
      </c>
      <c r="E358" s="151">
        <v>5</v>
      </c>
    </row>
    <row r="359" spans="2:5" x14ac:dyDescent="0.2">
      <c r="B359" s="150" t="s">
        <v>2757</v>
      </c>
      <c r="C359" s="151">
        <v>2019</v>
      </c>
      <c r="D359" s="151">
        <v>7</v>
      </c>
      <c r="E359" s="151">
        <v>5</v>
      </c>
    </row>
    <row r="360" spans="2:5" x14ac:dyDescent="0.2">
      <c r="B360" s="150" t="s">
        <v>2757</v>
      </c>
      <c r="C360" s="151">
        <v>2019</v>
      </c>
      <c r="D360" s="151">
        <v>11</v>
      </c>
      <c r="E360" s="151">
        <v>3</v>
      </c>
    </row>
    <row r="361" spans="2:5" x14ac:dyDescent="0.2">
      <c r="B361" s="150" t="s">
        <v>2757</v>
      </c>
      <c r="C361" s="151">
        <v>2019</v>
      </c>
      <c r="D361" s="151">
        <v>12</v>
      </c>
      <c r="E361" s="151">
        <v>2</v>
      </c>
    </row>
    <row r="362" spans="2:5" x14ac:dyDescent="0.2">
      <c r="B362" s="150" t="s">
        <v>2757</v>
      </c>
      <c r="C362" s="151">
        <v>2019</v>
      </c>
      <c r="D362" s="151">
        <v>1</v>
      </c>
      <c r="E362" s="151">
        <v>1</v>
      </c>
    </row>
    <row r="363" spans="2:5" x14ac:dyDescent="0.2">
      <c r="B363" s="150" t="s">
        <v>2758</v>
      </c>
      <c r="C363" s="151">
        <v>2019</v>
      </c>
      <c r="D363" s="151">
        <v>11</v>
      </c>
      <c r="E363" s="151">
        <v>3</v>
      </c>
    </row>
    <row r="364" spans="2:5" x14ac:dyDescent="0.2">
      <c r="B364" s="150" t="s">
        <v>2758</v>
      </c>
      <c r="C364" s="151">
        <v>2019</v>
      </c>
      <c r="D364" s="151">
        <v>3</v>
      </c>
      <c r="E364" s="151">
        <v>2</v>
      </c>
    </row>
    <row r="365" spans="2:5" x14ac:dyDescent="0.2">
      <c r="B365" s="150" t="s">
        <v>2758</v>
      </c>
      <c r="C365" s="151">
        <v>2019</v>
      </c>
      <c r="D365" s="151">
        <v>5</v>
      </c>
      <c r="E365" s="151">
        <v>2</v>
      </c>
    </row>
    <row r="366" spans="2:5" x14ac:dyDescent="0.2">
      <c r="B366" s="150" t="s">
        <v>2758</v>
      </c>
      <c r="C366" s="151">
        <v>2019</v>
      </c>
      <c r="D366" s="151">
        <v>4</v>
      </c>
      <c r="E366" s="151">
        <v>1</v>
      </c>
    </row>
    <row r="367" spans="2:5" x14ac:dyDescent="0.2">
      <c r="B367" s="150" t="s">
        <v>2758</v>
      </c>
      <c r="C367" s="151">
        <v>2019</v>
      </c>
      <c r="D367" s="151">
        <v>9</v>
      </c>
      <c r="E367" s="151">
        <v>1</v>
      </c>
    </row>
    <row r="368" spans="2:5" x14ac:dyDescent="0.2">
      <c r="B368" s="150" t="s">
        <v>2938</v>
      </c>
      <c r="C368" s="151">
        <v>2019</v>
      </c>
      <c r="D368" s="151">
        <v>4</v>
      </c>
      <c r="E368" s="151">
        <v>4</v>
      </c>
    </row>
    <row r="369" spans="2:5" x14ac:dyDescent="0.2">
      <c r="B369" s="150" t="s">
        <v>2938</v>
      </c>
      <c r="C369" s="151">
        <v>2019</v>
      </c>
      <c r="D369" s="151">
        <v>5</v>
      </c>
      <c r="E369" s="151">
        <v>4</v>
      </c>
    </row>
    <row r="370" spans="2:5" x14ac:dyDescent="0.2">
      <c r="B370" s="150" t="s">
        <v>2938</v>
      </c>
      <c r="C370" s="151">
        <v>2019</v>
      </c>
      <c r="D370" s="151">
        <v>2</v>
      </c>
      <c r="E370" s="151">
        <v>3</v>
      </c>
    </row>
    <row r="371" spans="2:5" x14ac:dyDescent="0.2">
      <c r="B371" s="150" t="s">
        <v>2938</v>
      </c>
      <c r="C371" s="151">
        <v>2019</v>
      </c>
      <c r="D371" s="151">
        <v>1</v>
      </c>
      <c r="E371" s="151">
        <v>2</v>
      </c>
    </row>
    <row r="372" spans="2:5" x14ac:dyDescent="0.2">
      <c r="B372" s="150" t="s">
        <v>2938</v>
      </c>
      <c r="C372" s="151">
        <v>2019</v>
      </c>
      <c r="D372" s="151">
        <v>3</v>
      </c>
      <c r="E372" s="151">
        <v>2</v>
      </c>
    </row>
    <row r="373" spans="2:5" x14ac:dyDescent="0.2">
      <c r="B373" s="150" t="s">
        <v>2938</v>
      </c>
      <c r="C373" s="151">
        <v>2019</v>
      </c>
      <c r="D373" s="151">
        <v>8</v>
      </c>
      <c r="E373" s="151">
        <v>2</v>
      </c>
    </row>
    <row r="374" spans="2:5" x14ac:dyDescent="0.2">
      <c r="B374" s="150" t="s">
        <v>2938</v>
      </c>
      <c r="C374" s="151">
        <v>2019</v>
      </c>
      <c r="D374" s="151">
        <v>6</v>
      </c>
      <c r="E374" s="151">
        <v>1</v>
      </c>
    </row>
    <row r="375" spans="2:5" x14ac:dyDescent="0.2">
      <c r="B375" s="150" t="s">
        <v>2938</v>
      </c>
      <c r="C375" s="151">
        <v>2019</v>
      </c>
      <c r="D375" s="151">
        <v>7</v>
      </c>
      <c r="E375" s="151">
        <v>1</v>
      </c>
    </row>
    <row r="376" spans="2:5" x14ac:dyDescent="0.2">
      <c r="B376" s="150" t="s">
        <v>2938</v>
      </c>
      <c r="C376" s="151">
        <v>2019</v>
      </c>
      <c r="D376" s="151">
        <v>9</v>
      </c>
      <c r="E376" s="151">
        <v>1</v>
      </c>
    </row>
    <row r="377" spans="2:5" x14ac:dyDescent="0.2">
      <c r="B377" s="150" t="s">
        <v>2938</v>
      </c>
      <c r="C377" s="151">
        <v>2019</v>
      </c>
      <c r="D377" s="151">
        <v>10</v>
      </c>
      <c r="E377" s="151">
        <v>1</v>
      </c>
    </row>
    <row r="378" spans="2:5" x14ac:dyDescent="0.2">
      <c r="B378" s="150" t="s">
        <v>2920</v>
      </c>
      <c r="C378" s="151">
        <v>2019</v>
      </c>
      <c r="D378" s="151">
        <v>3</v>
      </c>
      <c r="E378" s="151">
        <v>19</v>
      </c>
    </row>
    <row r="379" spans="2:5" x14ac:dyDescent="0.2">
      <c r="B379" s="150" t="s">
        <v>2920</v>
      </c>
      <c r="C379" s="151">
        <v>2019</v>
      </c>
      <c r="D379" s="151">
        <v>6</v>
      </c>
      <c r="E379" s="151">
        <v>10</v>
      </c>
    </row>
    <row r="380" spans="2:5" x14ac:dyDescent="0.2">
      <c r="B380" s="150" t="s">
        <v>2920</v>
      </c>
      <c r="C380" s="151">
        <v>2019</v>
      </c>
      <c r="D380" s="151">
        <v>11</v>
      </c>
      <c r="E380" s="151">
        <v>8</v>
      </c>
    </row>
    <row r="381" spans="2:5" x14ac:dyDescent="0.2">
      <c r="B381" s="150" t="s">
        <v>2920</v>
      </c>
      <c r="C381" s="151">
        <v>2019</v>
      </c>
      <c r="D381" s="151">
        <v>5</v>
      </c>
      <c r="E381" s="151">
        <v>5</v>
      </c>
    </row>
    <row r="382" spans="2:5" x14ac:dyDescent="0.2">
      <c r="B382" s="150" t="s">
        <v>2920</v>
      </c>
      <c r="C382" s="151">
        <v>2019</v>
      </c>
      <c r="D382" s="151">
        <v>7</v>
      </c>
      <c r="E382" s="151">
        <v>4</v>
      </c>
    </row>
    <row r="383" spans="2:5" x14ac:dyDescent="0.2">
      <c r="B383" s="150" t="s">
        <v>2920</v>
      </c>
      <c r="C383" s="151">
        <v>2019</v>
      </c>
      <c r="D383" s="151">
        <v>1</v>
      </c>
      <c r="E383" s="151">
        <v>2</v>
      </c>
    </row>
    <row r="384" spans="2:5" x14ac:dyDescent="0.2">
      <c r="B384" s="150" t="s">
        <v>2920</v>
      </c>
      <c r="C384" s="151">
        <v>2019</v>
      </c>
      <c r="D384" s="151">
        <v>2</v>
      </c>
      <c r="E384" s="151">
        <v>2</v>
      </c>
    </row>
    <row r="385" spans="2:5" x14ac:dyDescent="0.2">
      <c r="B385" s="150" t="s">
        <v>2920</v>
      </c>
      <c r="C385" s="151">
        <v>2019</v>
      </c>
      <c r="D385" s="151">
        <v>8</v>
      </c>
      <c r="E385" s="151">
        <v>2</v>
      </c>
    </row>
    <row r="386" spans="2:5" x14ac:dyDescent="0.2">
      <c r="B386" s="150" t="s">
        <v>2920</v>
      </c>
      <c r="C386" s="151">
        <v>2019</v>
      </c>
      <c r="D386" s="151">
        <v>10</v>
      </c>
      <c r="E386" s="151">
        <v>2</v>
      </c>
    </row>
    <row r="387" spans="2:5" x14ac:dyDescent="0.2">
      <c r="B387" s="150" t="s">
        <v>2920</v>
      </c>
      <c r="C387" s="151">
        <v>2019</v>
      </c>
      <c r="D387" s="151">
        <v>9</v>
      </c>
      <c r="E387" s="151">
        <v>1</v>
      </c>
    </row>
    <row r="388" spans="2:5" x14ac:dyDescent="0.2">
      <c r="B388" s="150" t="s">
        <v>2759</v>
      </c>
      <c r="C388" s="151">
        <v>2019</v>
      </c>
      <c r="D388" s="151">
        <v>10</v>
      </c>
      <c r="E388" s="151">
        <v>30</v>
      </c>
    </row>
    <row r="389" spans="2:5" x14ac:dyDescent="0.2">
      <c r="B389" s="150" t="s">
        <v>2759</v>
      </c>
      <c r="C389" s="151">
        <v>2019</v>
      </c>
      <c r="D389" s="151">
        <v>5</v>
      </c>
      <c r="E389" s="151">
        <v>22</v>
      </c>
    </row>
    <row r="390" spans="2:5" x14ac:dyDescent="0.2">
      <c r="B390" s="150" t="s">
        <v>2759</v>
      </c>
      <c r="C390" s="151">
        <v>2019</v>
      </c>
      <c r="D390" s="151">
        <v>8</v>
      </c>
      <c r="E390" s="151">
        <v>22</v>
      </c>
    </row>
    <row r="391" spans="2:5" x14ac:dyDescent="0.2">
      <c r="B391" s="150" t="s">
        <v>2759</v>
      </c>
      <c r="C391" s="151">
        <v>2019</v>
      </c>
      <c r="D391" s="151">
        <v>11</v>
      </c>
      <c r="E391" s="151">
        <v>20</v>
      </c>
    </row>
    <row r="392" spans="2:5" x14ac:dyDescent="0.2">
      <c r="B392" s="150" t="s">
        <v>2759</v>
      </c>
      <c r="C392" s="151">
        <v>2019</v>
      </c>
      <c r="D392" s="151">
        <v>4</v>
      </c>
      <c r="E392" s="151">
        <v>18</v>
      </c>
    </row>
    <row r="393" spans="2:5" x14ac:dyDescent="0.2">
      <c r="B393" s="150" t="s">
        <v>2759</v>
      </c>
      <c r="C393" s="151">
        <v>2019</v>
      </c>
      <c r="D393" s="151">
        <v>6</v>
      </c>
      <c r="E393" s="151">
        <v>15</v>
      </c>
    </row>
    <row r="394" spans="2:5" x14ac:dyDescent="0.2">
      <c r="B394" s="150" t="s">
        <v>2759</v>
      </c>
      <c r="C394" s="151">
        <v>2019</v>
      </c>
      <c r="D394" s="151">
        <v>1</v>
      </c>
      <c r="E394" s="151">
        <v>14</v>
      </c>
    </row>
    <row r="395" spans="2:5" x14ac:dyDescent="0.2">
      <c r="B395" s="150" t="s">
        <v>2759</v>
      </c>
      <c r="C395" s="151">
        <v>2019</v>
      </c>
      <c r="D395" s="151">
        <v>2</v>
      </c>
      <c r="E395" s="151">
        <v>14</v>
      </c>
    </row>
    <row r="396" spans="2:5" x14ac:dyDescent="0.2">
      <c r="B396" s="150" t="s">
        <v>2759</v>
      </c>
      <c r="C396" s="151">
        <v>2019</v>
      </c>
      <c r="D396" s="151">
        <v>3</v>
      </c>
      <c r="E396" s="151">
        <v>4</v>
      </c>
    </row>
    <row r="397" spans="2:5" x14ac:dyDescent="0.2">
      <c r="B397" s="150" t="s">
        <v>2759</v>
      </c>
      <c r="C397" s="151">
        <v>2019</v>
      </c>
      <c r="D397" s="151">
        <v>7</v>
      </c>
      <c r="E397" s="151">
        <v>4</v>
      </c>
    </row>
    <row r="398" spans="2:5" x14ac:dyDescent="0.2">
      <c r="B398" s="150" t="s">
        <v>2759</v>
      </c>
      <c r="C398" s="151">
        <v>2019</v>
      </c>
      <c r="D398" s="151">
        <v>9</v>
      </c>
      <c r="E398" s="151">
        <v>3</v>
      </c>
    </row>
    <row r="399" spans="2:5" x14ac:dyDescent="0.2">
      <c r="B399" s="150" t="s">
        <v>2759</v>
      </c>
      <c r="C399" s="151">
        <v>2019</v>
      </c>
      <c r="D399" s="151">
        <v>12</v>
      </c>
      <c r="E399" s="151">
        <v>3</v>
      </c>
    </row>
    <row r="400" spans="2:5" x14ac:dyDescent="0.2">
      <c r="B400" s="150" t="s">
        <v>2760</v>
      </c>
      <c r="C400" s="151">
        <v>2019</v>
      </c>
      <c r="D400" s="151">
        <v>9</v>
      </c>
      <c r="E400" s="151">
        <v>67</v>
      </c>
    </row>
    <row r="401" spans="2:5" x14ac:dyDescent="0.2">
      <c r="B401" s="150" t="s">
        <v>2760</v>
      </c>
      <c r="C401" s="151">
        <v>2019</v>
      </c>
      <c r="D401" s="151">
        <v>4</v>
      </c>
      <c r="E401" s="151">
        <v>35</v>
      </c>
    </row>
    <row r="402" spans="2:5" x14ac:dyDescent="0.2">
      <c r="B402" s="150" t="s">
        <v>2760</v>
      </c>
      <c r="C402" s="151">
        <v>2019</v>
      </c>
      <c r="D402" s="151">
        <v>3</v>
      </c>
      <c r="E402" s="151">
        <v>34</v>
      </c>
    </row>
    <row r="403" spans="2:5" x14ac:dyDescent="0.2">
      <c r="B403" s="150" t="s">
        <v>2760</v>
      </c>
      <c r="C403" s="151">
        <v>2019</v>
      </c>
      <c r="D403" s="151">
        <v>10</v>
      </c>
      <c r="E403" s="151">
        <v>33</v>
      </c>
    </row>
    <row r="404" spans="2:5" x14ac:dyDescent="0.2">
      <c r="B404" s="150" t="s">
        <v>2760</v>
      </c>
      <c r="C404" s="151">
        <v>2019</v>
      </c>
      <c r="D404" s="151">
        <v>8</v>
      </c>
      <c r="E404" s="151">
        <v>31</v>
      </c>
    </row>
    <row r="405" spans="2:5" x14ac:dyDescent="0.2">
      <c r="B405" s="150" t="s">
        <v>2760</v>
      </c>
      <c r="C405" s="151">
        <v>2019</v>
      </c>
      <c r="D405" s="151">
        <v>1</v>
      </c>
      <c r="E405" s="151">
        <v>24</v>
      </c>
    </row>
    <row r="406" spans="2:5" x14ac:dyDescent="0.2">
      <c r="B406" s="150" t="s">
        <v>2760</v>
      </c>
      <c r="C406" s="151">
        <v>2019</v>
      </c>
      <c r="D406" s="151">
        <v>11</v>
      </c>
      <c r="E406" s="151">
        <v>23</v>
      </c>
    </row>
    <row r="407" spans="2:5" x14ac:dyDescent="0.2">
      <c r="B407" s="150" t="s">
        <v>2760</v>
      </c>
      <c r="C407" s="151">
        <v>2019</v>
      </c>
      <c r="D407" s="151">
        <v>7</v>
      </c>
      <c r="E407" s="151">
        <v>21</v>
      </c>
    </row>
    <row r="408" spans="2:5" x14ac:dyDescent="0.2">
      <c r="B408" s="150" t="s">
        <v>2760</v>
      </c>
      <c r="C408" s="151">
        <v>2019</v>
      </c>
      <c r="D408" s="151">
        <v>12</v>
      </c>
      <c r="E408" s="151">
        <v>12</v>
      </c>
    </row>
    <row r="409" spans="2:5" x14ac:dyDescent="0.2">
      <c r="B409" s="150" t="s">
        <v>2760</v>
      </c>
      <c r="C409" s="151">
        <v>2019</v>
      </c>
      <c r="D409" s="151">
        <v>5</v>
      </c>
      <c r="E409" s="151">
        <v>11</v>
      </c>
    </row>
    <row r="410" spans="2:5" x14ac:dyDescent="0.2">
      <c r="B410" s="150" t="s">
        <v>2760</v>
      </c>
      <c r="C410" s="151">
        <v>2019</v>
      </c>
      <c r="D410" s="151">
        <v>6</v>
      </c>
      <c r="E410" s="151">
        <v>11</v>
      </c>
    </row>
    <row r="411" spans="2:5" x14ac:dyDescent="0.2">
      <c r="B411" s="150" t="s">
        <v>2760</v>
      </c>
      <c r="C411" s="151">
        <v>2019</v>
      </c>
      <c r="D411" s="151">
        <v>2</v>
      </c>
      <c r="E411" s="151">
        <v>6</v>
      </c>
    </row>
    <row r="412" spans="2:5" x14ac:dyDescent="0.2">
      <c r="B412" s="150" t="s">
        <v>2761</v>
      </c>
      <c r="C412" s="151">
        <v>2019</v>
      </c>
      <c r="D412" s="151">
        <v>10</v>
      </c>
      <c r="E412" s="151">
        <v>398</v>
      </c>
    </row>
    <row r="413" spans="2:5" x14ac:dyDescent="0.2">
      <c r="B413" s="150" t="s">
        <v>2761</v>
      </c>
      <c r="C413" s="151">
        <v>2019</v>
      </c>
      <c r="D413" s="151">
        <v>4</v>
      </c>
      <c r="E413" s="151">
        <v>371</v>
      </c>
    </row>
    <row r="414" spans="2:5" x14ac:dyDescent="0.2">
      <c r="B414" s="150" t="s">
        <v>2761</v>
      </c>
      <c r="C414" s="151">
        <v>2019</v>
      </c>
      <c r="D414" s="151">
        <v>8</v>
      </c>
      <c r="E414" s="151">
        <v>346</v>
      </c>
    </row>
    <row r="415" spans="2:5" x14ac:dyDescent="0.2">
      <c r="B415" s="150" t="s">
        <v>2761</v>
      </c>
      <c r="C415" s="151">
        <v>2019</v>
      </c>
      <c r="D415" s="151">
        <v>5</v>
      </c>
      <c r="E415" s="151">
        <v>313</v>
      </c>
    </row>
    <row r="416" spans="2:5" x14ac:dyDescent="0.2">
      <c r="B416" s="150" t="s">
        <v>2761</v>
      </c>
      <c r="C416" s="151">
        <v>2019</v>
      </c>
      <c r="D416" s="151">
        <v>6</v>
      </c>
      <c r="E416" s="151">
        <v>266</v>
      </c>
    </row>
    <row r="417" spans="2:5" x14ac:dyDescent="0.2">
      <c r="B417" s="150" t="s">
        <v>2761</v>
      </c>
      <c r="C417" s="151">
        <v>2019</v>
      </c>
      <c r="D417" s="151">
        <v>3</v>
      </c>
      <c r="E417" s="151">
        <v>251</v>
      </c>
    </row>
    <row r="418" spans="2:5" x14ac:dyDescent="0.2">
      <c r="B418" s="150" t="s">
        <v>2761</v>
      </c>
      <c r="C418" s="151">
        <v>2019</v>
      </c>
      <c r="D418" s="151">
        <v>9</v>
      </c>
      <c r="E418" s="151">
        <v>243</v>
      </c>
    </row>
    <row r="419" spans="2:5" x14ac:dyDescent="0.2">
      <c r="B419" s="150" t="s">
        <v>2761</v>
      </c>
      <c r="C419" s="151">
        <v>2019</v>
      </c>
      <c r="D419" s="151">
        <v>2</v>
      </c>
      <c r="E419" s="151">
        <v>193</v>
      </c>
    </row>
    <row r="420" spans="2:5" x14ac:dyDescent="0.2">
      <c r="B420" s="150" t="s">
        <v>2761</v>
      </c>
      <c r="C420" s="151">
        <v>2019</v>
      </c>
      <c r="D420" s="151">
        <v>11</v>
      </c>
      <c r="E420" s="151">
        <v>190</v>
      </c>
    </row>
    <row r="421" spans="2:5" x14ac:dyDescent="0.2">
      <c r="B421" s="150" t="s">
        <v>2761</v>
      </c>
      <c r="C421" s="151">
        <v>2019</v>
      </c>
      <c r="D421" s="151">
        <v>1</v>
      </c>
      <c r="E421" s="151">
        <v>166</v>
      </c>
    </row>
    <row r="422" spans="2:5" x14ac:dyDescent="0.2">
      <c r="B422" s="150" t="s">
        <v>2761</v>
      </c>
      <c r="C422" s="151">
        <v>2019</v>
      </c>
      <c r="D422" s="151">
        <v>7</v>
      </c>
      <c r="E422" s="151">
        <v>157</v>
      </c>
    </row>
    <row r="423" spans="2:5" x14ac:dyDescent="0.2">
      <c r="B423" s="150" t="s">
        <v>2761</v>
      </c>
      <c r="C423" s="151">
        <v>2019</v>
      </c>
      <c r="D423" s="151">
        <v>12</v>
      </c>
      <c r="E423" s="151">
        <v>142</v>
      </c>
    </row>
    <row r="424" spans="2:5" x14ac:dyDescent="0.2">
      <c r="B424" s="150" t="s">
        <v>2897</v>
      </c>
      <c r="C424" s="151">
        <v>2019</v>
      </c>
      <c r="D424" s="151">
        <v>6</v>
      </c>
      <c r="E424" s="151">
        <v>45</v>
      </c>
    </row>
    <row r="425" spans="2:5" x14ac:dyDescent="0.2">
      <c r="B425" s="150" t="s">
        <v>2897</v>
      </c>
      <c r="C425" s="151">
        <v>2019</v>
      </c>
      <c r="D425" s="151">
        <v>5</v>
      </c>
      <c r="E425" s="151">
        <v>40</v>
      </c>
    </row>
    <row r="426" spans="2:5" x14ac:dyDescent="0.2">
      <c r="B426" s="150" t="s">
        <v>2897</v>
      </c>
      <c r="C426" s="151">
        <v>2019</v>
      </c>
      <c r="D426" s="151">
        <v>9</v>
      </c>
      <c r="E426" s="151">
        <v>35</v>
      </c>
    </row>
    <row r="427" spans="2:5" x14ac:dyDescent="0.2">
      <c r="B427" s="150" t="s">
        <v>2897</v>
      </c>
      <c r="C427" s="151">
        <v>2019</v>
      </c>
      <c r="D427" s="151">
        <v>11</v>
      </c>
      <c r="E427" s="151">
        <v>30</v>
      </c>
    </row>
    <row r="428" spans="2:5" x14ac:dyDescent="0.2">
      <c r="B428" s="150" t="s">
        <v>2897</v>
      </c>
      <c r="C428" s="151">
        <v>2019</v>
      </c>
      <c r="D428" s="151">
        <v>10</v>
      </c>
      <c r="E428" s="151">
        <v>18</v>
      </c>
    </row>
    <row r="429" spans="2:5" x14ac:dyDescent="0.2">
      <c r="B429" s="150" t="s">
        <v>2897</v>
      </c>
      <c r="C429" s="151">
        <v>2019</v>
      </c>
      <c r="D429" s="151">
        <v>2</v>
      </c>
      <c r="E429" s="151">
        <v>17</v>
      </c>
    </row>
    <row r="430" spans="2:5" x14ac:dyDescent="0.2">
      <c r="B430" s="150" t="s">
        <v>2897</v>
      </c>
      <c r="C430" s="151">
        <v>2019</v>
      </c>
      <c r="D430" s="151">
        <v>4</v>
      </c>
      <c r="E430" s="151">
        <v>17</v>
      </c>
    </row>
    <row r="431" spans="2:5" x14ac:dyDescent="0.2">
      <c r="B431" s="150" t="s">
        <v>2897</v>
      </c>
      <c r="C431" s="151">
        <v>2019</v>
      </c>
      <c r="D431" s="151">
        <v>7</v>
      </c>
      <c r="E431" s="151">
        <v>13</v>
      </c>
    </row>
    <row r="432" spans="2:5" x14ac:dyDescent="0.2">
      <c r="B432" s="150" t="s">
        <v>2897</v>
      </c>
      <c r="C432" s="151">
        <v>2019</v>
      </c>
      <c r="D432" s="151">
        <v>8</v>
      </c>
      <c r="E432" s="151">
        <v>11</v>
      </c>
    </row>
    <row r="433" spans="2:5" x14ac:dyDescent="0.2">
      <c r="B433" s="150" t="s">
        <v>2897</v>
      </c>
      <c r="C433" s="151">
        <v>2019</v>
      </c>
      <c r="D433" s="151">
        <v>3</v>
      </c>
      <c r="E433" s="151">
        <v>10</v>
      </c>
    </row>
    <row r="434" spans="2:5" x14ac:dyDescent="0.2">
      <c r="B434" s="150" t="s">
        <v>2897</v>
      </c>
      <c r="C434" s="151">
        <v>2019</v>
      </c>
      <c r="D434" s="151">
        <v>12</v>
      </c>
      <c r="E434" s="151">
        <v>7</v>
      </c>
    </row>
    <row r="435" spans="2:5" x14ac:dyDescent="0.2">
      <c r="B435" s="150" t="s">
        <v>2897</v>
      </c>
      <c r="C435" s="151">
        <v>2019</v>
      </c>
      <c r="D435" s="151">
        <v>1</v>
      </c>
      <c r="E435" s="151">
        <v>6</v>
      </c>
    </row>
    <row r="436" spans="2:5" x14ac:dyDescent="0.2">
      <c r="B436" s="150" t="s">
        <v>2762</v>
      </c>
      <c r="C436" s="151">
        <v>2019</v>
      </c>
      <c r="D436" s="151">
        <v>4</v>
      </c>
      <c r="E436" s="151">
        <v>76</v>
      </c>
    </row>
    <row r="437" spans="2:5" x14ac:dyDescent="0.2">
      <c r="B437" s="150" t="s">
        <v>2762</v>
      </c>
      <c r="C437" s="151">
        <v>2019</v>
      </c>
      <c r="D437" s="151">
        <v>7</v>
      </c>
      <c r="E437" s="151">
        <v>22</v>
      </c>
    </row>
    <row r="438" spans="2:5" x14ac:dyDescent="0.2">
      <c r="B438" s="150" t="s">
        <v>2762</v>
      </c>
      <c r="C438" s="151">
        <v>2019</v>
      </c>
      <c r="D438" s="151">
        <v>6</v>
      </c>
      <c r="E438" s="151">
        <v>12</v>
      </c>
    </row>
    <row r="439" spans="2:5" x14ac:dyDescent="0.2">
      <c r="B439" s="150" t="s">
        <v>2762</v>
      </c>
      <c r="C439" s="151">
        <v>2019</v>
      </c>
      <c r="D439" s="151">
        <v>11</v>
      </c>
      <c r="E439" s="151">
        <v>7</v>
      </c>
    </row>
    <row r="440" spans="2:5" x14ac:dyDescent="0.2">
      <c r="B440" s="150" t="s">
        <v>2762</v>
      </c>
      <c r="C440" s="151">
        <v>2019</v>
      </c>
      <c r="D440" s="151">
        <v>1</v>
      </c>
      <c r="E440" s="151">
        <v>6</v>
      </c>
    </row>
    <row r="441" spans="2:5" x14ac:dyDescent="0.2">
      <c r="B441" s="150" t="s">
        <v>2762</v>
      </c>
      <c r="C441" s="151">
        <v>2019</v>
      </c>
      <c r="D441" s="151">
        <v>8</v>
      </c>
      <c r="E441" s="151">
        <v>5</v>
      </c>
    </row>
    <row r="442" spans="2:5" x14ac:dyDescent="0.2">
      <c r="B442" s="150" t="s">
        <v>2762</v>
      </c>
      <c r="C442" s="151">
        <v>2019</v>
      </c>
      <c r="D442" s="151">
        <v>10</v>
      </c>
      <c r="E442" s="151">
        <v>5</v>
      </c>
    </row>
    <row r="443" spans="2:5" x14ac:dyDescent="0.2">
      <c r="B443" s="150" t="s">
        <v>2762</v>
      </c>
      <c r="C443" s="151">
        <v>2019</v>
      </c>
      <c r="D443" s="151">
        <v>2</v>
      </c>
      <c r="E443" s="151">
        <v>2</v>
      </c>
    </row>
    <row r="444" spans="2:5" x14ac:dyDescent="0.2">
      <c r="B444" s="150" t="s">
        <v>2762</v>
      </c>
      <c r="C444" s="151">
        <v>2019</v>
      </c>
      <c r="D444" s="151">
        <v>5</v>
      </c>
      <c r="E444" s="151">
        <v>2</v>
      </c>
    </row>
    <row r="445" spans="2:5" x14ac:dyDescent="0.2">
      <c r="B445" s="150" t="s">
        <v>2762</v>
      </c>
      <c r="C445" s="151">
        <v>2019</v>
      </c>
      <c r="D445" s="151">
        <v>3</v>
      </c>
      <c r="E445" s="151">
        <v>1</v>
      </c>
    </row>
    <row r="446" spans="2:5" x14ac:dyDescent="0.2">
      <c r="B446" s="150" t="s">
        <v>2762</v>
      </c>
      <c r="C446" s="151">
        <v>2019</v>
      </c>
      <c r="D446" s="151">
        <v>12</v>
      </c>
      <c r="E446" s="151">
        <v>1</v>
      </c>
    </row>
    <row r="447" spans="2:5" x14ac:dyDescent="0.2">
      <c r="B447" s="150" t="s">
        <v>2912</v>
      </c>
      <c r="C447" s="151">
        <v>2019</v>
      </c>
      <c r="D447" s="151">
        <v>5</v>
      </c>
      <c r="E447" s="151">
        <v>13</v>
      </c>
    </row>
    <row r="448" spans="2:5" x14ac:dyDescent="0.2">
      <c r="B448" s="150" t="s">
        <v>2912</v>
      </c>
      <c r="C448" s="151">
        <v>2019</v>
      </c>
      <c r="D448" s="151">
        <v>9</v>
      </c>
      <c r="E448" s="151">
        <v>12</v>
      </c>
    </row>
    <row r="449" spans="2:5" x14ac:dyDescent="0.2">
      <c r="B449" s="150" t="s">
        <v>2912</v>
      </c>
      <c r="C449" s="151">
        <v>2019</v>
      </c>
      <c r="D449" s="151">
        <v>4</v>
      </c>
      <c r="E449" s="151">
        <v>11</v>
      </c>
    </row>
    <row r="450" spans="2:5" x14ac:dyDescent="0.2">
      <c r="B450" s="150" t="s">
        <v>2912</v>
      </c>
      <c r="C450" s="151">
        <v>2019</v>
      </c>
      <c r="D450" s="151">
        <v>6</v>
      </c>
      <c r="E450" s="151">
        <v>10</v>
      </c>
    </row>
    <row r="451" spans="2:5" x14ac:dyDescent="0.2">
      <c r="B451" s="150" t="s">
        <v>2912</v>
      </c>
      <c r="C451" s="151">
        <v>2019</v>
      </c>
      <c r="D451" s="151">
        <v>11</v>
      </c>
      <c r="E451" s="151">
        <v>10</v>
      </c>
    </row>
    <row r="452" spans="2:5" x14ac:dyDescent="0.2">
      <c r="B452" s="150" t="s">
        <v>2912</v>
      </c>
      <c r="C452" s="151">
        <v>2019</v>
      </c>
      <c r="D452" s="151">
        <v>2</v>
      </c>
      <c r="E452" s="151">
        <v>7</v>
      </c>
    </row>
    <row r="453" spans="2:5" x14ac:dyDescent="0.2">
      <c r="B453" s="150" t="s">
        <v>2912</v>
      </c>
      <c r="C453" s="151">
        <v>2019</v>
      </c>
      <c r="D453" s="151">
        <v>10</v>
      </c>
      <c r="E453" s="151">
        <v>7</v>
      </c>
    </row>
    <row r="454" spans="2:5" x14ac:dyDescent="0.2">
      <c r="B454" s="150" t="s">
        <v>2912</v>
      </c>
      <c r="C454" s="151">
        <v>2019</v>
      </c>
      <c r="D454" s="151">
        <v>3</v>
      </c>
      <c r="E454" s="151">
        <v>6</v>
      </c>
    </row>
    <row r="455" spans="2:5" x14ac:dyDescent="0.2">
      <c r="B455" s="150" t="s">
        <v>2912</v>
      </c>
      <c r="C455" s="151">
        <v>2019</v>
      </c>
      <c r="D455" s="151">
        <v>1</v>
      </c>
      <c r="E455" s="151">
        <v>5</v>
      </c>
    </row>
    <row r="456" spans="2:5" x14ac:dyDescent="0.2">
      <c r="B456" s="150" t="s">
        <v>2912</v>
      </c>
      <c r="C456" s="151">
        <v>2019</v>
      </c>
      <c r="D456" s="151">
        <v>8</v>
      </c>
      <c r="E456" s="151">
        <v>3</v>
      </c>
    </row>
    <row r="457" spans="2:5" x14ac:dyDescent="0.2">
      <c r="B457" s="150" t="s">
        <v>2912</v>
      </c>
      <c r="C457" s="151">
        <v>2019</v>
      </c>
      <c r="D457" s="151">
        <v>12</v>
      </c>
      <c r="E457" s="151">
        <v>3</v>
      </c>
    </row>
    <row r="458" spans="2:5" x14ac:dyDescent="0.2">
      <c r="B458" s="150" t="s">
        <v>2912</v>
      </c>
      <c r="C458" s="151">
        <v>2019</v>
      </c>
      <c r="D458" s="151">
        <v>7</v>
      </c>
      <c r="E458" s="151">
        <v>2</v>
      </c>
    </row>
    <row r="459" spans="2:5" x14ac:dyDescent="0.2">
      <c r="B459" s="150" t="s">
        <v>2763</v>
      </c>
      <c r="C459" s="151">
        <v>2019</v>
      </c>
      <c r="D459" s="151">
        <v>4</v>
      </c>
      <c r="E459" s="151">
        <v>12</v>
      </c>
    </row>
    <row r="460" spans="2:5" x14ac:dyDescent="0.2">
      <c r="B460" s="150" t="s">
        <v>2763</v>
      </c>
      <c r="C460" s="151">
        <v>2019</v>
      </c>
      <c r="D460" s="151">
        <v>8</v>
      </c>
      <c r="E460" s="151">
        <v>11</v>
      </c>
    </row>
    <row r="461" spans="2:5" x14ac:dyDescent="0.2">
      <c r="B461" s="150" t="s">
        <v>2763</v>
      </c>
      <c r="C461" s="151">
        <v>2019</v>
      </c>
      <c r="D461" s="151">
        <v>10</v>
      </c>
      <c r="E461" s="151">
        <v>11</v>
      </c>
    </row>
    <row r="462" spans="2:5" x14ac:dyDescent="0.2">
      <c r="B462" s="150" t="s">
        <v>2763</v>
      </c>
      <c r="C462" s="151">
        <v>2019</v>
      </c>
      <c r="D462" s="151">
        <v>6</v>
      </c>
      <c r="E462" s="151">
        <v>10</v>
      </c>
    </row>
    <row r="463" spans="2:5" x14ac:dyDescent="0.2">
      <c r="B463" s="150" t="s">
        <v>2763</v>
      </c>
      <c r="C463" s="151">
        <v>2019</v>
      </c>
      <c r="D463" s="151">
        <v>5</v>
      </c>
      <c r="E463" s="151">
        <v>9</v>
      </c>
    </row>
    <row r="464" spans="2:5" x14ac:dyDescent="0.2">
      <c r="B464" s="150" t="s">
        <v>2763</v>
      </c>
      <c r="C464" s="151">
        <v>2019</v>
      </c>
      <c r="D464" s="151">
        <v>3</v>
      </c>
      <c r="E464" s="151">
        <v>4</v>
      </c>
    </row>
    <row r="465" spans="2:5" x14ac:dyDescent="0.2">
      <c r="B465" s="150" t="s">
        <v>2763</v>
      </c>
      <c r="C465" s="151">
        <v>2019</v>
      </c>
      <c r="D465" s="151">
        <v>9</v>
      </c>
      <c r="E465" s="151">
        <v>4</v>
      </c>
    </row>
    <row r="466" spans="2:5" x14ac:dyDescent="0.2">
      <c r="B466" s="150" t="s">
        <v>2764</v>
      </c>
      <c r="C466" s="151">
        <v>2019</v>
      </c>
      <c r="D466" s="151">
        <v>3</v>
      </c>
      <c r="E466" s="151">
        <v>25</v>
      </c>
    </row>
    <row r="467" spans="2:5" x14ac:dyDescent="0.2">
      <c r="B467" s="150" t="s">
        <v>2764</v>
      </c>
      <c r="C467" s="151">
        <v>2019</v>
      </c>
      <c r="D467" s="151">
        <v>2</v>
      </c>
      <c r="E467" s="151">
        <v>12</v>
      </c>
    </row>
    <row r="468" spans="2:5" x14ac:dyDescent="0.2">
      <c r="B468" s="150" t="s">
        <v>2764</v>
      </c>
      <c r="C468" s="151">
        <v>2019</v>
      </c>
      <c r="D468" s="151">
        <v>6</v>
      </c>
      <c r="E468" s="151">
        <v>7</v>
      </c>
    </row>
    <row r="469" spans="2:5" x14ac:dyDescent="0.2">
      <c r="B469" s="150" t="s">
        <v>2764</v>
      </c>
      <c r="C469" s="151">
        <v>2019</v>
      </c>
      <c r="D469" s="151">
        <v>11</v>
      </c>
      <c r="E469" s="151">
        <v>7</v>
      </c>
    </row>
    <row r="470" spans="2:5" x14ac:dyDescent="0.2">
      <c r="B470" s="150" t="s">
        <v>2764</v>
      </c>
      <c r="C470" s="151">
        <v>2019</v>
      </c>
      <c r="D470" s="151">
        <v>5</v>
      </c>
      <c r="E470" s="151">
        <v>6</v>
      </c>
    </row>
    <row r="471" spans="2:5" x14ac:dyDescent="0.2">
      <c r="B471" s="150" t="s">
        <v>2764</v>
      </c>
      <c r="C471" s="151">
        <v>2019</v>
      </c>
      <c r="D471" s="151">
        <v>7</v>
      </c>
      <c r="E471" s="151">
        <v>5</v>
      </c>
    </row>
    <row r="472" spans="2:5" x14ac:dyDescent="0.2">
      <c r="B472" s="150" t="s">
        <v>2764</v>
      </c>
      <c r="C472" s="151">
        <v>2019</v>
      </c>
      <c r="D472" s="151">
        <v>8</v>
      </c>
      <c r="E472" s="151">
        <v>2</v>
      </c>
    </row>
    <row r="473" spans="2:5" x14ac:dyDescent="0.2">
      <c r="B473" s="150" t="s">
        <v>2764</v>
      </c>
      <c r="C473" s="151">
        <v>2019</v>
      </c>
      <c r="D473" s="151">
        <v>9</v>
      </c>
      <c r="E473" s="151">
        <v>2</v>
      </c>
    </row>
    <row r="474" spans="2:5" x14ac:dyDescent="0.2">
      <c r="B474" s="150" t="s">
        <v>2956</v>
      </c>
      <c r="C474" s="151">
        <v>2019</v>
      </c>
      <c r="D474" s="151">
        <v>2</v>
      </c>
      <c r="E474" s="151">
        <v>2</v>
      </c>
    </row>
    <row r="475" spans="2:5" x14ac:dyDescent="0.2">
      <c r="B475" s="150" t="s">
        <v>2956</v>
      </c>
      <c r="C475" s="151">
        <v>2019</v>
      </c>
      <c r="D475" s="151">
        <v>3</v>
      </c>
      <c r="E475" s="151">
        <v>2</v>
      </c>
    </row>
    <row r="476" spans="2:5" x14ac:dyDescent="0.2">
      <c r="B476" s="150" t="s">
        <v>2956</v>
      </c>
      <c r="C476" s="151">
        <v>2019</v>
      </c>
      <c r="D476" s="151">
        <v>4</v>
      </c>
      <c r="E476" s="151">
        <v>2</v>
      </c>
    </row>
    <row r="477" spans="2:5" x14ac:dyDescent="0.2">
      <c r="B477" s="150" t="s">
        <v>2956</v>
      </c>
      <c r="C477" s="151">
        <v>2019</v>
      </c>
      <c r="D477" s="151">
        <v>10</v>
      </c>
      <c r="E477" s="151">
        <v>2</v>
      </c>
    </row>
    <row r="478" spans="2:5" x14ac:dyDescent="0.2">
      <c r="B478" s="150" t="s">
        <v>2956</v>
      </c>
      <c r="C478" s="151">
        <v>2019</v>
      </c>
      <c r="D478" s="151">
        <v>12</v>
      </c>
      <c r="E478" s="151">
        <v>1</v>
      </c>
    </row>
    <row r="479" spans="2:5" x14ac:dyDescent="0.2">
      <c r="B479" s="150" t="s">
        <v>2952</v>
      </c>
      <c r="C479" s="151">
        <v>2019</v>
      </c>
      <c r="D479" s="151">
        <v>3</v>
      </c>
      <c r="E479" s="151">
        <v>2</v>
      </c>
    </row>
    <row r="480" spans="2:5" x14ac:dyDescent="0.2">
      <c r="B480" s="150" t="s">
        <v>2952</v>
      </c>
      <c r="C480" s="151">
        <v>2019</v>
      </c>
      <c r="D480" s="151">
        <v>7</v>
      </c>
      <c r="E480" s="151">
        <v>2</v>
      </c>
    </row>
    <row r="481" spans="2:5" x14ac:dyDescent="0.2">
      <c r="B481" s="150" t="s">
        <v>2952</v>
      </c>
      <c r="C481" s="151">
        <v>2019</v>
      </c>
      <c r="D481" s="151">
        <v>9</v>
      </c>
      <c r="E481" s="151">
        <v>2</v>
      </c>
    </row>
    <row r="482" spans="2:5" x14ac:dyDescent="0.2">
      <c r="B482" s="150" t="s">
        <v>2952</v>
      </c>
      <c r="C482" s="151">
        <v>2019</v>
      </c>
      <c r="D482" s="151">
        <v>1</v>
      </c>
      <c r="E482" s="151">
        <v>1</v>
      </c>
    </row>
    <row r="483" spans="2:5" x14ac:dyDescent="0.2">
      <c r="B483" s="150" t="s">
        <v>2952</v>
      </c>
      <c r="C483" s="151">
        <v>2019</v>
      </c>
      <c r="D483" s="151">
        <v>4</v>
      </c>
      <c r="E483" s="151">
        <v>1</v>
      </c>
    </row>
    <row r="484" spans="2:5" x14ac:dyDescent="0.2">
      <c r="B484" s="150" t="s">
        <v>2952</v>
      </c>
      <c r="C484" s="151">
        <v>2019</v>
      </c>
      <c r="D484" s="151">
        <v>6</v>
      </c>
      <c r="E484" s="151">
        <v>1</v>
      </c>
    </row>
    <row r="485" spans="2:5" x14ac:dyDescent="0.2">
      <c r="B485" s="150" t="s">
        <v>2952</v>
      </c>
      <c r="C485" s="151">
        <v>2019</v>
      </c>
      <c r="D485" s="151">
        <v>10</v>
      </c>
      <c r="E485" s="151">
        <v>1</v>
      </c>
    </row>
    <row r="486" spans="2:5" x14ac:dyDescent="0.2">
      <c r="B486" s="150" t="s">
        <v>2765</v>
      </c>
      <c r="C486" s="151">
        <v>2019</v>
      </c>
      <c r="D486" s="151">
        <v>3</v>
      </c>
      <c r="E486" s="151">
        <v>16</v>
      </c>
    </row>
    <row r="487" spans="2:5" x14ac:dyDescent="0.2">
      <c r="B487" s="150" t="s">
        <v>2765</v>
      </c>
      <c r="C487" s="151">
        <v>2019</v>
      </c>
      <c r="D487" s="151">
        <v>7</v>
      </c>
      <c r="E487" s="151">
        <v>11</v>
      </c>
    </row>
    <row r="488" spans="2:5" x14ac:dyDescent="0.2">
      <c r="B488" s="150" t="s">
        <v>2765</v>
      </c>
      <c r="C488" s="151">
        <v>2019</v>
      </c>
      <c r="D488" s="151">
        <v>5</v>
      </c>
      <c r="E488" s="151">
        <v>7</v>
      </c>
    </row>
    <row r="489" spans="2:5" x14ac:dyDescent="0.2">
      <c r="B489" s="150" t="s">
        <v>2765</v>
      </c>
      <c r="C489" s="151">
        <v>2019</v>
      </c>
      <c r="D489" s="151">
        <v>9</v>
      </c>
      <c r="E489" s="151">
        <v>7</v>
      </c>
    </row>
    <row r="490" spans="2:5" x14ac:dyDescent="0.2">
      <c r="B490" s="150" t="s">
        <v>2765</v>
      </c>
      <c r="C490" s="151">
        <v>2019</v>
      </c>
      <c r="D490" s="151">
        <v>10</v>
      </c>
      <c r="E490" s="151">
        <v>6</v>
      </c>
    </row>
    <row r="491" spans="2:5" x14ac:dyDescent="0.2">
      <c r="B491" s="150" t="s">
        <v>2765</v>
      </c>
      <c r="C491" s="151">
        <v>2019</v>
      </c>
      <c r="D491" s="151">
        <v>11</v>
      </c>
      <c r="E491" s="151">
        <v>6</v>
      </c>
    </row>
    <row r="492" spans="2:5" x14ac:dyDescent="0.2">
      <c r="B492" s="150" t="s">
        <v>2765</v>
      </c>
      <c r="C492" s="151">
        <v>2019</v>
      </c>
      <c r="D492" s="151">
        <v>6</v>
      </c>
      <c r="E492" s="151">
        <v>4</v>
      </c>
    </row>
    <row r="493" spans="2:5" x14ac:dyDescent="0.2">
      <c r="B493" s="150" t="s">
        <v>2765</v>
      </c>
      <c r="C493" s="151">
        <v>2019</v>
      </c>
      <c r="D493" s="151">
        <v>8</v>
      </c>
      <c r="E493" s="151">
        <v>4</v>
      </c>
    </row>
    <row r="494" spans="2:5" x14ac:dyDescent="0.2">
      <c r="B494" s="150" t="s">
        <v>2765</v>
      </c>
      <c r="C494" s="151">
        <v>2019</v>
      </c>
      <c r="D494" s="151">
        <v>1</v>
      </c>
      <c r="E494" s="151">
        <v>3</v>
      </c>
    </row>
    <row r="495" spans="2:5" x14ac:dyDescent="0.2">
      <c r="B495" s="150" t="s">
        <v>2765</v>
      </c>
      <c r="C495" s="151">
        <v>2019</v>
      </c>
      <c r="D495" s="151">
        <v>12</v>
      </c>
      <c r="E495" s="151">
        <v>2</v>
      </c>
    </row>
    <row r="496" spans="2:5" x14ac:dyDescent="0.2">
      <c r="B496" s="150" t="s">
        <v>2765</v>
      </c>
      <c r="C496" s="151">
        <v>2019</v>
      </c>
      <c r="D496" s="151">
        <v>4</v>
      </c>
      <c r="E496" s="151">
        <v>1</v>
      </c>
    </row>
    <row r="497" spans="2:5" x14ac:dyDescent="0.2">
      <c r="B497" s="150" t="s">
        <v>2766</v>
      </c>
      <c r="C497" s="151">
        <v>2019</v>
      </c>
      <c r="D497" s="151">
        <v>4</v>
      </c>
      <c r="E497" s="151">
        <v>12</v>
      </c>
    </row>
    <row r="498" spans="2:5" x14ac:dyDescent="0.2">
      <c r="B498" s="150" t="s">
        <v>2766</v>
      </c>
      <c r="C498" s="151">
        <v>2019</v>
      </c>
      <c r="D498" s="151">
        <v>1</v>
      </c>
      <c r="E498" s="151">
        <v>9</v>
      </c>
    </row>
    <row r="499" spans="2:5" x14ac:dyDescent="0.2">
      <c r="B499" s="150" t="s">
        <v>2766</v>
      </c>
      <c r="C499" s="151">
        <v>2019</v>
      </c>
      <c r="D499" s="151">
        <v>5</v>
      </c>
      <c r="E499" s="151">
        <v>9</v>
      </c>
    </row>
    <row r="500" spans="2:5" x14ac:dyDescent="0.2">
      <c r="B500" s="150" t="s">
        <v>2766</v>
      </c>
      <c r="C500" s="151">
        <v>2019</v>
      </c>
      <c r="D500" s="151">
        <v>10</v>
      </c>
      <c r="E500" s="151">
        <v>7</v>
      </c>
    </row>
    <row r="501" spans="2:5" x14ac:dyDescent="0.2">
      <c r="B501" s="150" t="s">
        <v>2766</v>
      </c>
      <c r="C501" s="151">
        <v>2019</v>
      </c>
      <c r="D501" s="151">
        <v>2</v>
      </c>
      <c r="E501" s="151">
        <v>6</v>
      </c>
    </row>
    <row r="502" spans="2:5" x14ac:dyDescent="0.2">
      <c r="B502" s="150" t="s">
        <v>2766</v>
      </c>
      <c r="C502" s="151">
        <v>2019</v>
      </c>
      <c r="D502" s="151">
        <v>6</v>
      </c>
      <c r="E502" s="151">
        <v>5</v>
      </c>
    </row>
    <row r="503" spans="2:5" x14ac:dyDescent="0.2">
      <c r="B503" s="150" t="s">
        <v>2766</v>
      </c>
      <c r="C503" s="151">
        <v>2019</v>
      </c>
      <c r="D503" s="151">
        <v>3</v>
      </c>
      <c r="E503" s="151">
        <v>4</v>
      </c>
    </row>
    <row r="504" spans="2:5" x14ac:dyDescent="0.2">
      <c r="B504" s="150" t="s">
        <v>2766</v>
      </c>
      <c r="C504" s="151">
        <v>2019</v>
      </c>
      <c r="D504" s="151">
        <v>9</v>
      </c>
      <c r="E504" s="151">
        <v>4</v>
      </c>
    </row>
    <row r="505" spans="2:5" x14ac:dyDescent="0.2">
      <c r="B505" s="150" t="s">
        <v>2766</v>
      </c>
      <c r="C505" s="151">
        <v>2019</v>
      </c>
      <c r="D505" s="151">
        <v>11</v>
      </c>
      <c r="E505" s="151">
        <v>4</v>
      </c>
    </row>
    <row r="506" spans="2:5" x14ac:dyDescent="0.2">
      <c r="B506" s="150" t="s">
        <v>2766</v>
      </c>
      <c r="C506" s="151">
        <v>2019</v>
      </c>
      <c r="D506" s="151">
        <v>7</v>
      </c>
      <c r="E506" s="151">
        <v>2</v>
      </c>
    </row>
    <row r="507" spans="2:5" x14ac:dyDescent="0.2">
      <c r="B507" s="150" t="s">
        <v>2766</v>
      </c>
      <c r="C507" s="151">
        <v>2019</v>
      </c>
      <c r="D507" s="151">
        <v>8</v>
      </c>
      <c r="E507" s="151">
        <v>2</v>
      </c>
    </row>
    <row r="508" spans="2:5" x14ac:dyDescent="0.2">
      <c r="B508" s="150" t="s">
        <v>2766</v>
      </c>
      <c r="C508" s="151">
        <v>2019</v>
      </c>
      <c r="D508" s="151">
        <v>12</v>
      </c>
      <c r="E508" s="151">
        <v>2</v>
      </c>
    </row>
    <row r="509" spans="2:5" x14ac:dyDescent="0.2">
      <c r="B509" s="150" t="s">
        <v>2767</v>
      </c>
      <c r="C509" s="151">
        <v>2019</v>
      </c>
      <c r="D509" s="151">
        <v>5</v>
      </c>
      <c r="E509" s="151">
        <v>45</v>
      </c>
    </row>
    <row r="510" spans="2:5" x14ac:dyDescent="0.2">
      <c r="B510" s="150" t="s">
        <v>2767</v>
      </c>
      <c r="C510" s="151">
        <v>2019</v>
      </c>
      <c r="D510" s="151">
        <v>2</v>
      </c>
      <c r="E510" s="151">
        <v>30</v>
      </c>
    </row>
    <row r="511" spans="2:5" x14ac:dyDescent="0.2">
      <c r="B511" s="150" t="s">
        <v>2767</v>
      </c>
      <c r="C511" s="151">
        <v>2019</v>
      </c>
      <c r="D511" s="151">
        <v>3</v>
      </c>
      <c r="E511" s="151">
        <v>24</v>
      </c>
    </row>
    <row r="512" spans="2:5" x14ac:dyDescent="0.2">
      <c r="B512" s="150" t="s">
        <v>2767</v>
      </c>
      <c r="C512" s="151">
        <v>2019</v>
      </c>
      <c r="D512" s="151">
        <v>6</v>
      </c>
      <c r="E512" s="151">
        <v>20</v>
      </c>
    </row>
    <row r="513" spans="2:5" x14ac:dyDescent="0.2">
      <c r="B513" s="150" t="s">
        <v>2767</v>
      </c>
      <c r="C513" s="151">
        <v>2019</v>
      </c>
      <c r="D513" s="151">
        <v>10</v>
      </c>
      <c r="E513" s="151">
        <v>20</v>
      </c>
    </row>
    <row r="514" spans="2:5" x14ac:dyDescent="0.2">
      <c r="B514" s="150" t="s">
        <v>2767</v>
      </c>
      <c r="C514" s="151">
        <v>2019</v>
      </c>
      <c r="D514" s="151">
        <v>4</v>
      </c>
      <c r="E514" s="151">
        <v>18</v>
      </c>
    </row>
    <row r="515" spans="2:5" x14ac:dyDescent="0.2">
      <c r="B515" s="150" t="s">
        <v>2767</v>
      </c>
      <c r="C515" s="151">
        <v>2019</v>
      </c>
      <c r="D515" s="151">
        <v>1</v>
      </c>
      <c r="E515" s="151">
        <v>14</v>
      </c>
    </row>
    <row r="516" spans="2:5" x14ac:dyDescent="0.2">
      <c r="B516" s="150" t="s">
        <v>2767</v>
      </c>
      <c r="C516" s="151">
        <v>2019</v>
      </c>
      <c r="D516" s="151">
        <v>7</v>
      </c>
      <c r="E516" s="151">
        <v>13</v>
      </c>
    </row>
    <row r="517" spans="2:5" x14ac:dyDescent="0.2">
      <c r="B517" s="150" t="s">
        <v>2767</v>
      </c>
      <c r="C517" s="151">
        <v>2019</v>
      </c>
      <c r="D517" s="151">
        <v>8</v>
      </c>
      <c r="E517" s="151">
        <v>9</v>
      </c>
    </row>
    <row r="518" spans="2:5" x14ac:dyDescent="0.2">
      <c r="B518" s="150" t="s">
        <v>2767</v>
      </c>
      <c r="C518" s="151">
        <v>2019</v>
      </c>
      <c r="D518" s="151">
        <v>12</v>
      </c>
      <c r="E518" s="151">
        <v>6</v>
      </c>
    </row>
    <row r="519" spans="2:5" x14ac:dyDescent="0.2">
      <c r="B519" s="150" t="s">
        <v>2767</v>
      </c>
      <c r="C519" s="151">
        <v>2019</v>
      </c>
      <c r="D519" s="151">
        <v>9</v>
      </c>
      <c r="E519" s="151">
        <v>4</v>
      </c>
    </row>
    <row r="520" spans="2:5" x14ac:dyDescent="0.2">
      <c r="B520" s="150" t="s">
        <v>2767</v>
      </c>
      <c r="C520" s="151">
        <v>2019</v>
      </c>
      <c r="D520" s="151">
        <v>11</v>
      </c>
      <c r="E520" s="151">
        <v>4</v>
      </c>
    </row>
    <row r="521" spans="2:5" x14ac:dyDescent="0.2">
      <c r="B521" s="150" t="s">
        <v>2768</v>
      </c>
      <c r="C521" s="151">
        <v>2019</v>
      </c>
      <c r="D521" s="151">
        <v>1</v>
      </c>
      <c r="E521" s="151">
        <v>343</v>
      </c>
    </row>
    <row r="522" spans="2:5" x14ac:dyDescent="0.2">
      <c r="B522" s="150" t="s">
        <v>2768</v>
      </c>
      <c r="C522" s="151">
        <v>2019</v>
      </c>
      <c r="D522" s="151">
        <v>3</v>
      </c>
      <c r="E522" s="151">
        <v>311</v>
      </c>
    </row>
    <row r="523" spans="2:5" x14ac:dyDescent="0.2">
      <c r="B523" s="150" t="s">
        <v>2768</v>
      </c>
      <c r="C523" s="151">
        <v>2019</v>
      </c>
      <c r="D523" s="151">
        <v>9</v>
      </c>
      <c r="E523" s="151">
        <v>297</v>
      </c>
    </row>
    <row r="524" spans="2:5" x14ac:dyDescent="0.2">
      <c r="B524" s="150" t="s">
        <v>2768</v>
      </c>
      <c r="C524" s="151">
        <v>2019</v>
      </c>
      <c r="D524" s="151">
        <v>4</v>
      </c>
      <c r="E524" s="151">
        <v>287</v>
      </c>
    </row>
    <row r="525" spans="2:5" x14ac:dyDescent="0.2">
      <c r="B525" s="150" t="s">
        <v>2768</v>
      </c>
      <c r="C525" s="151">
        <v>2019</v>
      </c>
      <c r="D525" s="151">
        <v>10</v>
      </c>
      <c r="E525" s="151">
        <v>252</v>
      </c>
    </row>
    <row r="526" spans="2:5" x14ac:dyDescent="0.2">
      <c r="B526" s="150" t="s">
        <v>2768</v>
      </c>
      <c r="C526" s="151">
        <v>2019</v>
      </c>
      <c r="D526" s="151">
        <v>8</v>
      </c>
      <c r="E526" s="151">
        <v>222</v>
      </c>
    </row>
    <row r="527" spans="2:5" x14ac:dyDescent="0.2">
      <c r="B527" s="150" t="s">
        <v>2768</v>
      </c>
      <c r="C527" s="151">
        <v>2019</v>
      </c>
      <c r="D527" s="151">
        <v>7</v>
      </c>
      <c r="E527" s="151">
        <v>217</v>
      </c>
    </row>
    <row r="528" spans="2:5" x14ac:dyDescent="0.2">
      <c r="B528" s="150" t="s">
        <v>2768</v>
      </c>
      <c r="C528" s="151">
        <v>2019</v>
      </c>
      <c r="D528" s="151">
        <v>11</v>
      </c>
      <c r="E528" s="151">
        <v>191</v>
      </c>
    </row>
    <row r="529" spans="2:5" x14ac:dyDescent="0.2">
      <c r="B529" s="150" t="s">
        <v>2768</v>
      </c>
      <c r="C529" s="151">
        <v>2019</v>
      </c>
      <c r="D529" s="151">
        <v>2</v>
      </c>
      <c r="E529" s="151">
        <v>181</v>
      </c>
    </row>
    <row r="530" spans="2:5" x14ac:dyDescent="0.2">
      <c r="B530" s="150" t="s">
        <v>2768</v>
      </c>
      <c r="C530" s="151">
        <v>2019</v>
      </c>
      <c r="D530" s="151">
        <v>12</v>
      </c>
      <c r="E530" s="151">
        <v>174</v>
      </c>
    </row>
    <row r="531" spans="2:5" x14ac:dyDescent="0.2">
      <c r="B531" s="150" t="s">
        <v>2768</v>
      </c>
      <c r="C531" s="151">
        <v>2019</v>
      </c>
      <c r="D531" s="151">
        <v>6</v>
      </c>
      <c r="E531" s="151">
        <v>153</v>
      </c>
    </row>
    <row r="532" spans="2:5" x14ac:dyDescent="0.2">
      <c r="B532" s="150" t="s">
        <v>2768</v>
      </c>
      <c r="C532" s="151">
        <v>2019</v>
      </c>
      <c r="D532" s="151">
        <v>5</v>
      </c>
      <c r="E532" s="151">
        <v>109</v>
      </c>
    </row>
    <row r="533" spans="2:5" x14ac:dyDescent="0.2">
      <c r="B533" s="150" t="s">
        <v>2949</v>
      </c>
      <c r="C533" s="151">
        <v>2019</v>
      </c>
      <c r="D533" s="151">
        <v>7</v>
      </c>
      <c r="E533" s="151">
        <v>3</v>
      </c>
    </row>
    <row r="534" spans="2:5" x14ac:dyDescent="0.2">
      <c r="B534" s="150" t="s">
        <v>2949</v>
      </c>
      <c r="C534" s="151">
        <v>2019</v>
      </c>
      <c r="D534" s="151">
        <v>8</v>
      </c>
      <c r="E534" s="151">
        <v>3</v>
      </c>
    </row>
    <row r="535" spans="2:5" x14ac:dyDescent="0.2">
      <c r="B535" s="150" t="s">
        <v>2949</v>
      </c>
      <c r="C535" s="151">
        <v>2019</v>
      </c>
      <c r="D535" s="151">
        <v>3</v>
      </c>
      <c r="E535" s="151">
        <v>2</v>
      </c>
    </row>
    <row r="536" spans="2:5" x14ac:dyDescent="0.2">
      <c r="B536" s="150" t="s">
        <v>2949</v>
      </c>
      <c r="C536" s="151">
        <v>2019</v>
      </c>
      <c r="D536" s="151">
        <v>5</v>
      </c>
      <c r="E536" s="151">
        <v>1</v>
      </c>
    </row>
    <row r="537" spans="2:5" x14ac:dyDescent="0.2">
      <c r="B537" s="150" t="s">
        <v>2949</v>
      </c>
      <c r="C537" s="151">
        <v>2019</v>
      </c>
      <c r="D537" s="151">
        <v>9</v>
      </c>
      <c r="E537" s="151">
        <v>1</v>
      </c>
    </row>
    <row r="538" spans="2:5" x14ac:dyDescent="0.2">
      <c r="B538" s="150" t="s">
        <v>2949</v>
      </c>
      <c r="C538" s="151">
        <v>2019</v>
      </c>
      <c r="D538" s="151">
        <v>11</v>
      </c>
      <c r="E538" s="151">
        <v>1</v>
      </c>
    </row>
    <row r="539" spans="2:5" x14ac:dyDescent="0.2">
      <c r="B539" s="150" t="s">
        <v>2941</v>
      </c>
      <c r="C539" s="151">
        <v>2019</v>
      </c>
      <c r="D539" s="151">
        <v>4</v>
      </c>
      <c r="E539" s="151">
        <v>4</v>
      </c>
    </row>
    <row r="540" spans="2:5" x14ac:dyDescent="0.2">
      <c r="B540" s="150" t="s">
        <v>2941</v>
      </c>
      <c r="C540" s="151">
        <v>2019</v>
      </c>
      <c r="D540" s="151">
        <v>10</v>
      </c>
      <c r="E540" s="151">
        <v>4</v>
      </c>
    </row>
    <row r="541" spans="2:5" x14ac:dyDescent="0.2">
      <c r="B541" s="150" t="s">
        <v>2941</v>
      </c>
      <c r="C541" s="151">
        <v>2019</v>
      </c>
      <c r="D541" s="151">
        <v>5</v>
      </c>
      <c r="E541" s="151">
        <v>3</v>
      </c>
    </row>
    <row r="542" spans="2:5" x14ac:dyDescent="0.2">
      <c r="B542" s="150" t="s">
        <v>2941</v>
      </c>
      <c r="C542" s="151">
        <v>2019</v>
      </c>
      <c r="D542" s="151">
        <v>2</v>
      </c>
      <c r="E542" s="151">
        <v>2</v>
      </c>
    </row>
    <row r="543" spans="2:5" x14ac:dyDescent="0.2">
      <c r="B543" s="150" t="s">
        <v>2941</v>
      </c>
      <c r="C543" s="151">
        <v>2019</v>
      </c>
      <c r="D543" s="151">
        <v>7</v>
      </c>
      <c r="E543" s="151">
        <v>2</v>
      </c>
    </row>
    <row r="544" spans="2:5" x14ac:dyDescent="0.2">
      <c r="B544" s="150" t="s">
        <v>2941</v>
      </c>
      <c r="C544" s="151">
        <v>2019</v>
      </c>
      <c r="D544" s="151">
        <v>8</v>
      </c>
      <c r="E544" s="151">
        <v>2</v>
      </c>
    </row>
    <row r="545" spans="2:5" x14ac:dyDescent="0.2">
      <c r="B545" s="150" t="s">
        <v>2941</v>
      </c>
      <c r="C545" s="151">
        <v>2019</v>
      </c>
      <c r="D545" s="151">
        <v>6</v>
      </c>
      <c r="E545" s="151">
        <v>1</v>
      </c>
    </row>
    <row r="546" spans="2:5" x14ac:dyDescent="0.2">
      <c r="B546" s="150" t="s">
        <v>2941</v>
      </c>
      <c r="C546" s="151">
        <v>2019</v>
      </c>
      <c r="D546" s="151">
        <v>9</v>
      </c>
      <c r="E546" s="151">
        <v>1</v>
      </c>
    </row>
    <row r="547" spans="2:5" x14ac:dyDescent="0.2">
      <c r="B547" s="150" t="s">
        <v>2769</v>
      </c>
      <c r="C547" s="151">
        <v>2019</v>
      </c>
      <c r="D547" s="151">
        <v>9</v>
      </c>
      <c r="E547" s="151">
        <v>21</v>
      </c>
    </row>
    <row r="548" spans="2:5" x14ac:dyDescent="0.2">
      <c r="B548" s="150" t="s">
        <v>2769</v>
      </c>
      <c r="C548" s="151">
        <v>2019</v>
      </c>
      <c r="D548" s="151">
        <v>5</v>
      </c>
      <c r="E548" s="151">
        <v>15</v>
      </c>
    </row>
    <row r="549" spans="2:5" x14ac:dyDescent="0.2">
      <c r="B549" s="150" t="s">
        <v>2769</v>
      </c>
      <c r="C549" s="151">
        <v>2019</v>
      </c>
      <c r="D549" s="151">
        <v>8</v>
      </c>
      <c r="E549" s="151">
        <v>14</v>
      </c>
    </row>
    <row r="550" spans="2:5" x14ac:dyDescent="0.2">
      <c r="B550" s="150" t="s">
        <v>2769</v>
      </c>
      <c r="C550" s="151">
        <v>2019</v>
      </c>
      <c r="D550" s="151">
        <v>11</v>
      </c>
      <c r="E550" s="151">
        <v>14</v>
      </c>
    </row>
    <row r="551" spans="2:5" x14ac:dyDescent="0.2">
      <c r="B551" s="150" t="s">
        <v>2769</v>
      </c>
      <c r="C551" s="151">
        <v>2019</v>
      </c>
      <c r="D551" s="151">
        <v>7</v>
      </c>
      <c r="E551" s="151">
        <v>11</v>
      </c>
    </row>
    <row r="552" spans="2:5" x14ac:dyDescent="0.2">
      <c r="B552" s="150" t="s">
        <v>2769</v>
      </c>
      <c r="C552" s="151">
        <v>2019</v>
      </c>
      <c r="D552" s="151">
        <v>3</v>
      </c>
      <c r="E552" s="151">
        <v>9</v>
      </c>
    </row>
    <row r="553" spans="2:5" x14ac:dyDescent="0.2">
      <c r="B553" s="150" t="s">
        <v>2769</v>
      </c>
      <c r="C553" s="151">
        <v>2019</v>
      </c>
      <c r="D553" s="151">
        <v>10</v>
      </c>
      <c r="E553" s="151">
        <v>7</v>
      </c>
    </row>
    <row r="554" spans="2:5" x14ac:dyDescent="0.2">
      <c r="B554" s="150" t="s">
        <v>2769</v>
      </c>
      <c r="C554" s="151">
        <v>2019</v>
      </c>
      <c r="D554" s="151">
        <v>6</v>
      </c>
      <c r="E554" s="151">
        <v>6</v>
      </c>
    </row>
    <row r="555" spans="2:5" x14ac:dyDescent="0.2">
      <c r="B555" s="150" t="s">
        <v>2769</v>
      </c>
      <c r="C555" s="151">
        <v>2019</v>
      </c>
      <c r="D555" s="151">
        <v>1</v>
      </c>
      <c r="E555" s="151">
        <v>5</v>
      </c>
    </row>
    <row r="556" spans="2:5" x14ac:dyDescent="0.2">
      <c r="B556" s="150" t="s">
        <v>2769</v>
      </c>
      <c r="C556" s="151">
        <v>2019</v>
      </c>
      <c r="D556" s="151">
        <v>4</v>
      </c>
      <c r="E556" s="151">
        <v>3</v>
      </c>
    </row>
    <row r="557" spans="2:5" x14ac:dyDescent="0.2">
      <c r="B557" s="150" t="s">
        <v>2770</v>
      </c>
      <c r="C557" s="151">
        <v>2019</v>
      </c>
      <c r="D557" s="151">
        <v>4</v>
      </c>
      <c r="E557" s="151">
        <v>28</v>
      </c>
    </row>
    <row r="558" spans="2:5" x14ac:dyDescent="0.2">
      <c r="B558" s="150" t="s">
        <v>2770</v>
      </c>
      <c r="C558" s="151">
        <v>2019</v>
      </c>
      <c r="D558" s="151">
        <v>3</v>
      </c>
      <c r="E558" s="151">
        <v>17</v>
      </c>
    </row>
    <row r="559" spans="2:5" x14ac:dyDescent="0.2">
      <c r="B559" s="150" t="s">
        <v>2770</v>
      </c>
      <c r="C559" s="151">
        <v>2019</v>
      </c>
      <c r="D559" s="151">
        <v>6</v>
      </c>
      <c r="E559" s="151">
        <v>17</v>
      </c>
    </row>
    <row r="560" spans="2:5" x14ac:dyDescent="0.2">
      <c r="B560" s="150" t="s">
        <v>2770</v>
      </c>
      <c r="C560" s="151">
        <v>2019</v>
      </c>
      <c r="D560" s="151">
        <v>10</v>
      </c>
      <c r="E560" s="151">
        <v>17</v>
      </c>
    </row>
    <row r="561" spans="2:5" x14ac:dyDescent="0.2">
      <c r="B561" s="150" t="s">
        <v>2770</v>
      </c>
      <c r="C561" s="151">
        <v>2019</v>
      </c>
      <c r="D561" s="151">
        <v>7</v>
      </c>
      <c r="E561" s="151">
        <v>15</v>
      </c>
    </row>
    <row r="562" spans="2:5" x14ac:dyDescent="0.2">
      <c r="B562" s="150" t="s">
        <v>2770</v>
      </c>
      <c r="C562" s="151">
        <v>2019</v>
      </c>
      <c r="D562" s="151">
        <v>9</v>
      </c>
      <c r="E562" s="151">
        <v>14</v>
      </c>
    </row>
    <row r="563" spans="2:5" x14ac:dyDescent="0.2">
      <c r="B563" s="150" t="s">
        <v>2770</v>
      </c>
      <c r="C563" s="151">
        <v>2019</v>
      </c>
      <c r="D563" s="151">
        <v>5</v>
      </c>
      <c r="E563" s="151">
        <v>11</v>
      </c>
    </row>
    <row r="564" spans="2:5" x14ac:dyDescent="0.2">
      <c r="B564" s="150" t="s">
        <v>2770</v>
      </c>
      <c r="C564" s="151">
        <v>2019</v>
      </c>
      <c r="D564" s="151">
        <v>2</v>
      </c>
      <c r="E564" s="151">
        <v>9</v>
      </c>
    </row>
    <row r="565" spans="2:5" x14ac:dyDescent="0.2">
      <c r="B565" s="150" t="s">
        <v>2770</v>
      </c>
      <c r="C565" s="151">
        <v>2019</v>
      </c>
      <c r="D565" s="151">
        <v>8</v>
      </c>
      <c r="E565" s="151">
        <v>7</v>
      </c>
    </row>
    <row r="566" spans="2:5" x14ac:dyDescent="0.2">
      <c r="B566" s="150" t="s">
        <v>2770</v>
      </c>
      <c r="C566" s="151">
        <v>2019</v>
      </c>
      <c r="D566" s="151">
        <v>11</v>
      </c>
      <c r="E566" s="151">
        <v>3</v>
      </c>
    </row>
    <row r="567" spans="2:5" x14ac:dyDescent="0.2">
      <c r="B567" s="150" t="s">
        <v>2771</v>
      </c>
      <c r="C567" s="151">
        <v>2019</v>
      </c>
      <c r="D567" s="151">
        <v>6</v>
      </c>
      <c r="E567" s="151">
        <v>7</v>
      </c>
    </row>
    <row r="568" spans="2:5" x14ac:dyDescent="0.2">
      <c r="B568" s="150" t="s">
        <v>2771</v>
      </c>
      <c r="C568" s="151">
        <v>2019</v>
      </c>
      <c r="D568" s="151">
        <v>4</v>
      </c>
      <c r="E568" s="151">
        <v>5</v>
      </c>
    </row>
    <row r="569" spans="2:5" x14ac:dyDescent="0.2">
      <c r="B569" s="150" t="s">
        <v>2771</v>
      </c>
      <c r="C569" s="151">
        <v>2019</v>
      </c>
      <c r="D569" s="151">
        <v>1</v>
      </c>
      <c r="E569" s="151">
        <v>4</v>
      </c>
    </row>
    <row r="570" spans="2:5" x14ac:dyDescent="0.2">
      <c r="B570" s="150" t="s">
        <v>2771</v>
      </c>
      <c r="C570" s="151">
        <v>2019</v>
      </c>
      <c r="D570" s="151">
        <v>2</v>
      </c>
      <c r="E570" s="151">
        <v>3</v>
      </c>
    </row>
    <row r="571" spans="2:5" x14ac:dyDescent="0.2">
      <c r="B571" s="150" t="s">
        <v>2771</v>
      </c>
      <c r="C571" s="151">
        <v>2019</v>
      </c>
      <c r="D571" s="151">
        <v>5</v>
      </c>
      <c r="E571" s="151">
        <v>2</v>
      </c>
    </row>
    <row r="572" spans="2:5" x14ac:dyDescent="0.2">
      <c r="B572" s="150" t="s">
        <v>2772</v>
      </c>
      <c r="C572" s="151">
        <v>2019</v>
      </c>
      <c r="D572" s="151">
        <v>9</v>
      </c>
      <c r="E572" s="151">
        <v>36</v>
      </c>
    </row>
    <row r="573" spans="2:5" x14ac:dyDescent="0.2">
      <c r="B573" s="150" t="s">
        <v>2772</v>
      </c>
      <c r="C573" s="151">
        <v>2019</v>
      </c>
      <c r="D573" s="151">
        <v>11</v>
      </c>
      <c r="E573" s="151">
        <v>28</v>
      </c>
    </row>
    <row r="574" spans="2:5" x14ac:dyDescent="0.2">
      <c r="B574" s="150" t="s">
        <v>2772</v>
      </c>
      <c r="C574" s="151">
        <v>2019</v>
      </c>
      <c r="D574" s="151">
        <v>2</v>
      </c>
      <c r="E574" s="151">
        <v>27</v>
      </c>
    </row>
    <row r="575" spans="2:5" x14ac:dyDescent="0.2">
      <c r="B575" s="150" t="s">
        <v>2772</v>
      </c>
      <c r="C575" s="151">
        <v>2019</v>
      </c>
      <c r="D575" s="151">
        <v>8</v>
      </c>
      <c r="E575" s="151">
        <v>24</v>
      </c>
    </row>
    <row r="576" spans="2:5" x14ac:dyDescent="0.2">
      <c r="B576" s="150" t="s">
        <v>2772</v>
      </c>
      <c r="C576" s="151">
        <v>2019</v>
      </c>
      <c r="D576" s="151">
        <v>7</v>
      </c>
      <c r="E576" s="151">
        <v>23</v>
      </c>
    </row>
    <row r="577" spans="2:5" x14ac:dyDescent="0.2">
      <c r="B577" s="150" t="s">
        <v>2772</v>
      </c>
      <c r="C577" s="151">
        <v>2019</v>
      </c>
      <c r="D577" s="151">
        <v>5</v>
      </c>
      <c r="E577" s="151">
        <v>19</v>
      </c>
    </row>
    <row r="578" spans="2:5" x14ac:dyDescent="0.2">
      <c r="B578" s="150" t="s">
        <v>2772</v>
      </c>
      <c r="C578" s="151">
        <v>2019</v>
      </c>
      <c r="D578" s="151">
        <v>6</v>
      </c>
      <c r="E578" s="151">
        <v>14</v>
      </c>
    </row>
    <row r="579" spans="2:5" x14ac:dyDescent="0.2">
      <c r="B579" s="150" t="s">
        <v>2772</v>
      </c>
      <c r="C579" s="151">
        <v>2019</v>
      </c>
      <c r="D579" s="151">
        <v>3</v>
      </c>
      <c r="E579" s="151">
        <v>10</v>
      </c>
    </row>
    <row r="580" spans="2:5" x14ac:dyDescent="0.2">
      <c r="B580" s="150" t="s">
        <v>2772</v>
      </c>
      <c r="C580" s="151">
        <v>2019</v>
      </c>
      <c r="D580" s="151">
        <v>10</v>
      </c>
      <c r="E580" s="151">
        <v>8</v>
      </c>
    </row>
    <row r="581" spans="2:5" x14ac:dyDescent="0.2">
      <c r="B581" s="150" t="s">
        <v>2772</v>
      </c>
      <c r="C581" s="151">
        <v>2019</v>
      </c>
      <c r="D581" s="151">
        <v>4</v>
      </c>
      <c r="E581" s="151">
        <v>4</v>
      </c>
    </row>
    <row r="582" spans="2:5" x14ac:dyDescent="0.2">
      <c r="B582" s="150" t="s">
        <v>2772</v>
      </c>
      <c r="C582" s="151">
        <v>2019</v>
      </c>
      <c r="D582" s="151">
        <v>12</v>
      </c>
      <c r="E582" s="151">
        <v>2</v>
      </c>
    </row>
    <row r="583" spans="2:5" x14ac:dyDescent="0.2">
      <c r="B583" s="150" t="s">
        <v>2772</v>
      </c>
      <c r="C583" s="151">
        <v>2019</v>
      </c>
      <c r="D583" s="151">
        <v>1</v>
      </c>
      <c r="E583" s="151">
        <v>1</v>
      </c>
    </row>
    <row r="584" spans="2:5" x14ac:dyDescent="0.2">
      <c r="B584" s="150" t="s">
        <v>2773</v>
      </c>
      <c r="C584" s="151">
        <v>2019</v>
      </c>
      <c r="D584" s="151">
        <v>3</v>
      </c>
      <c r="E584" s="151">
        <v>216</v>
      </c>
    </row>
    <row r="585" spans="2:5" x14ac:dyDescent="0.2">
      <c r="B585" s="150" t="s">
        <v>2773</v>
      </c>
      <c r="C585" s="151">
        <v>2019</v>
      </c>
      <c r="D585" s="151">
        <v>9</v>
      </c>
      <c r="E585" s="151">
        <v>154</v>
      </c>
    </row>
    <row r="586" spans="2:5" x14ac:dyDescent="0.2">
      <c r="B586" s="150" t="s">
        <v>2773</v>
      </c>
      <c r="C586" s="151">
        <v>2019</v>
      </c>
      <c r="D586" s="151">
        <v>4</v>
      </c>
      <c r="E586" s="151">
        <v>121</v>
      </c>
    </row>
    <row r="587" spans="2:5" x14ac:dyDescent="0.2">
      <c r="B587" s="150" t="s">
        <v>2773</v>
      </c>
      <c r="C587" s="151">
        <v>2019</v>
      </c>
      <c r="D587" s="151">
        <v>10</v>
      </c>
      <c r="E587" s="151">
        <v>121</v>
      </c>
    </row>
    <row r="588" spans="2:5" x14ac:dyDescent="0.2">
      <c r="B588" s="150" t="s">
        <v>2773</v>
      </c>
      <c r="C588" s="151">
        <v>2019</v>
      </c>
      <c r="D588" s="151">
        <v>8</v>
      </c>
      <c r="E588" s="151">
        <v>106</v>
      </c>
    </row>
    <row r="589" spans="2:5" x14ac:dyDescent="0.2">
      <c r="B589" s="150" t="s">
        <v>2773</v>
      </c>
      <c r="C589" s="151">
        <v>2019</v>
      </c>
      <c r="D589" s="151">
        <v>11</v>
      </c>
      <c r="E589" s="151">
        <v>102</v>
      </c>
    </row>
    <row r="590" spans="2:5" x14ac:dyDescent="0.2">
      <c r="B590" s="150" t="s">
        <v>2773</v>
      </c>
      <c r="C590" s="151">
        <v>2019</v>
      </c>
      <c r="D590" s="151">
        <v>5</v>
      </c>
      <c r="E590" s="151">
        <v>96</v>
      </c>
    </row>
    <row r="591" spans="2:5" x14ac:dyDescent="0.2">
      <c r="B591" s="150" t="s">
        <v>2773</v>
      </c>
      <c r="C591" s="151">
        <v>2019</v>
      </c>
      <c r="D591" s="151">
        <v>6</v>
      </c>
      <c r="E591" s="151">
        <v>75</v>
      </c>
    </row>
    <row r="592" spans="2:5" x14ac:dyDescent="0.2">
      <c r="B592" s="150" t="s">
        <v>2773</v>
      </c>
      <c r="C592" s="151">
        <v>2019</v>
      </c>
      <c r="D592" s="151">
        <v>7</v>
      </c>
      <c r="E592" s="151">
        <v>65</v>
      </c>
    </row>
    <row r="593" spans="2:5" x14ac:dyDescent="0.2">
      <c r="B593" s="150" t="s">
        <v>2773</v>
      </c>
      <c r="C593" s="151">
        <v>2019</v>
      </c>
      <c r="D593" s="151">
        <v>1</v>
      </c>
      <c r="E593" s="151">
        <v>11</v>
      </c>
    </row>
    <row r="594" spans="2:5" x14ac:dyDescent="0.2">
      <c r="B594" s="150" t="s">
        <v>2773</v>
      </c>
      <c r="C594" s="151">
        <v>2019</v>
      </c>
      <c r="D594" s="151">
        <v>2</v>
      </c>
      <c r="E594" s="151">
        <v>3</v>
      </c>
    </row>
    <row r="595" spans="2:5" x14ac:dyDescent="0.2">
      <c r="B595" s="150" t="s">
        <v>2774</v>
      </c>
      <c r="C595" s="151">
        <v>2019</v>
      </c>
      <c r="D595" s="151">
        <v>5</v>
      </c>
      <c r="E595" s="151">
        <v>16</v>
      </c>
    </row>
    <row r="596" spans="2:5" x14ac:dyDescent="0.2">
      <c r="B596" s="150" t="s">
        <v>2774</v>
      </c>
      <c r="C596" s="151">
        <v>2019</v>
      </c>
      <c r="D596" s="151">
        <v>6</v>
      </c>
      <c r="E596" s="151">
        <v>8</v>
      </c>
    </row>
    <row r="597" spans="2:5" x14ac:dyDescent="0.2">
      <c r="B597" s="150" t="s">
        <v>2774</v>
      </c>
      <c r="C597" s="151">
        <v>2019</v>
      </c>
      <c r="D597" s="151">
        <v>2</v>
      </c>
      <c r="E597" s="151">
        <v>3</v>
      </c>
    </row>
    <row r="598" spans="2:5" x14ac:dyDescent="0.2">
      <c r="B598" s="150" t="s">
        <v>2774</v>
      </c>
      <c r="C598" s="151">
        <v>2019</v>
      </c>
      <c r="D598" s="151">
        <v>9</v>
      </c>
      <c r="E598" s="151">
        <v>3</v>
      </c>
    </row>
    <row r="599" spans="2:5" x14ac:dyDescent="0.2">
      <c r="B599" s="150" t="s">
        <v>2774</v>
      </c>
      <c r="C599" s="151">
        <v>2019</v>
      </c>
      <c r="D599" s="151">
        <v>3</v>
      </c>
      <c r="E599" s="151">
        <v>1</v>
      </c>
    </row>
    <row r="600" spans="2:5" x14ac:dyDescent="0.2">
      <c r="B600" s="150" t="s">
        <v>2774</v>
      </c>
      <c r="C600" s="151">
        <v>2019</v>
      </c>
      <c r="D600" s="151">
        <v>7</v>
      </c>
      <c r="E600" s="151">
        <v>1</v>
      </c>
    </row>
    <row r="601" spans="2:5" x14ac:dyDescent="0.2">
      <c r="B601" s="150" t="s">
        <v>2774</v>
      </c>
      <c r="C601" s="151">
        <v>2019</v>
      </c>
      <c r="D601" s="151">
        <v>8</v>
      </c>
      <c r="E601" s="151">
        <v>1</v>
      </c>
    </row>
    <row r="602" spans="2:5" x14ac:dyDescent="0.2">
      <c r="B602" s="150" t="s">
        <v>2774</v>
      </c>
      <c r="C602" s="151">
        <v>2019</v>
      </c>
      <c r="D602" s="151">
        <v>12</v>
      </c>
      <c r="E602" s="151">
        <v>1</v>
      </c>
    </row>
    <row r="603" spans="2:5" x14ac:dyDescent="0.2">
      <c r="B603" s="150" t="s">
        <v>2939</v>
      </c>
      <c r="C603" s="151">
        <v>2019</v>
      </c>
      <c r="D603" s="151">
        <v>1</v>
      </c>
      <c r="E603" s="151">
        <v>4</v>
      </c>
    </row>
    <row r="604" spans="2:5" x14ac:dyDescent="0.2">
      <c r="B604" s="150" t="s">
        <v>2939</v>
      </c>
      <c r="C604" s="151">
        <v>2019</v>
      </c>
      <c r="D604" s="151">
        <v>3</v>
      </c>
      <c r="E604" s="151">
        <v>3</v>
      </c>
    </row>
    <row r="605" spans="2:5" x14ac:dyDescent="0.2">
      <c r="B605" s="150" t="s">
        <v>2939</v>
      </c>
      <c r="C605" s="151">
        <v>2019</v>
      </c>
      <c r="D605" s="151">
        <v>10</v>
      </c>
      <c r="E605" s="151">
        <v>3</v>
      </c>
    </row>
    <row r="606" spans="2:5" x14ac:dyDescent="0.2">
      <c r="B606" s="150" t="s">
        <v>2939</v>
      </c>
      <c r="C606" s="151">
        <v>2019</v>
      </c>
      <c r="D606" s="151">
        <v>4</v>
      </c>
      <c r="E606" s="151">
        <v>2</v>
      </c>
    </row>
    <row r="607" spans="2:5" x14ac:dyDescent="0.2">
      <c r="B607" s="150" t="s">
        <v>2939</v>
      </c>
      <c r="C607" s="151">
        <v>2019</v>
      </c>
      <c r="D607" s="151">
        <v>7</v>
      </c>
      <c r="E607" s="151">
        <v>2</v>
      </c>
    </row>
    <row r="608" spans="2:5" x14ac:dyDescent="0.2">
      <c r="B608" s="150" t="s">
        <v>2939</v>
      </c>
      <c r="C608" s="151">
        <v>2019</v>
      </c>
      <c r="D608" s="151">
        <v>8</v>
      </c>
      <c r="E608" s="151">
        <v>2</v>
      </c>
    </row>
    <row r="609" spans="2:5" x14ac:dyDescent="0.2">
      <c r="B609" s="150" t="s">
        <v>2939</v>
      </c>
      <c r="C609" s="151">
        <v>2019</v>
      </c>
      <c r="D609" s="151">
        <v>5</v>
      </c>
      <c r="E609" s="151">
        <v>1</v>
      </c>
    </row>
    <row r="610" spans="2:5" x14ac:dyDescent="0.2">
      <c r="B610" s="150" t="s">
        <v>2939</v>
      </c>
      <c r="C610" s="151">
        <v>2019</v>
      </c>
      <c r="D610" s="151">
        <v>6</v>
      </c>
      <c r="E610" s="151">
        <v>1</v>
      </c>
    </row>
    <row r="611" spans="2:5" x14ac:dyDescent="0.2">
      <c r="B611" s="150" t="s">
        <v>2939</v>
      </c>
      <c r="C611" s="151">
        <v>2019</v>
      </c>
      <c r="D611" s="151">
        <v>9</v>
      </c>
      <c r="E611" s="151">
        <v>1</v>
      </c>
    </row>
    <row r="612" spans="2:5" x14ac:dyDescent="0.2">
      <c r="B612" s="150" t="s">
        <v>2939</v>
      </c>
      <c r="C612" s="151">
        <v>2019</v>
      </c>
      <c r="D612" s="151">
        <v>12</v>
      </c>
      <c r="E612" s="151">
        <v>1</v>
      </c>
    </row>
    <row r="613" spans="2:5" x14ac:dyDescent="0.2">
      <c r="B613" s="150" t="s">
        <v>2775</v>
      </c>
      <c r="C613" s="151">
        <v>2019</v>
      </c>
      <c r="D613" s="151">
        <v>9</v>
      </c>
      <c r="E613" s="151">
        <v>40</v>
      </c>
    </row>
    <row r="614" spans="2:5" x14ac:dyDescent="0.2">
      <c r="B614" s="150" t="s">
        <v>2775</v>
      </c>
      <c r="C614" s="151">
        <v>2019</v>
      </c>
      <c r="D614" s="151">
        <v>5</v>
      </c>
      <c r="E614" s="151">
        <v>36</v>
      </c>
    </row>
    <row r="615" spans="2:5" x14ac:dyDescent="0.2">
      <c r="B615" s="150" t="s">
        <v>2775</v>
      </c>
      <c r="C615" s="151">
        <v>2019</v>
      </c>
      <c r="D615" s="151">
        <v>4</v>
      </c>
      <c r="E615" s="151">
        <v>31</v>
      </c>
    </row>
    <row r="616" spans="2:5" x14ac:dyDescent="0.2">
      <c r="B616" s="150" t="s">
        <v>2775</v>
      </c>
      <c r="C616" s="151">
        <v>2019</v>
      </c>
      <c r="D616" s="151">
        <v>1</v>
      </c>
      <c r="E616" s="151">
        <v>28</v>
      </c>
    </row>
    <row r="617" spans="2:5" x14ac:dyDescent="0.2">
      <c r="B617" s="150" t="s">
        <v>2775</v>
      </c>
      <c r="C617" s="151">
        <v>2019</v>
      </c>
      <c r="D617" s="151">
        <v>10</v>
      </c>
      <c r="E617" s="151">
        <v>17</v>
      </c>
    </row>
    <row r="618" spans="2:5" x14ac:dyDescent="0.2">
      <c r="B618" s="150" t="s">
        <v>2775</v>
      </c>
      <c r="C618" s="151">
        <v>2019</v>
      </c>
      <c r="D618" s="151">
        <v>6</v>
      </c>
      <c r="E618" s="151">
        <v>14</v>
      </c>
    </row>
    <row r="619" spans="2:5" x14ac:dyDescent="0.2">
      <c r="B619" s="150" t="s">
        <v>2775</v>
      </c>
      <c r="C619" s="151">
        <v>2019</v>
      </c>
      <c r="D619" s="151">
        <v>8</v>
      </c>
      <c r="E619" s="151">
        <v>14</v>
      </c>
    </row>
    <row r="620" spans="2:5" x14ac:dyDescent="0.2">
      <c r="B620" s="150" t="s">
        <v>2775</v>
      </c>
      <c r="C620" s="151">
        <v>2019</v>
      </c>
      <c r="D620" s="151">
        <v>12</v>
      </c>
      <c r="E620" s="151">
        <v>14</v>
      </c>
    </row>
    <row r="621" spans="2:5" x14ac:dyDescent="0.2">
      <c r="B621" s="150" t="s">
        <v>2775</v>
      </c>
      <c r="C621" s="151">
        <v>2019</v>
      </c>
      <c r="D621" s="151">
        <v>3</v>
      </c>
      <c r="E621" s="151">
        <v>6</v>
      </c>
    </row>
    <row r="622" spans="2:5" x14ac:dyDescent="0.2">
      <c r="B622" s="150" t="s">
        <v>2775</v>
      </c>
      <c r="C622" s="151">
        <v>2019</v>
      </c>
      <c r="D622" s="151">
        <v>7</v>
      </c>
      <c r="E622" s="151">
        <v>5</v>
      </c>
    </row>
    <row r="623" spans="2:5" x14ac:dyDescent="0.2">
      <c r="B623" s="150" t="s">
        <v>2775</v>
      </c>
      <c r="C623" s="151">
        <v>2019</v>
      </c>
      <c r="D623" s="151">
        <v>11</v>
      </c>
      <c r="E623" s="151">
        <v>4</v>
      </c>
    </row>
    <row r="624" spans="2:5" x14ac:dyDescent="0.2">
      <c r="B624" s="150" t="s">
        <v>2775</v>
      </c>
      <c r="C624" s="151">
        <v>2019</v>
      </c>
      <c r="D624" s="151">
        <v>2</v>
      </c>
      <c r="E624" s="151">
        <v>3</v>
      </c>
    </row>
    <row r="625" spans="2:5" x14ac:dyDescent="0.2">
      <c r="B625" s="150" t="s">
        <v>2776</v>
      </c>
      <c r="C625" s="151">
        <v>2019</v>
      </c>
      <c r="D625" s="151">
        <v>6</v>
      </c>
      <c r="E625" s="151">
        <v>4</v>
      </c>
    </row>
    <row r="626" spans="2:5" x14ac:dyDescent="0.2">
      <c r="B626" s="150" t="s">
        <v>2776</v>
      </c>
      <c r="C626" s="151">
        <v>2019</v>
      </c>
      <c r="D626" s="151">
        <v>5</v>
      </c>
      <c r="E626" s="151">
        <v>1</v>
      </c>
    </row>
    <row r="627" spans="2:5" x14ac:dyDescent="0.2">
      <c r="B627" s="150" t="s">
        <v>2776</v>
      </c>
      <c r="C627" s="151">
        <v>2019</v>
      </c>
      <c r="D627" s="151">
        <v>7</v>
      </c>
      <c r="E627" s="151">
        <v>1</v>
      </c>
    </row>
    <row r="628" spans="2:5" x14ac:dyDescent="0.2">
      <c r="B628" s="150" t="s">
        <v>2776</v>
      </c>
      <c r="C628" s="151">
        <v>2019</v>
      </c>
      <c r="D628" s="151">
        <v>9</v>
      </c>
      <c r="E628" s="151">
        <v>1</v>
      </c>
    </row>
    <row r="629" spans="2:5" x14ac:dyDescent="0.2">
      <c r="B629" s="150" t="s">
        <v>2776</v>
      </c>
      <c r="C629" s="151">
        <v>2019</v>
      </c>
      <c r="D629" s="151">
        <v>10</v>
      </c>
      <c r="E629" s="151">
        <v>1</v>
      </c>
    </row>
    <row r="630" spans="2:5" x14ac:dyDescent="0.2">
      <c r="B630" s="150" t="s">
        <v>2914</v>
      </c>
      <c r="C630" s="151">
        <v>2019</v>
      </c>
      <c r="D630" s="151">
        <v>7</v>
      </c>
      <c r="E630" s="151">
        <v>12</v>
      </c>
    </row>
    <row r="631" spans="2:5" x14ac:dyDescent="0.2">
      <c r="B631" s="150" t="s">
        <v>2914</v>
      </c>
      <c r="C631" s="151">
        <v>2019</v>
      </c>
      <c r="D631" s="151">
        <v>5</v>
      </c>
      <c r="E631" s="151">
        <v>10</v>
      </c>
    </row>
    <row r="632" spans="2:5" x14ac:dyDescent="0.2">
      <c r="B632" s="150" t="s">
        <v>2914</v>
      </c>
      <c r="C632" s="151">
        <v>2019</v>
      </c>
      <c r="D632" s="151">
        <v>6</v>
      </c>
      <c r="E632" s="151">
        <v>9</v>
      </c>
    </row>
    <row r="633" spans="2:5" x14ac:dyDescent="0.2">
      <c r="B633" s="150" t="s">
        <v>2914</v>
      </c>
      <c r="C633" s="151">
        <v>2019</v>
      </c>
      <c r="D633" s="151">
        <v>11</v>
      </c>
      <c r="E633" s="151">
        <v>9</v>
      </c>
    </row>
    <row r="634" spans="2:5" x14ac:dyDescent="0.2">
      <c r="B634" s="150" t="s">
        <v>2914</v>
      </c>
      <c r="C634" s="151">
        <v>2019</v>
      </c>
      <c r="D634" s="151">
        <v>4</v>
      </c>
      <c r="E634" s="151">
        <v>7</v>
      </c>
    </row>
    <row r="635" spans="2:5" x14ac:dyDescent="0.2">
      <c r="B635" s="150" t="s">
        <v>2914</v>
      </c>
      <c r="C635" s="151">
        <v>2019</v>
      </c>
      <c r="D635" s="151">
        <v>8</v>
      </c>
      <c r="E635" s="151">
        <v>7</v>
      </c>
    </row>
    <row r="636" spans="2:5" x14ac:dyDescent="0.2">
      <c r="B636" s="150" t="s">
        <v>2914</v>
      </c>
      <c r="C636" s="151">
        <v>2019</v>
      </c>
      <c r="D636" s="151">
        <v>12</v>
      </c>
      <c r="E636" s="151">
        <v>7</v>
      </c>
    </row>
    <row r="637" spans="2:5" x14ac:dyDescent="0.2">
      <c r="B637" s="150" t="s">
        <v>2914</v>
      </c>
      <c r="C637" s="151">
        <v>2019</v>
      </c>
      <c r="D637" s="151">
        <v>2</v>
      </c>
      <c r="E637" s="151">
        <v>6</v>
      </c>
    </row>
    <row r="638" spans="2:5" x14ac:dyDescent="0.2">
      <c r="B638" s="150" t="s">
        <v>2914</v>
      </c>
      <c r="C638" s="151">
        <v>2019</v>
      </c>
      <c r="D638" s="151">
        <v>9</v>
      </c>
      <c r="E638" s="151">
        <v>6</v>
      </c>
    </row>
    <row r="639" spans="2:5" x14ac:dyDescent="0.2">
      <c r="B639" s="150" t="s">
        <v>2914</v>
      </c>
      <c r="C639" s="151">
        <v>2019</v>
      </c>
      <c r="D639" s="151">
        <v>1</v>
      </c>
      <c r="E639" s="151">
        <v>3</v>
      </c>
    </row>
    <row r="640" spans="2:5" x14ac:dyDescent="0.2">
      <c r="B640" s="150" t="s">
        <v>2914</v>
      </c>
      <c r="C640" s="151">
        <v>2019</v>
      </c>
      <c r="D640" s="151">
        <v>3</v>
      </c>
      <c r="E640" s="151">
        <v>3</v>
      </c>
    </row>
    <row r="641" spans="2:5" x14ac:dyDescent="0.2">
      <c r="B641" s="150" t="s">
        <v>2914</v>
      </c>
      <c r="C641" s="151">
        <v>2019</v>
      </c>
      <c r="D641" s="151">
        <v>10</v>
      </c>
      <c r="E641" s="151">
        <v>2</v>
      </c>
    </row>
    <row r="642" spans="2:5" x14ac:dyDescent="0.2">
      <c r="B642" s="150" t="s">
        <v>2944</v>
      </c>
      <c r="C642" s="151">
        <v>2019</v>
      </c>
      <c r="D642" s="151">
        <v>1</v>
      </c>
      <c r="E642" s="151">
        <v>4</v>
      </c>
    </row>
    <row r="643" spans="2:5" x14ac:dyDescent="0.2">
      <c r="B643" s="150" t="s">
        <v>2944</v>
      </c>
      <c r="C643" s="151">
        <v>2019</v>
      </c>
      <c r="D643" s="151">
        <v>4</v>
      </c>
      <c r="E643" s="151">
        <v>3</v>
      </c>
    </row>
    <row r="644" spans="2:5" x14ac:dyDescent="0.2">
      <c r="B644" s="150" t="s">
        <v>2944</v>
      </c>
      <c r="C644" s="151">
        <v>2019</v>
      </c>
      <c r="D644" s="151">
        <v>11</v>
      </c>
      <c r="E644" s="151">
        <v>3</v>
      </c>
    </row>
    <row r="645" spans="2:5" x14ac:dyDescent="0.2">
      <c r="B645" s="150" t="s">
        <v>2944</v>
      </c>
      <c r="C645" s="151">
        <v>2019</v>
      </c>
      <c r="D645" s="151">
        <v>5</v>
      </c>
      <c r="E645" s="151">
        <v>1</v>
      </c>
    </row>
    <row r="646" spans="2:5" x14ac:dyDescent="0.2">
      <c r="B646" s="150" t="s">
        <v>2944</v>
      </c>
      <c r="C646" s="151">
        <v>2019</v>
      </c>
      <c r="D646" s="151">
        <v>7</v>
      </c>
      <c r="E646" s="151">
        <v>1</v>
      </c>
    </row>
    <row r="647" spans="2:5" x14ac:dyDescent="0.2">
      <c r="B647" s="150" t="s">
        <v>2944</v>
      </c>
      <c r="C647" s="151">
        <v>2019</v>
      </c>
      <c r="D647" s="151">
        <v>10</v>
      </c>
      <c r="E647" s="151">
        <v>1</v>
      </c>
    </row>
    <row r="648" spans="2:5" x14ac:dyDescent="0.2">
      <c r="B648" s="150" t="s">
        <v>2977</v>
      </c>
      <c r="C648" s="151">
        <v>2019</v>
      </c>
      <c r="D648" s="151">
        <v>3</v>
      </c>
      <c r="E648" s="151">
        <v>1</v>
      </c>
    </row>
    <row r="649" spans="2:5" x14ac:dyDescent="0.2">
      <c r="B649" s="150" t="s">
        <v>2777</v>
      </c>
      <c r="C649" s="151">
        <v>2019</v>
      </c>
      <c r="D649" s="151">
        <v>8</v>
      </c>
      <c r="E649" s="151">
        <v>63</v>
      </c>
    </row>
    <row r="650" spans="2:5" x14ac:dyDescent="0.2">
      <c r="B650" s="150" t="s">
        <v>2777</v>
      </c>
      <c r="C650" s="151">
        <v>2019</v>
      </c>
      <c r="D650" s="151">
        <v>10</v>
      </c>
      <c r="E650" s="151">
        <v>46</v>
      </c>
    </row>
    <row r="651" spans="2:5" x14ac:dyDescent="0.2">
      <c r="B651" s="150" t="s">
        <v>2777</v>
      </c>
      <c r="C651" s="151">
        <v>2019</v>
      </c>
      <c r="D651" s="151">
        <v>9</v>
      </c>
      <c r="E651" s="151">
        <v>42</v>
      </c>
    </row>
    <row r="652" spans="2:5" x14ac:dyDescent="0.2">
      <c r="B652" s="150" t="s">
        <v>2777</v>
      </c>
      <c r="C652" s="151">
        <v>2019</v>
      </c>
      <c r="D652" s="151">
        <v>7</v>
      </c>
      <c r="E652" s="151">
        <v>34</v>
      </c>
    </row>
    <row r="653" spans="2:5" x14ac:dyDescent="0.2">
      <c r="B653" s="150" t="s">
        <v>2777</v>
      </c>
      <c r="C653" s="151">
        <v>2019</v>
      </c>
      <c r="D653" s="151">
        <v>11</v>
      </c>
      <c r="E653" s="151">
        <v>33</v>
      </c>
    </row>
    <row r="654" spans="2:5" x14ac:dyDescent="0.2">
      <c r="B654" s="150" t="s">
        <v>2777</v>
      </c>
      <c r="C654" s="151">
        <v>2019</v>
      </c>
      <c r="D654" s="151">
        <v>6</v>
      </c>
      <c r="E654" s="151">
        <v>30</v>
      </c>
    </row>
    <row r="655" spans="2:5" x14ac:dyDescent="0.2">
      <c r="B655" s="150" t="s">
        <v>2777</v>
      </c>
      <c r="C655" s="151">
        <v>2019</v>
      </c>
      <c r="D655" s="151">
        <v>12</v>
      </c>
      <c r="E655" s="151">
        <v>27</v>
      </c>
    </row>
    <row r="656" spans="2:5" x14ac:dyDescent="0.2">
      <c r="B656" s="150" t="s">
        <v>2777</v>
      </c>
      <c r="C656" s="151">
        <v>2019</v>
      </c>
      <c r="D656" s="151">
        <v>3</v>
      </c>
      <c r="E656" s="151">
        <v>23</v>
      </c>
    </row>
    <row r="657" spans="2:5" x14ac:dyDescent="0.2">
      <c r="B657" s="150" t="s">
        <v>2777</v>
      </c>
      <c r="C657" s="151">
        <v>2019</v>
      </c>
      <c r="D657" s="151">
        <v>5</v>
      </c>
      <c r="E657" s="151">
        <v>19</v>
      </c>
    </row>
    <row r="658" spans="2:5" x14ac:dyDescent="0.2">
      <c r="B658" s="150" t="s">
        <v>2777</v>
      </c>
      <c r="C658" s="151">
        <v>2019</v>
      </c>
      <c r="D658" s="151">
        <v>2</v>
      </c>
      <c r="E658" s="151">
        <v>13</v>
      </c>
    </row>
    <row r="659" spans="2:5" x14ac:dyDescent="0.2">
      <c r="B659" s="150" t="s">
        <v>2777</v>
      </c>
      <c r="C659" s="151">
        <v>2019</v>
      </c>
      <c r="D659" s="151">
        <v>4</v>
      </c>
      <c r="E659" s="151">
        <v>9</v>
      </c>
    </row>
    <row r="660" spans="2:5" x14ac:dyDescent="0.2">
      <c r="B660" s="150" t="s">
        <v>2777</v>
      </c>
      <c r="C660" s="151">
        <v>2019</v>
      </c>
      <c r="D660" s="151">
        <v>1</v>
      </c>
      <c r="E660" s="151">
        <v>6</v>
      </c>
    </row>
    <row r="661" spans="2:5" x14ac:dyDescent="0.2">
      <c r="B661" s="150" t="s">
        <v>2778</v>
      </c>
      <c r="C661" s="151">
        <v>2019</v>
      </c>
      <c r="D661" s="151">
        <v>9</v>
      </c>
      <c r="E661" s="151">
        <v>8</v>
      </c>
    </row>
    <row r="662" spans="2:5" x14ac:dyDescent="0.2">
      <c r="B662" s="150" t="s">
        <v>2778</v>
      </c>
      <c r="C662" s="151">
        <v>2019</v>
      </c>
      <c r="D662" s="151">
        <v>10</v>
      </c>
      <c r="E662" s="151">
        <v>8</v>
      </c>
    </row>
    <row r="663" spans="2:5" x14ac:dyDescent="0.2">
      <c r="B663" s="150" t="s">
        <v>2778</v>
      </c>
      <c r="C663" s="151">
        <v>2019</v>
      </c>
      <c r="D663" s="151">
        <v>6</v>
      </c>
      <c r="E663" s="151">
        <v>7</v>
      </c>
    </row>
    <row r="664" spans="2:5" x14ac:dyDescent="0.2">
      <c r="B664" s="150" t="s">
        <v>2778</v>
      </c>
      <c r="C664" s="151">
        <v>2019</v>
      </c>
      <c r="D664" s="151">
        <v>3</v>
      </c>
      <c r="E664" s="151">
        <v>5</v>
      </c>
    </row>
    <row r="665" spans="2:5" x14ac:dyDescent="0.2">
      <c r="B665" s="150" t="s">
        <v>2778</v>
      </c>
      <c r="C665" s="151">
        <v>2019</v>
      </c>
      <c r="D665" s="151">
        <v>2</v>
      </c>
      <c r="E665" s="151">
        <v>3</v>
      </c>
    </row>
    <row r="666" spans="2:5" x14ac:dyDescent="0.2">
      <c r="B666" s="150" t="s">
        <v>2778</v>
      </c>
      <c r="C666" s="151">
        <v>2019</v>
      </c>
      <c r="D666" s="151">
        <v>4</v>
      </c>
      <c r="E666" s="151">
        <v>3</v>
      </c>
    </row>
    <row r="667" spans="2:5" x14ac:dyDescent="0.2">
      <c r="B667" s="150" t="s">
        <v>2778</v>
      </c>
      <c r="C667" s="151">
        <v>2019</v>
      </c>
      <c r="D667" s="151">
        <v>12</v>
      </c>
      <c r="E667" s="151">
        <v>3</v>
      </c>
    </row>
    <row r="668" spans="2:5" x14ac:dyDescent="0.2">
      <c r="B668" s="150" t="s">
        <v>2778</v>
      </c>
      <c r="C668" s="151">
        <v>2019</v>
      </c>
      <c r="D668" s="151">
        <v>5</v>
      </c>
      <c r="E668" s="151">
        <v>2</v>
      </c>
    </row>
    <row r="669" spans="2:5" x14ac:dyDescent="0.2">
      <c r="B669" s="150" t="s">
        <v>2778</v>
      </c>
      <c r="C669" s="151">
        <v>2019</v>
      </c>
      <c r="D669" s="151">
        <v>8</v>
      </c>
      <c r="E669" s="151">
        <v>2</v>
      </c>
    </row>
    <row r="670" spans="2:5" x14ac:dyDescent="0.2">
      <c r="B670" s="150" t="s">
        <v>2778</v>
      </c>
      <c r="C670" s="151">
        <v>2019</v>
      </c>
      <c r="D670" s="151">
        <v>1</v>
      </c>
      <c r="E670" s="151">
        <v>1</v>
      </c>
    </row>
    <row r="671" spans="2:5" x14ac:dyDescent="0.2">
      <c r="B671" s="150" t="s">
        <v>2778</v>
      </c>
      <c r="C671" s="151">
        <v>2019</v>
      </c>
      <c r="D671" s="151">
        <v>11</v>
      </c>
      <c r="E671" s="151">
        <v>1</v>
      </c>
    </row>
    <row r="672" spans="2:5" x14ac:dyDescent="0.2">
      <c r="B672" s="150" t="s">
        <v>2779</v>
      </c>
      <c r="C672" s="151">
        <v>2019</v>
      </c>
      <c r="D672" s="151">
        <v>7</v>
      </c>
      <c r="E672" s="151">
        <v>15</v>
      </c>
    </row>
    <row r="673" spans="2:5" x14ac:dyDescent="0.2">
      <c r="B673" s="150" t="s">
        <v>2779</v>
      </c>
      <c r="C673" s="151">
        <v>2019</v>
      </c>
      <c r="D673" s="151">
        <v>6</v>
      </c>
      <c r="E673" s="151">
        <v>13</v>
      </c>
    </row>
    <row r="674" spans="2:5" x14ac:dyDescent="0.2">
      <c r="B674" s="150" t="s">
        <v>2779</v>
      </c>
      <c r="C674" s="151">
        <v>2019</v>
      </c>
      <c r="D674" s="151">
        <v>10</v>
      </c>
      <c r="E674" s="151">
        <v>13</v>
      </c>
    </row>
    <row r="675" spans="2:5" x14ac:dyDescent="0.2">
      <c r="B675" s="150" t="s">
        <v>2779</v>
      </c>
      <c r="C675" s="151">
        <v>2019</v>
      </c>
      <c r="D675" s="151">
        <v>8</v>
      </c>
      <c r="E675" s="151">
        <v>9</v>
      </c>
    </row>
    <row r="676" spans="2:5" x14ac:dyDescent="0.2">
      <c r="B676" s="150" t="s">
        <v>2779</v>
      </c>
      <c r="C676" s="151">
        <v>2019</v>
      </c>
      <c r="D676" s="151">
        <v>5</v>
      </c>
      <c r="E676" s="151">
        <v>8</v>
      </c>
    </row>
    <row r="677" spans="2:5" x14ac:dyDescent="0.2">
      <c r="B677" s="150" t="s">
        <v>2779</v>
      </c>
      <c r="C677" s="151">
        <v>2019</v>
      </c>
      <c r="D677" s="151">
        <v>11</v>
      </c>
      <c r="E677" s="151">
        <v>6</v>
      </c>
    </row>
    <row r="678" spans="2:5" x14ac:dyDescent="0.2">
      <c r="B678" s="150" t="s">
        <v>2779</v>
      </c>
      <c r="C678" s="151">
        <v>2019</v>
      </c>
      <c r="D678" s="151">
        <v>3</v>
      </c>
      <c r="E678" s="151">
        <v>3</v>
      </c>
    </row>
    <row r="679" spans="2:5" x14ac:dyDescent="0.2">
      <c r="B679" s="150" t="s">
        <v>2779</v>
      </c>
      <c r="C679" s="151">
        <v>2019</v>
      </c>
      <c r="D679" s="151">
        <v>1</v>
      </c>
      <c r="E679" s="151">
        <v>2</v>
      </c>
    </row>
    <row r="680" spans="2:5" x14ac:dyDescent="0.2">
      <c r="B680" s="150" t="s">
        <v>2779</v>
      </c>
      <c r="C680" s="151">
        <v>2019</v>
      </c>
      <c r="D680" s="151">
        <v>12</v>
      </c>
      <c r="E680" s="151">
        <v>2</v>
      </c>
    </row>
    <row r="681" spans="2:5" x14ac:dyDescent="0.2">
      <c r="B681" s="150" t="s">
        <v>2779</v>
      </c>
      <c r="C681" s="151">
        <v>2019</v>
      </c>
      <c r="D681" s="151">
        <v>4</v>
      </c>
      <c r="E681" s="151">
        <v>1</v>
      </c>
    </row>
    <row r="682" spans="2:5" x14ac:dyDescent="0.2">
      <c r="B682" s="150" t="s">
        <v>2780</v>
      </c>
      <c r="C682" s="151">
        <v>2019</v>
      </c>
      <c r="D682" s="151">
        <v>3</v>
      </c>
      <c r="E682" s="151">
        <v>91</v>
      </c>
    </row>
    <row r="683" spans="2:5" x14ac:dyDescent="0.2">
      <c r="B683" s="150" t="s">
        <v>2780</v>
      </c>
      <c r="C683" s="151">
        <v>2019</v>
      </c>
      <c r="D683" s="151">
        <v>9</v>
      </c>
      <c r="E683" s="151">
        <v>66</v>
      </c>
    </row>
    <row r="684" spans="2:5" x14ac:dyDescent="0.2">
      <c r="B684" s="150" t="s">
        <v>2780</v>
      </c>
      <c r="C684" s="151">
        <v>2019</v>
      </c>
      <c r="D684" s="151">
        <v>10</v>
      </c>
      <c r="E684" s="151">
        <v>66</v>
      </c>
    </row>
    <row r="685" spans="2:5" x14ac:dyDescent="0.2">
      <c r="B685" s="150" t="s">
        <v>2780</v>
      </c>
      <c r="C685" s="151">
        <v>2019</v>
      </c>
      <c r="D685" s="151">
        <v>7</v>
      </c>
      <c r="E685" s="151">
        <v>58</v>
      </c>
    </row>
    <row r="686" spans="2:5" x14ac:dyDescent="0.2">
      <c r="B686" s="150" t="s">
        <v>2780</v>
      </c>
      <c r="C686" s="151">
        <v>2019</v>
      </c>
      <c r="D686" s="151">
        <v>5</v>
      </c>
      <c r="E686" s="151">
        <v>52</v>
      </c>
    </row>
    <row r="687" spans="2:5" x14ac:dyDescent="0.2">
      <c r="B687" s="150" t="s">
        <v>2780</v>
      </c>
      <c r="C687" s="151">
        <v>2019</v>
      </c>
      <c r="D687" s="151">
        <v>8</v>
      </c>
      <c r="E687" s="151">
        <v>50</v>
      </c>
    </row>
    <row r="688" spans="2:5" x14ac:dyDescent="0.2">
      <c r="B688" s="150" t="s">
        <v>2780</v>
      </c>
      <c r="C688" s="151">
        <v>2019</v>
      </c>
      <c r="D688" s="151">
        <v>6</v>
      </c>
      <c r="E688" s="151">
        <v>35</v>
      </c>
    </row>
    <row r="689" spans="2:5" x14ac:dyDescent="0.2">
      <c r="B689" s="150" t="s">
        <v>2780</v>
      </c>
      <c r="C689" s="151">
        <v>2019</v>
      </c>
      <c r="D689" s="151">
        <v>11</v>
      </c>
      <c r="E689" s="151">
        <v>23</v>
      </c>
    </row>
    <row r="690" spans="2:5" x14ac:dyDescent="0.2">
      <c r="B690" s="150" t="s">
        <v>2780</v>
      </c>
      <c r="C690" s="151">
        <v>2019</v>
      </c>
      <c r="D690" s="151">
        <v>1</v>
      </c>
      <c r="E690" s="151">
        <v>19</v>
      </c>
    </row>
    <row r="691" spans="2:5" x14ac:dyDescent="0.2">
      <c r="B691" s="150" t="s">
        <v>2780</v>
      </c>
      <c r="C691" s="151">
        <v>2019</v>
      </c>
      <c r="D691" s="151">
        <v>4</v>
      </c>
      <c r="E691" s="151">
        <v>11</v>
      </c>
    </row>
    <row r="692" spans="2:5" x14ac:dyDescent="0.2">
      <c r="B692" s="150" t="s">
        <v>2780</v>
      </c>
      <c r="C692" s="151">
        <v>2019</v>
      </c>
      <c r="D692" s="151">
        <v>2</v>
      </c>
      <c r="E692" s="151">
        <v>2</v>
      </c>
    </row>
    <row r="693" spans="2:5" x14ac:dyDescent="0.2">
      <c r="B693" s="150" t="s">
        <v>2780</v>
      </c>
      <c r="C693" s="151">
        <v>2019</v>
      </c>
      <c r="D693" s="151">
        <v>12</v>
      </c>
      <c r="E693" s="151">
        <v>1</v>
      </c>
    </row>
    <row r="694" spans="2:5" x14ac:dyDescent="0.2">
      <c r="B694" s="150" t="s">
        <v>2781</v>
      </c>
      <c r="C694" s="151">
        <v>2019</v>
      </c>
      <c r="D694" s="151">
        <v>6</v>
      </c>
      <c r="E694" s="151">
        <v>14</v>
      </c>
    </row>
    <row r="695" spans="2:5" x14ac:dyDescent="0.2">
      <c r="B695" s="150" t="s">
        <v>2781</v>
      </c>
      <c r="C695" s="151">
        <v>2019</v>
      </c>
      <c r="D695" s="151">
        <v>5</v>
      </c>
      <c r="E695" s="151">
        <v>13</v>
      </c>
    </row>
    <row r="696" spans="2:5" x14ac:dyDescent="0.2">
      <c r="B696" s="150" t="s">
        <v>2781</v>
      </c>
      <c r="C696" s="151">
        <v>2019</v>
      </c>
      <c r="D696" s="151">
        <v>1</v>
      </c>
      <c r="E696" s="151">
        <v>9</v>
      </c>
    </row>
    <row r="697" spans="2:5" x14ac:dyDescent="0.2">
      <c r="B697" s="150" t="s">
        <v>2781</v>
      </c>
      <c r="C697" s="151">
        <v>2019</v>
      </c>
      <c r="D697" s="151">
        <v>2</v>
      </c>
      <c r="E697" s="151">
        <v>4</v>
      </c>
    </row>
    <row r="698" spans="2:5" x14ac:dyDescent="0.2">
      <c r="B698" s="150" t="s">
        <v>2781</v>
      </c>
      <c r="C698" s="151">
        <v>2019</v>
      </c>
      <c r="D698" s="151">
        <v>4</v>
      </c>
      <c r="E698" s="151">
        <v>4</v>
      </c>
    </row>
    <row r="699" spans="2:5" x14ac:dyDescent="0.2">
      <c r="B699" s="150" t="s">
        <v>2781</v>
      </c>
      <c r="C699" s="151">
        <v>2019</v>
      </c>
      <c r="D699" s="151">
        <v>10</v>
      </c>
      <c r="E699" s="151">
        <v>4</v>
      </c>
    </row>
    <row r="700" spans="2:5" x14ac:dyDescent="0.2">
      <c r="B700" s="150" t="s">
        <v>2781</v>
      </c>
      <c r="C700" s="151">
        <v>2019</v>
      </c>
      <c r="D700" s="151">
        <v>3</v>
      </c>
      <c r="E700" s="151">
        <v>3</v>
      </c>
    </row>
    <row r="701" spans="2:5" x14ac:dyDescent="0.2">
      <c r="B701" s="150" t="s">
        <v>2781</v>
      </c>
      <c r="C701" s="151">
        <v>2019</v>
      </c>
      <c r="D701" s="151">
        <v>12</v>
      </c>
      <c r="E701" s="151">
        <v>3</v>
      </c>
    </row>
    <row r="702" spans="2:5" x14ac:dyDescent="0.2">
      <c r="B702" s="150" t="s">
        <v>2781</v>
      </c>
      <c r="C702" s="151">
        <v>2019</v>
      </c>
      <c r="D702" s="151">
        <v>7</v>
      </c>
      <c r="E702" s="151">
        <v>2</v>
      </c>
    </row>
    <row r="703" spans="2:5" x14ac:dyDescent="0.2">
      <c r="B703" s="150" t="s">
        <v>2781</v>
      </c>
      <c r="C703" s="151">
        <v>2019</v>
      </c>
      <c r="D703" s="151">
        <v>8</v>
      </c>
      <c r="E703" s="151">
        <v>2</v>
      </c>
    </row>
    <row r="704" spans="2:5" x14ac:dyDescent="0.2">
      <c r="B704" s="150" t="s">
        <v>2781</v>
      </c>
      <c r="C704" s="151">
        <v>2019</v>
      </c>
      <c r="D704" s="151">
        <v>9</v>
      </c>
      <c r="E704" s="151">
        <v>2</v>
      </c>
    </row>
    <row r="705" spans="2:5" x14ac:dyDescent="0.2">
      <c r="B705" s="150" t="s">
        <v>2953</v>
      </c>
      <c r="C705" s="151">
        <v>2019</v>
      </c>
      <c r="D705" s="151">
        <v>4</v>
      </c>
      <c r="E705" s="151">
        <v>2</v>
      </c>
    </row>
    <row r="706" spans="2:5" x14ac:dyDescent="0.2">
      <c r="B706" s="150" t="s">
        <v>2953</v>
      </c>
      <c r="C706" s="151">
        <v>2019</v>
      </c>
      <c r="D706" s="151">
        <v>6</v>
      </c>
      <c r="E706" s="151">
        <v>2</v>
      </c>
    </row>
    <row r="707" spans="2:5" x14ac:dyDescent="0.2">
      <c r="B707" s="150" t="s">
        <v>2953</v>
      </c>
      <c r="C707" s="151">
        <v>2019</v>
      </c>
      <c r="D707" s="151">
        <v>10</v>
      </c>
      <c r="E707" s="151">
        <v>2</v>
      </c>
    </row>
    <row r="708" spans="2:5" x14ac:dyDescent="0.2">
      <c r="B708" s="150" t="s">
        <v>2953</v>
      </c>
      <c r="C708" s="151">
        <v>2019</v>
      </c>
      <c r="D708" s="151">
        <v>3</v>
      </c>
      <c r="E708" s="151">
        <v>1</v>
      </c>
    </row>
    <row r="709" spans="2:5" x14ac:dyDescent="0.2">
      <c r="B709" s="150" t="s">
        <v>2953</v>
      </c>
      <c r="C709" s="151">
        <v>2019</v>
      </c>
      <c r="D709" s="151">
        <v>7</v>
      </c>
      <c r="E709" s="151">
        <v>1</v>
      </c>
    </row>
    <row r="710" spans="2:5" x14ac:dyDescent="0.2">
      <c r="B710" s="150" t="s">
        <v>2953</v>
      </c>
      <c r="C710" s="151">
        <v>2019</v>
      </c>
      <c r="D710" s="151">
        <v>9</v>
      </c>
      <c r="E710" s="151">
        <v>1</v>
      </c>
    </row>
    <row r="711" spans="2:5" x14ac:dyDescent="0.2">
      <c r="B711" s="150" t="s">
        <v>2953</v>
      </c>
      <c r="C711" s="151">
        <v>2019</v>
      </c>
      <c r="D711" s="151">
        <v>11</v>
      </c>
      <c r="E711" s="151">
        <v>1</v>
      </c>
    </row>
    <row r="712" spans="2:5" x14ac:dyDescent="0.2">
      <c r="B712" s="150" t="s">
        <v>2782</v>
      </c>
      <c r="C712" s="151">
        <v>2019</v>
      </c>
      <c r="D712" s="151">
        <v>6</v>
      </c>
      <c r="E712" s="151">
        <v>4</v>
      </c>
    </row>
    <row r="713" spans="2:5" x14ac:dyDescent="0.2">
      <c r="B713" s="150" t="s">
        <v>2782</v>
      </c>
      <c r="C713" s="151">
        <v>2019</v>
      </c>
      <c r="D713" s="151">
        <v>8</v>
      </c>
      <c r="E713" s="151">
        <v>4</v>
      </c>
    </row>
    <row r="714" spans="2:5" x14ac:dyDescent="0.2">
      <c r="B714" s="150" t="s">
        <v>2782</v>
      </c>
      <c r="C714" s="151">
        <v>2019</v>
      </c>
      <c r="D714" s="151">
        <v>11</v>
      </c>
      <c r="E714" s="151">
        <v>4</v>
      </c>
    </row>
    <row r="715" spans="2:5" x14ac:dyDescent="0.2">
      <c r="B715" s="150" t="s">
        <v>2782</v>
      </c>
      <c r="C715" s="151">
        <v>2019</v>
      </c>
      <c r="D715" s="151">
        <v>3</v>
      </c>
      <c r="E715" s="151">
        <v>3</v>
      </c>
    </row>
    <row r="716" spans="2:5" x14ac:dyDescent="0.2">
      <c r="B716" s="150" t="s">
        <v>2782</v>
      </c>
      <c r="C716" s="151">
        <v>2019</v>
      </c>
      <c r="D716" s="151">
        <v>7</v>
      </c>
      <c r="E716" s="151">
        <v>3</v>
      </c>
    </row>
    <row r="717" spans="2:5" x14ac:dyDescent="0.2">
      <c r="B717" s="150" t="s">
        <v>2782</v>
      </c>
      <c r="C717" s="151">
        <v>2019</v>
      </c>
      <c r="D717" s="151">
        <v>9</v>
      </c>
      <c r="E717" s="151">
        <v>3</v>
      </c>
    </row>
    <row r="718" spans="2:5" x14ac:dyDescent="0.2">
      <c r="B718" s="150" t="s">
        <v>2782</v>
      </c>
      <c r="C718" s="151">
        <v>2019</v>
      </c>
      <c r="D718" s="151">
        <v>1</v>
      </c>
      <c r="E718" s="151">
        <v>1</v>
      </c>
    </row>
    <row r="719" spans="2:5" x14ac:dyDescent="0.2">
      <c r="B719" s="150" t="s">
        <v>2782</v>
      </c>
      <c r="C719" s="151">
        <v>2019</v>
      </c>
      <c r="D719" s="151">
        <v>2</v>
      </c>
      <c r="E719" s="151">
        <v>1</v>
      </c>
    </row>
    <row r="720" spans="2:5" x14ac:dyDescent="0.2">
      <c r="B720" s="150" t="s">
        <v>2783</v>
      </c>
      <c r="C720" s="151">
        <v>2019</v>
      </c>
      <c r="D720" s="151">
        <v>5</v>
      </c>
      <c r="E720" s="151">
        <v>55</v>
      </c>
    </row>
    <row r="721" spans="2:5" x14ac:dyDescent="0.2">
      <c r="B721" s="150" t="s">
        <v>2783</v>
      </c>
      <c r="C721" s="151">
        <v>2019</v>
      </c>
      <c r="D721" s="151">
        <v>10</v>
      </c>
      <c r="E721" s="151">
        <v>55</v>
      </c>
    </row>
    <row r="722" spans="2:5" x14ac:dyDescent="0.2">
      <c r="B722" s="150" t="s">
        <v>2783</v>
      </c>
      <c r="C722" s="151">
        <v>2019</v>
      </c>
      <c r="D722" s="151">
        <v>3</v>
      </c>
      <c r="E722" s="151">
        <v>37</v>
      </c>
    </row>
    <row r="723" spans="2:5" x14ac:dyDescent="0.2">
      <c r="B723" s="150" t="s">
        <v>2783</v>
      </c>
      <c r="C723" s="151">
        <v>2019</v>
      </c>
      <c r="D723" s="151">
        <v>8</v>
      </c>
      <c r="E723" s="151">
        <v>36</v>
      </c>
    </row>
    <row r="724" spans="2:5" x14ac:dyDescent="0.2">
      <c r="B724" s="150" t="s">
        <v>2783</v>
      </c>
      <c r="C724" s="151">
        <v>2019</v>
      </c>
      <c r="D724" s="151">
        <v>11</v>
      </c>
      <c r="E724" s="151">
        <v>28</v>
      </c>
    </row>
    <row r="725" spans="2:5" x14ac:dyDescent="0.2">
      <c r="B725" s="150" t="s">
        <v>2783</v>
      </c>
      <c r="C725" s="151">
        <v>2019</v>
      </c>
      <c r="D725" s="151">
        <v>6</v>
      </c>
      <c r="E725" s="151">
        <v>18</v>
      </c>
    </row>
    <row r="726" spans="2:5" x14ac:dyDescent="0.2">
      <c r="B726" s="150" t="s">
        <v>2783</v>
      </c>
      <c r="C726" s="151">
        <v>2019</v>
      </c>
      <c r="D726" s="151">
        <v>9</v>
      </c>
      <c r="E726" s="151">
        <v>17</v>
      </c>
    </row>
    <row r="727" spans="2:5" x14ac:dyDescent="0.2">
      <c r="B727" s="150" t="s">
        <v>2783</v>
      </c>
      <c r="C727" s="151">
        <v>2019</v>
      </c>
      <c r="D727" s="151">
        <v>7</v>
      </c>
      <c r="E727" s="151">
        <v>8</v>
      </c>
    </row>
    <row r="728" spans="2:5" x14ac:dyDescent="0.2">
      <c r="B728" s="150" t="s">
        <v>2783</v>
      </c>
      <c r="C728" s="151">
        <v>2019</v>
      </c>
      <c r="D728" s="151">
        <v>2</v>
      </c>
      <c r="E728" s="151">
        <v>7</v>
      </c>
    </row>
    <row r="729" spans="2:5" x14ac:dyDescent="0.2">
      <c r="B729" s="150" t="s">
        <v>2783</v>
      </c>
      <c r="C729" s="151">
        <v>2019</v>
      </c>
      <c r="D729" s="151">
        <v>12</v>
      </c>
      <c r="E729" s="151">
        <v>5</v>
      </c>
    </row>
    <row r="730" spans="2:5" x14ac:dyDescent="0.2">
      <c r="B730" s="150" t="s">
        <v>2783</v>
      </c>
      <c r="C730" s="151">
        <v>2019</v>
      </c>
      <c r="D730" s="151">
        <v>4</v>
      </c>
      <c r="E730" s="151">
        <v>3</v>
      </c>
    </row>
    <row r="731" spans="2:5" x14ac:dyDescent="0.2">
      <c r="B731" s="150" t="s">
        <v>2784</v>
      </c>
      <c r="C731" s="151">
        <v>2019</v>
      </c>
      <c r="D731" s="151">
        <v>3</v>
      </c>
      <c r="E731" s="151">
        <v>7</v>
      </c>
    </row>
    <row r="732" spans="2:5" x14ac:dyDescent="0.2">
      <c r="B732" s="150" t="s">
        <v>2784</v>
      </c>
      <c r="C732" s="151">
        <v>2019</v>
      </c>
      <c r="D732" s="151">
        <v>11</v>
      </c>
      <c r="E732" s="151">
        <v>7</v>
      </c>
    </row>
    <row r="733" spans="2:5" x14ac:dyDescent="0.2">
      <c r="B733" s="150" t="s">
        <v>2784</v>
      </c>
      <c r="C733" s="151">
        <v>2019</v>
      </c>
      <c r="D733" s="151">
        <v>9</v>
      </c>
      <c r="E733" s="151">
        <v>6</v>
      </c>
    </row>
    <row r="734" spans="2:5" x14ac:dyDescent="0.2">
      <c r="B734" s="150" t="s">
        <v>2784</v>
      </c>
      <c r="C734" s="151">
        <v>2019</v>
      </c>
      <c r="D734" s="151">
        <v>10</v>
      </c>
      <c r="E734" s="151">
        <v>5</v>
      </c>
    </row>
    <row r="735" spans="2:5" x14ac:dyDescent="0.2">
      <c r="B735" s="150" t="s">
        <v>2784</v>
      </c>
      <c r="C735" s="151">
        <v>2019</v>
      </c>
      <c r="D735" s="151">
        <v>6</v>
      </c>
      <c r="E735" s="151">
        <v>4</v>
      </c>
    </row>
    <row r="736" spans="2:5" x14ac:dyDescent="0.2">
      <c r="B736" s="150" t="s">
        <v>2784</v>
      </c>
      <c r="C736" s="151">
        <v>2019</v>
      </c>
      <c r="D736" s="151">
        <v>7</v>
      </c>
      <c r="E736" s="151">
        <v>4</v>
      </c>
    </row>
    <row r="737" spans="2:5" x14ac:dyDescent="0.2">
      <c r="B737" s="150" t="s">
        <v>2784</v>
      </c>
      <c r="C737" s="151">
        <v>2019</v>
      </c>
      <c r="D737" s="151">
        <v>8</v>
      </c>
      <c r="E737" s="151">
        <v>4</v>
      </c>
    </row>
    <row r="738" spans="2:5" x14ac:dyDescent="0.2">
      <c r="B738" s="150" t="s">
        <v>2784</v>
      </c>
      <c r="C738" s="151">
        <v>2019</v>
      </c>
      <c r="D738" s="151">
        <v>5</v>
      </c>
      <c r="E738" s="151">
        <v>3</v>
      </c>
    </row>
    <row r="739" spans="2:5" x14ac:dyDescent="0.2">
      <c r="B739" s="150" t="s">
        <v>2972</v>
      </c>
      <c r="C739" s="151">
        <v>2019</v>
      </c>
      <c r="D739" s="151">
        <v>1</v>
      </c>
      <c r="E739" s="151">
        <v>2</v>
      </c>
    </row>
    <row r="740" spans="2:5" x14ac:dyDescent="0.2">
      <c r="B740" s="150" t="s">
        <v>2972</v>
      </c>
      <c r="C740" s="151">
        <v>2019</v>
      </c>
      <c r="D740" s="151">
        <v>9</v>
      </c>
      <c r="E740" s="151">
        <v>1</v>
      </c>
    </row>
    <row r="741" spans="2:5" x14ac:dyDescent="0.2">
      <c r="B741" s="150" t="s">
        <v>2973</v>
      </c>
      <c r="C741" s="151">
        <v>2019</v>
      </c>
      <c r="D741" s="151">
        <v>5</v>
      </c>
      <c r="E741" s="151">
        <v>2</v>
      </c>
    </row>
    <row r="742" spans="2:5" x14ac:dyDescent="0.2">
      <c r="B742" s="150" t="s">
        <v>2973</v>
      </c>
      <c r="C742" s="151">
        <v>2019</v>
      </c>
      <c r="D742" s="151">
        <v>11</v>
      </c>
      <c r="E742" s="151">
        <v>1</v>
      </c>
    </row>
    <row r="743" spans="2:5" x14ac:dyDescent="0.2">
      <c r="B743" s="150" t="s">
        <v>2785</v>
      </c>
      <c r="C743" s="151">
        <v>2019</v>
      </c>
      <c r="D743" s="151">
        <v>1</v>
      </c>
      <c r="E743" s="151">
        <v>4</v>
      </c>
    </row>
    <row r="744" spans="2:5" x14ac:dyDescent="0.2">
      <c r="B744" s="150" t="s">
        <v>2785</v>
      </c>
      <c r="C744" s="151">
        <v>2019</v>
      </c>
      <c r="D744" s="151">
        <v>4</v>
      </c>
      <c r="E744" s="151">
        <v>3</v>
      </c>
    </row>
    <row r="745" spans="2:5" x14ac:dyDescent="0.2">
      <c r="B745" s="150" t="s">
        <v>2785</v>
      </c>
      <c r="C745" s="151">
        <v>2019</v>
      </c>
      <c r="D745" s="151">
        <v>6</v>
      </c>
      <c r="E745" s="151">
        <v>2</v>
      </c>
    </row>
    <row r="746" spans="2:5" x14ac:dyDescent="0.2">
      <c r="B746" s="150" t="s">
        <v>2785</v>
      </c>
      <c r="C746" s="151">
        <v>2019</v>
      </c>
      <c r="D746" s="151">
        <v>12</v>
      </c>
      <c r="E746" s="151">
        <v>2</v>
      </c>
    </row>
    <row r="747" spans="2:5" x14ac:dyDescent="0.2">
      <c r="B747" s="150" t="s">
        <v>2785</v>
      </c>
      <c r="C747" s="151">
        <v>2019</v>
      </c>
      <c r="D747" s="151">
        <v>3</v>
      </c>
      <c r="E747" s="151">
        <v>1</v>
      </c>
    </row>
    <row r="748" spans="2:5" x14ac:dyDescent="0.2">
      <c r="B748" s="150" t="s">
        <v>2785</v>
      </c>
      <c r="C748" s="151">
        <v>2019</v>
      </c>
      <c r="D748" s="151">
        <v>5</v>
      </c>
      <c r="E748" s="151">
        <v>1</v>
      </c>
    </row>
    <row r="749" spans="2:5" x14ac:dyDescent="0.2">
      <c r="B749" s="150" t="s">
        <v>2974</v>
      </c>
      <c r="C749" s="151">
        <v>2019</v>
      </c>
      <c r="D749" s="151">
        <v>9</v>
      </c>
      <c r="E749" s="151">
        <v>2</v>
      </c>
    </row>
    <row r="750" spans="2:5" x14ac:dyDescent="0.2">
      <c r="B750" s="150" t="s">
        <v>979</v>
      </c>
      <c r="C750" s="151">
        <v>2019</v>
      </c>
      <c r="D750" s="151">
        <v>1</v>
      </c>
      <c r="E750" s="151">
        <v>1516</v>
      </c>
    </row>
    <row r="751" spans="2:5" x14ac:dyDescent="0.2">
      <c r="B751" s="150" t="s">
        <v>979</v>
      </c>
      <c r="C751" s="151">
        <v>2019</v>
      </c>
      <c r="D751" s="151">
        <v>4</v>
      </c>
      <c r="E751" s="151">
        <v>1076</v>
      </c>
    </row>
    <row r="752" spans="2:5" x14ac:dyDescent="0.2">
      <c r="B752" s="150" t="s">
        <v>979</v>
      </c>
      <c r="C752" s="151">
        <v>2019</v>
      </c>
      <c r="D752" s="151">
        <v>10</v>
      </c>
      <c r="E752" s="151">
        <v>1049</v>
      </c>
    </row>
    <row r="753" spans="2:5" x14ac:dyDescent="0.2">
      <c r="B753" s="150" t="s">
        <v>979</v>
      </c>
      <c r="C753" s="151">
        <v>2019</v>
      </c>
      <c r="D753" s="151">
        <v>9</v>
      </c>
      <c r="E753" s="151">
        <v>1022</v>
      </c>
    </row>
    <row r="754" spans="2:5" x14ac:dyDescent="0.2">
      <c r="B754" s="150" t="s">
        <v>979</v>
      </c>
      <c r="C754" s="151">
        <v>2019</v>
      </c>
      <c r="D754" s="151">
        <v>2</v>
      </c>
      <c r="E754" s="151">
        <v>914</v>
      </c>
    </row>
    <row r="755" spans="2:5" x14ac:dyDescent="0.2">
      <c r="B755" s="150" t="s">
        <v>979</v>
      </c>
      <c r="C755" s="151">
        <v>2019</v>
      </c>
      <c r="D755" s="151">
        <v>3</v>
      </c>
      <c r="E755" s="151">
        <v>912</v>
      </c>
    </row>
    <row r="756" spans="2:5" x14ac:dyDescent="0.2">
      <c r="B756" s="150" t="s">
        <v>979</v>
      </c>
      <c r="C756" s="151">
        <v>2019</v>
      </c>
      <c r="D756" s="151">
        <v>12</v>
      </c>
      <c r="E756" s="151">
        <v>820</v>
      </c>
    </row>
    <row r="757" spans="2:5" x14ac:dyDescent="0.2">
      <c r="B757" s="150" t="s">
        <v>979</v>
      </c>
      <c r="C757" s="151">
        <v>2019</v>
      </c>
      <c r="D757" s="151">
        <v>8</v>
      </c>
      <c r="E757" s="151">
        <v>750</v>
      </c>
    </row>
    <row r="758" spans="2:5" x14ac:dyDescent="0.2">
      <c r="B758" s="150" t="s">
        <v>979</v>
      </c>
      <c r="C758" s="151">
        <v>2019</v>
      </c>
      <c r="D758" s="151">
        <v>5</v>
      </c>
      <c r="E758" s="151">
        <v>688</v>
      </c>
    </row>
    <row r="759" spans="2:5" x14ac:dyDescent="0.2">
      <c r="B759" s="150" t="s">
        <v>979</v>
      </c>
      <c r="C759" s="151">
        <v>2019</v>
      </c>
      <c r="D759" s="151">
        <v>7</v>
      </c>
      <c r="E759" s="151">
        <v>649</v>
      </c>
    </row>
    <row r="760" spans="2:5" x14ac:dyDescent="0.2">
      <c r="B760" s="150" t="s">
        <v>979</v>
      </c>
      <c r="C760" s="151">
        <v>2019</v>
      </c>
      <c r="D760" s="151">
        <v>11</v>
      </c>
      <c r="E760" s="151">
        <v>596</v>
      </c>
    </row>
    <row r="761" spans="2:5" x14ac:dyDescent="0.2">
      <c r="B761" s="150" t="s">
        <v>979</v>
      </c>
      <c r="C761" s="151">
        <v>2019</v>
      </c>
      <c r="D761" s="151">
        <v>6</v>
      </c>
      <c r="E761" s="151">
        <v>453</v>
      </c>
    </row>
    <row r="762" spans="2:5" x14ac:dyDescent="0.2">
      <c r="B762" s="150" t="s">
        <v>2787</v>
      </c>
      <c r="C762" s="151">
        <v>2019</v>
      </c>
      <c r="D762" s="151">
        <v>2</v>
      </c>
      <c r="E762" s="151">
        <v>14</v>
      </c>
    </row>
    <row r="763" spans="2:5" x14ac:dyDescent="0.2">
      <c r="B763" s="150" t="s">
        <v>2787</v>
      </c>
      <c r="C763" s="151">
        <v>2019</v>
      </c>
      <c r="D763" s="151">
        <v>7</v>
      </c>
      <c r="E763" s="151">
        <v>11</v>
      </c>
    </row>
    <row r="764" spans="2:5" x14ac:dyDescent="0.2">
      <c r="B764" s="150" t="s">
        <v>2787</v>
      </c>
      <c r="C764" s="151">
        <v>2019</v>
      </c>
      <c r="D764" s="151">
        <v>3</v>
      </c>
      <c r="E764" s="151">
        <v>7</v>
      </c>
    </row>
    <row r="765" spans="2:5" x14ac:dyDescent="0.2">
      <c r="B765" s="150" t="s">
        <v>2787</v>
      </c>
      <c r="C765" s="151">
        <v>2019</v>
      </c>
      <c r="D765" s="151">
        <v>1</v>
      </c>
      <c r="E765" s="151">
        <v>6</v>
      </c>
    </row>
    <row r="766" spans="2:5" x14ac:dyDescent="0.2">
      <c r="B766" s="150" t="s">
        <v>2787</v>
      </c>
      <c r="C766" s="151">
        <v>2019</v>
      </c>
      <c r="D766" s="151">
        <v>4</v>
      </c>
      <c r="E766" s="151">
        <v>6</v>
      </c>
    </row>
    <row r="767" spans="2:5" x14ac:dyDescent="0.2">
      <c r="B767" s="150" t="s">
        <v>2787</v>
      </c>
      <c r="C767" s="151">
        <v>2019</v>
      </c>
      <c r="D767" s="151">
        <v>10</v>
      </c>
      <c r="E767" s="151">
        <v>6</v>
      </c>
    </row>
    <row r="768" spans="2:5" x14ac:dyDescent="0.2">
      <c r="B768" s="150" t="s">
        <v>2787</v>
      </c>
      <c r="C768" s="151">
        <v>2019</v>
      </c>
      <c r="D768" s="151">
        <v>5</v>
      </c>
      <c r="E768" s="151">
        <v>5</v>
      </c>
    </row>
    <row r="769" spans="2:5" x14ac:dyDescent="0.2">
      <c r="B769" s="150" t="s">
        <v>2787</v>
      </c>
      <c r="C769" s="151">
        <v>2019</v>
      </c>
      <c r="D769" s="151">
        <v>12</v>
      </c>
      <c r="E769" s="151">
        <v>5</v>
      </c>
    </row>
    <row r="770" spans="2:5" x14ac:dyDescent="0.2">
      <c r="B770" s="150" t="s">
        <v>2787</v>
      </c>
      <c r="C770" s="151">
        <v>2019</v>
      </c>
      <c r="D770" s="151">
        <v>8</v>
      </c>
      <c r="E770" s="151">
        <v>3</v>
      </c>
    </row>
    <row r="771" spans="2:5" x14ac:dyDescent="0.2">
      <c r="B771" s="150" t="s">
        <v>2787</v>
      </c>
      <c r="C771" s="151">
        <v>2019</v>
      </c>
      <c r="D771" s="151">
        <v>9</v>
      </c>
      <c r="E771" s="151">
        <v>3</v>
      </c>
    </row>
    <row r="772" spans="2:5" x14ac:dyDescent="0.2">
      <c r="B772" s="150" t="s">
        <v>2787</v>
      </c>
      <c r="C772" s="151">
        <v>2019</v>
      </c>
      <c r="D772" s="151">
        <v>11</v>
      </c>
      <c r="E772" s="151">
        <v>2</v>
      </c>
    </row>
    <row r="773" spans="2:5" x14ac:dyDescent="0.2">
      <c r="B773" s="150" t="s">
        <v>2788</v>
      </c>
      <c r="C773" s="151">
        <v>2019</v>
      </c>
      <c r="D773" s="151">
        <v>3</v>
      </c>
      <c r="E773" s="151">
        <v>16</v>
      </c>
    </row>
    <row r="774" spans="2:5" x14ac:dyDescent="0.2">
      <c r="B774" s="150" t="s">
        <v>2788</v>
      </c>
      <c r="C774" s="151">
        <v>2019</v>
      </c>
      <c r="D774" s="151">
        <v>9</v>
      </c>
      <c r="E774" s="151">
        <v>16</v>
      </c>
    </row>
    <row r="775" spans="2:5" x14ac:dyDescent="0.2">
      <c r="B775" s="150" t="s">
        <v>2788</v>
      </c>
      <c r="C775" s="151">
        <v>2019</v>
      </c>
      <c r="D775" s="151">
        <v>10</v>
      </c>
      <c r="E775" s="151">
        <v>10</v>
      </c>
    </row>
    <row r="776" spans="2:5" x14ac:dyDescent="0.2">
      <c r="B776" s="150" t="s">
        <v>2788</v>
      </c>
      <c r="C776" s="151">
        <v>2019</v>
      </c>
      <c r="D776" s="151">
        <v>5</v>
      </c>
      <c r="E776" s="151">
        <v>6</v>
      </c>
    </row>
    <row r="777" spans="2:5" x14ac:dyDescent="0.2">
      <c r="B777" s="150" t="s">
        <v>2788</v>
      </c>
      <c r="C777" s="151">
        <v>2019</v>
      </c>
      <c r="D777" s="151">
        <v>6</v>
      </c>
      <c r="E777" s="151">
        <v>3</v>
      </c>
    </row>
    <row r="778" spans="2:5" x14ac:dyDescent="0.2">
      <c r="B778" s="150" t="s">
        <v>2788</v>
      </c>
      <c r="C778" s="151">
        <v>2019</v>
      </c>
      <c r="D778" s="151">
        <v>7</v>
      </c>
      <c r="E778" s="151">
        <v>3</v>
      </c>
    </row>
    <row r="779" spans="2:5" x14ac:dyDescent="0.2">
      <c r="B779" s="150" t="s">
        <v>2788</v>
      </c>
      <c r="C779" s="151">
        <v>2019</v>
      </c>
      <c r="D779" s="151">
        <v>8</v>
      </c>
      <c r="E779" s="151">
        <v>3</v>
      </c>
    </row>
    <row r="780" spans="2:5" x14ac:dyDescent="0.2">
      <c r="B780" s="150" t="s">
        <v>2788</v>
      </c>
      <c r="C780" s="151">
        <v>2019</v>
      </c>
      <c r="D780" s="151">
        <v>2</v>
      </c>
      <c r="E780" s="151">
        <v>2</v>
      </c>
    </row>
    <row r="781" spans="2:5" x14ac:dyDescent="0.2">
      <c r="B781" s="150" t="s">
        <v>2788</v>
      </c>
      <c r="C781" s="151">
        <v>2019</v>
      </c>
      <c r="D781" s="151">
        <v>4</v>
      </c>
      <c r="E781" s="151">
        <v>2</v>
      </c>
    </row>
    <row r="782" spans="2:5" x14ac:dyDescent="0.2">
      <c r="B782" s="150" t="s">
        <v>2788</v>
      </c>
      <c r="C782" s="151">
        <v>2019</v>
      </c>
      <c r="D782" s="151">
        <v>12</v>
      </c>
      <c r="E782" s="151">
        <v>2</v>
      </c>
    </row>
    <row r="783" spans="2:5" x14ac:dyDescent="0.2">
      <c r="B783" s="150" t="s">
        <v>2788</v>
      </c>
      <c r="C783" s="151">
        <v>2019</v>
      </c>
      <c r="D783" s="151">
        <v>1</v>
      </c>
      <c r="E783" s="151">
        <v>1</v>
      </c>
    </row>
    <row r="784" spans="2:5" x14ac:dyDescent="0.2">
      <c r="B784" s="150" t="s">
        <v>2918</v>
      </c>
      <c r="C784" s="151">
        <v>2019</v>
      </c>
      <c r="D784" s="151">
        <v>6</v>
      </c>
      <c r="E784" s="151">
        <v>12</v>
      </c>
    </row>
    <row r="785" spans="2:5" x14ac:dyDescent="0.2">
      <c r="B785" s="150" t="s">
        <v>2918</v>
      </c>
      <c r="C785" s="151">
        <v>2019</v>
      </c>
      <c r="D785" s="151">
        <v>5</v>
      </c>
      <c r="E785" s="151">
        <v>9</v>
      </c>
    </row>
    <row r="786" spans="2:5" x14ac:dyDescent="0.2">
      <c r="B786" s="150" t="s">
        <v>2918</v>
      </c>
      <c r="C786" s="151">
        <v>2019</v>
      </c>
      <c r="D786" s="151">
        <v>10</v>
      </c>
      <c r="E786" s="151">
        <v>9</v>
      </c>
    </row>
    <row r="787" spans="2:5" x14ac:dyDescent="0.2">
      <c r="B787" s="150" t="s">
        <v>2918</v>
      </c>
      <c r="C787" s="151">
        <v>2019</v>
      </c>
      <c r="D787" s="151">
        <v>8</v>
      </c>
      <c r="E787" s="151">
        <v>8</v>
      </c>
    </row>
    <row r="788" spans="2:5" x14ac:dyDescent="0.2">
      <c r="B788" s="150" t="s">
        <v>2918</v>
      </c>
      <c r="C788" s="151">
        <v>2019</v>
      </c>
      <c r="D788" s="151">
        <v>3</v>
      </c>
      <c r="E788" s="151">
        <v>7</v>
      </c>
    </row>
    <row r="789" spans="2:5" x14ac:dyDescent="0.2">
      <c r="B789" s="150" t="s">
        <v>2918</v>
      </c>
      <c r="C789" s="151">
        <v>2019</v>
      </c>
      <c r="D789" s="151">
        <v>4</v>
      </c>
      <c r="E789" s="151">
        <v>7</v>
      </c>
    </row>
    <row r="790" spans="2:5" x14ac:dyDescent="0.2">
      <c r="B790" s="150" t="s">
        <v>2918</v>
      </c>
      <c r="C790" s="151">
        <v>2019</v>
      </c>
      <c r="D790" s="151">
        <v>7</v>
      </c>
      <c r="E790" s="151">
        <v>5</v>
      </c>
    </row>
    <row r="791" spans="2:5" x14ac:dyDescent="0.2">
      <c r="B791" s="150" t="s">
        <v>2918</v>
      </c>
      <c r="C791" s="151">
        <v>2019</v>
      </c>
      <c r="D791" s="151">
        <v>11</v>
      </c>
      <c r="E791" s="151">
        <v>4</v>
      </c>
    </row>
    <row r="792" spans="2:5" x14ac:dyDescent="0.2">
      <c r="B792" s="150" t="s">
        <v>2918</v>
      </c>
      <c r="C792" s="151">
        <v>2019</v>
      </c>
      <c r="D792" s="151">
        <v>9</v>
      </c>
      <c r="E792" s="151">
        <v>1</v>
      </c>
    </row>
    <row r="793" spans="2:5" x14ac:dyDescent="0.2">
      <c r="B793" s="150" t="s">
        <v>2918</v>
      </c>
      <c r="C793" s="151">
        <v>2019</v>
      </c>
      <c r="D793" s="151">
        <v>12</v>
      </c>
      <c r="E793" s="151">
        <v>1</v>
      </c>
    </row>
    <row r="794" spans="2:5" x14ac:dyDescent="0.2">
      <c r="B794" s="150" t="s">
        <v>2933</v>
      </c>
      <c r="C794" s="151">
        <v>2019</v>
      </c>
      <c r="D794" s="151">
        <v>3</v>
      </c>
      <c r="E794" s="151">
        <v>10</v>
      </c>
    </row>
    <row r="795" spans="2:5" x14ac:dyDescent="0.2">
      <c r="B795" s="150" t="s">
        <v>2933</v>
      </c>
      <c r="C795" s="151">
        <v>2019</v>
      </c>
      <c r="D795" s="151">
        <v>5</v>
      </c>
      <c r="E795" s="151">
        <v>10</v>
      </c>
    </row>
    <row r="796" spans="2:5" x14ac:dyDescent="0.2">
      <c r="B796" s="150" t="s">
        <v>2933</v>
      </c>
      <c r="C796" s="151">
        <v>2019</v>
      </c>
      <c r="D796" s="151">
        <v>12</v>
      </c>
      <c r="E796" s="151">
        <v>2</v>
      </c>
    </row>
    <row r="797" spans="2:5" x14ac:dyDescent="0.2">
      <c r="B797" s="150" t="s">
        <v>2933</v>
      </c>
      <c r="C797" s="151">
        <v>2019</v>
      </c>
      <c r="D797" s="151">
        <v>2</v>
      </c>
      <c r="E797" s="151">
        <v>1</v>
      </c>
    </row>
    <row r="798" spans="2:5" x14ac:dyDescent="0.2">
      <c r="B798" s="150" t="s">
        <v>2933</v>
      </c>
      <c r="C798" s="151">
        <v>2019</v>
      </c>
      <c r="D798" s="151">
        <v>4</v>
      </c>
      <c r="E798" s="151">
        <v>1</v>
      </c>
    </row>
    <row r="799" spans="2:5" x14ac:dyDescent="0.2">
      <c r="B799" s="150" t="s">
        <v>2933</v>
      </c>
      <c r="C799" s="151">
        <v>2019</v>
      </c>
      <c r="D799" s="151">
        <v>6</v>
      </c>
      <c r="E799" s="151">
        <v>1</v>
      </c>
    </row>
    <row r="800" spans="2:5" x14ac:dyDescent="0.2">
      <c r="B800" s="150" t="s">
        <v>2933</v>
      </c>
      <c r="C800" s="151">
        <v>2019</v>
      </c>
      <c r="D800" s="151">
        <v>8</v>
      </c>
      <c r="E800" s="151">
        <v>1</v>
      </c>
    </row>
    <row r="801" spans="2:5" x14ac:dyDescent="0.2">
      <c r="B801" s="150" t="s">
        <v>2933</v>
      </c>
      <c r="C801" s="151">
        <v>2019</v>
      </c>
      <c r="D801" s="151">
        <v>9</v>
      </c>
      <c r="E801" s="151">
        <v>1</v>
      </c>
    </row>
    <row r="802" spans="2:5" x14ac:dyDescent="0.2">
      <c r="B802" s="150" t="s">
        <v>2908</v>
      </c>
      <c r="C802" s="151">
        <v>2019</v>
      </c>
      <c r="D802" s="151">
        <v>2</v>
      </c>
      <c r="E802" s="151">
        <v>24</v>
      </c>
    </row>
    <row r="803" spans="2:5" x14ac:dyDescent="0.2">
      <c r="B803" s="150" t="s">
        <v>2908</v>
      </c>
      <c r="C803" s="151">
        <v>2019</v>
      </c>
      <c r="D803" s="151">
        <v>9</v>
      </c>
      <c r="E803" s="151">
        <v>20</v>
      </c>
    </row>
    <row r="804" spans="2:5" x14ac:dyDescent="0.2">
      <c r="B804" s="150" t="s">
        <v>2908</v>
      </c>
      <c r="C804" s="151">
        <v>2019</v>
      </c>
      <c r="D804" s="151">
        <v>11</v>
      </c>
      <c r="E804" s="151">
        <v>20</v>
      </c>
    </row>
    <row r="805" spans="2:5" x14ac:dyDescent="0.2">
      <c r="B805" s="150" t="s">
        <v>2908</v>
      </c>
      <c r="C805" s="151">
        <v>2019</v>
      </c>
      <c r="D805" s="151">
        <v>4</v>
      </c>
      <c r="E805" s="151">
        <v>18</v>
      </c>
    </row>
    <row r="806" spans="2:5" x14ac:dyDescent="0.2">
      <c r="B806" s="150" t="s">
        <v>2908</v>
      </c>
      <c r="C806" s="151">
        <v>2019</v>
      </c>
      <c r="D806" s="151">
        <v>5</v>
      </c>
      <c r="E806" s="151">
        <v>15</v>
      </c>
    </row>
    <row r="807" spans="2:5" x14ac:dyDescent="0.2">
      <c r="B807" s="150" t="s">
        <v>2908</v>
      </c>
      <c r="C807" s="151">
        <v>2019</v>
      </c>
      <c r="D807" s="151">
        <v>8</v>
      </c>
      <c r="E807" s="151">
        <v>14</v>
      </c>
    </row>
    <row r="808" spans="2:5" x14ac:dyDescent="0.2">
      <c r="B808" s="150" t="s">
        <v>2908</v>
      </c>
      <c r="C808" s="151">
        <v>2019</v>
      </c>
      <c r="D808" s="151">
        <v>6</v>
      </c>
      <c r="E808" s="151">
        <v>11</v>
      </c>
    </row>
    <row r="809" spans="2:5" x14ac:dyDescent="0.2">
      <c r="B809" s="150" t="s">
        <v>2908</v>
      </c>
      <c r="C809" s="151">
        <v>2019</v>
      </c>
      <c r="D809" s="151">
        <v>7</v>
      </c>
      <c r="E809" s="151">
        <v>8</v>
      </c>
    </row>
    <row r="810" spans="2:5" x14ac:dyDescent="0.2">
      <c r="B810" s="150" t="s">
        <v>2908</v>
      </c>
      <c r="C810" s="151">
        <v>2019</v>
      </c>
      <c r="D810" s="151">
        <v>10</v>
      </c>
      <c r="E810" s="151">
        <v>3</v>
      </c>
    </row>
    <row r="811" spans="2:5" x14ac:dyDescent="0.2">
      <c r="B811" s="150" t="s">
        <v>2908</v>
      </c>
      <c r="C811" s="151">
        <v>2019</v>
      </c>
      <c r="D811" s="151">
        <v>3</v>
      </c>
      <c r="E811" s="151">
        <v>2</v>
      </c>
    </row>
    <row r="812" spans="2:5" x14ac:dyDescent="0.2">
      <c r="B812" s="150" t="s">
        <v>2789</v>
      </c>
      <c r="C812" s="151">
        <v>2019</v>
      </c>
      <c r="D812" s="151">
        <v>1</v>
      </c>
      <c r="E812" s="151">
        <v>9</v>
      </c>
    </row>
    <row r="813" spans="2:5" x14ac:dyDescent="0.2">
      <c r="B813" s="150" t="s">
        <v>2789</v>
      </c>
      <c r="C813" s="151">
        <v>2019</v>
      </c>
      <c r="D813" s="151">
        <v>10</v>
      </c>
      <c r="E813" s="151">
        <v>9</v>
      </c>
    </row>
    <row r="814" spans="2:5" x14ac:dyDescent="0.2">
      <c r="B814" s="150" t="s">
        <v>2789</v>
      </c>
      <c r="C814" s="151">
        <v>2019</v>
      </c>
      <c r="D814" s="151">
        <v>4</v>
      </c>
      <c r="E814" s="151">
        <v>8</v>
      </c>
    </row>
    <row r="815" spans="2:5" x14ac:dyDescent="0.2">
      <c r="B815" s="150" t="s">
        <v>2789</v>
      </c>
      <c r="C815" s="151">
        <v>2019</v>
      </c>
      <c r="D815" s="151">
        <v>9</v>
      </c>
      <c r="E815" s="151">
        <v>6</v>
      </c>
    </row>
    <row r="816" spans="2:5" x14ac:dyDescent="0.2">
      <c r="B816" s="150" t="s">
        <v>2789</v>
      </c>
      <c r="C816" s="151">
        <v>2019</v>
      </c>
      <c r="D816" s="151">
        <v>8</v>
      </c>
      <c r="E816" s="151">
        <v>5</v>
      </c>
    </row>
    <row r="817" spans="2:5" x14ac:dyDescent="0.2">
      <c r="B817" s="150" t="s">
        <v>2789</v>
      </c>
      <c r="C817" s="151">
        <v>2019</v>
      </c>
      <c r="D817" s="151">
        <v>6</v>
      </c>
      <c r="E817" s="151">
        <v>4</v>
      </c>
    </row>
    <row r="818" spans="2:5" x14ac:dyDescent="0.2">
      <c r="B818" s="150" t="s">
        <v>2789</v>
      </c>
      <c r="C818" s="151">
        <v>2019</v>
      </c>
      <c r="D818" s="151">
        <v>11</v>
      </c>
      <c r="E818" s="151">
        <v>4</v>
      </c>
    </row>
    <row r="819" spans="2:5" x14ac:dyDescent="0.2">
      <c r="B819" s="150" t="s">
        <v>2789</v>
      </c>
      <c r="C819" s="151">
        <v>2019</v>
      </c>
      <c r="D819" s="151">
        <v>12</v>
      </c>
      <c r="E819" s="151">
        <v>4</v>
      </c>
    </row>
    <row r="820" spans="2:5" x14ac:dyDescent="0.2">
      <c r="B820" s="150" t="s">
        <v>2789</v>
      </c>
      <c r="C820" s="151">
        <v>2019</v>
      </c>
      <c r="D820" s="151">
        <v>2</v>
      </c>
      <c r="E820" s="151">
        <v>3</v>
      </c>
    </row>
    <row r="821" spans="2:5" x14ac:dyDescent="0.2">
      <c r="B821" s="150" t="s">
        <v>2789</v>
      </c>
      <c r="C821" s="151">
        <v>2019</v>
      </c>
      <c r="D821" s="151">
        <v>3</v>
      </c>
      <c r="E821" s="151">
        <v>3</v>
      </c>
    </row>
    <row r="822" spans="2:5" x14ac:dyDescent="0.2">
      <c r="B822" s="150" t="s">
        <v>2789</v>
      </c>
      <c r="C822" s="151">
        <v>2019</v>
      </c>
      <c r="D822" s="151">
        <v>7</v>
      </c>
      <c r="E822" s="151">
        <v>3</v>
      </c>
    </row>
    <row r="823" spans="2:5" x14ac:dyDescent="0.2">
      <c r="B823" s="150" t="s">
        <v>2789</v>
      </c>
      <c r="C823" s="151">
        <v>2019</v>
      </c>
      <c r="D823" s="151">
        <v>5</v>
      </c>
      <c r="E823" s="151">
        <v>2</v>
      </c>
    </row>
    <row r="824" spans="2:5" x14ac:dyDescent="0.2">
      <c r="B824" s="150" t="s">
        <v>2790</v>
      </c>
      <c r="C824" s="151">
        <v>2019</v>
      </c>
      <c r="D824" s="151">
        <v>5</v>
      </c>
      <c r="E824" s="151">
        <v>14</v>
      </c>
    </row>
    <row r="825" spans="2:5" x14ac:dyDescent="0.2">
      <c r="B825" s="150" t="s">
        <v>2790</v>
      </c>
      <c r="C825" s="151">
        <v>2019</v>
      </c>
      <c r="D825" s="151">
        <v>6</v>
      </c>
      <c r="E825" s="151">
        <v>3</v>
      </c>
    </row>
    <row r="826" spans="2:5" x14ac:dyDescent="0.2">
      <c r="B826" s="150" t="s">
        <v>2790</v>
      </c>
      <c r="C826" s="151">
        <v>2019</v>
      </c>
      <c r="D826" s="151">
        <v>3</v>
      </c>
      <c r="E826" s="151">
        <v>2</v>
      </c>
    </row>
    <row r="827" spans="2:5" x14ac:dyDescent="0.2">
      <c r="B827" s="150" t="s">
        <v>2790</v>
      </c>
      <c r="C827" s="151">
        <v>2019</v>
      </c>
      <c r="D827" s="151">
        <v>4</v>
      </c>
      <c r="E827" s="151">
        <v>2</v>
      </c>
    </row>
    <row r="828" spans="2:5" x14ac:dyDescent="0.2">
      <c r="B828" s="150" t="s">
        <v>2790</v>
      </c>
      <c r="C828" s="151">
        <v>2019</v>
      </c>
      <c r="D828" s="151">
        <v>7</v>
      </c>
      <c r="E828" s="151">
        <v>2</v>
      </c>
    </row>
    <row r="829" spans="2:5" x14ac:dyDescent="0.2">
      <c r="B829" s="150" t="s">
        <v>2790</v>
      </c>
      <c r="C829" s="151">
        <v>2019</v>
      </c>
      <c r="D829" s="151">
        <v>8</v>
      </c>
      <c r="E829" s="151">
        <v>2</v>
      </c>
    </row>
    <row r="830" spans="2:5" x14ac:dyDescent="0.2">
      <c r="B830" s="150" t="s">
        <v>2790</v>
      </c>
      <c r="C830" s="151">
        <v>2019</v>
      </c>
      <c r="D830" s="151">
        <v>12</v>
      </c>
      <c r="E830" s="151">
        <v>2</v>
      </c>
    </row>
    <row r="831" spans="2:5" x14ac:dyDescent="0.2">
      <c r="B831" s="150" t="s">
        <v>2790</v>
      </c>
      <c r="C831" s="151">
        <v>2019</v>
      </c>
      <c r="D831" s="151">
        <v>9</v>
      </c>
      <c r="E831" s="151">
        <v>1</v>
      </c>
    </row>
    <row r="832" spans="2:5" x14ac:dyDescent="0.2">
      <c r="B832" s="150" t="s">
        <v>2790</v>
      </c>
      <c r="C832" s="151">
        <v>2019</v>
      </c>
      <c r="D832" s="151">
        <v>11</v>
      </c>
      <c r="E832" s="151">
        <v>1</v>
      </c>
    </row>
    <row r="833" spans="2:5" x14ac:dyDescent="0.2">
      <c r="B833" s="150" t="s">
        <v>2791</v>
      </c>
      <c r="C833" s="151">
        <v>2019</v>
      </c>
      <c r="D833" s="151">
        <v>5</v>
      </c>
      <c r="E833" s="151">
        <v>13</v>
      </c>
    </row>
    <row r="834" spans="2:5" x14ac:dyDescent="0.2">
      <c r="B834" s="150" t="s">
        <v>2791</v>
      </c>
      <c r="C834" s="151">
        <v>2019</v>
      </c>
      <c r="D834" s="151">
        <v>8</v>
      </c>
      <c r="E834" s="151">
        <v>6</v>
      </c>
    </row>
    <row r="835" spans="2:5" x14ac:dyDescent="0.2">
      <c r="B835" s="150" t="s">
        <v>2791</v>
      </c>
      <c r="C835" s="151">
        <v>2019</v>
      </c>
      <c r="D835" s="151">
        <v>6</v>
      </c>
      <c r="E835" s="151">
        <v>5</v>
      </c>
    </row>
    <row r="836" spans="2:5" x14ac:dyDescent="0.2">
      <c r="B836" s="150" t="s">
        <v>2791</v>
      </c>
      <c r="C836" s="151">
        <v>2019</v>
      </c>
      <c r="D836" s="151">
        <v>9</v>
      </c>
      <c r="E836" s="151">
        <v>5</v>
      </c>
    </row>
    <row r="837" spans="2:5" x14ac:dyDescent="0.2">
      <c r="B837" s="150" t="s">
        <v>2791</v>
      </c>
      <c r="C837" s="151">
        <v>2019</v>
      </c>
      <c r="D837" s="151">
        <v>10</v>
      </c>
      <c r="E837" s="151">
        <v>5</v>
      </c>
    </row>
    <row r="838" spans="2:5" x14ac:dyDescent="0.2">
      <c r="B838" s="150" t="s">
        <v>2791</v>
      </c>
      <c r="C838" s="151">
        <v>2019</v>
      </c>
      <c r="D838" s="151">
        <v>3</v>
      </c>
      <c r="E838" s="151">
        <v>4</v>
      </c>
    </row>
    <row r="839" spans="2:5" x14ac:dyDescent="0.2">
      <c r="B839" s="150" t="s">
        <v>2791</v>
      </c>
      <c r="C839" s="151">
        <v>2019</v>
      </c>
      <c r="D839" s="151">
        <v>2</v>
      </c>
      <c r="E839" s="151">
        <v>3</v>
      </c>
    </row>
    <row r="840" spans="2:5" x14ac:dyDescent="0.2">
      <c r="B840" s="150" t="s">
        <v>2791</v>
      </c>
      <c r="C840" s="151">
        <v>2019</v>
      </c>
      <c r="D840" s="151">
        <v>4</v>
      </c>
      <c r="E840" s="151">
        <v>3</v>
      </c>
    </row>
    <row r="841" spans="2:5" x14ac:dyDescent="0.2">
      <c r="B841" s="150" t="s">
        <v>2791</v>
      </c>
      <c r="C841" s="151">
        <v>2019</v>
      </c>
      <c r="D841" s="151">
        <v>11</v>
      </c>
      <c r="E841" s="151">
        <v>2</v>
      </c>
    </row>
    <row r="842" spans="2:5" x14ac:dyDescent="0.2">
      <c r="B842" s="150" t="s">
        <v>2791</v>
      </c>
      <c r="C842" s="151">
        <v>2019</v>
      </c>
      <c r="D842" s="151">
        <v>12</v>
      </c>
      <c r="E842" s="151">
        <v>2</v>
      </c>
    </row>
    <row r="843" spans="2:5" x14ac:dyDescent="0.2">
      <c r="B843" s="150" t="s">
        <v>2791</v>
      </c>
      <c r="C843" s="151">
        <v>2019</v>
      </c>
      <c r="D843" s="151">
        <v>7</v>
      </c>
      <c r="E843" s="151">
        <v>1</v>
      </c>
    </row>
    <row r="844" spans="2:5" x14ac:dyDescent="0.2">
      <c r="B844" s="150" t="s">
        <v>2969</v>
      </c>
      <c r="C844" s="151">
        <v>2019</v>
      </c>
      <c r="D844" s="151">
        <v>11</v>
      </c>
      <c r="E844" s="151">
        <v>2</v>
      </c>
    </row>
    <row r="845" spans="2:5" x14ac:dyDescent="0.2">
      <c r="B845" s="150" t="s">
        <v>2969</v>
      </c>
      <c r="C845" s="151">
        <v>2019</v>
      </c>
      <c r="D845" s="151">
        <v>1</v>
      </c>
      <c r="E845" s="151">
        <v>1</v>
      </c>
    </row>
    <row r="846" spans="2:5" x14ac:dyDescent="0.2">
      <c r="B846" s="150" t="s">
        <v>2969</v>
      </c>
      <c r="C846" s="151">
        <v>2019</v>
      </c>
      <c r="D846" s="151">
        <v>4</v>
      </c>
      <c r="E846" s="151">
        <v>1</v>
      </c>
    </row>
    <row r="847" spans="2:5" x14ac:dyDescent="0.2">
      <c r="B847" s="150" t="s">
        <v>2921</v>
      </c>
      <c r="C847" s="151">
        <v>2019</v>
      </c>
      <c r="D847" s="151">
        <v>9</v>
      </c>
      <c r="E847" s="151">
        <v>8</v>
      </c>
    </row>
    <row r="848" spans="2:5" x14ac:dyDescent="0.2">
      <c r="B848" s="150" t="s">
        <v>2921</v>
      </c>
      <c r="C848" s="151">
        <v>2019</v>
      </c>
      <c r="D848" s="151">
        <v>1</v>
      </c>
      <c r="E848" s="151">
        <v>7</v>
      </c>
    </row>
    <row r="849" spans="2:5" x14ac:dyDescent="0.2">
      <c r="B849" s="150" t="s">
        <v>2921</v>
      </c>
      <c r="C849" s="151">
        <v>2019</v>
      </c>
      <c r="D849" s="151">
        <v>3</v>
      </c>
      <c r="E849" s="151">
        <v>6</v>
      </c>
    </row>
    <row r="850" spans="2:5" x14ac:dyDescent="0.2">
      <c r="B850" s="150" t="s">
        <v>2921</v>
      </c>
      <c r="C850" s="151">
        <v>2019</v>
      </c>
      <c r="D850" s="151">
        <v>5</v>
      </c>
      <c r="E850" s="151">
        <v>5</v>
      </c>
    </row>
    <row r="851" spans="2:5" x14ac:dyDescent="0.2">
      <c r="B851" s="150" t="s">
        <v>2921</v>
      </c>
      <c r="C851" s="151">
        <v>2019</v>
      </c>
      <c r="D851" s="151">
        <v>7</v>
      </c>
      <c r="E851" s="151">
        <v>5</v>
      </c>
    </row>
    <row r="852" spans="2:5" x14ac:dyDescent="0.2">
      <c r="B852" s="150" t="s">
        <v>2921</v>
      </c>
      <c r="C852" s="151">
        <v>2019</v>
      </c>
      <c r="D852" s="151">
        <v>10</v>
      </c>
      <c r="E852" s="151">
        <v>5</v>
      </c>
    </row>
    <row r="853" spans="2:5" x14ac:dyDescent="0.2">
      <c r="B853" s="150" t="s">
        <v>2921</v>
      </c>
      <c r="C853" s="151">
        <v>2019</v>
      </c>
      <c r="D853" s="151">
        <v>11</v>
      </c>
      <c r="E853" s="151">
        <v>5</v>
      </c>
    </row>
    <row r="854" spans="2:5" x14ac:dyDescent="0.2">
      <c r="B854" s="150" t="s">
        <v>2921</v>
      </c>
      <c r="C854" s="151">
        <v>2019</v>
      </c>
      <c r="D854" s="151">
        <v>4</v>
      </c>
      <c r="E854" s="151">
        <v>3</v>
      </c>
    </row>
    <row r="855" spans="2:5" x14ac:dyDescent="0.2">
      <c r="B855" s="150" t="s">
        <v>2921</v>
      </c>
      <c r="C855" s="151">
        <v>2019</v>
      </c>
      <c r="D855" s="151">
        <v>2</v>
      </c>
      <c r="E855" s="151">
        <v>2</v>
      </c>
    </row>
    <row r="856" spans="2:5" x14ac:dyDescent="0.2">
      <c r="B856" s="150" t="s">
        <v>2921</v>
      </c>
      <c r="C856" s="151">
        <v>2019</v>
      </c>
      <c r="D856" s="151">
        <v>6</v>
      </c>
      <c r="E856" s="151">
        <v>2</v>
      </c>
    </row>
    <row r="857" spans="2:5" x14ac:dyDescent="0.2">
      <c r="B857" s="150" t="s">
        <v>2921</v>
      </c>
      <c r="C857" s="151">
        <v>2019</v>
      </c>
      <c r="D857" s="151">
        <v>8</v>
      </c>
      <c r="E857" s="151">
        <v>2</v>
      </c>
    </row>
    <row r="858" spans="2:5" x14ac:dyDescent="0.2">
      <c r="B858" s="150" t="s">
        <v>2921</v>
      </c>
      <c r="C858" s="151">
        <v>2019</v>
      </c>
      <c r="D858" s="151">
        <v>12</v>
      </c>
      <c r="E858" s="151">
        <v>2</v>
      </c>
    </row>
    <row r="859" spans="2:5" x14ac:dyDescent="0.2">
      <c r="B859" s="150" t="s">
        <v>2792</v>
      </c>
      <c r="C859" s="151">
        <v>2019</v>
      </c>
      <c r="D859" s="151">
        <v>4</v>
      </c>
      <c r="E859" s="151">
        <v>10</v>
      </c>
    </row>
    <row r="860" spans="2:5" x14ac:dyDescent="0.2">
      <c r="B860" s="150" t="s">
        <v>2792</v>
      </c>
      <c r="C860" s="151">
        <v>2019</v>
      </c>
      <c r="D860" s="151">
        <v>8</v>
      </c>
      <c r="E860" s="151">
        <v>8</v>
      </c>
    </row>
    <row r="861" spans="2:5" x14ac:dyDescent="0.2">
      <c r="B861" s="150" t="s">
        <v>2792</v>
      </c>
      <c r="C861" s="151">
        <v>2019</v>
      </c>
      <c r="D861" s="151">
        <v>3</v>
      </c>
      <c r="E861" s="151">
        <v>7</v>
      </c>
    </row>
    <row r="862" spans="2:5" x14ac:dyDescent="0.2">
      <c r="B862" s="150" t="s">
        <v>2792</v>
      </c>
      <c r="C862" s="151">
        <v>2019</v>
      </c>
      <c r="D862" s="151">
        <v>10</v>
      </c>
      <c r="E862" s="151">
        <v>7</v>
      </c>
    </row>
    <row r="863" spans="2:5" x14ac:dyDescent="0.2">
      <c r="B863" s="150" t="s">
        <v>2792</v>
      </c>
      <c r="C863" s="151">
        <v>2019</v>
      </c>
      <c r="D863" s="151">
        <v>1</v>
      </c>
      <c r="E863" s="151">
        <v>6</v>
      </c>
    </row>
    <row r="864" spans="2:5" x14ac:dyDescent="0.2">
      <c r="B864" s="150" t="s">
        <v>2792</v>
      </c>
      <c r="C864" s="151">
        <v>2019</v>
      </c>
      <c r="D864" s="151">
        <v>2</v>
      </c>
      <c r="E864" s="151">
        <v>5</v>
      </c>
    </row>
    <row r="865" spans="2:5" x14ac:dyDescent="0.2">
      <c r="B865" s="150" t="s">
        <v>2792</v>
      </c>
      <c r="C865" s="151">
        <v>2019</v>
      </c>
      <c r="D865" s="151">
        <v>9</v>
      </c>
      <c r="E865" s="151">
        <v>2</v>
      </c>
    </row>
    <row r="866" spans="2:5" x14ac:dyDescent="0.2">
      <c r="B866" s="150" t="s">
        <v>2792</v>
      </c>
      <c r="C866" s="151">
        <v>2019</v>
      </c>
      <c r="D866" s="151">
        <v>11</v>
      </c>
      <c r="E866" s="151">
        <v>2</v>
      </c>
    </row>
    <row r="867" spans="2:5" x14ac:dyDescent="0.2">
      <c r="B867" s="150" t="s">
        <v>2792</v>
      </c>
      <c r="C867" s="151">
        <v>2019</v>
      </c>
      <c r="D867" s="151">
        <v>5</v>
      </c>
      <c r="E867" s="151">
        <v>1</v>
      </c>
    </row>
    <row r="868" spans="2:5" x14ac:dyDescent="0.2">
      <c r="B868" s="150" t="s">
        <v>2792</v>
      </c>
      <c r="C868" s="151">
        <v>2019</v>
      </c>
      <c r="D868" s="151">
        <v>7</v>
      </c>
      <c r="E868" s="151">
        <v>1</v>
      </c>
    </row>
    <row r="869" spans="2:5" x14ac:dyDescent="0.2">
      <c r="B869" s="150" t="s">
        <v>2793</v>
      </c>
      <c r="C869" s="151">
        <v>2019</v>
      </c>
      <c r="D869" s="151">
        <v>3</v>
      </c>
      <c r="E869" s="151">
        <v>22</v>
      </c>
    </row>
    <row r="870" spans="2:5" x14ac:dyDescent="0.2">
      <c r="B870" s="150" t="s">
        <v>2793</v>
      </c>
      <c r="C870" s="151">
        <v>2019</v>
      </c>
      <c r="D870" s="151">
        <v>6</v>
      </c>
      <c r="E870" s="151">
        <v>22</v>
      </c>
    </row>
    <row r="871" spans="2:5" x14ac:dyDescent="0.2">
      <c r="B871" s="150" t="s">
        <v>2793</v>
      </c>
      <c r="C871" s="151">
        <v>2019</v>
      </c>
      <c r="D871" s="151">
        <v>7</v>
      </c>
      <c r="E871" s="151">
        <v>21</v>
      </c>
    </row>
    <row r="872" spans="2:5" x14ac:dyDescent="0.2">
      <c r="B872" s="150" t="s">
        <v>2793</v>
      </c>
      <c r="C872" s="151">
        <v>2019</v>
      </c>
      <c r="D872" s="151">
        <v>8</v>
      </c>
      <c r="E872" s="151">
        <v>14</v>
      </c>
    </row>
    <row r="873" spans="2:5" x14ac:dyDescent="0.2">
      <c r="B873" s="150" t="s">
        <v>2793</v>
      </c>
      <c r="C873" s="151">
        <v>2019</v>
      </c>
      <c r="D873" s="151">
        <v>9</v>
      </c>
      <c r="E873" s="151">
        <v>12</v>
      </c>
    </row>
    <row r="874" spans="2:5" x14ac:dyDescent="0.2">
      <c r="B874" s="150" t="s">
        <v>2793</v>
      </c>
      <c r="C874" s="151">
        <v>2019</v>
      </c>
      <c r="D874" s="151">
        <v>5</v>
      </c>
      <c r="E874" s="151">
        <v>9</v>
      </c>
    </row>
    <row r="875" spans="2:5" x14ac:dyDescent="0.2">
      <c r="B875" s="150" t="s">
        <v>2793</v>
      </c>
      <c r="C875" s="151">
        <v>2019</v>
      </c>
      <c r="D875" s="151">
        <v>11</v>
      </c>
      <c r="E875" s="151">
        <v>7</v>
      </c>
    </row>
    <row r="876" spans="2:5" x14ac:dyDescent="0.2">
      <c r="B876" s="150" t="s">
        <v>2793</v>
      </c>
      <c r="C876" s="151">
        <v>2019</v>
      </c>
      <c r="D876" s="151">
        <v>4</v>
      </c>
      <c r="E876" s="151">
        <v>5</v>
      </c>
    </row>
    <row r="877" spans="2:5" x14ac:dyDescent="0.2">
      <c r="B877" s="150" t="s">
        <v>2793</v>
      </c>
      <c r="C877" s="151">
        <v>2019</v>
      </c>
      <c r="D877" s="151">
        <v>12</v>
      </c>
      <c r="E877" s="151">
        <v>5</v>
      </c>
    </row>
    <row r="878" spans="2:5" x14ac:dyDescent="0.2">
      <c r="B878" s="150" t="s">
        <v>2793</v>
      </c>
      <c r="C878" s="151">
        <v>2019</v>
      </c>
      <c r="D878" s="151">
        <v>1</v>
      </c>
      <c r="E878" s="151">
        <v>4</v>
      </c>
    </row>
    <row r="879" spans="2:5" x14ac:dyDescent="0.2">
      <c r="B879" s="150" t="s">
        <v>2793</v>
      </c>
      <c r="C879" s="151">
        <v>2019</v>
      </c>
      <c r="D879" s="151">
        <v>10</v>
      </c>
      <c r="E879" s="151">
        <v>4</v>
      </c>
    </row>
    <row r="880" spans="2:5" x14ac:dyDescent="0.2">
      <c r="B880" s="150" t="s">
        <v>2793</v>
      </c>
      <c r="C880" s="151">
        <v>2019</v>
      </c>
      <c r="D880" s="151">
        <v>2</v>
      </c>
      <c r="E880" s="151">
        <v>1</v>
      </c>
    </row>
    <row r="881" spans="2:5" x14ac:dyDescent="0.2">
      <c r="B881" s="150" t="s">
        <v>2794</v>
      </c>
      <c r="C881" s="151">
        <v>2019</v>
      </c>
      <c r="D881" s="151">
        <v>4</v>
      </c>
      <c r="E881" s="151">
        <v>7</v>
      </c>
    </row>
    <row r="882" spans="2:5" x14ac:dyDescent="0.2">
      <c r="B882" s="150" t="s">
        <v>2794</v>
      </c>
      <c r="C882" s="151">
        <v>2019</v>
      </c>
      <c r="D882" s="151">
        <v>6</v>
      </c>
      <c r="E882" s="151">
        <v>7</v>
      </c>
    </row>
    <row r="883" spans="2:5" x14ac:dyDescent="0.2">
      <c r="B883" s="150" t="s">
        <v>2794</v>
      </c>
      <c r="C883" s="151">
        <v>2019</v>
      </c>
      <c r="D883" s="151">
        <v>1</v>
      </c>
      <c r="E883" s="151">
        <v>3</v>
      </c>
    </row>
    <row r="884" spans="2:5" x14ac:dyDescent="0.2">
      <c r="B884" s="150" t="s">
        <v>2794</v>
      </c>
      <c r="C884" s="151">
        <v>2019</v>
      </c>
      <c r="D884" s="151">
        <v>3</v>
      </c>
      <c r="E884" s="151">
        <v>3</v>
      </c>
    </row>
    <row r="885" spans="2:5" x14ac:dyDescent="0.2">
      <c r="B885" s="150" t="s">
        <v>2794</v>
      </c>
      <c r="C885" s="151">
        <v>2019</v>
      </c>
      <c r="D885" s="151">
        <v>5</v>
      </c>
      <c r="E885" s="151">
        <v>3</v>
      </c>
    </row>
    <row r="886" spans="2:5" x14ac:dyDescent="0.2">
      <c r="B886" s="150" t="s">
        <v>2794</v>
      </c>
      <c r="C886" s="151">
        <v>2019</v>
      </c>
      <c r="D886" s="151">
        <v>7</v>
      </c>
      <c r="E886" s="151">
        <v>3</v>
      </c>
    </row>
    <row r="887" spans="2:5" x14ac:dyDescent="0.2">
      <c r="B887" s="150" t="s">
        <v>2794</v>
      </c>
      <c r="C887" s="151">
        <v>2019</v>
      </c>
      <c r="D887" s="151">
        <v>8</v>
      </c>
      <c r="E887" s="151">
        <v>3</v>
      </c>
    </row>
    <row r="888" spans="2:5" x14ac:dyDescent="0.2">
      <c r="B888" s="150" t="s">
        <v>2794</v>
      </c>
      <c r="C888" s="151">
        <v>2019</v>
      </c>
      <c r="D888" s="151">
        <v>2</v>
      </c>
      <c r="E888" s="151">
        <v>1</v>
      </c>
    </row>
    <row r="889" spans="2:5" x14ac:dyDescent="0.2">
      <c r="B889" s="150" t="s">
        <v>2794</v>
      </c>
      <c r="C889" s="151">
        <v>2019</v>
      </c>
      <c r="D889" s="151">
        <v>9</v>
      </c>
      <c r="E889" s="151">
        <v>1</v>
      </c>
    </row>
    <row r="890" spans="2:5" x14ac:dyDescent="0.2">
      <c r="B890" s="150" t="s">
        <v>2794</v>
      </c>
      <c r="C890" s="151">
        <v>2019</v>
      </c>
      <c r="D890" s="151">
        <v>10</v>
      </c>
      <c r="E890" s="151">
        <v>1</v>
      </c>
    </row>
    <row r="891" spans="2:5" x14ac:dyDescent="0.2">
      <c r="B891" s="150" t="s">
        <v>2794</v>
      </c>
      <c r="C891" s="151">
        <v>2019</v>
      </c>
      <c r="D891" s="151">
        <v>12</v>
      </c>
      <c r="E891" s="151">
        <v>1</v>
      </c>
    </row>
    <row r="892" spans="2:5" x14ac:dyDescent="0.2">
      <c r="B892" s="150" t="s">
        <v>2795</v>
      </c>
      <c r="C892" s="151">
        <v>2019</v>
      </c>
      <c r="D892" s="151">
        <v>3</v>
      </c>
      <c r="E892" s="151">
        <v>15</v>
      </c>
    </row>
    <row r="893" spans="2:5" x14ac:dyDescent="0.2">
      <c r="B893" s="150" t="s">
        <v>2795</v>
      </c>
      <c r="C893" s="151">
        <v>2019</v>
      </c>
      <c r="D893" s="151">
        <v>8</v>
      </c>
      <c r="E893" s="151">
        <v>15</v>
      </c>
    </row>
    <row r="894" spans="2:5" x14ac:dyDescent="0.2">
      <c r="B894" s="150" t="s">
        <v>2795</v>
      </c>
      <c r="C894" s="151">
        <v>2019</v>
      </c>
      <c r="D894" s="151">
        <v>9</v>
      </c>
      <c r="E894" s="151">
        <v>11</v>
      </c>
    </row>
    <row r="895" spans="2:5" x14ac:dyDescent="0.2">
      <c r="B895" s="150" t="s">
        <v>2795</v>
      </c>
      <c r="C895" s="151">
        <v>2019</v>
      </c>
      <c r="D895" s="151">
        <v>6</v>
      </c>
      <c r="E895" s="151">
        <v>10</v>
      </c>
    </row>
    <row r="896" spans="2:5" x14ac:dyDescent="0.2">
      <c r="B896" s="150" t="s">
        <v>2795</v>
      </c>
      <c r="C896" s="151">
        <v>2019</v>
      </c>
      <c r="D896" s="151">
        <v>7</v>
      </c>
      <c r="E896" s="151">
        <v>8</v>
      </c>
    </row>
    <row r="897" spans="2:5" x14ac:dyDescent="0.2">
      <c r="B897" s="150" t="s">
        <v>2795</v>
      </c>
      <c r="C897" s="151">
        <v>2019</v>
      </c>
      <c r="D897" s="151">
        <v>5</v>
      </c>
      <c r="E897" s="151">
        <v>7</v>
      </c>
    </row>
    <row r="898" spans="2:5" x14ac:dyDescent="0.2">
      <c r="B898" s="150" t="s">
        <v>2795</v>
      </c>
      <c r="C898" s="151">
        <v>2019</v>
      </c>
      <c r="D898" s="151">
        <v>10</v>
      </c>
      <c r="E898" s="151">
        <v>7</v>
      </c>
    </row>
    <row r="899" spans="2:5" x14ac:dyDescent="0.2">
      <c r="B899" s="150" t="s">
        <v>2795</v>
      </c>
      <c r="C899" s="151">
        <v>2019</v>
      </c>
      <c r="D899" s="151">
        <v>11</v>
      </c>
      <c r="E899" s="151">
        <v>6</v>
      </c>
    </row>
    <row r="900" spans="2:5" x14ac:dyDescent="0.2">
      <c r="B900" s="150" t="s">
        <v>2795</v>
      </c>
      <c r="C900" s="151">
        <v>2019</v>
      </c>
      <c r="D900" s="151">
        <v>1</v>
      </c>
      <c r="E900" s="151">
        <v>5</v>
      </c>
    </row>
    <row r="901" spans="2:5" x14ac:dyDescent="0.2">
      <c r="B901" s="150" t="s">
        <v>2795</v>
      </c>
      <c r="C901" s="151">
        <v>2019</v>
      </c>
      <c r="D901" s="151">
        <v>12</v>
      </c>
      <c r="E901" s="151">
        <v>4</v>
      </c>
    </row>
    <row r="902" spans="2:5" x14ac:dyDescent="0.2">
      <c r="B902" s="150" t="s">
        <v>2795</v>
      </c>
      <c r="C902" s="151">
        <v>2019</v>
      </c>
      <c r="D902" s="151">
        <v>2</v>
      </c>
      <c r="E902" s="151">
        <v>3</v>
      </c>
    </row>
    <row r="903" spans="2:5" x14ac:dyDescent="0.2">
      <c r="B903" s="150" t="s">
        <v>2795</v>
      </c>
      <c r="C903" s="151">
        <v>2019</v>
      </c>
      <c r="D903" s="151">
        <v>4</v>
      </c>
      <c r="E903" s="151">
        <v>2</v>
      </c>
    </row>
    <row r="904" spans="2:5" x14ac:dyDescent="0.2">
      <c r="B904" s="150" t="s">
        <v>2796</v>
      </c>
      <c r="C904" s="151">
        <v>2019</v>
      </c>
      <c r="D904" s="151">
        <v>11</v>
      </c>
      <c r="E904" s="151">
        <v>6</v>
      </c>
    </row>
    <row r="905" spans="2:5" x14ac:dyDescent="0.2">
      <c r="B905" s="150" t="s">
        <v>2796</v>
      </c>
      <c r="C905" s="151">
        <v>2019</v>
      </c>
      <c r="D905" s="151">
        <v>10</v>
      </c>
      <c r="E905" s="151">
        <v>5</v>
      </c>
    </row>
    <row r="906" spans="2:5" x14ac:dyDescent="0.2">
      <c r="B906" s="150" t="s">
        <v>2796</v>
      </c>
      <c r="C906" s="151">
        <v>2019</v>
      </c>
      <c r="D906" s="151">
        <v>4</v>
      </c>
      <c r="E906" s="151">
        <v>3</v>
      </c>
    </row>
    <row r="907" spans="2:5" x14ac:dyDescent="0.2">
      <c r="B907" s="150" t="s">
        <v>2796</v>
      </c>
      <c r="C907" s="151">
        <v>2019</v>
      </c>
      <c r="D907" s="151">
        <v>7</v>
      </c>
      <c r="E907" s="151">
        <v>3</v>
      </c>
    </row>
    <row r="908" spans="2:5" x14ac:dyDescent="0.2">
      <c r="B908" s="150" t="s">
        <v>2796</v>
      </c>
      <c r="C908" s="151">
        <v>2019</v>
      </c>
      <c r="D908" s="151">
        <v>8</v>
      </c>
      <c r="E908" s="151">
        <v>2</v>
      </c>
    </row>
    <row r="909" spans="2:5" x14ac:dyDescent="0.2">
      <c r="B909" s="150" t="s">
        <v>2796</v>
      </c>
      <c r="C909" s="151">
        <v>2019</v>
      </c>
      <c r="D909" s="151">
        <v>9</v>
      </c>
      <c r="E909" s="151">
        <v>2</v>
      </c>
    </row>
    <row r="910" spans="2:5" x14ac:dyDescent="0.2">
      <c r="B910" s="150" t="s">
        <v>2796</v>
      </c>
      <c r="C910" s="151">
        <v>2019</v>
      </c>
      <c r="D910" s="151">
        <v>2</v>
      </c>
      <c r="E910" s="151">
        <v>1</v>
      </c>
    </row>
    <row r="911" spans="2:5" x14ac:dyDescent="0.2">
      <c r="B911" s="150" t="s">
        <v>2796</v>
      </c>
      <c r="C911" s="151">
        <v>2019</v>
      </c>
      <c r="D911" s="151">
        <v>5</v>
      </c>
      <c r="E911" s="151">
        <v>1</v>
      </c>
    </row>
    <row r="912" spans="2:5" x14ac:dyDescent="0.2">
      <c r="B912" s="150" t="s">
        <v>2796</v>
      </c>
      <c r="C912" s="151">
        <v>2019</v>
      </c>
      <c r="D912" s="151">
        <v>12</v>
      </c>
      <c r="E912" s="151">
        <v>1</v>
      </c>
    </row>
    <row r="913" spans="2:5" x14ac:dyDescent="0.2">
      <c r="B913" s="150" t="s">
        <v>2797</v>
      </c>
      <c r="C913" s="151">
        <v>2019</v>
      </c>
      <c r="D913" s="151">
        <v>5</v>
      </c>
      <c r="E913" s="151">
        <v>44</v>
      </c>
    </row>
    <row r="914" spans="2:5" x14ac:dyDescent="0.2">
      <c r="B914" s="150" t="s">
        <v>2797</v>
      </c>
      <c r="C914" s="151">
        <v>2019</v>
      </c>
      <c r="D914" s="151">
        <v>10</v>
      </c>
      <c r="E914" s="151">
        <v>40</v>
      </c>
    </row>
    <row r="915" spans="2:5" x14ac:dyDescent="0.2">
      <c r="B915" s="150" t="s">
        <v>2797</v>
      </c>
      <c r="C915" s="151">
        <v>2019</v>
      </c>
      <c r="D915" s="151">
        <v>4</v>
      </c>
      <c r="E915" s="151">
        <v>23</v>
      </c>
    </row>
    <row r="916" spans="2:5" x14ac:dyDescent="0.2">
      <c r="B916" s="150" t="s">
        <v>2797</v>
      </c>
      <c r="C916" s="151">
        <v>2019</v>
      </c>
      <c r="D916" s="151">
        <v>3</v>
      </c>
      <c r="E916" s="151">
        <v>22</v>
      </c>
    </row>
    <row r="917" spans="2:5" x14ac:dyDescent="0.2">
      <c r="B917" s="150" t="s">
        <v>2797</v>
      </c>
      <c r="C917" s="151">
        <v>2019</v>
      </c>
      <c r="D917" s="151">
        <v>9</v>
      </c>
      <c r="E917" s="151">
        <v>16</v>
      </c>
    </row>
    <row r="918" spans="2:5" x14ac:dyDescent="0.2">
      <c r="B918" s="150" t="s">
        <v>2797</v>
      </c>
      <c r="C918" s="151">
        <v>2019</v>
      </c>
      <c r="D918" s="151">
        <v>6</v>
      </c>
      <c r="E918" s="151">
        <v>15</v>
      </c>
    </row>
    <row r="919" spans="2:5" x14ac:dyDescent="0.2">
      <c r="B919" s="150" t="s">
        <v>2797</v>
      </c>
      <c r="C919" s="151">
        <v>2019</v>
      </c>
      <c r="D919" s="151">
        <v>8</v>
      </c>
      <c r="E919" s="151">
        <v>14</v>
      </c>
    </row>
    <row r="920" spans="2:5" x14ac:dyDescent="0.2">
      <c r="B920" s="150" t="s">
        <v>2797</v>
      </c>
      <c r="C920" s="151">
        <v>2019</v>
      </c>
      <c r="D920" s="151">
        <v>11</v>
      </c>
      <c r="E920" s="151">
        <v>10</v>
      </c>
    </row>
    <row r="921" spans="2:5" x14ac:dyDescent="0.2">
      <c r="B921" s="150" t="s">
        <v>2797</v>
      </c>
      <c r="C921" s="151">
        <v>2019</v>
      </c>
      <c r="D921" s="151">
        <v>7</v>
      </c>
      <c r="E921" s="151">
        <v>6</v>
      </c>
    </row>
    <row r="922" spans="2:5" x14ac:dyDescent="0.2">
      <c r="B922" s="150" t="s">
        <v>2797</v>
      </c>
      <c r="C922" s="151">
        <v>2019</v>
      </c>
      <c r="D922" s="151">
        <v>12</v>
      </c>
      <c r="E922" s="151">
        <v>6</v>
      </c>
    </row>
    <row r="923" spans="2:5" x14ac:dyDescent="0.2">
      <c r="B923" s="150" t="s">
        <v>2797</v>
      </c>
      <c r="C923" s="151">
        <v>2019</v>
      </c>
      <c r="D923" s="151">
        <v>2</v>
      </c>
      <c r="E923" s="151">
        <v>3</v>
      </c>
    </row>
    <row r="924" spans="2:5" x14ac:dyDescent="0.2">
      <c r="B924" s="150" t="s">
        <v>2798</v>
      </c>
      <c r="C924" s="151">
        <v>2019</v>
      </c>
      <c r="D924" s="151">
        <v>3</v>
      </c>
      <c r="E924" s="151">
        <v>270</v>
      </c>
    </row>
    <row r="925" spans="2:5" x14ac:dyDescent="0.2">
      <c r="B925" s="150" t="s">
        <v>2798</v>
      </c>
      <c r="C925" s="151">
        <v>2019</v>
      </c>
      <c r="D925" s="151">
        <v>1</v>
      </c>
      <c r="E925" s="151">
        <v>262</v>
      </c>
    </row>
    <row r="926" spans="2:5" x14ac:dyDescent="0.2">
      <c r="B926" s="150" t="s">
        <v>2798</v>
      </c>
      <c r="C926" s="151">
        <v>2019</v>
      </c>
      <c r="D926" s="151">
        <v>9</v>
      </c>
      <c r="E926" s="151">
        <v>218</v>
      </c>
    </row>
    <row r="927" spans="2:5" x14ac:dyDescent="0.2">
      <c r="B927" s="150" t="s">
        <v>2798</v>
      </c>
      <c r="C927" s="151">
        <v>2019</v>
      </c>
      <c r="D927" s="151">
        <v>8</v>
      </c>
      <c r="E927" s="151">
        <v>211</v>
      </c>
    </row>
    <row r="928" spans="2:5" x14ac:dyDescent="0.2">
      <c r="B928" s="150" t="s">
        <v>2798</v>
      </c>
      <c r="C928" s="151">
        <v>2019</v>
      </c>
      <c r="D928" s="151">
        <v>4</v>
      </c>
      <c r="E928" s="151">
        <v>196</v>
      </c>
    </row>
    <row r="929" spans="2:5" x14ac:dyDescent="0.2">
      <c r="B929" s="150" t="s">
        <v>2798</v>
      </c>
      <c r="C929" s="151">
        <v>2019</v>
      </c>
      <c r="D929" s="151">
        <v>10</v>
      </c>
      <c r="E929" s="151">
        <v>193</v>
      </c>
    </row>
    <row r="930" spans="2:5" x14ac:dyDescent="0.2">
      <c r="B930" s="150" t="s">
        <v>2798</v>
      </c>
      <c r="C930" s="151">
        <v>2019</v>
      </c>
      <c r="D930" s="151">
        <v>12</v>
      </c>
      <c r="E930" s="151">
        <v>165</v>
      </c>
    </row>
    <row r="931" spans="2:5" x14ac:dyDescent="0.2">
      <c r="B931" s="150" t="s">
        <v>2798</v>
      </c>
      <c r="C931" s="151">
        <v>2019</v>
      </c>
      <c r="D931" s="151">
        <v>11</v>
      </c>
      <c r="E931" s="151">
        <v>156</v>
      </c>
    </row>
    <row r="932" spans="2:5" x14ac:dyDescent="0.2">
      <c r="B932" s="150" t="s">
        <v>2798</v>
      </c>
      <c r="C932" s="151">
        <v>2019</v>
      </c>
      <c r="D932" s="151">
        <v>2</v>
      </c>
      <c r="E932" s="151">
        <v>151</v>
      </c>
    </row>
    <row r="933" spans="2:5" x14ac:dyDescent="0.2">
      <c r="B933" s="150" t="s">
        <v>2798</v>
      </c>
      <c r="C933" s="151">
        <v>2019</v>
      </c>
      <c r="D933" s="151">
        <v>7</v>
      </c>
      <c r="E933" s="151">
        <v>149</v>
      </c>
    </row>
    <row r="934" spans="2:5" x14ac:dyDescent="0.2">
      <c r="B934" s="150" t="s">
        <v>2798</v>
      </c>
      <c r="C934" s="151">
        <v>2019</v>
      </c>
      <c r="D934" s="151">
        <v>5</v>
      </c>
      <c r="E934" s="151">
        <v>147</v>
      </c>
    </row>
    <row r="935" spans="2:5" x14ac:dyDescent="0.2">
      <c r="B935" s="150" t="s">
        <v>2798</v>
      </c>
      <c r="C935" s="151">
        <v>2019</v>
      </c>
      <c r="D935" s="151">
        <v>6</v>
      </c>
      <c r="E935" s="151">
        <v>104</v>
      </c>
    </row>
    <row r="936" spans="2:5" x14ac:dyDescent="0.2">
      <c r="B936" s="150" t="s">
        <v>2799</v>
      </c>
      <c r="C936" s="151">
        <v>2019</v>
      </c>
      <c r="D936" s="151">
        <v>3</v>
      </c>
      <c r="E936" s="151">
        <v>32</v>
      </c>
    </row>
    <row r="937" spans="2:5" x14ac:dyDescent="0.2">
      <c r="B937" s="150" t="s">
        <v>2799</v>
      </c>
      <c r="C937" s="151">
        <v>2019</v>
      </c>
      <c r="D937" s="151">
        <v>1</v>
      </c>
      <c r="E937" s="151">
        <v>10</v>
      </c>
    </row>
    <row r="938" spans="2:5" x14ac:dyDescent="0.2">
      <c r="B938" s="150" t="s">
        <v>2799</v>
      </c>
      <c r="C938" s="151">
        <v>2019</v>
      </c>
      <c r="D938" s="151">
        <v>7</v>
      </c>
      <c r="E938" s="151">
        <v>9</v>
      </c>
    </row>
    <row r="939" spans="2:5" x14ac:dyDescent="0.2">
      <c r="B939" s="150" t="s">
        <v>2799</v>
      </c>
      <c r="C939" s="151">
        <v>2019</v>
      </c>
      <c r="D939" s="151">
        <v>8</v>
      </c>
      <c r="E939" s="151">
        <v>6</v>
      </c>
    </row>
    <row r="940" spans="2:5" x14ac:dyDescent="0.2">
      <c r="B940" s="150" t="s">
        <v>2799</v>
      </c>
      <c r="C940" s="151">
        <v>2019</v>
      </c>
      <c r="D940" s="151">
        <v>4</v>
      </c>
      <c r="E940" s="151">
        <v>4</v>
      </c>
    </row>
    <row r="941" spans="2:5" x14ac:dyDescent="0.2">
      <c r="B941" s="150" t="s">
        <v>2799</v>
      </c>
      <c r="C941" s="151">
        <v>2019</v>
      </c>
      <c r="D941" s="151">
        <v>6</v>
      </c>
      <c r="E941" s="151">
        <v>4</v>
      </c>
    </row>
    <row r="942" spans="2:5" x14ac:dyDescent="0.2">
      <c r="B942" s="150" t="s">
        <v>2799</v>
      </c>
      <c r="C942" s="151">
        <v>2019</v>
      </c>
      <c r="D942" s="151">
        <v>5</v>
      </c>
      <c r="E942" s="151">
        <v>3</v>
      </c>
    </row>
    <row r="943" spans="2:5" x14ac:dyDescent="0.2">
      <c r="B943" s="150" t="s">
        <v>2799</v>
      </c>
      <c r="C943" s="151">
        <v>2019</v>
      </c>
      <c r="D943" s="151">
        <v>10</v>
      </c>
      <c r="E943" s="151">
        <v>3</v>
      </c>
    </row>
    <row r="944" spans="2:5" x14ac:dyDescent="0.2">
      <c r="B944" s="150" t="s">
        <v>2931</v>
      </c>
      <c r="C944" s="151">
        <v>2019</v>
      </c>
      <c r="D944" s="151">
        <v>3</v>
      </c>
      <c r="E944" s="151">
        <v>14</v>
      </c>
    </row>
    <row r="945" spans="2:5" x14ac:dyDescent="0.2">
      <c r="B945" s="150" t="s">
        <v>2931</v>
      </c>
      <c r="C945" s="151">
        <v>2019</v>
      </c>
      <c r="D945" s="151">
        <v>6</v>
      </c>
      <c r="E945" s="151">
        <v>5</v>
      </c>
    </row>
    <row r="946" spans="2:5" x14ac:dyDescent="0.2">
      <c r="B946" s="150" t="s">
        <v>2931</v>
      </c>
      <c r="C946" s="151">
        <v>2019</v>
      </c>
      <c r="D946" s="151">
        <v>1</v>
      </c>
      <c r="E946" s="151">
        <v>3</v>
      </c>
    </row>
    <row r="947" spans="2:5" x14ac:dyDescent="0.2">
      <c r="B947" s="150" t="s">
        <v>2931</v>
      </c>
      <c r="C947" s="151">
        <v>2019</v>
      </c>
      <c r="D947" s="151">
        <v>10</v>
      </c>
      <c r="E947" s="151">
        <v>3</v>
      </c>
    </row>
    <row r="948" spans="2:5" x14ac:dyDescent="0.2">
      <c r="B948" s="150" t="s">
        <v>2931</v>
      </c>
      <c r="C948" s="151">
        <v>2019</v>
      </c>
      <c r="D948" s="151">
        <v>4</v>
      </c>
      <c r="E948" s="151">
        <v>2</v>
      </c>
    </row>
    <row r="949" spans="2:5" x14ac:dyDescent="0.2">
      <c r="B949" s="150" t="s">
        <v>2931</v>
      </c>
      <c r="C949" s="151">
        <v>2019</v>
      </c>
      <c r="D949" s="151">
        <v>5</v>
      </c>
      <c r="E949" s="151">
        <v>2</v>
      </c>
    </row>
    <row r="950" spans="2:5" x14ac:dyDescent="0.2">
      <c r="B950" s="150" t="s">
        <v>2931</v>
      </c>
      <c r="C950" s="151">
        <v>2019</v>
      </c>
      <c r="D950" s="151">
        <v>7</v>
      </c>
      <c r="E950" s="151">
        <v>2</v>
      </c>
    </row>
    <row r="951" spans="2:5" x14ac:dyDescent="0.2">
      <c r="B951" s="150" t="s">
        <v>2931</v>
      </c>
      <c r="C951" s="151">
        <v>2019</v>
      </c>
      <c r="D951" s="151">
        <v>8</v>
      </c>
      <c r="E951" s="151">
        <v>2</v>
      </c>
    </row>
    <row r="952" spans="2:5" x14ac:dyDescent="0.2">
      <c r="B952" s="150" t="s">
        <v>2957</v>
      </c>
      <c r="C952" s="151">
        <v>2019</v>
      </c>
      <c r="D952" s="151">
        <v>4</v>
      </c>
      <c r="E952" s="151">
        <v>2</v>
      </c>
    </row>
    <row r="953" spans="2:5" x14ac:dyDescent="0.2">
      <c r="B953" s="150" t="s">
        <v>2957</v>
      </c>
      <c r="C953" s="151">
        <v>2019</v>
      </c>
      <c r="D953" s="151">
        <v>6</v>
      </c>
      <c r="E953" s="151">
        <v>2</v>
      </c>
    </row>
    <row r="954" spans="2:5" x14ac:dyDescent="0.2">
      <c r="B954" s="150" t="s">
        <v>2957</v>
      </c>
      <c r="C954" s="151">
        <v>2019</v>
      </c>
      <c r="D954" s="151">
        <v>2</v>
      </c>
      <c r="E954" s="151">
        <v>1</v>
      </c>
    </row>
    <row r="955" spans="2:5" x14ac:dyDescent="0.2">
      <c r="B955" s="150" t="s">
        <v>2957</v>
      </c>
      <c r="C955" s="151">
        <v>2019</v>
      </c>
      <c r="D955" s="151">
        <v>7</v>
      </c>
      <c r="E955" s="151">
        <v>1</v>
      </c>
    </row>
    <row r="956" spans="2:5" x14ac:dyDescent="0.2">
      <c r="B956" s="150" t="s">
        <v>2957</v>
      </c>
      <c r="C956" s="151">
        <v>2019</v>
      </c>
      <c r="D956" s="151">
        <v>9</v>
      </c>
      <c r="E956" s="151">
        <v>1</v>
      </c>
    </row>
    <row r="957" spans="2:5" x14ac:dyDescent="0.2">
      <c r="B957" s="150" t="s">
        <v>2957</v>
      </c>
      <c r="C957" s="151">
        <v>2019</v>
      </c>
      <c r="D957" s="151">
        <v>11</v>
      </c>
      <c r="E957" s="151">
        <v>1</v>
      </c>
    </row>
    <row r="958" spans="2:5" x14ac:dyDescent="0.2">
      <c r="B958" s="150" t="s">
        <v>2800</v>
      </c>
      <c r="C958" s="151">
        <v>2019</v>
      </c>
      <c r="D958" s="151">
        <v>5</v>
      </c>
      <c r="E958" s="151">
        <v>22</v>
      </c>
    </row>
    <row r="959" spans="2:5" x14ac:dyDescent="0.2">
      <c r="B959" s="150" t="s">
        <v>2800</v>
      </c>
      <c r="C959" s="151">
        <v>2019</v>
      </c>
      <c r="D959" s="151">
        <v>10</v>
      </c>
      <c r="E959" s="151">
        <v>11</v>
      </c>
    </row>
    <row r="960" spans="2:5" x14ac:dyDescent="0.2">
      <c r="B960" s="150" t="s">
        <v>2800</v>
      </c>
      <c r="C960" s="151">
        <v>2019</v>
      </c>
      <c r="D960" s="151">
        <v>2</v>
      </c>
      <c r="E960" s="151">
        <v>6</v>
      </c>
    </row>
    <row r="961" spans="2:5" x14ac:dyDescent="0.2">
      <c r="B961" s="150" t="s">
        <v>2800</v>
      </c>
      <c r="C961" s="151">
        <v>2019</v>
      </c>
      <c r="D961" s="151">
        <v>4</v>
      </c>
      <c r="E961" s="151">
        <v>5</v>
      </c>
    </row>
    <row r="962" spans="2:5" x14ac:dyDescent="0.2">
      <c r="B962" s="150" t="s">
        <v>2800</v>
      </c>
      <c r="C962" s="151">
        <v>2019</v>
      </c>
      <c r="D962" s="151">
        <v>1</v>
      </c>
      <c r="E962" s="151">
        <v>4</v>
      </c>
    </row>
    <row r="963" spans="2:5" x14ac:dyDescent="0.2">
      <c r="B963" s="150" t="s">
        <v>2800</v>
      </c>
      <c r="C963" s="151">
        <v>2019</v>
      </c>
      <c r="D963" s="151">
        <v>6</v>
      </c>
      <c r="E963" s="151">
        <v>3</v>
      </c>
    </row>
    <row r="964" spans="2:5" x14ac:dyDescent="0.2">
      <c r="B964" s="150" t="s">
        <v>2800</v>
      </c>
      <c r="C964" s="151">
        <v>2019</v>
      </c>
      <c r="D964" s="151">
        <v>12</v>
      </c>
      <c r="E964" s="151">
        <v>3</v>
      </c>
    </row>
    <row r="965" spans="2:5" x14ac:dyDescent="0.2">
      <c r="B965" s="150" t="s">
        <v>2800</v>
      </c>
      <c r="C965" s="151">
        <v>2019</v>
      </c>
      <c r="D965" s="151">
        <v>3</v>
      </c>
      <c r="E965" s="151">
        <v>2</v>
      </c>
    </row>
    <row r="966" spans="2:5" x14ac:dyDescent="0.2">
      <c r="B966" s="150" t="s">
        <v>2800</v>
      </c>
      <c r="C966" s="151">
        <v>2019</v>
      </c>
      <c r="D966" s="151">
        <v>8</v>
      </c>
      <c r="E966" s="151">
        <v>2</v>
      </c>
    </row>
    <row r="967" spans="2:5" x14ac:dyDescent="0.2">
      <c r="B967" s="150" t="s">
        <v>2800</v>
      </c>
      <c r="C967" s="151">
        <v>2019</v>
      </c>
      <c r="D967" s="151">
        <v>9</v>
      </c>
      <c r="E967" s="151">
        <v>2</v>
      </c>
    </row>
    <row r="968" spans="2:5" x14ac:dyDescent="0.2">
      <c r="B968" s="150" t="s">
        <v>2800</v>
      </c>
      <c r="C968" s="151">
        <v>2019</v>
      </c>
      <c r="D968" s="151">
        <v>7</v>
      </c>
      <c r="E968" s="151">
        <v>1</v>
      </c>
    </row>
    <row r="969" spans="2:5" x14ac:dyDescent="0.2">
      <c r="B969" s="150" t="s">
        <v>991</v>
      </c>
      <c r="C969" s="151">
        <v>2019</v>
      </c>
      <c r="D969" s="151">
        <v>10</v>
      </c>
      <c r="E969" s="151">
        <v>379</v>
      </c>
    </row>
    <row r="970" spans="2:5" x14ac:dyDescent="0.2">
      <c r="B970" s="150" t="s">
        <v>991</v>
      </c>
      <c r="C970" s="151">
        <v>2019</v>
      </c>
      <c r="D970" s="151">
        <v>4</v>
      </c>
      <c r="E970" s="151">
        <v>365</v>
      </c>
    </row>
    <row r="971" spans="2:5" x14ac:dyDescent="0.2">
      <c r="B971" s="150" t="s">
        <v>991</v>
      </c>
      <c r="C971" s="151">
        <v>2019</v>
      </c>
      <c r="D971" s="151">
        <v>9</v>
      </c>
      <c r="E971" s="151">
        <v>346</v>
      </c>
    </row>
    <row r="972" spans="2:5" x14ac:dyDescent="0.2">
      <c r="B972" s="150" t="s">
        <v>991</v>
      </c>
      <c r="C972" s="151">
        <v>2019</v>
      </c>
      <c r="D972" s="151">
        <v>1</v>
      </c>
      <c r="E972" s="151">
        <v>319</v>
      </c>
    </row>
    <row r="973" spans="2:5" x14ac:dyDescent="0.2">
      <c r="B973" s="150" t="s">
        <v>991</v>
      </c>
      <c r="C973" s="151">
        <v>2019</v>
      </c>
      <c r="D973" s="151">
        <v>3</v>
      </c>
      <c r="E973" s="151">
        <v>303</v>
      </c>
    </row>
    <row r="974" spans="2:5" x14ac:dyDescent="0.2">
      <c r="B974" s="150" t="s">
        <v>991</v>
      </c>
      <c r="C974" s="151">
        <v>2019</v>
      </c>
      <c r="D974" s="151">
        <v>12</v>
      </c>
      <c r="E974" s="151">
        <v>290</v>
      </c>
    </row>
    <row r="975" spans="2:5" x14ac:dyDescent="0.2">
      <c r="B975" s="150" t="s">
        <v>991</v>
      </c>
      <c r="C975" s="151">
        <v>2019</v>
      </c>
      <c r="D975" s="151">
        <v>7</v>
      </c>
      <c r="E975" s="151">
        <v>227</v>
      </c>
    </row>
    <row r="976" spans="2:5" x14ac:dyDescent="0.2">
      <c r="B976" s="150" t="s">
        <v>991</v>
      </c>
      <c r="C976" s="151">
        <v>2019</v>
      </c>
      <c r="D976" s="151">
        <v>2</v>
      </c>
      <c r="E976" s="151">
        <v>223</v>
      </c>
    </row>
    <row r="977" spans="2:5" x14ac:dyDescent="0.2">
      <c r="B977" s="150" t="s">
        <v>991</v>
      </c>
      <c r="C977" s="151">
        <v>2019</v>
      </c>
      <c r="D977" s="151">
        <v>11</v>
      </c>
      <c r="E977" s="151">
        <v>212</v>
      </c>
    </row>
    <row r="978" spans="2:5" x14ac:dyDescent="0.2">
      <c r="B978" s="150" t="s">
        <v>991</v>
      </c>
      <c r="C978" s="151">
        <v>2019</v>
      </c>
      <c r="D978" s="151">
        <v>5</v>
      </c>
      <c r="E978" s="151">
        <v>199</v>
      </c>
    </row>
    <row r="979" spans="2:5" x14ac:dyDescent="0.2">
      <c r="B979" s="150" t="s">
        <v>991</v>
      </c>
      <c r="C979" s="151">
        <v>2019</v>
      </c>
      <c r="D979" s="151">
        <v>8</v>
      </c>
      <c r="E979" s="151">
        <v>175</v>
      </c>
    </row>
    <row r="980" spans="2:5" x14ac:dyDescent="0.2">
      <c r="B980" s="150" t="s">
        <v>991</v>
      </c>
      <c r="C980" s="151">
        <v>2019</v>
      </c>
      <c r="D980" s="151">
        <v>6</v>
      </c>
      <c r="E980" s="151">
        <v>136</v>
      </c>
    </row>
    <row r="981" spans="2:5" x14ac:dyDescent="0.2">
      <c r="B981" s="150" t="s">
        <v>2963</v>
      </c>
      <c r="C981" s="151">
        <v>2019</v>
      </c>
      <c r="D981" s="151">
        <v>5</v>
      </c>
      <c r="E981" s="151">
        <v>3</v>
      </c>
    </row>
    <row r="982" spans="2:5" x14ac:dyDescent="0.2">
      <c r="B982" s="150" t="s">
        <v>2963</v>
      </c>
      <c r="C982" s="151">
        <v>2019</v>
      </c>
      <c r="D982" s="151">
        <v>7</v>
      </c>
      <c r="E982" s="151">
        <v>2</v>
      </c>
    </row>
    <row r="983" spans="2:5" x14ac:dyDescent="0.2">
      <c r="B983" s="150" t="s">
        <v>2963</v>
      </c>
      <c r="C983" s="151">
        <v>2019</v>
      </c>
      <c r="D983" s="151">
        <v>4</v>
      </c>
      <c r="E983" s="151">
        <v>1</v>
      </c>
    </row>
    <row r="984" spans="2:5" x14ac:dyDescent="0.2">
      <c r="B984" s="150" t="s">
        <v>2801</v>
      </c>
      <c r="C984" s="151">
        <v>2019</v>
      </c>
      <c r="D984" s="151">
        <v>9</v>
      </c>
      <c r="E984" s="151">
        <v>15</v>
      </c>
    </row>
    <row r="985" spans="2:5" x14ac:dyDescent="0.2">
      <c r="B985" s="150" t="s">
        <v>2801</v>
      </c>
      <c r="C985" s="151">
        <v>2019</v>
      </c>
      <c r="D985" s="151">
        <v>7</v>
      </c>
      <c r="E985" s="151">
        <v>14</v>
      </c>
    </row>
    <row r="986" spans="2:5" x14ac:dyDescent="0.2">
      <c r="B986" s="150" t="s">
        <v>2801</v>
      </c>
      <c r="C986" s="151">
        <v>2019</v>
      </c>
      <c r="D986" s="151">
        <v>10</v>
      </c>
      <c r="E986" s="151">
        <v>13</v>
      </c>
    </row>
    <row r="987" spans="2:5" x14ac:dyDescent="0.2">
      <c r="B987" s="150" t="s">
        <v>2801</v>
      </c>
      <c r="C987" s="151">
        <v>2019</v>
      </c>
      <c r="D987" s="151">
        <v>3</v>
      </c>
      <c r="E987" s="151">
        <v>6</v>
      </c>
    </row>
    <row r="988" spans="2:5" x14ac:dyDescent="0.2">
      <c r="B988" s="150" t="s">
        <v>2801</v>
      </c>
      <c r="C988" s="151">
        <v>2019</v>
      </c>
      <c r="D988" s="151">
        <v>8</v>
      </c>
      <c r="E988" s="151">
        <v>6</v>
      </c>
    </row>
    <row r="989" spans="2:5" x14ac:dyDescent="0.2">
      <c r="B989" s="150" t="s">
        <v>2801</v>
      </c>
      <c r="C989" s="151">
        <v>2019</v>
      </c>
      <c r="D989" s="151">
        <v>4</v>
      </c>
      <c r="E989" s="151">
        <v>5</v>
      </c>
    </row>
    <row r="990" spans="2:5" x14ac:dyDescent="0.2">
      <c r="B990" s="150" t="s">
        <v>2801</v>
      </c>
      <c r="C990" s="151">
        <v>2019</v>
      </c>
      <c r="D990" s="151">
        <v>6</v>
      </c>
      <c r="E990" s="151">
        <v>5</v>
      </c>
    </row>
    <row r="991" spans="2:5" x14ac:dyDescent="0.2">
      <c r="B991" s="150" t="s">
        <v>2801</v>
      </c>
      <c r="C991" s="151">
        <v>2019</v>
      </c>
      <c r="D991" s="151">
        <v>5</v>
      </c>
      <c r="E991" s="151">
        <v>4</v>
      </c>
    </row>
    <row r="992" spans="2:5" x14ac:dyDescent="0.2">
      <c r="B992" s="150" t="s">
        <v>2801</v>
      </c>
      <c r="C992" s="151">
        <v>2019</v>
      </c>
      <c r="D992" s="151">
        <v>2</v>
      </c>
      <c r="E992" s="151">
        <v>1</v>
      </c>
    </row>
    <row r="993" spans="2:5" x14ac:dyDescent="0.2">
      <c r="B993" s="150" t="s">
        <v>2802</v>
      </c>
      <c r="C993" s="151">
        <v>2019</v>
      </c>
      <c r="D993" s="151">
        <v>4</v>
      </c>
      <c r="E993" s="151">
        <v>15</v>
      </c>
    </row>
    <row r="994" spans="2:5" x14ac:dyDescent="0.2">
      <c r="B994" s="150" t="s">
        <v>2802</v>
      </c>
      <c r="C994" s="151">
        <v>2019</v>
      </c>
      <c r="D994" s="151">
        <v>9</v>
      </c>
      <c r="E994" s="151">
        <v>9</v>
      </c>
    </row>
    <row r="995" spans="2:5" x14ac:dyDescent="0.2">
      <c r="B995" s="150" t="s">
        <v>2802</v>
      </c>
      <c r="C995" s="151">
        <v>2019</v>
      </c>
      <c r="D995" s="151">
        <v>2</v>
      </c>
      <c r="E995" s="151">
        <v>7</v>
      </c>
    </row>
    <row r="996" spans="2:5" x14ac:dyDescent="0.2">
      <c r="B996" s="150" t="s">
        <v>2802</v>
      </c>
      <c r="C996" s="151">
        <v>2019</v>
      </c>
      <c r="D996" s="151">
        <v>3</v>
      </c>
      <c r="E996" s="151">
        <v>6</v>
      </c>
    </row>
    <row r="997" spans="2:5" x14ac:dyDescent="0.2">
      <c r="B997" s="150" t="s">
        <v>2802</v>
      </c>
      <c r="C997" s="151">
        <v>2019</v>
      </c>
      <c r="D997" s="151">
        <v>6</v>
      </c>
      <c r="E997" s="151">
        <v>6</v>
      </c>
    </row>
    <row r="998" spans="2:5" x14ac:dyDescent="0.2">
      <c r="B998" s="150" t="s">
        <v>2802</v>
      </c>
      <c r="C998" s="151">
        <v>2019</v>
      </c>
      <c r="D998" s="151">
        <v>8</v>
      </c>
      <c r="E998" s="151">
        <v>6</v>
      </c>
    </row>
    <row r="999" spans="2:5" x14ac:dyDescent="0.2">
      <c r="B999" s="150" t="s">
        <v>2802</v>
      </c>
      <c r="C999" s="151">
        <v>2019</v>
      </c>
      <c r="D999" s="151">
        <v>11</v>
      </c>
      <c r="E999" s="151">
        <v>5</v>
      </c>
    </row>
    <row r="1000" spans="2:5" x14ac:dyDescent="0.2">
      <c r="B1000" s="150" t="s">
        <v>2802</v>
      </c>
      <c r="C1000" s="151">
        <v>2019</v>
      </c>
      <c r="D1000" s="151">
        <v>7</v>
      </c>
      <c r="E1000" s="151">
        <v>4</v>
      </c>
    </row>
    <row r="1001" spans="2:5" x14ac:dyDescent="0.2">
      <c r="B1001" s="150" t="s">
        <v>2802</v>
      </c>
      <c r="C1001" s="151">
        <v>2019</v>
      </c>
      <c r="D1001" s="151">
        <v>10</v>
      </c>
      <c r="E1001" s="151">
        <v>4</v>
      </c>
    </row>
    <row r="1002" spans="2:5" x14ac:dyDescent="0.2">
      <c r="B1002" s="150" t="s">
        <v>2802</v>
      </c>
      <c r="C1002" s="151">
        <v>2019</v>
      </c>
      <c r="D1002" s="151">
        <v>1</v>
      </c>
      <c r="E1002" s="151">
        <v>1</v>
      </c>
    </row>
    <row r="1003" spans="2:5" x14ac:dyDescent="0.2">
      <c r="B1003" s="150" t="s">
        <v>2802</v>
      </c>
      <c r="C1003" s="151">
        <v>2019</v>
      </c>
      <c r="D1003" s="151">
        <v>5</v>
      </c>
      <c r="E1003" s="151">
        <v>1</v>
      </c>
    </row>
    <row r="1004" spans="2:5" x14ac:dyDescent="0.2">
      <c r="B1004" s="150" t="s">
        <v>2802</v>
      </c>
      <c r="C1004" s="151">
        <v>2019</v>
      </c>
      <c r="D1004" s="151">
        <v>12</v>
      </c>
      <c r="E1004" s="151">
        <v>1</v>
      </c>
    </row>
    <row r="1005" spans="2:5" x14ac:dyDescent="0.2">
      <c r="B1005" s="150" t="s">
        <v>2803</v>
      </c>
      <c r="C1005" s="151">
        <v>2019</v>
      </c>
      <c r="D1005" s="151">
        <v>3</v>
      </c>
      <c r="E1005" s="151">
        <v>231</v>
      </c>
    </row>
    <row r="1006" spans="2:5" x14ac:dyDescent="0.2">
      <c r="B1006" s="150" t="s">
        <v>2803</v>
      </c>
      <c r="C1006" s="151">
        <v>2019</v>
      </c>
      <c r="D1006" s="151">
        <v>9</v>
      </c>
      <c r="E1006" s="151">
        <v>202</v>
      </c>
    </row>
    <row r="1007" spans="2:5" x14ac:dyDescent="0.2">
      <c r="B1007" s="150" t="s">
        <v>2803</v>
      </c>
      <c r="C1007" s="151">
        <v>2019</v>
      </c>
      <c r="D1007" s="151">
        <v>1</v>
      </c>
      <c r="E1007" s="151">
        <v>174</v>
      </c>
    </row>
    <row r="1008" spans="2:5" x14ac:dyDescent="0.2">
      <c r="B1008" s="150" t="s">
        <v>2803</v>
      </c>
      <c r="C1008" s="151">
        <v>2019</v>
      </c>
      <c r="D1008" s="151">
        <v>8</v>
      </c>
      <c r="E1008" s="151">
        <v>160</v>
      </c>
    </row>
    <row r="1009" spans="2:5" x14ac:dyDescent="0.2">
      <c r="B1009" s="150" t="s">
        <v>2803</v>
      </c>
      <c r="C1009" s="151">
        <v>2019</v>
      </c>
      <c r="D1009" s="151">
        <v>4</v>
      </c>
      <c r="E1009" s="151">
        <v>150</v>
      </c>
    </row>
    <row r="1010" spans="2:5" x14ac:dyDescent="0.2">
      <c r="B1010" s="150" t="s">
        <v>2803</v>
      </c>
      <c r="C1010" s="151">
        <v>2019</v>
      </c>
      <c r="D1010" s="151">
        <v>5</v>
      </c>
      <c r="E1010" s="151">
        <v>120</v>
      </c>
    </row>
    <row r="1011" spans="2:5" x14ac:dyDescent="0.2">
      <c r="B1011" s="150" t="s">
        <v>2803</v>
      </c>
      <c r="C1011" s="151">
        <v>2019</v>
      </c>
      <c r="D1011" s="151">
        <v>7</v>
      </c>
      <c r="E1011" s="151">
        <v>109</v>
      </c>
    </row>
    <row r="1012" spans="2:5" x14ac:dyDescent="0.2">
      <c r="B1012" s="150" t="s">
        <v>2803</v>
      </c>
      <c r="C1012" s="151">
        <v>2019</v>
      </c>
      <c r="D1012" s="151">
        <v>6</v>
      </c>
      <c r="E1012" s="151">
        <v>108</v>
      </c>
    </row>
    <row r="1013" spans="2:5" x14ac:dyDescent="0.2">
      <c r="B1013" s="150" t="s">
        <v>2803</v>
      </c>
      <c r="C1013" s="151">
        <v>2019</v>
      </c>
      <c r="D1013" s="151">
        <v>11</v>
      </c>
      <c r="E1013" s="151">
        <v>103</v>
      </c>
    </row>
    <row r="1014" spans="2:5" x14ac:dyDescent="0.2">
      <c r="B1014" s="150" t="s">
        <v>2803</v>
      </c>
      <c r="C1014" s="151">
        <v>2019</v>
      </c>
      <c r="D1014" s="151">
        <v>12</v>
      </c>
      <c r="E1014" s="151">
        <v>102</v>
      </c>
    </row>
    <row r="1015" spans="2:5" x14ac:dyDescent="0.2">
      <c r="B1015" s="150" t="s">
        <v>2803</v>
      </c>
      <c r="C1015" s="151">
        <v>2019</v>
      </c>
      <c r="D1015" s="151">
        <v>10</v>
      </c>
      <c r="E1015" s="151">
        <v>101</v>
      </c>
    </row>
    <row r="1016" spans="2:5" x14ac:dyDescent="0.2">
      <c r="B1016" s="150" t="s">
        <v>2803</v>
      </c>
      <c r="C1016" s="151">
        <v>2019</v>
      </c>
      <c r="D1016" s="151">
        <v>2</v>
      </c>
      <c r="E1016" s="151">
        <v>15</v>
      </c>
    </row>
    <row r="1017" spans="2:5" x14ac:dyDescent="0.2">
      <c r="B1017" s="150" t="s">
        <v>2978</v>
      </c>
      <c r="C1017" s="151">
        <v>2019</v>
      </c>
      <c r="D1017" s="151">
        <v>4</v>
      </c>
      <c r="E1017" s="151">
        <v>1</v>
      </c>
    </row>
    <row r="1018" spans="2:5" x14ac:dyDescent="0.2">
      <c r="B1018" s="150" t="s">
        <v>2804</v>
      </c>
      <c r="C1018" s="151">
        <v>2019</v>
      </c>
      <c r="D1018" s="151">
        <v>7</v>
      </c>
      <c r="E1018" s="151">
        <v>42</v>
      </c>
    </row>
    <row r="1019" spans="2:5" x14ac:dyDescent="0.2">
      <c r="B1019" s="150" t="s">
        <v>2804</v>
      </c>
      <c r="C1019" s="151">
        <v>2019</v>
      </c>
      <c r="D1019" s="151">
        <v>1</v>
      </c>
      <c r="E1019" s="151">
        <v>40</v>
      </c>
    </row>
    <row r="1020" spans="2:5" x14ac:dyDescent="0.2">
      <c r="B1020" s="150" t="s">
        <v>2804</v>
      </c>
      <c r="C1020" s="151">
        <v>2019</v>
      </c>
      <c r="D1020" s="151">
        <v>8</v>
      </c>
      <c r="E1020" s="151">
        <v>40</v>
      </c>
    </row>
    <row r="1021" spans="2:5" x14ac:dyDescent="0.2">
      <c r="B1021" s="150" t="s">
        <v>2804</v>
      </c>
      <c r="C1021" s="151">
        <v>2019</v>
      </c>
      <c r="D1021" s="151">
        <v>10</v>
      </c>
      <c r="E1021" s="151">
        <v>28</v>
      </c>
    </row>
    <row r="1022" spans="2:5" x14ac:dyDescent="0.2">
      <c r="B1022" s="150" t="s">
        <v>2804</v>
      </c>
      <c r="C1022" s="151">
        <v>2019</v>
      </c>
      <c r="D1022" s="151">
        <v>12</v>
      </c>
      <c r="E1022" s="151">
        <v>28</v>
      </c>
    </row>
    <row r="1023" spans="2:5" x14ac:dyDescent="0.2">
      <c r="B1023" s="150" t="s">
        <v>2804</v>
      </c>
      <c r="C1023" s="151">
        <v>2019</v>
      </c>
      <c r="D1023" s="151">
        <v>11</v>
      </c>
      <c r="E1023" s="151">
        <v>23</v>
      </c>
    </row>
    <row r="1024" spans="2:5" x14ac:dyDescent="0.2">
      <c r="B1024" s="150" t="s">
        <v>2804</v>
      </c>
      <c r="C1024" s="151">
        <v>2019</v>
      </c>
      <c r="D1024" s="151">
        <v>5</v>
      </c>
      <c r="E1024" s="151">
        <v>20</v>
      </c>
    </row>
    <row r="1025" spans="2:5" x14ac:dyDescent="0.2">
      <c r="B1025" s="150" t="s">
        <v>2804</v>
      </c>
      <c r="C1025" s="151">
        <v>2019</v>
      </c>
      <c r="D1025" s="151">
        <v>6</v>
      </c>
      <c r="E1025" s="151">
        <v>18</v>
      </c>
    </row>
    <row r="1026" spans="2:5" x14ac:dyDescent="0.2">
      <c r="B1026" s="150" t="s">
        <v>2804</v>
      </c>
      <c r="C1026" s="151">
        <v>2019</v>
      </c>
      <c r="D1026" s="151">
        <v>9</v>
      </c>
      <c r="E1026" s="151">
        <v>15</v>
      </c>
    </row>
    <row r="1027" spans="2:5" x14ac:dyDescent="0.2">
      <c r="B1027" s="150" t="s">
        <v>2804</v>
      </c>
      <c r="C1027" s="151">
        <v>2019</v>
      </c>
      <c r="D1027" s="151">
        <v>4</v>
      </c>
      <c r="E1027" s="151">
        <v>11</v>
      </c>
    </row>
    <row r="1028" spans="2:5" x14ac:dyDescent="0.2">
      <c r="B1028" s="150" t="s">
        <v>2804</v>
      </c>
      <c r="C1028" s="151">
        <v>2019</v>
      </c>
      <c r="D1028" s="151">
        <v>2</v>
      </c>
      <c r="E1028" s="151">
        <v>8</v>
      </c>
    </row>
    <row r="1029" spans="2:5" x14ac:dyDescent="0.2">
      <c r="B1029" s="150" t="s">
        <v>2804</v>
      </c>
      <c r="C1029" s="151">
        <v>2019</v>
      </c>
      <c r="D1029" s="151">
        <v>3</v>
      </c>
      <c r="E1029" s="151">
        <v>7</v>
      </c>
    </row>
    <row r="1030" spans="2:5" x14ac:dyDescent="0.2">
      <c r="B1030" s="150" t="s">
        <v>2805</v>
      </c>
      <c r="C1030" s="151">
        <v>2019</v>
      </c>
      <c r="D1030" s="151">
        <v>6</v>
      </c>
      <c r="E1030" s="151">
        <v>5</v>
      </c>
    </row>
    <row r="1031" spans="2:5" x14ac:dyDescent="0.2">
      <c r="B1031" s="150" t="s">
        <v>2805</v>
      </c>
      <c r="C1031" s="151">
        <v>2019</v>
      </c>
      <c r="D1031" s="151">
        <v>8</v>
      </c>
      <c r="E1031" s="151">
        <v>2</v>
      </c>
    </row>
    <row r="1032" spans="2:5" x14ac:dyDescent="0.2">
      <c r="B1032" s="150" t="s">
        <v>2805</v>
      </c>
      <c r="C1032" s="151">
        <v>2019</v>
      </c>
      <c r="D1032" s="151">
        <v>2</v>
      </c>
      <c r="E1032" s="151">
        <v>1</v>
      </c>
    </row>
    <row r="1033" spans="2:5" x14ac:dyDescent="0.2">
      <c r="B1033" s="150" t="s">
        <v>2805</v>
      </c>
      <c r="C1033" s="151">
        <v>2019</v>
      </c>
      <c r="D1033" s="151">
        <v>3</v>
      </c>
      <c r="E1033" s="151">
        <v>1</v>
      </c>
    </row>
    <row r="1034" spans="2:5" x14ac:dyDescent="0.2">
      <c r="B1034" s="150" t="s">
        <v>2805</v>
      </c>
      <c r="C1034" s="151">
        <v>2019</v>
      </c>
      <c r="D1034" s="151">
        <v>5</v>
      </c>
      <c r="E1034" s="151">
        <v>1</v>
      </c>
    </row>
    <row r="1035" spans="2:5" x14ac:dyDescent="0.2">
      <c r="B1035" s="150" t="s">
        <v>2805</v>
      </c>
      <c r="C1035" s="151">
        <v>2019</v>
      </c>
      <c r="D1035" s="151">
        <v>7</v>
      </c>
      <c r="E1035" s="151">
        <v>1</v>
      </c>
    </row>
    <row r="1036" spans="2:5" x14ac:dyDescent="0.2">
      <c r="B1036" s="150" t="s">
        <v>2922</v>
      </c>
      <c r="C1036" s="151">
        <v>2019</v>
      </c>
      <c r="D1036" s="151">
        <v>1</v>
      </c>
      <c r="E1036" s="151">
        <v>7</v>
      </c>
    </row>
    <row r="1037" spans="2:5" x14ac:dyDescent="0.2">
      <c r="B1037" s="150" t="s">
        <v>2922</v>
      </c>
      <c r="C1037" s="151">
        <v>2019</v>
      </c>
      <c r="D1037" s="151">
        <v>4</v>
      </c>
      <c r="E1037" s="151">
        <v>7</v>
      </c>
    </row>
    <row r="1038" spans="2:5" x14ac:dyDescent="0.2">
      <c r="B1038" s="150" t="s">
        <v>2922</v>
      </c>
      <c r="C1038" s="151">
        <v>2019</v>
      </c>
      <c r="D1038" s="151">
        <v>5</v>
      </c>
      <c r="E1038" s="151">
        <v>7</v>
      </c>
    </row>
    <row r="1039" spans="2:5" x14ac:dyDescent="0.2">
      <c r="B1039" s="150" t="s">
        <v>2922</v>
      </c>
      <c r="C1039" s="151">
        <v>2019</v>
      </c>
      <c r="D1039" s="151">
        <v>7</v>
      </c>
      <c r="E1039" s="151">
        <v>6</v>
      </c>
    </row>
    <row r="1040" spans="2:5" x14ac:dyDescent="0.2">
      <c r="B1040" s="150" t="s">
        <v>2922</v>
      </c>
      <c r="C1040" s="151">
        <v>2019</v>
      </c>
      <c r="D1040" s="151">
        <v>8</v>
      </c>
      <c r="E1040" s="151">
        <v>6</v>
      </c>
    </row>
    <row r="1041" spans="2:5" x14ac:dyDescent="0.2">
      <c r="B1041" s="150" t="s">
        <v>2922</v>
      </c>
      <c r="C1041" s="151">
        <v>2019</v>
      </c>
      <c r="D1041" s="151">
        <v>9</v>
      </c>
      <c r="E1041" s="151">
        <v>6</v>
      </c>
    </row>
    <row r="1042" spans="2:5" x14ac:dyDescent="0.2">
      <c r="B1042" s="150" t="s">
        <v>2922</v>
      </c>
      <c r="C1042" s="151">
        <v>2019</v>
      </c>
      <c r="D1042" s="151">
        <v>2</v>
      </c>
      <c r="E1042" s="151">
        <v>5</v>
      </c>
    </row>
    <row r="1043" spans="2:5" x14ac:dyDescent="0.2">
      <c r="B1043" s="150" t="s">
        <v>2922</v>
      </c>
      <c r="C1043" s="151">
        <v>2019</v>
      </c>
      <c r="D1043" s="151">
        <v>6</v>
      </c>
      <c r="E1043" s="151">
        <v>3</v>
      </c>
    </row>
    <row r="1044" spans="2:5" x14ac:dyDescent="0.2">
      <c r="B1044" s="150" t="s">
        <v>2922</v>
      </c>
      <c r="C1044" s="151">
        <v>2019</v>
      </c>
      <c r="D1044" s="151">
        <v>3</v>
      </c>
      <c r="E1044" s="151">
        <v>2</v>
      </c>
    </row>
    <row r="1045" spans="2:5" x14ac:dyDescent="0.2">
      <c r="B1045" s="150" t="s">
        <v>2922</v>
      </c>
      <c r="C1045" s="151">
        <v>2019</v>
      </c>
      <c r="D1045" s="151">
        <v>10</v>
      </c>
      <c r="E1045" s="151">
        <v>2</v>
      </c>
    </row>
    <row r="1046" spans="2:5" x14ac:dyDescent="0.2">
      <c r="B1046" s="150" t="s">
        <v>2910</v>
      </c>
      <c r="C1046" s="151">
        <v>2019</v>
      </c>
      <c r="D1046" s="151">
        <v>5</v>
      </c>
      <c r="E1046" s="151">
        <v>30</v>
      </c>
    </row>
    <row r="1047" spans="2:5" x14ac:dyDescent="0.2">
      <c r="B1047" s="150" t="s">
        <v>2910</v>
      </c>
      <c r="C1047" s="151">
        <v>2019</v>
      </c>
      <c r="D1047" s="151">
        <v>4</v>
      </c>
      <c r="E1047" s="151">
        <v>19</v>
      </c>
    </row>
    <row r="1048" spans="2:5" x14ac:dyDescent="0.2">
      <c r="B1048" s="150" t="s">
        <v>2910</v>
      </c>
      <c r="C1048" s="151">
        <v>2019</v>
      </c>
      <c r="D1048" s="151">
        <v>6</v>
      </c>
      <c r="E1048" s="151">
        <v>14</v>
      </c>
    </row>
    <row r="1049" spans="2:5" x14ac:dyDescent="0.2">
      <c r="B1049" s="150" t="s">
        <v>2910</v>
      </c>
      <c r="C1049" s="151">
        <v>2019</v>
      </c>
      <c r="D1049" s="151">
        <v>1</v>
      </c>
      <c r="E1049" s="151">
        <v>13</v>
      </c>
    </row>
    <row r="1050" spans="2:5" x14ac:dyDescent="0.2">
      <c r="B1050" s="150" t="s">
        <v>2910</v>
      </c>
      <c r="C1050" s="151">
        <v>2019</v>
      </c>
      <c r="D1050" s="151">
        <v>2</v>
      </c>
      <c r="E1050" s="151">
        <v>8</v>
      </c>
    </row>
    <row r="1051" spans="2:5" x14ac:dyDescent="0.2">
      <c r="B1051" s="150" t="s">
        <v>2910</v>
      </c>
      <c r="C1051" s="151">
        <v>2019</v>
      </c>
      <c r="D1051" s="151">
        <v>3</v>
      </c>
      <c r="E1051" s="151">
        <v>7</v>
      </c>
    </row>
    <row r="1052" spans="2:5" x14ac:dyDescent="0.2">
      <c r="B1052" s="150" t="s">
        <v>2910</v>
      </c>
      <c r="C1052" s="151">
        <v>2019</v>
      </c>
      <c r="D1052" s="151">
        <v>10</v>
      </c>
      <c r="E1052" s="151">
        <v>6</v>
      </c>
    </row>
    <row r="1053" spans="2:5" x14ac:dyDescent="0.2">
      <c r="B1053" s="150" t="s">
        <v>2910</v>
      </c>
      <c r="C1053" s="151">
        <v>2019</v>
      </c>
      <c r="D1053" s="151">
        <v>7</v>
      </c>
      <c r="E1053" s="151">
        <v>4</v>
      </c>
    </row>
    <row r="1054" spans="2:5" x14ac:dyDescent="0.2">
      <c r="B1054" s="150" t="s">
        <v>2910</v>
      </c>
      <c r="C1054" s="151">
        <v>2019</v>
      </c>
      <c r="D1054" s="151">
        <v>12</v>
      </c>
      <c r="E1054" s="151">
        <v>3</v>
      </c>
    </row>
    <row r="1055" spans="2:5" x14ac:dyDescent="0.2">
      <c r="B1055" s="150" t="s">
        <v>2910</v>
      </c>
      <c r="C1055" s="151">
        <v>2019</v>
      </c>
      <c r="D1055" s="151">
        <v>8</v>
      </c>
      <c r="E1055" s="151">
        <v>2</v>
      </c>
    </row>
    <row r="1056" spans="2:5" x14ac:dyDescent="0.2">
      <c r="B1056" s="150" t="s">
        <v>2910</v>
      </c>
      <c r="C1056" s="151">
        <v>2019</v>
      </c>
      <c r="D1056" s="151">
        <v>9</v>
      </c>
      <c r="E1056" s="151">
        <v>2</v>
      </c>
    </row>
    <row r="1057" spans="2:5" x14ac:dyDescent="0.2">
      <c r="B1057" s="150" t="s">
        <v>2910</v>
      </c>
      <c r="C1057" s="151">
        <v>2019</v>
      </c>
      <c r="D1057" s="151">
        <v>11</v>
      </c>
      <c r="E1057" s="151">
        <v>1</v>
      </c>
    </row>
    <row r="1058" spans="2:5" x14ac:dyDescent="0.2">
      <c r="B1058" s="150" t="s">
        <v>2806</v>
      </c>
      <c r="C1058" s="151">
        <v>2019</v>
      </c>
      <c r="D1058" s="151">
        <v>1</v>
      </c>
      <c r="E1058" s="151">
        <v>8</v>
      </c>
    </row>
    <row r="1059" spans="2:5" x14ac:dyDescent="0.2">
      <c r="B1059" s="150" t="s">
        <v>2806</v>
      </c>
      <c r="C1059" s="151">
        <v>2019</v>
      </c>
      <c r="D1059" s="151">
        <v>4</v>
      </c>
      <c r="E1059" s="151">
        <v>7</v>
      </c>
    </row>
    <row r="1060" spans="2:5" x14ac:dyDescent="0.2">
      <c r="B1060" s="150" t="s">
        <v>2806</v>
      </c>
      <c r="C1060" s="151">
        <v>2019</v>
      </c>
      <c r="D1060" s="151">
        <v>3</v>
      </c>
      <c r="E1060" s="151">
        <v>5</v>
      </c>
    </row>
    <row r="1061" spans="2:5" x14ac:dyDescent="0.2">
      <c r="B1061" s="150" t="s">
        <v>2806</v>
      </c>
      <c r="C1061" s="151">
        <v>2019</v>
      </c>
      <c r="D1061" s="151">
        <v>6</v>
      </c>
      <c r="E1061" s="151">
        <v>4</v>
      </c>
    </row>
    <row r="1062" spans="2:5" x14ac:dyDescent="0.2">
      <c r="B1062" s="150" t="s">
        <v>2806</v>
      </c>
      <c r="C1062" s="151">
        <v>2019</v>
      </c>
      <c r="D1062" s="151">
        <v>7</v>
      </c>
      <c r="E1062" s="151">
        <v>4</v>
      </c>
    </row>
    <row r="1063" spans="2:5" x14ac:dyDescent="0.2">
      <c r="B1063" s="150" t="s">
        <v>2806</v>
      </c>
      <c r="C1063" s="151">
        <v>2019</v>
      </c>
      <c r="D1063" s="151">
        <v>9</v>
      </c>
      <c r="E1063" s="151">
        <v>4</v>
      </c>
    </row>
    <row r="1064" spans="2:5" x14ac:dyDescent="0.2">
      <c r="B1064" s="150" t="s">
        <v>2806</v>
      </c>
      <c r="C1064" s="151">
        <v>2019</v>
      </c>
      <c r="D1064" s="151">
        <v>10</v>
      </c>
      <c r="E1064" s="151">
        <v>3</v>
      </c>
    </row>
    <row r="1065" spans="2:5" x14ac:dyDescent="0.2">
      <c r="B1065" s="150" t="s">
        <v>2806</v>
      </c>
      <c r="C1065" s="151">
        <v>2019</v>
      </c>
      <c r="D1065" s="151">
        <v>11</v>
      </c>
      <c r="E1065" s="151">
        <v>3</v>
      </c>
    </row>
    <row r="1066" spans="2:5" x14ac:dyDescent="0.2">
      <c r="B1066" s="150" t="s">
        <v>2806</v>
      </c>
      <c r="C1066" s="151">
        <v>2019</v>
      </c>
      <c r="D1066" s="151">
        <v>8</v>
      </c>
      <c r="E1066" s="151">
        <v>2</v>
      </c>
    </row>
    <row r="1067" spans="2:5" x14ac:dyDescent="0.2">
      <c r="B1067" s="150" t="s">
        <v>2806</v>
      </c>
      <c r="C1067" s="151">
        <v>2019</v>
      </c>
      <c r="D1067" s="151">
        <v>12</v>
      </c>
      <c r="E1067" s="151">
        <v>2</v>
      </c>
    </row>
    <row r="1068" spans="2:5" x14ac:dyDescent="0.2">
      <c r="B1068" s="150" t="s">
        <v>2806</v>
      </c>
      <c r="C1068" s="151">
        <v>2019</v>
      </c>
      <c r="D1068" s="151">
        <v>5</v>
      </c>
      <c r="E1068" s="151">
        <v>1</v>
      </c>
    </row>
    <row r="1069" spans="2:5" x14ac:dyDescent="0.2">
      <c r="B1069" s="150" t="s">
        <v>2906</v>
      </c>
      <c r="C1069" s="151">
        <v>2019</v>
      </c>
      <c r="D1069" s="151">
        <v>6</v>
      </c>
      <c r="E1069" s="151">
        <v>30</v>
      </c>
    </row>
    <row r="1070" spans="2:5" x14ac:dyDescent="0.2">
      <c r="B1070" s="150" t="s">
        <v>2906</v>
      </c>
      <c r="C1070" s="151">
        <v>2019</v>
      </c>
      <c r="D1070" s="151">
        <v>8</v>
      </c>
      <c r="E1070" s="151">
        <v>24</v>
      </c>
    </row>
    <row r="1071" spans="2:5" x14ac:dyDescent="0.2">
      <c r="B1071" s="150" t="s">
        <v>2906</v>
      </c>
      <c r="C1071" s="151">
        <v>2019</v>
      </c>
      <c r="D1071" s="151">
        <v>3</v>
      </c>
      <c r="E1071" s="151">
        <v>20</v>
      </c>
    </row>
    <row r="1072" spans="2:5" x14ac:dyDescent="0.2">
      <c r="B1072" s="150" t="s">
        <v>2906</v>
      </c>
      <c r="C1072" s="151">
        <v>2019</v>
      </c>
      <c r="D1072" s="151">
        <v>7</v>
      </c>
      <c r="E1072" s="151">
        <v>17</v>
      </c>
    </row>
    <row r="1073" spans="2:5" x14ac:dyDescent="0.2">
      <c r="B1073" s="150" t="s">
        <v>2906</v>
      </c>
      <c r="C1073" s="151">
        <v>2019</v>
      </c>
      <c r="D1073" s="151">
        <v>9</v>
      </c>
      <c r="E1073" s="151">
        <v>16</v>
      </c>
    </row>
    <row r="1074" spans="2:5" x14ac:dyDescent="0.2">
      <c r="B1074" s="150" t="s">
        <v>2906</v>
      </c>
      <c r="C1074" s="151">
        <v>2019</v>
      </c>
      <c r="D1074" s="151">
        <v>5</v>
      </c>
      <c r="E1074" s="151">
        <v>15</v>
      </c>
    </row>
    <row r="1075" spans="2:5" x14ac:dyDescent="0.2">
      <c r="B1075" s="150" t="s">
        <v>2906</v>
      </c>
      <c r="C1075" s="151">
        <v>2019</v>
      </c>
      <c r="D1075" s="151">
        <v>11</v>
      </c>
      <c r="E1075" s="151">
        <v>9</v>
      </c>
    </row>
    <row r="1076" spans="2:5" x14ac:dyDescent="0.2">
      <c r="B1076" s="150" t="s">
        <v>2906</v>
      </c>
      <c r="C1076" s="151">
        <v>2019</v>
      </c>
      <c r="D1076" s="151">
        <v>2</v>
      </c>
      <c r="E1076" s="151">
        <v>8</v>
      </c>
    </row>
    <row r="1077" spans="2:5" x14ac:dyDescent="0.2">
      <c r="B1077" s="150" t="s">
        <v>2906</v>
      </c>
      <c r="C1077" s="151">
        <v>2019</v>
      </c>
      <c r="D1077" s="151">
        <v>1</v>
      </c>
      <c r="E1077" s="151">
        <v>6</v>
      </c>
    </row>
    <row r="1078" spans="2:5" x14ac:dyDescent="0.2">
      <c r="B1078" s="150" t="s">
        <v>2906</v>
      </c>
      <c r="C1078" s="151">
        <v>2019</v>
      </c>
      <c r="D1078" s="151">
        <v>4</v>
      </c>
      <c r="E1078" s="151">
        <v>6</v>
      </c>
    </row>
    <row r="1079" spans="2:5" x14ac:dyDescent="0.2">
      <c r="B1079" s="150" t="s">
        <v>2906</v>
      </c>
      <c r="C1079" s="151">
        <v>2019</v>
      </c>
      <c r="D1079" s="151">
        <v>10</v>
      </c>
      <c r="E1079" s="151">
        <v>6</v>
      </c>
    </row>
    <row r="1080" spans="2:5" x14ac:dyDescent="0.2">
      <c r="B1080" s="150" t="s">
        <v>2906</v>
      </c>
      <c r="C1080" s="151">
        <v>2019</v>
      </c>
      <c r="D1080" s="151">
        <v>12</v>
      </c>
      <c r="E1080" s="151">
        <v>6</v>
      </c>
    </row>
    <row r="1081" spans="2:5" x14ac:dyDescent="0.2">
      <c r="B1081" s="150" t="s">
        <v>2807</v>
      </c>
      <c r="C1081" s="151">
        <v>2019</v>
      </c>
      <c r="D1081" s="151">
        <v>9</v>
      </c>
      <c r="E1081" s="151">
        <v>147</v>
      </c>
    </row>
    <row r="1082" spans="2:5" x14ac:dyDescent="0.2">
      <c r="B1082" s="150" t="s">
        <v>2807</v>
      </c>
      <c r="C1082" s="151">
        <v>2019</v>
      </c>
      <c r="D1082" s="151">
        <v>3</v>
      </c>
      <c r="E1082" s="151">
        <v>136</v>
      </c>
    </row>
    <row r="1083" spans="2:5" x14ac:dyDescent="0.2">
      <c r="B1083" s="150" t="s">
        <v>2807</v>
      </c>
      <c r="C1083" s="151">
        <v>2019</v>
      </c>
      <c r="D1083" s="151">
        <v>4</v>
      </c>
      <c r="E1083" s="151">
        <v>136</v>
      </c>
    </row>
    <row r="1084" spans="2:5" x14ac:dyDescent="0.2">
      <c r="B1084" s="150" t="s">
        <v>2807</v>
      </c>
      <c r="C1084" s="151">
        <v>2019</v>
      </c>
      <c r="D1084" s="151">
        <v>8</v>
      </c>
      <c r="E1084" s="151">
        <v>116</v>
      </c>
    </row>
    <row r="1085" spans="2:5" x14ac:dyDescent="0.2">
      <c r="B1085" s="150" t="s">
        <v>2807</v>
      </c>
      <c r="C1085" s="151">
        <v>2019</v>
      </c>
      <c r="D1085" s="151">
        <v>10</v>
      </c>
      <c r="E1085" s="151">
        <v>107</v>
      </c>
    </row>
    <row r="1086" spans="2:5" x14ac:dyDescent="0.2">
      <c r="B1086" s="150" t="s">
        <v>2807</v>
      </c>
      <c r="C1086" s="151">
        <v>2019</v>
      </c>
      <c r="D1086" s="151">
        <v>2</v>
      </c>
      <c r="E1086" s="151">
        <v>82</v>
      </c>
    </row>
    <row r="1087" spans="2:5" x14ac:dyDescent="0.2">
      <c r="B1087" s="150" t="s">
        <v>2807</v>
      </c>
      <c r="C1087" s="151">
        <v>2019</v>
      </c>
      <c r="D1087" s="151">
        <v>11</v>
      </c>
      <c r="E1087" s="151">
        <v>79</v>
      </c>
    </row>
    <row r="1088" spans="2:5" x14ac:dyDescent="0.2">
      <c r="B1088" s="150" t="s">
        <v>2807</v>
      </c>
      <c r="C1088" s="151">
        <v>2019</v>
      </c>
      <c r="D1088" s="151">
        <v>6</v>
      </c>
      <c r="E1088" s="151">
        <v>78</v>
      </c>
    </row>
    <row r="1089" spans="2:5" x14ac:dyDescent="0.2">
      <c r="B1089" s="150" t="s">
        <v>2807</v>
      </c>
      <c r="C1089" s="151">
        <v>2019</v>
      </c>
      <c r="D1089" s="151">
        <v>7</v>
      </c>
      <c r="E1089" s="151">
        <v>72</v>
      </c>
    </row>
    <row r="1090" spans="2:5" x14ac:dyDescent="0.2">
      <c r="B1090" s="150" t="s">
        <v>2807</v>
      </c>
      <c r="C1090" s="151">
        <v>2019</v>
      </c>
      <c r="D1090" s="151">
        <v>12</v>
      </c>
      <c r="E1090" s="151">
        <v>69</v>
      </c>
    </row>
    <row r="1091" spans="2:5" x14ac:dyDescent="0.2">
      <c r="B1091" s="150" t="s">
        <v>2807</v>
      </c>
      <c r="C1091" s="151">
        <v>2019</v>
      </c>
      <c r="D1091" s="151">
        <v>5</v>
      </c>
      <c r="E1091" s="151">
        <v>57</v>
      </c>
    </row>
    <row r="1092" spans="2:5" x14ac:dyDescent="0.2">
      <c r="B1092" s="150" t="s">
        <v>2807</v>
      </c>
      <c r="C1092" s="151">
        <v>2019</v>
      </c>
      <c r="D1092" s="151">
        <v>1</v>
      </c>
      <c r="E1092" s="151">
        <v>34</v>
      </c>
    </row>
    <row r="1093" spans="2:5" x14ac:dyDescent="0.2">
      <c r="B1093" s="150" t="s">
        <v>985</v>
      </c>
      <c r="C1093" s="151">
        <v>2019</v>
      </c>
      <c r="D1093" s="151">
        <v>1</v>
      </c>
      <c r="E1093" s="151">
        <v>577</v>
      </c>
    </row>
    <row r="1094" spans="2:5" x14ac:dyDescent="0.2">
      <c r="B1094" s="150" t="s">
        <v>985</v>
      </c>
      <c r="C1094" s="151">
        <v>2019</v>
      </c>
      <c r="D1094" s="151">
        <v>3</v>
      </c>
      <c r="E1094" s="151">
        <v>496</v>
      </c>
    </row>
    <row r="1095" spans="2:5" x14ac:dyDescent="0.2">
      <c r="B1095" s="150" t="s">
        <v>985</v>
      </c>
      <c r="C1095" s="151">
        <v>2019</v>
      </c>
      <c r="D1095" s="151">
        <v>9</v>
      </c>
      <c r="E1095" s="151">
        <v>495</v>
      </c>
    </row>
    <row r="1096" spans="2:5" x14ac:dyDescent="0.2">
      <c r="B1096" s="150" t="s">
        <v>985</v>
      </c>
      <c r="C1096" s="151">
        <v>2019</v>
      </c>
      <c r="D1096" s="151">
        <v>10</v>
      </c>
      <c r="E1096" s="151">
        <v>475</v>
      </c>
    </row>
    <row r="1097" spans="2:5" x14ac:dyDescent="0.2">
      <c r="B1097" s="150" t="s">
        <v>985</v>
      </c>
      <c r="C1097" s="151">
        <v>2019</v>
      </c>
      <c r="D1097" s="151">
        <v>2</v>
      </c>
      <c r="E1097" s="151">
        <v>462</v>
      </c>
    </row>
    <row r="1098" spans="2:5" x14ac:dyDescent="0.2">
      <c r="B1098" s="150" t="s">
        <v>985</v>
      </c>
      <c r="C1098" s="151">
        <v>2019</v>
      </c>
      <c r="D1098" s="151">
        <v>4</v>
      </c>
      <c r="E1098" s="151">
        <v>456</v>
      </c>
    </row>
    <row r="1099" spans="2:5" x14ac:dyDescent="0.2">
      <c r="B1099" s="150" t="s">
        <v>985</v>
      </c>
      <c r="C1099" s="151">
        <v>2019</v>
      </c>
      <c r="D1099" s="151">
        <v>8</v>
      </c>
      <c r="E1099" s="151">
        <v>385</v>
      </c>
    </row>
    <row r="1100" spans="2:5" x14ac:dyDescent="0.2">
      <c r="B1100" s="150" t="s">
        <v>985</v>
      </c>
      <c r="C1100" s="151">
        <v>2019</v>
      </c>
      <c r="D1100" s="151">
        <v>12</v>
      </c>
      <c r="E1100" s="151">
        <v>346</v>
      </c>
    </row>
    <row r="1101" spans="2:5" x14ac:dyDescent="0.2">
      <c r="B1101" s="150" t="s">
        <v>985</v>
      </c>
      <c r="C1101" s="151">
        <v>2019</v>
      </c>
      <c r="D1101" s="151">
        <v>11</v>
      </c>
      <c r="E1101" s="151">
        <v>330</v>
      </c>
    </row>
    <row r="1102" spans="2:5" x14ac:dyDescent="0.2">
      <c r="B1102" s="150" t="s">
        <v>985</v>
      </c>
      <c r="C1102" s="151">
        <v>2019</v>
      </c>
      <c r="D1102" s="151">
        <v>6</v>
      </c>
      <c r="E1102" s="151">
        <v>261</v>
      </c>
    </row>
    <row r="1103" spans="2:5" x14ac:dyDescent="0.2">
      <c r="B1103" s="150" t="s">
        <v>985</v>
      </c>
      <c r="C1103" s="151">
        <v>2019</v>
      </c>
      <c r="D1103" s="151">
        <v>5</v>
      </c>
      <c r="E1103" s="151">
        <v>255</v>
      </c>
    </row>
    <row r="1104" spans="2:5" x14ac:dyDescent="0.2">
      <c r="B1104" s="150" t="s">
        <v>985</v>
      </c>
      <c r="C1104" s="151">
        <v>2019</v>
      </c>
      <c r="D1104" s="151">
        <v>7</v>
      </c>
      <c r="E1104" s="151">
        <v>248</v>
      </c>
    </row>
    <row r="1105" spans="2:5" x14ac:dyDescent="0.2">
      <c r="B1105" s="150" t="s">
        <v>2808</v>
      </c>
      <c r="C1105" s="151">
        <v>2019</v>
      </c>
      <c r="D1105" s="151">
        <v>9</v>
      </c>
      <c r="E1105" s="151">
        <v>36</v>
      </c>
    </row>
    <row r="1106" spans="2:5" x14ac:dyDescent="0.2">
      <c r="B1106" s="150" t="s">
        <v>2808</v>
      </c>
      <c r="C1106" s="151">
        <v>2019</v>
      </c>
      <c r="D1106" s="151">
        <v>2</v>
      </c>
      <c r="E1106" s="151">
        <v>32</v>
      </c>
    </row>
    <row r="1107" spans="2:5" x14ac:dyDescent="0.2">
      <c r="B1107" s="150" t="s">
        <v>2808</v>
      </c>
      <c r="C1107" s="151">
        <v>2019</v>
      </c>
      <c r="D1107" s="151">
        <v>3</v>
      </c>
      <c r="E1107" s="151">
        <v>32</v>
      </c>
    </row>
    <row r="1108" spans="2:5" x14ac:dyDescent="0.2">
      <c r="B1108" s="150" t="s">
        <v>2808</v>
      </c>
      <c r="C1108" s="151">
        <v>2019</v>
      </c>
      <c r="D1108" s="151">
        <v>4</v>
      </c>
      <c r="E1108" s="151">
        <v>32</v>
      </c>
    </row>
    <row r="1109" spans="2:5" x14ac:dyDescent="0.2">
      <c r="B1109" s="150" t="s">
        <v>2808</v>
      </c>
      <c r="C1109" s="151">
        <v>2019</v>
      </c>
      <c r="D1109" s="151">
        <v>8</v>
      </c>
      <c r="E1109" s="151">
        <v>18</v>
      </c>
    </row>
    <row r="1110" spans="2:5" x14ac:dyDescent="0.2">
      <c r="B1110" s="150" t="s">
        <v>2808</v>
      </c>
      <c r="C1110" s="151">
        <v>2019</v>
      </c>
      <c r="D1110" s="151">
        <v>5</v>
      </c>
      <c r="E1110" s="151">
        <v>17</v>
      </c>
    </row>
    <row r="1111" spans="2:5" x14ac:dyDescent="0.2">
      <c r="B1111" s="150" t="s">
        <v>2808</v>
      </c>
      <c r="C1111" s="151">
        <v>2019</v>
      </c>
      <c r="D1111" s="151">
        <v>7</v>
      </c>
      <c r="E1111" s="151">
        <v>16</v>
      </c>
    </row>
    <row r="1112" spans="2:5" x14ac:dyDescent="0.2">
      <c r="B1112" s="150" t="s">
        <v>2808</v>
      </c>
      <c r="C1112" s="151">
        <v>2019</v>
      </c>
      <c r="D1112" s="151">
        <v>6</v>
      </c>
      <c r="E1112" s="151">
        <v>15</v>
      </c>
    </row>
    <row r="1113" spans="2:5" x14ac:dyDescent="0.2">
      <c r="B1113" s="150" t="s">
        <v>2808</v>
      </c>
      <c r="C1113" s="151">
        <v>2019</v>
      </c>
      <c r="D1113" s="151">
        <v>11</v>
      </c>
      <c r="E1113" s="151">
        <v>15</v>
      </c>
    </row>
    <row r="1114" spans="2:5" x14ac:dyDescent="0.2">
      <c r="B1114" s="150" t="s">
        <v>2808</v>
      </c>
      <c r="C1114" s="151">
        <v>2019</v>
      </c>
      <c r="D1114" s="151">
        <v>1</v>
      </c>
      <c r="E1114" s="151">
        <v>14</v>
      </c>
    </row>
    <row r="1115" spans="2:5" x14ac:dyDescent="0.2">
      <c r="B1115" s="150" t="s">
        <v>2808</v>
      </c>
      <c r="C1115" s="151">
        <v>2019</v>
      </c>
      <c r="D1115" s="151">
        <v>12</v>
      </c>
      <c r="E1115" s="151">
        <v>8</v>
      </c>
    </row>
    <row r="1116" spans="2:5" x14ac:dyDescent="0.2">
      <c r="B1116" s="150" t="s">
        <v>2808</v>
      </c>
      <c r="C1116" s="151">
        <v>2019</v>
      </c>
      <c r="D1116" s="151">
        <v>10</v>
      </c>
      <c r="E1116" s="151">
        <v>3</v>
      </c>
    </row>
    <row r="1117" spans="2:5" x14ac:dyDescent="0.2">
      <c r="B1117" s="150" t="s">
        <v>2809</v>
      </c>
      <c r="C1117" s="151">
        <v>2019</v>
      </c>
      <c r="D1117" s="151">
        <v>5</v>
      </c>
      <c r="E1117" s="151">
        <v>47</v>
      </c>
    </row>
    <row r="1118" spans="2:5" x14ac:dyDescent="0.2">
      <c r="B1118" s="150" t="s">
        <v>2809</v>
      </c>
      <c r="C1118" s="151">
        <v>2019</v>
      </c>
      <c r="D1118" s="151">
        <v>10</v>
      </c>
      <c r="E1118" s="151">
        <v>26</v>
      </c>
    </row>
    <row r="1119" spans="2:5" x14ac:dyDescent="0.2">
      <c r="B1119" s="150" t="s">
        <v>2809</v>
      </c>
      <c r="C1119" s="151">
        <v>2019</v>
      </c>
      <c r="D1119" s="151">
        <v>6</v>
      </c>
      <c r="E1119" s="151">
        <v>25</v>
      </c>
    </row>
    <row r="1120" spans="2:5" x14ac:dyDescent="0.2">
      <c r="B1120" s="150" t="s">
        <v>2809</v>
      </c>
      <c r="C1120" s="151">
        <v>2019</v>
      </c>
      <c r="D1120" s="151">
        <v>8</v>
      </c>
      <c r="E1120" s="151">
        <v>20</v>
      </c>
    </row>
    <row r="1121" spans="2:5" x14ac:dyDescent="0.2">
      <c r="B1121" s="150" t="s">
        <v>2809</v>
      </c>
      <c r="C1121" s="151">
        <v>2019</v>
      </c>
      <c r="D1121" s="151">
        <v>7</v>
      </c>
      <c r="E1121" s="151">
        <v>13</v>
      </c>
    </row>
    <row r="1122" spans="2:5" x14ac:dyDescent="0.2">
      <c r="B1122" s="150" t="s">
        <v>2809</v>
      </c>
      <c r="C1122" s="151">
        <v>2019</v>
      </c>
      <c r="D1122" s="151">
        <v>9</v>
      </c>
      <c r="E1122" s="151">
        <v>11</v>
      </c>
    </row>
    <row r="1123" spans="2:5" x14ac:dyDescent="0.2">
      <c r="B1123" s="150" t="s">
        <v>2809</v>
      </c>
      <c r="C1123" s="151">
        <v>2019</v>
      </c>
      <c r="D1123" s="151">
        <v>12</v>
      </c>
      <c r="E1123" s="151">
        <v>9</v>
      </c>
    </row>
    <row r="1124" spans="2:5" x14ac:dyDescent="0.2">
      <c r="B1124" s="150" t="s">
        <v>2809</v>
      </c>
      <c r="C1124" s="151">
        <v>2019</v>
      </c>
      <c r="D1124" s="151">
        <v>2</v>
      </c>
      <c r="E1124" s="151">
        <v>6</v>
      </c>
    </row>
    <row r="1125" spans="2:5" x14ac:dyDescent="0.2">
      <c r="B1125" s="150" t="s">
        <v>2809</v>
      </c>
      <c r="C1125" s="151">
        <v>2019</v>
      </c>
      <c r="D1125" s="151">
        <v>3</v>
      </c>
      <c r="E1125" s="151">
        <v>5</v>
      </c>
    </row>
    <row r="1126" spans="2:5" x14ac:dyDescent="0.2">
      <c r="B1126" s="150" t="s">
        <v>2809</v>
      </c>
      <c r="C1126" s="151">
        <v>2019</v>
      </c>
      <c r="D1126" s="151">
        <v>4</v>
      </c>
      <c r="E1126" s="151">
        <v>5</v>
      </c>
    </row>
    <row r="1127" spans="2:5" x14ac:dyDescent="0.2">
      <c r="B1127" s="150" t="s">
        <v>2809</v>
      </c>
      <c r="C1127" s="151">
        <v>2019</v>
      </c>
      <c r="D1127" s="151">
        <v>1</v>
      </c>
      <c r="E1127" s="151">
        <v>4</v>
      </c>
    </row>
    <row r="1128" spans="2:5" x14ac:dyDescent="0.2">
      <c r="B1128" s="150" t="s">
        <v>2809</v>
      </c>
      <c r="C1128" s="151">
        <v>2019</v>
      </c>
      <c r="D1128" s="151">
        <v>11</v>
      </c>
      <c r="E1128" s="151">
        <v>1</v>
      </c>
    </row>
    <row r="1129" spans="2:5" x14ac:dyDescent="0.2">
      <c r="B1129" s="150" t="s">
        <v>2810</v>
      </c>
      <c r="C1129" s="151">
        <v>2019</v>
      </c>
      <c r="D1129" s="151">
        <v>6</v>
      </c>
      <c r="E1129" s="151">
        <v>15</v>
      </c>
    </row>
    <row r="1130" spans="2:5" x14ac:dyDescent="0.2">
      <c r="B1130" s="150" t="s">
        <v>2810</v>
      </c>
      <c r="C1130" s="151">
        <v>2019</v>
      </c>
      <c r="D1130" s="151">
        <v>1</v>
      </c>
      <c r="E1130" s="151">
        <v>12</v>
      </c>
    </row>
    <row r="1131" spans="2:5" x14ac:dyDescent="0.2">
      <c r="B1131" s="150" t="s">
        <v>2810</v>
      </c>
      <c r="C1131" s="151">
        <v>2019</v>
      </c>
      <c r="D1131" s="151">
        <v>7</v>
      </c>
      <c r="E1131" s="151">
        <v>11</v>
      </c>
    </row>
    <row r="1132" spans="2:5" x14ac:dyDescent="0.2">
      <c r="B1132" s="150" t="s">
        <v>2810</v>
      </c>
      <c r="C1132" s="151">
        <v>2019</v>
      </c>
      <c r="D1132" s="151">
        <v>9</v>
      </c>
      <c r="E1132" s="151">
        <v>11</v>
      </c>
    </row>
    <row r="1133" spans="2:5" x14ac:dyDescent="0.2">
      <c r="B1133" s="150" t="s">
        <v>2810</v>
      </c>
      <c r="C1133" s="151">
        <v>2019</v>
      </c>
      <c r="D1133" s="151">
        <v>8</v>
      </c>
      <c r="E1133" s="151">
        <v>10</v>
      </c>
    </row>
    <row r="1134" spans="2:5" x14ac:dyDescent="0.2">
      <c r="B1134" s="150" t="s">
        <v>2810</v>
      </c>
      <c r="C1134" s="151">
        <v>2019</v>
      </c>
      <c r="D1134" s="151">
        <v>3</v>
      </c>
      <c r="E1134" s="151">
        <v>9</v>
      </c>
    </row>
    <row r="1135" spans="2:5" x14ac:dyDescent="0.2">
      <c r="B1135" s="150" t="s">
        <v>2810</v>
      </c>
      <c r="C1135" s="151">
        <v>2019</v>
      </c>
      <c r="D1135" s="151">
        <v>12</v>
      </c>
      <c r="E1135" s="151">
        <v>8</v>
      </c>
    </row>
    <row r="1136" spans="2:5" x14ac:dyDescent="0.2">
      <c r="B1136" s="150" t="s">
        <v>2810</v>
      </c>
      <c r="C1136" s="151">
        <v>2019</v>
      </c>
      <c r="D1136" s="151">
        <v>11</v>
      </c>
      <c r="E1136" s="151">
        <v>6</v>
      </c>
    </row>
    <row r="1137" spans="2:5" x14ac:dyDescent="0.2">
      <c r="B1137" s="150" t="s">
        <v>2810</v>
      </c>
      <c r="C1137" s="151">
        <v>2019</v>
      </c>
      <c r="D1137" s="151">
        <v>2</v>
      </c>
      <c r="E1137" s="151">
        <v>4</v>
      </c>
    </row>
    <row r="1138" spans="2:5" x14ac:dyDescent="0.2">
      <c r="B1138" s="150" t="s">
        <v>2810</v>
      </c>
      <c r="C1138" s="151">
        <v>2019</v>
      </c>
      <c r="D1138" s="151">
        <v>10</v>
      </c>
      <c r="E1138" s="151">
        <v>4</v>
      </c>
    </row>
    <row r="1139" spans="2:5" x14ac:dyDescent="0.2">
      <c r="B1139" s="150" t="s">
        <v>2810</v>
      </c>
      <c r="C1139" s="151">
        <v>2019</v>
      </c>
      <c r="D1139" s="151">
        <v>4</v>
      </c>
      <c r="E1139" s="151">
        <v>3</v>
      </c>
    </row>
    <row r="1140" spans="2:5" x14ac:dyDescent="0.2">
      <c r="B1140" s="150" t="s">
        <v>2810</v>
      </c>
      <c r="C1140" s="151">
        <v>2019</v>
      </c>
      <c r="D1140" s="151">
        <v>5</v>
      </c>
      <c r="E1140" s="151">
        <v>2</v>
      </c>
    </row>
    <row r="1141" spans="2:5" x14ac:dyDescent="0.2">
      <c r="B1141" s="150" t="s">
        <v>2811</v>
      </c>
      <c r="C1141" s="151">
        <v>2019</v>
      </c>
      <c r="D1141" s="151">
        <v>10</v>
      </c>
      <c r="E1141" s="151">
        <v>182</v>
      </c>
    </row>
    <row r="1142" spans="2:5" x14ac:dyDescent="0.2">
      <c r="B1142" s="150" t="s">
        <v>2811</v>
      </c>
      <c r="C1142" s="151">
        <v>2019</v>
      </c>
      <c r="D1142" s="151">
        <v>5</v>
      </c>
      <c r="E1142" s="151">
        <v>170</v>
      </c>
    </row>
    <row r="1143" spans="2:5" x14ac:dyDescent="0.2">
      <c r="B1143" s="150" t="s">
        <v>2811</v>
      </c>
      <c r="C1143" s="151">
        <v>2019</v>
      </c>
      <c r="D1143" s="151">
        <v>6</v>
      </c>
      <c r="E1143" s="151">
        <v>164</v>
      </c>
    </row>
    <row r="1144" spans="2:5" x14ac:dyDescent="0.2">
      <c r="B1144" s="150" t="s">
        <v>2811</v>
      </c>
      <c r="C1144" s="151">
        <v>2019</v>
      </c>
      <c r="D1144" s="151">
        <v>8</v>
      </c>
      <c r="E1144" s="151">
        <v>160</v>
      </c>
    </row>
    <row r="1145" spans="2:5" x14ac:dyDescent="0.2">
      <c r="B1145" s="150" t="s">
        <v>2811</v>
      </c>
      <c r="C1145" s="151">
        <v>2019</v>
      </c>
      <c r="D1145" s="151">
        <v>9</v>
      </c>
      <c r="E1145" s="151">
        <v>120</v>
      </c>
    </row>
    <row r="1146" spans="2:5" x14ac:dyDescent="0.2">
      <c r="B1146" s="150" t="s">
        <v>2811</v>
      </c>
      <c r="C1146" s="151">
        <v>2019</v>
      </c>
      <c r="D1146" s="151">
        <v>11</v>
      </c>
      <c r="E1146" s="151">
        <v>113</v>
      </c>
    </row>
    <row r="1147" spans="2:5" x14ac:dyDescent="0.2">
      <c r="B1147" s="150" t="s">
        <v>2811</v>
      </c>
      <c r="C1147" s="151">
        <v>2019</v>
      </c>
      <c r="D1147" s="151">
        <v>4</v>
      </c>
      <c r="E1147" s="151">
        <v>110</v>
      </c>
    </row>
    <row r="1148" spans="2:5" x14ac:dyDescent="0.2">
      <c r="B1148" s="150" t="s">
        <v>2811</v>
      </c>
      <c r="C1148" s="151">
        <v>2019</v>
      </c>
      <c r="D1148" s="151">
        <v>7</v>
      </c>
      <c r="E1148" s="151">
        <v>110</v>
      </c>
    </row>
    <row r="1149" spans="2:5" x14ac:dyDescent="0.2">
      <c r="B1149" s="150" t="s">
        <v>2811</v>
      </c>
      <c r="C1149" s="151">
        <v>2019</v>
      </c>
      <c r="D1149" s="151">
        <v>3</v>
      </c>
      <c r="E1149" s="151">
        <v>92</v>
      </c>
    </row>
    <row r="1150" spans="2:5" x14ac:dyDescent="0.2">
      <c r="B1150" s="150" t="s">
        <v>2811</v>
      </c>
      <c r="C1150" s="151">
        <v>2019</v>
      </c>
      <c r="D1150" s="151">
        <v>2</v>
      </c>
      <c r="E1150" s="151">
        <v>60</v>
      </c>
    </row>
    <row r="1151" spans="2:5" x14ac:dyDescent="0.2">
      <c r="B1151" s="150" t="s">
        <v>2811</v>
      </c>
      <c r="C1151" s="151">
        <v>2019</v>
      </c>
      <c r="D1151" s="151">
        <v>1</v>
      </c>
      <c r="E1151" s="151">
        <v>58</v>
      </c>
    </row>
    <row r="1152" spans="2:5" x14ac:dyDescent="0.2">
      <c r="B1152" s="150" t="s">
        <v>2811</v>
      </c>
      <c r="C1152" s="151">
        <v>2019</v>
      </c>
      <c r="D1152" s="151">
        <v>12</v>
      </c>
      <c r="E1152" s="151">
        <v>7</v>
      </c>
    </row>
    <row r="1153" spans="2:5" x14ac:dyDescent="0.2">
      <c r="B1153" s="150" t="s">
        <v>2812</v>
      </c>
      <c r="C1153" s="151">
        <v>2019</v>
      </c>
      <c r="D1153" s="151">
        <v>5</v>
      </c>
      <c r="E1153" s="151">
        <v>171</v>
      </c>
    </row>
    <row r="1154" spans="2:5" x14ac:dyDescent="0.2">
      <c r="B1154" s="150" t="s">
        <v>2812</v>
      </c>
      <c r="C1154" s="151">
        <v>2019</v>
      </c>
      <c r="D1154" s="151">
        <v>10</v>
      </c>
      <c r="E1154" s="151">
        <v>85</v>
      </c>
    </row>
    <row r="1155" spans="2:5" x14ac:dyDescent="0.2">
      <c r="B1155" s="150" t="s">
        <v>2812</v>
      </c>
      <c r="C1155" s="151">
        <v>2019</v>
      </c>
      <c r="D1155" s="151">
        <v>7</v>
      </c>
      <c r="E1155" s="151">
        <v>74</v>
      </c>
    </row>
    <row r="1156" spans="2:5" x14ac:dyDescent="0.2">
      <c r="B1156" s="150" t="s">
        <v>2812</v>
      </c>
      <c r="C1156" s="151">
        <v>2019</v>
      </c>
      <c r="D1156" s="151">
        <v>6</v>
      </c>
      <c r="E1156" s="151">
        <v>64</v>
      </c>
    </row>
    <row r="1157" spans="2:5" x14ac:dyDescent="0.2">
      <c r="B1157" s="150" t="s">
        <v>2812</v>
      </c>
      <c r="C1157" s="151">
        <v>2019</v>
      </c>
      <c r="D1157" s="151">
        <v>8</v>
      </c>
      <c r="E1157" s="151">
        <v>61</v>
      </c>
    </row>
    <row r="1158" spans="2:5" x14ac:dyDescent="0.2">
      <c r="B1158" s="150" t="s">
        <v>2812</v>
      </c>
      <c r="C1158" s="151">
        <v>2019</v>
      </c>
      <c r="D1158" s="151">
        <v>11</v>
      </c>
      <c r="E1158" s="151">
        <v>49</v>
      </c>
    </row>
    <row r="1159" spans="2:5" x14ac:dyDescent="0.2">
      <c r="B1159" s="150" t="s">
        <v>2812</v>
      </c>
      <c r="C1159" s="151">
        <v>2019</v>
      </c>
      <c r="D1159" s="151">
        <v>1</v>
      </c>
      <c r="E1159" s="151">
        <v>47</v>
      </c>
    </row>
    <row r="1160" spans="2:5" x14ac:dyDescent="0.2">
      <c r="B1160" s="150" t="s">
        <v>2812</v>
      </c>
      <c r="C1160" s="151">
        <v>2019</v>
      </c>
      <c r="D1160" s="151">
        <v>4</v>
      </c>
      <c r="E1160" s="151">
        <v>34</v>
      </c>
    </row>
    <row r="1161" spans="2:5" x14ac:dyDescent="0.2">
      <c r="B1161" s="150" t="s">
        <v>2812</v>
      </c>
      <c r="C1161" s="151">
        <v>2019</v>
      </c>
      <c r="D1161" s="151">
        <v>9</v>
      </c>
      <c r="E1161" s="151">
        <v>34</v>
      </c>
    </row>
    <row r="1162" spans="2:5" x14ac:dyDescent="0.2">
      <c r="B1162" s="150" t="s">
        <v>2812</v>
      </c>
      <c r="C1162" s="151">
        <v>2019</v>
      </c>
      <c r="D1162" s="151">
        <v>3</v>
      </c>
      <c r="E1162" s="151">
        <v>24</v>
      </c>
    </row>
    <row r="1163" spans="2:5" x14ac:dyDescent="0.2">
      <c r="B1163" s="150" t="s">
        <v>2812</v>
      </c>
      <c r="C1163" s="151">
        <v>2019</v>
      </c>
      <c r="D1163" s="151">
        <v>2</v>
      </c>
      <c r="E1163" s="151">
        <v>19</v>
      </c>
    </row>
    <row r="1164" spans="2:5" x14ac:dyDescent="0.2">
      <c r="B1164" s="150" t="s">
        <v>2812</v>
      </c>
      <c r="C1164" s="151">
        <v>2019</v>
      </c>
      <c r="D1164" s="151">
        <v>12</v>
      </c>
      <c r="E1164" s="151">
        <v>17</v>
      </c>
    </row>
    <row r="1165" spans="2:5" x14ac:dyDescent="0.2">
      <c r="B1165" s="150" t="s">
        <v>2945</v>
      </c>
      <c r="C1165" s="151">
        <v>2019</v>
      </c>
      <c r="D1165" s="151">
        <v>4</v>
      </c>
      <c r="E1165" s="151">
        <v>3</v>
      </c>
    </row>
    <row r="1166" spans="2:5" x14ac:dyDescent="0.2">
      <c r="B1166" s="150" t="s">
        <v>2945</v>
      </c>
      <c r="C1166" s="151">
        <v>2019</v>
      </c>
      <c r="D1166" s="151">
        <v>1</v>
      </c>
      <c r="E1166" s="151">
        <v>2</v>
      </c>
    </row>
    <row r="1167" spans="2:5" x14ac:dyDescent="0.2">
      <c r="B1167" s="150" t="s">
        <v>2945</v>
      </c>
      <c r="C1167" s="151">
        <v>2019</v>
      </c>
      <c r="D1167" s="151">
        <v>5</v>
      </c>
      <c r="E1167" s="151">
        <v>2</v>
      </c>
    </row>
    <row r="1168" spans="2:5" x14ac:dyDescent="0.2">
      <c r="B1168" s="150" t="s">
        <v>2945</v>
      </c>
      <c r="C1168" s="151">
        <v>2019</v>
      </c>
      <c r="D1168" s="151">
        <v>8</v>
      </c>
      <c r="E1168" s="151">
        <v>2</v>
      </c>
    </row>
    <row r="1169" spans="2:5" x14ac:dyDescent="0.2">
      <c r="B1169" s="150" t="s">
        <v>2945</v>
      </c>
      <c r="C1169" s="151">
        <v>2019</v>
      </c>
      <c r="D1169" s="151">
        <v>2</v>
      </c>
      <c r="E1169" s="151">
        <v>1</v>
      </c>
    </row>
    <row r="1170" spans="2:5" x14ac:dyDescent="0.2">
      <c r="B1170" s="150" t="s">
        <v>2945</v>
      </c>
      <c r="C1170" s="151">
        <v>2019</v>
      </c>
      <c r="D1170" s="151">
        <v>3</v>
      </c>
      <c r="E1170" s="151">
        <v>1</v>
      </c>
    </row>
    <row r="1171" spans="2:5" x14ac:dyDescent="0.2">
      <c r="B1171" s="150" t="s">
        <v>2945</v>
      </c>
      <c r="C1171" s="151">
        <v>2019</v>
      </c>
      <c r="D1171" s="151">
        <v>7</v>
      </c>
      <c r="E1171" s="151">
        <v>1</v>
      </c>
    </row>
    <row r="1172" spans="2:5" x14ac:dyDescent="0.2">
      <c r="B1172" s="150" t="s">
        <v>2945</v>
      </c>
      <c r="C1172" s="151">
        <v>2019</v>
      </c>
      <c r="D1172" s="151">
        <v>10</v>
      </c>
      <c r="E1172" s="151">
        <v>1</v>
      </c>
    </row>
    <row r="1173" spans="2:5" x14ac:dyDescent="0.2">
      <c r="B1173" s="150" t="s">
        <v>2813</v>
      </c>
      <c r="C1173" s="151">
        <v>2019</v>
      </c>
      <c r="D1173" s="151">
        <v>9</v>
      </c>
      <c r="E1173" s="151">
        <v>85</v>
      </c>
    </row>
    <row r="1174" spans="2:5" x14ac:dyDescent="0.2">
      <c r="B1174" s="150" t="s">
        <v>2813</v>
      </c>
      <c r="C1174" s="151">
        <v>2019</v>
      </c>
      <c r="D1174" s="151">
        <v>10</v>
      </c>
      <c r="E1174" s="151">
        <v>80</v>
      </c>
    </row>
    <row r="1175" spans="2:5" x14ac:dyDescent="0.2">
      <c r="B1175" s="150" t="s">
        <v>2813</v>
      </c>
      <c r="C1175" s="151">
        <v>2019</v>
      </c>
      <c r="D1175" s="151">
        <v>4</v>
      </c>
      <c r="E1175" s="151">
        <v>64</v>
      </c>
    </row>
    <row r="1176" spans="2:5" x14ac:dyDescent="0.2">
      <c r="B1176" s="150" t="s">
        <v>2813</v>
      </c>
      <c r="C1176" s="151">
        <v>2019</v>
      </c>
      <c r="D1176" s="151">
        <v>12</v>
      </c>
      <c r="E1176" s="151">
        <v>60</v>
      </c>
    </row>
    <row r="1177" spans="2:5" x14ac:dyDescent="0.2">
      <c r="B1177" s="150" t="s">
        <v>2813</v>
      </c>
      <c r="C1177" s="151">
        <v>2019</v>
      </c>
      <c r="D1177" s="151">
        <v>2</v>
      </c>
      <c r="E1177" s="151">
        <v>57</v>
      </c>
    </row>
    <row r="1178" spans="2:5" x14ac:dyDescent="0.2">
      <c r="B1178" s="150" t="s">
        <v>2813</v>
      </c>
      <c r="C1178" s="151">
        <v>2019</v>
      </c>
      <c r="D1178" s="151">
        <v>3</v>
      </c>
      <c r="E1178" s="151">
        <v>46</v>
      </c>
    </row>
    <row r="1179" spans="2:5" x14ac:dyDescent="0.2">
      <c r="B1179" s="150" t="s">
        <v>2813</v>
      </c>
      <c r="C1179" s="151">
        <v>2019</v>
      </c>
      <c r="D1179" s="151">
        <v>8</v>
      </c>
      <c r="E1179" s="151">
        <v>45</v>
      </c>
    </row>
    <row r="1180" spans="2:5" x14ac:dyDescent="0.2">
      <c r="B1180" s="150" t="s">
        <v>2813</v>
      </c>
      <c r="C1180" s="151">
        <v>2019</v>
      </c>
      <c r="D1180" s="151">
        <v>5</v>
      </c>
      <c r="E1180" s="151">
        <v>38</v>
      </c>
    </row>
    <row r="1181" spans="2:5" x14ac:dyDescent="0.2">
      <c r="B1181" s="150" t="s">
        <v>2813</v>
      </c>
      <c r="C1181" s="151">
        <v>2019</v>
      </c>
      <c r="D1181" s="151">
        <v>7</v>
      </c>
      <c r="E1181" s="151">
        <v>37</v>
      </c>
    </row>
    <row r="1182" spans="2:5" x14ac:dyDescent="0.2">
      <c r="B1182" s="150" t="s">
        <v>2813</v>
      </c>
      <c r="C1182" s="151">
        <v>2019</v>
      </c>
      <c r="D1182" s="151">
        <v>11</v>
      </c>
      <c r="E1182" s="151">
        <v>37</v>
      </c>
    </row>
    <row r="1183" spans="2:5" x14ac:dyDescent="0.2">
      <c r="B1183" s="150" t="s">
        <v>2813</v>
      </c>
      <c r="C1183" s="151">
        <v>2019</v>
      </c>
      <c r="D1183" s="151">
        <v>1</v>
      </c>
      <c r="E1183" s="151">
        <v>24</v>
      </c>
    </row>
    <row r="1184" spans="2:5" x14ac:dyDescent="0.2">
      <c r="B1184" s="150" t="s">
        <v>2813</v>
      </c>
      <c r="C1184" s="151">
        <v>2019</v>
      </c>
      <c r="D1184" s="151">
        <v>6</v>
      </c>
      <c r="E1184" s="151">
        <v>24</v>
      </c>
    </row>
    <row r="1185" spans="2:5" x14ac:dyDescent="0.2">
      <c r="B1185" s="150" t="s">
        <v>2814</v>
      </c>
      <c r="C1185" s="151">
        <v>2019</v>
      </c>
      <c r="D1185" s="151">
        <v>11</v>
      </c>
      <c r="E1185" s="151">
        <v>36</v>
      </c>
    </row>
    <row r="1186" spans="2:5" x14ac:dyDescent="0.2">
      <c r="B1186" s="150" t="s">
        <v>2814</v>
      </c>
      <c r="C1186" s="151">
        <v>2019</v>
      </c>
      <c r="D1186" s="151">
        <v>3</v>
      </c>
      <c r="E1186" s="151">
        <v>35</v>
      </c>
    </row>
    <row r="1187" spans="2:5" x14ac:dyDescent="0.2">
      <c r="B1187" s="150" t="s">
        <v>2814</v>
      </c>
      <c r="C1187" s="151">
        <v>2019</v>
      </c>
      <c r="D1187" s="151">
        <v>9</v>
      </c>
      <c r="E1187" s="151">
        <v>35</v>
      </c>
    </row>
    <row r="1188" spans="2:5" x14ac:dyDescent="0.2">
      <c r="B1188" s="150" t="s">
        <v>2814</v>
      </c>
      <c r="C1188" s="151">
        <v>2019</v>
      </c>
      <c r="D1188" s="151">
        <v>5</v>
      </c>
      <c r="E1188" s="151">
        <v>29</v>
      </c>
    </row>
    <row r="1189" spans="2:5" x14ac:dyDescent="0.2">
      <c r="B1189" s="150" t="s">
        <v>2814</v>
      </c>
      <c r="C1189" s="151">
        <v>2019</v>
      </c>
      <c r="D1189" s="151">
        <v>7</v>
      </c>
      <c r="E1189" s="151">
        <v>29</v>
      </c>
    </row>
    <row r="1190" spans="2:5" x14ac:dyDescent="0.2">
      <c r="B1190" s="150" t="s">
        <v>2814</v>
      </c>
      <c r="C1190" s="151">
        <v>2019</v>
      </c>
      <c r="D1190" s="151">
        <v>6</v>
      </c>
      <c r="E1190" s="151">
        <v>28</v>
      </c>
    </row>
    <row r="1191" spans="2:5" x14ac:dyDescent="0.2">
      <c r="B1191" s="150" t="s">
        <v>2814</v>
      </c>
      <c r="C1191" s="151">
        <v>2019</v>
      </c>
      <c r="D1191" s="151">
        <v>8</v>
      </c>
      <c r="E1191" s="151">
        <v>27</v>
      </c>
    </row>
    <row r="1192" spans="2:5" x14ac:dyDescent="0.2">
      <c r="B1192" s="150" t="s">
        <v>2814</v>
      </c>
      <c r="C1192" s="151">
        <v>2019</v>
      </c>
      <c r="D1192" s="151">
        <v>12</v>
      </c>
      <c r="E1192" s="151">
        <v>19</v>
      </c>
    </row>
    <row r="1193" spans="2:5" x14ac:dyDescent="0.2">
      <c r="B1193" s="150" t="s">
        <v>2814</v>
      </c>
      <c r="C1193" s="151">
        <v>2019</v>
      </c>
      <c r="D1193" s="151">
        <v>4</v>
      </c>
      <c r="E1193" s="151">
        <v>17</v>
      </c>
    </row>
    <row r="1194" spans="2:5" x14ac:dyDescent="0.2">
      <c r="B1194" s="150" t="s">
        <v>2814</v>
      </c>
      <c r="C1194" s="151">
        <v>2019</v>
      </c>
      <c r="D1194" s="151">
        <v>1</v>
      </c>
      <c r="E1194" s="151">
        <v>11</v>
      </c>
    </row>
    <row r="1195" spans="2:5" x14ac:dyDescent="0.2">
      <c r="B1195" s="150" t="s">
        <v>2814</v>
      </c>
      <c r="C1195" s="151">
        <v>2019</v>
      </c>
      <c r="D1195" s="151">
        <v>10</v>
      </c>
      <c r="E1195" s="151">
        <v>7</v>
      </c>
    </row>
    <row r="1196" spans="2:5" x14ac:dyDescent="0.2">
      <c r="B1196" s="150" t="s">
        <v>2814</v>
      </c>
      <c r="C1196" s="151">
        <v>2019</v>
      </c>
      <c r="D1196" s="151">
        <v>2</v>
      </c>
      <c r="E1196" s="151">
        <v>4</v>
      </c>
    </row>
    <row r="1197" spans="2:5" x14ac:dyDescent="0.2">
      <c r="B1197" s="150" t="s">
        <v>2907</v>
      </c>
      <c r="C1197" s="151">
        <v>2019</v>
      </c>
      <c r="D1197" s="151">
        <v>3</v>
      </c>
      <c r="E1197" s="151">
        <v>25</v>
      </c>
    </row>
    <row r="1198" spans="2:5" x14ac:dyDescent="0.2">
      <c r="B1198" s="150" t="s">
        <v>2907</v>
      </c>
      <c r="C1198" s="151">
        <v>2019</v>
      </c>
      <c r="D1198" s="151">
        <v>7</v>
      </c>
      <c r="E1198" s="151">
        <v>19</v>
      </c>
    </row>
    <row r="1199" spans="2:5" x14ac:dyDescent="0.2">
      <c r="B1199" s="150" t="s">
        <v>2907</v>
      </c>
      <c r="C1199" s="151">
        <v>2019</v>
      </c>
      <c r="D1199" s="151">
        <v>6</v>
      </c>
      <c r="E1199" s="151">
        <v>18</v>
      </c>
    </row>
    <row r="1200" spans="2:5" x14ac:dyDescent="0.2">
      <c r="B1200" s="150" t="s">
        <v>2907</v>
      </c>
      <c r="C1200" s="151">
        <v>2019</v>
      </c>
      <c r="D1200" s="151">
        <v>9</v>
      </c>
      <c r="E1200" s="151">
        <v>18</v>
      </c>
    </row>
    <row r="1201" spans="2:5" x14ac:dyDescent="0.2">
      <c r="B1201" s="150" t="s">
        <v>2907</v>
      </c>
      <c r="C1201" s="151">
        <v>2019</v>
      </c>
      <c r="D1201" s="151">
        <v>8</v>
      </c>
      <c r="E1201" s="151">
        <v>17</v>
      </c>
    </row>
    <row r="1202" spans="2:5" x14ac:dyDescent="0.2">
      <c r="B1202" s="150" t="s">
        <v>2907</v>
      </c>
      <c r="C1202" s="151">
        <v>2019</v>
      </c>
      <c r="D1202" s="151">
        <v>5</v>
      </c>
      <c r="E1202" s="151">
        <v>14</v>
      </c>
    </row>
    <row r="1203" spans="2:5" x14ac:dyDescent="0.2">
      <c r="B1203" s="150" t="s">
        <v>2907</v>
      </c>
      <c r="C1203" s="151">
        <v>2019</v>
      </c>
      <c r="D1203" s="151">
        <v>11</v>
      </c>
      <c r="E1203" s="151">
        <v>13</v>
      </c>
    </row>
    <row r="1204" spans="2:5" x14ac:dyDescent="0.2">
      <c r="B1204" s="150" t="s">
        <v>2907</v>
      </c>
      <c r="C1204" s="151">
        <v>2019</v>
      </c>
      <c r="D1204" s="151">
        <v>1</v>
      </c>
      <c r="E1204" s="151">
        <v>8</v>
      </c>
    </row>
    <row r="1205" spans="2:5" x14ac:dyDescent="0.2">
      <c r="B1205" s="150" t="s">
        <v>2907</v>
      </c>
      <c r="C1205" s="151">
        <v>2019</v>
      </c>
      <c r="D1205" s="151">
        <v>4</v>
      </c>
      <c r="E1205" s="151">
        <v>8</v>
      </c>
    </row>
    <row r="1206" spans="2:5" x14ac:dyDescent="0.2">
      <c r="B1206" s="150" t="s">
        <v>2907</v>
      </c>
      <c r="C1206" s="151">
        <v>2019</v>
      </c>
      <c r="D1206" s="151">
        <v>10</v>
      </c>
      <c r="E1206" s="151">
        <v>8</v>
      </c>
    </row>
    <row r="1207" spans="2:5" x14ac:dyDescent="0.2">
      <c r="B1207" s="150" t="s">
        <v>2907</v>
      </c>
      <c r="C1207" s="151">
        <v>2019</v>
      </c>
      <c r="D1207" s="151">
        <v>12</v>
      </c>
      <c r="E1207" s="151">
        <v>4</v>
      </c>
    </row>
    <row r="1208" spans="2:5" x14ac:dyDescent="0.2">
      <c r="B1208" s="150" t="s">
        <v>2907</v>
      </c>
      <c r="C1208" s="151">
        <v>2019</v>
      </c>
      <c r="D1208" s="151">
        <v>2</v>
      </c>
      <c r="E1208" s="151">
        <v>2</v>
      </c>
    </row>
    <row r="1209" spans="2:5" x14ac:dyDescent="0.2">
      <c r="B1209" s="150" t="s">
        <v>2815</v>
      </c>
      <c r="C1209" s="151">
        <v>2019</v>
      </c>
      <c r="D1209" s="151">
        <v>4</v>
      </c>
      <c r="E1209" s="151">
        <v>7</v>
      </c>
    </row>
    <row r="1210" spans="2:5" x14ac:dyDescent="0.2">
      <c r="B1210" s="150" t="s">
        <v>2815</v>
      </c>
      <c r="C1210" s="151">
        <v>2019</v>
      </c>
      <c r="D1210" s="151">
        <v>5</v>
      </c>
      <c r="E1210" s="151">
        <v>7</v>
      </c>
    </row>
    <row r="1211" spans="2:5" x14ac:dyDescent="0.2">
      <c r="B1211" s="150" t="s">
        <v>2815</v>
      </c>
      <c r="C1211" s="151">
        <v>2019</v>
      </c>
      <c r="D1211" s="151">
        <v>3</v>
      </c>
      <c r="E1211" s="151">
        <v>6</v>
      </c>
    </row>
    <row r="1212" spans="2:5" x14ac:dyDescent="0.2">
      <c r="B1212" s="150" t="s">
        <v>2815</v>
      </c>
      <c r="C1212" s="151">
        <v>2019</v>
      </c>
      <c r="D1212" s="151">
        <v>10</v>
      </c>
      <c r="E1212" s="151">
        <v>5</v>
      </c>
    </row>
    <row r="1213" spans="2:5" x14ac:dyDescent="0.2">
      <c r="B1213" s="150" t="s">
        <v>2815</v>
      </c>
      <c r="C1213" s="151">
        <v>2019</v>
      </c>
      <c r="D1213" s="151">
        <v>6</v>
      </c>
      <c r="E1213" s="151">
        <v>4</v>
      </c>
    </row>
    <row r="1214" spans="2:5" x14ac:dyDescent="0.2">
      <c r="B1214" s="150" t="s">
        <v>2815</v>
      </c>
      <c r="C1214" s="151">
        <v>2019</v>
      </c>
      <c r="D1214" s="151">
        <v>8</v>
      </c>
      <c r="E1214" s="151">
        <v>4</v>
      </c>
    </row>
    <row r="1215" spans="2:5" x14ac:dyDescent="0.2">
      <c r="B1215" s="150" t="s">
        <v>2815</v>
      </c>
      <c r="C1215" s="151">
        <v>2019</v>
      </c>
      <c r="D1215" s="151">
        <v>9</v>
      </c>
      <c r="E1215" s="151">
        <v>4</v>
      </c>
    </row>
    <row r="1216" spans="2:5" x14ac:dyDescent="0.2">
      <c r="B1216" s="150" t="s">
        <v>2815</v>
      </c>
      <c r="C1216" s="151">
        <v>2019</v>
      </c>
      <c r="D1216" s="151">
        <v>7</v>
      </c>
      <c r="E1216" s="151">
        <v>3</v>
      </c>
    </row>
    <row r="1217" spans="2:5" x14ac:dyDescent="0.2">
      <c r="B1217" s="150" t="s">
        <v>2815</v>
      </c>
      <c r="C1217" s="151">
        <v>2019</v>
      </c>
      <c r="D1217" s="151">
        <v>1</v>
      </c>
      <c r="E1217" s="151">
        <v>2</v>
      </c>
    </row>
    <row r="1218" spans="2:5" x14ac:dyDescent="0.2">
      <c r="B1218" s="150" t="s">
        <v>2815</v>
      </c>
      <c r="C1218" s="151">
        <v>2019</v>
      </c>
      <c r="D1218" s="151">
        <v>2</v>
      </c>
      <c r="E1218" s="151">
        <v>2</v>
      </c>
    </row>
    <row r="1219" spans="2:5" x14ac:dyDescent="0.2">
      <c r="B1219" s="150" t="s">
        <v>2815</v>
      </c>
      <c r="C1219" s="151">
        <v>2019</v>
      </c>
      <c r="D1219" s="151">
        <v>11</v>
      </c>
      <c r="E1219" s="151">
        <v>2</v>
      </c>
    </row>
    <row r="1220" spans="2:5" x14ac:dyDescent="0.2">
      <c r="B1220" s="150" t="s">
        <v>2815</v>
      </c>
      <c r="C1220" s="151">
        <v>2019</v>
      </c>
      <c r="D1220" s="151">
        <v>12</v>
      </c>
      <c r="E1220" s="151">
        <v>1</v>
      </c>
    </row>
    <row r="1221" spans="2:5" x14ac:dyDescent="0.2">
      <c r="B1221" s="150" t="s">
        <v>2975</v>
      </c>
      <c r="C1221" s="151">
        <v>2019</v>
      </c>
      <c r="D1221" s="151">
        <v>5</v>
      </c>
      <c r="E1221" s="151">
        <v>2</v>
      </c>
    </row>
    <row r="1222" spans="2:5" x14ac:dyDescent="0.2">
      <c r="B1222" s="150" t="s">
        <v>2816</v>
      </c>
      <c r="C1222" s="151">
        <v>2019</v>
      </c>
      <c r="D1222" s="151">
        <v>2</v>
      </c>
      <c r="E1222" s="151">
        <v>13</v>
      </c>
    </row>
    <row r="1223" spans="2:5" x14ac:dyDescent="0.2">
      <c r="B1223" s="150" t="s">
        <v>2816</v>
      </c>
      <c r="C1223" s="151">
        <v>2019</v>
      </c>
      <c r="D1223" s="151">
        <v>9</v>
      </c>
      <c r="E1223" s="151">
        <v>12</v>
      </c>
    </row>
    <row r="1224" spans="2:5" x14ac:dyDescent="0.2">
      <c r="B1224" s="150" t="s">
        <v>2816</v>
      </c>
      <c r="C1224" s="151">
        <v>2019</v>
      </c>
      <c r="D1224" s="151">
        <v>3</v>
      </c>
      <c r="E1224" s="151">
        <v>10</v>
      </c>
    </row>
    <row r="1225" spans="2:5" x14ac:dyDescent="0.2">
      <c r="B1225" s="150" t="s">
        <v>2816</v>
      </c>
      <c r="C1225" s="151">
        <v>2019</v>
      </c>
      <c r="D1225" s="151">
        <v>1</v>
      </c>
      <c r="E1225" s="151">
        <v>9</v>
      </c>
    </row>
    <row r="1226" spans="2:5" x14ac:dyDescent="0.2">
      <c r="B1226" s="150" t="s">
        <v>2816</v>
      </c>
      <c r="C1226" s="151">
        <v>2019</v>
      </c>
      <c r="D1226" s="151">
        <v>7</v>
      </c>
      <c r="E1226" s="151">
        <v>8</v>
      </c>
    </row>
    <row r="1227" spans="2:5" x14ac:dyDescent="0.2">
      <c r="B1227" s="150" t="s">
        <v>2816</v>
      </c>
      <c r="C1227" s="151">
        <v>2019</v>
      </c>
      <c r="D1227" s="151">
        <v>8</v>
      </c>
      <c r="E1227" s="151">
        <v>8</v>
      </c>
    </row>
    <row r="1228" spans="2:5" x14ac:dyDescent="0.2">
      <c r="B1228" s="150" t="s">
        <v>2816</v>
      </c>
      <c r="C1228" s="151">
        <v>2019</v>
      </c>
      <c r="D1228" s="151">
        <v>12</v>
      </c>
      <c r="E1228" s="151">
        <v>8</v>
      </c>
    </row>
    <row r="1229" spans="2:5" x14ac:dyDescent="0.2">
      <c r="B1229" s="150" t="s">
        <v>2816</v>
      </c>
      <c r="C1229" s="151">
        <v>2019</v>
      </c>
      <c r="D1229" s="151">
        <v>10</v>
      </c>
      <c r="E1229" s="151">
        <v>7</v>
      </c>
    </row>
    <row r="1230" spans="2:5" x14ac:dyDescent="0.2">
      <c r="B1230" s="150" t="s">
        <v>2816</v>
      </c>
      <c r="C1230" s="151">
        <v>2019</v>
      </c>
      <c r="D1230" s="151">
        <v>6</v>
      </c>
      <c r="E1230" s="151">
        <v>6</v>
      </c>
    </row>
    <row r="1231" spans="2:5" x14ac:dyDescent="0.2">
      <c r="B1231" s="150" t="s">
        <v>2816</v>
      </c>
      <c r="C1231" s="151">
        <v>2019</v>
      </c>
      <c r="D1231" s="151">
        <v>4</v>
      </c>
      <c r="E1231" s="151">
        <v>5</v>
      </c>
    </row>
    <row r="1232" spans="2:5" x14ac:dyDescent="0.2">
      <c r="B1232" s="150" t="s">
        <v>2816</v>
      </c>
      <c r="C1232" s="151">
        <v>2019</v>
      </c>
      <c r="D1232" s="151">
        <v>5</v>
      </c>
      <c r="E1232" s="151">
        <v>2</v>
      </c>
    </row>
    <row r="1233" spans="2:5" x14ac:dyDescent="0.2">
      <c r="B1233" s="150" t="s">
        <v>2816</v>
      </c>
      <c r="C1233" s="151">
        <v>2019</v>
      </c>
      <c r="D1233" s="151">
        <v>11</v>
      </c>
      <c r="E1233" s="151">
        <v>2</v>
      </c>
    </row>
    <row r="1234" spans="2:5" x14ac:dyDescent="0.2">
      <c r="B1234" s="150" t="s">
        <v>2947</v>
      </c>
      <c r="C1234" s="151">
        <v>2019</v>
      </c>
      <c r="D1234" s="151">
        <v>6</v>
      </c>
      <c r="E1234" s="151">
        <v>4</v>
      </c>
    </row>
    <row r="1235" spans="2:5" x14ac:dyDescent="0.2">
      <c r="B1235" s="150" t="s">
        <v>2947</v>
      </c>
      <c r="C1235" s="151">
        <v>2019</v>
      </c>
      <c r="D1235" s="151">
        <v>10</v>
      </c>
      <c r="E1235" s="151">
        <v>3</v>
      </c>
    </row>
    <row r="1236" spans="2:5" x14ac:dyDescent="0.2">
      <c r="B1236" s="150" t="s">
        <v>2947</v>
      </c>
      <c r="C1236" s="151">
        <v>2019</v>
      </c>
      <c r="D1236" s="151">
        <v>11</v>
      </c>
      <c r="E1236" s="151">
        <v>3</v>
      </c>
    </row>
    <row r="1237" spans="2:5" x14ac:dyDescent="0.2">
      <c r="B1237" s="150" t="s">
        <v>2947</v>
      </c>
      <c r="C1237" s="151">
        <v>2019</v>
      </c>
      <c r="D1237" s="151">
        <v>9</v>
      </c>
      <c r="E1237" s="151">
        <v>2</v>
      </c>
    </row>
    <row r="1238" spans="2:5" x14ac:dyDescent="0.2">
      <c r="B1238" s="150" t="s">
        <v>2954</v>
      </c>
      <c r="C1238" s="151">
        <v>2019</v>
      </c>
      <c r="D1238" s="151">
        <v>6</v>
      </c>
      <c r="E1238" s="151">
        <v>4</v>
      </c>
    </row>
    <row r="1239" spans="2:5" x14ac:dyDescent="0.2">
      <c r="B1239" s="150" t="s">
        <v>2954</v>
      </c>
      <c r="C1239" s="151">
        <v>2019</v>
      </c>
      <c r="D1239" s="151">
        <v>11</v>
      </c>
      <c r="E1239" s="151">
        <v>3</v>
      </c>
    </row>
    <row r="1240" spans="2:5" x14ac:dyDescent="0.2">
      <c r="B1240" s="150" t="s">
        <v>2954</v>
      </c>
      <c r="C1240" s="151">
        <v>2019</v>
      </c>
      <c r="D1240" s="151">
        <v>8</v>
      </c>
      <c r="E1240" s="151">
        <v>2</v>
      </c>
    </row>
    <row r="1241" spans="2:5" x14ac:dyDescent="0.2">
      <c r="B1241" s="150" t="s">
        <v>2954</v>
      </c>
      <c r="C1241" s="151">
        <v>2019</v>
      </c>
      <c r="D1241" s="151">
        <v>9</v>
      </c>
      <c r="E1241" s="151">
        <v>1</v>
      </c>
    </row>
    <row r="1242" spans="2:5" x14ac:dyDescent="0.2">
      <c r="B1242" s="150" t="s">
        <v>2915</v>
      </c>
      <c r="C1242" s="151">
        <v>2019</v>
      </c>
      <c r="D1242" s="151">
        <v>6</v>
      </c>
      <c r="E1242" s="151">
        <v>16</v>
      </c>
    </row>
    <row r="1243" spans="2:5" x14ac:dyDescent="0.2">
      <c r="B1243" s="150" t="s">
        <v>2915</v>
      </c>
      <c r="C1243" s="151">
        <v>2019</v>
      </c>
      <c r="D1243" s="151">
        <v>7</v>
      </c>
      <c r="E1243" s="151">
        <v>11</v>
      </c>
    </row>
    <row r="1244" spans="2:5" x14ac:dyDescent="0.2">
      <c r="B1244" s="150" t="s">
        <v>2915</v>
      </c>
      <c r="C1244" s="151">
        <v>2019</v>
      </c>
      <c r="D1244" s="151">
        <v>5</v>
      </c>
      <c r="E1244" s="151">
        <v>10</v>
      </c>
    </row>
    <row r="1245" spans="2:5" x14ac:dyDescent="0.2">
      <c r="B1245" s="150" t="s">
        <v>2915</v>
      </c>
      <c r="C1245" s="151">
        <v>2019</v>
      </c>
      <c r="D1245" s="151">
        <v>9</v>
      </c>
      <c r="E1245" s="151">
        <v>9</v>
      </c>
    </row>
    <row r="1246" spans="2:5" x14ac:dyDescent="0.2">
      <c r="B1246" s="150" t="s">
        <v>2915</v>
      </c>
      <c r="C1246" s="151">
        <v>2019</v>
      </c>
      <c r="D1246" s="151">
        <v>4</v>
      </c>
      <c r="E1246" s="151">
        <v>8</v>
      </c>
    </row>
    <row r="1247" spans="2:5" x14ac:dyDescent="0.2">
      <c r="B1247" s="150" t="s">
        <v>2915</v>
      </c>
      <c r="C1247" s="151">
        <v>2019</v>
      </c>
      <c r="D1247" s="151">
        <v>1</v>
      </c>
      <c r="E1247" s="151">
        <v>5</v>
      </c>
    </row>
    <row r="1248" spans="2:5" x14ac:dyDescent="0.2">
      <c r="B1248" s="150" t="s">
        <v>2915</v>
      </c>
      <c r="C1248" s="151">
        <v>2019</v>
      </c>
      <c r="D1248" s="151">
        <v>3</v>
      </c>
      <c r="E1248" s="151">
        <v>5</v>
      </c>
    </row>
    <row r="1249" spans="2:5" x14ac:dyDescent="0.2">
      <c r="B1249" s="150" t="s">
        <v>2915</v>
      </c>
      <c r="C1249" s="151">
        <v>2019</v>
      </c>
      <c r="D1249" s="151">
        <v>11</v>
      </c>
      <c r="E1249" s="151">
        <v>5</v>
      </c>
    </row>
    <row r="1250" spans="2:5" x14ac:dyDescent="0.2">
      <c r="B1250" s="150" t="s">
        <v>2915</v>
      </c>
      <c r="C1250" s="151">
        <v>2019</v>
      </c>
      <c r="D1250" s="151">
        <v>10</v>
      </c>
      <c r="E1250" s="151">
        <v>2</v>
      </c>
    </row>
    <row r="1251" spans="2:5" x14ac:dyDescent="0.2">
      <c r="B1251" s="150" t="s">
        <v>2817</v>
      </c>
      <c r="C1251" s="151">
        <v>2019</v>
      </c>
      <c r="D1251" s="151">
        <v>11</v>
      </c>
      <c r="E1251" s="151">
        <v>20</v>
      </c>
    </row>
    <row r="1252" spans="2:5" x14ac:dyDescent="0.2">
      <c r="B1252" s="150" t="s">
        <v>2817</v>
      </c>
      <c r="C1252" s="151">
        <v>2019</v>
      </c>
      <c r="D1252" s="151">
        <v>9</v>
      </c>
      <c r="E1252" s="151">
        <v>16</v>
      </c>
    </row>
    <row r="1253" spans="2:5" x14ac:dyDescent="0.2">
      <c r="B1253" s="150" t="s">
        <v>2817</v>
      </c>
      <c r="C1253" s="151">
        <v>2019</v>
      </c>
      <c r="D1253" s="151">
        <v>7</v>
      </c>
      <c r="E1253" s="151">
        <v>12</v>
      </c>
    </row>
    <row r="1254" spans="2:5" x14ac:dyDescent="0.2">
      <c r="B1254" s="150" t="s">
        <v>2817</v>
      </c>
      <c r="C1254" s="151">
        <v>2019</v>
      </c>
      <c r="D1254" s="151">
        <v>8</v>
      </c>
      <c r="E1254" s="151">
        <v>11</v>
      </c>
    </row>
    <row r="1255" spans="2:5" x14ac:dyDescent="0.2">
      <c r="B1255" s="150" t="s">
        <v>2817</v>
      </c>
      <c r="C1255" s="151">
        <v>2019</v>
      </c>
      <c r="D1255" s="151">
        <v>1</v>
      </c>
      <c r="E1255" s="151">
        <v>8</v>
      </c>
    </row>
    <row r="1256" spans="2:5" x14ac:dyDescent="0.2">
      <c r="B1256" s="150" t="s">
        <v>2817</v>
      </c>
      <c r="C1256" s="151">
        <v>2019</v>
      </c>
      <c r="D1256" s="151">
        <v>6</v>
      </c>
      <c r="E1256" s="151">
        <v>8</v>
      </c>
    </row>
    <row r="1257" spans="2:5" x14ac:dyDescent="0.2">
      <c r="B1257" s="150" t="s">
        <v>2817</v>
      </c>
      <c r="C1257" s="151">
        <v>2019</v>
      </c>
      <c r="D1257" s="151">
        <v>3</v>
      </c>
      <c r="E1257" s="151">
        <v>6</v>
      </c>
    </row>
    <row r="1258" spans="2:5" x14ac:dyDescent="0.2">
      <c r="B1258" s="150" t="s">
        <v>2817</v>
      </c>
      <c r="C1258" s="151">
        <v>2019</v>
      </c>
      <c r="D1258" s="151">
        <v>5</v>
      </c>
      <c r="E1258" s="151">
        <v>6</v>
      </c>
    </row>
    <row r="1259" spans="2:5" x14ac:dyDescent="0.2">
      <c r="B1259" s="150" t="s">
        <v>2817</v>
      </c>
      <c r="C1259" s="151">
        <v>2019</v>
      </c>
      <c r="D1259" s="151">
        <v>2</v>
      </c>
      <c r="E1259" s="151">
        <v>5</v>
      </c>
    </row>
    <row r="1260" spans="2:5" x14ac:dyDescent="0.2">
      <c r="B1260" s="150" t="s">
        <v>2817</v>
      </c>
      <c r="C1260" s="151">
        <v>2019</v>
      </c>
      <c r="D1260" s="151">
        <v>10</v>
      </c>
      <c r="E1260" s="151">
        <v>5</v>
      </c>
    </row>
    <row r="1261" spans="2:5" x14ac:dyDescent="0.2">
      <c r="B1261" s="150" t="s">
        <v>2817</v>
      </c>
      <c r="C1261" s="151">
        <v>2019</v>
      </c>
      <c r="D1261" s="151">
        <v>4</v>
      </c>
      <c r="E1261" s="151">
        <v>1</v>
      </c>
    </row>
    <row r="1262" spans="2:5" x14ac:dyDescent="0.2">
      <c r="B1262" s="150" t="s">
        <v>2817</v>
      </c>
      <c r="C1262" s="151">
        <v>2019</v>
      </c>
      <c r="D1262" s="151">
        <v>12</v>
      </c>
      <c r="E1262" s="151">
        <v>1</v>
      </c>
    </row>
    <row r="1263" spans="2:5" x14ac:dyDescent="0.2">
      <c r="B1263" s="150" t="s">
        <v>2919</v>
      </c>
      <c r="C1263" s="151">
        <v>2019</v>
      </c>
      <c r="D1263" s="151">
        <v>4</v>
      </c>
      <c r="E1263" s="151">
        <v>13</v>
      </c>
    </row>
    <row r="1264" spans="2:5" x14ac:dyDescent="0.2">
      <c r="B1264" s="150" t="s">
        <v>2919</v>
      </c>
      <c r="C1264" s="151">
        <v>2019</v>
      </c>
      <c r="D1264" s="151">
        <v>10</v>
      </c>
      <c r="E1264" s="151">
        <v>11</v>
      </c>
    </row>
    <row r="1265" spans="2:5" x14ac:dyDescent="0.2">
      <c r="B1265" s="150" t="s">
        <v>2919</v>
      </c>
      <c r="C1265" s="151">
        <v>2019</v>
      </c>
      <c r="D1265" s="151">
        <v>1</v>
      </c>
      <c r="E1265" s="151">
        <v>7</v>
      </c>
    </row>
    <row r="1266" spans="2:5" x14ac:dyDescent="0.2">
      <c r="B1266" s="150" t="s">
        <v>2919</v>
      </c>
      <c r="C1266" s="151">
        <v>2019</v>
      </c>
      <c r="D1266" s="151">
        <v>5</v>
      </c>
      <c r="E1266" s="151">
        <v>7</v>
      </c>
    </row>
    <row r="1267" spans="2:5" x14ac:dyDescent="0.2">
      <c r="B1267" s="150" t="s">
        <v>2919</v>
      </c>
      <c r="C1267" s="151">
        <v>2019</v>
      </c>
      <c r="D1267" s="151">
        <v>6</v>
      </c>
      <c r="E1267" s="151">
        <v>5</v>
      </c>
    </row>
    <row r="1268" spans="2:5" x14ac:dyDescent="0.2">
      <c r="B1268" s="150" t="s">
        <v>2919</v>
      </c>
      <c r="C1268" s="151">
        <v>2019</v>
      </c>
      <c r="D1268" s="151">
        <v>2</v>
      </c>
      <c r="E1268" s="151">
        <v>4</v>
      </c>
    </row>
    <row r="1269" spans="2:5" x14ac:dyDescent="0.2">
      <c r="B1269" s="150" t="s">
        <v>2919</v>
      </c>
      <c r="C1269" s="151">
        <v>2019</v>
      </c>
      <c r="D1269" s="151">
        <v>8</v>
      </c>
      <c r="E1269" s="151">
        <v>3</v>
      </c>
    </row>
    <row r="1270" spans="2:5" x14ac:dyDescent="0.2">
      <c r="B1270" s="150" t="s">
        <v>2919</v>
      </c>
      <c r="C1270" s="151">
        <v>2019</v>
      </c>
      <c r="D1270" s="151">
        <v>3</v>
      </c>
      <c r="E1270" s="151">
        <v>2</v>
      </c>
    </row>
    <row r="1271" spans="2:5" x14ac:dyDescent="0.2">
      <c r="B1271" s="150" t="s">
        <v>2919</v>
      </c>
      <c r="C1271" s="151">
        <v>2019</v>
      </c>
      <c r="D1271" s="151">
        <v>11</v>
      </c>
      <c r="E1271" s="151">
        <v>2</v>
      </c>
    </row>
    <row r="1272" spans="2:5" x14ac:dyDescent="0.2">
      <c r="B1272" s="150" t="s">
        <v>2919</v>
      </c>
      <c r="C1272" s="151">
        <v>2019</v>
      </c>
      <c r="D1272" s="151">
        <v>7</v>
      </c>
      <c r="E1272" s="151">
        <v>1</v>
      </c>
    </row>
    <row r="1273" spans="2:5" x14ac:dyDescent="0.2">
      <c r="B1273" s="150" t="s">
        <v>2919</v>
      </c>
      <c r="C1273" s="151">
        <v>2019</v>
      </c>
      <c r="D1273" s="151">
        <v>9</v>
      </c>
      <c r="E1273" s="151">
        <v>1</v>
      </c>
    </row>
    <row r="1274" spans="2:5" x14ac:dyDescent="0.2">
      <c r="B1274" s="150" t="s">
        <v>2919</v>
      </c>
      <c r="C1274" s="151">
        <v>2019</v>
      </c>
      <c r="D1274" s="151">
        <v>12</v>
      </c>
      <c r="E1274" s="151">
        <v>1</v>
      </c>
    </row>
    <row r="1275" spans="2:5" x14ac:dyDescent="0.2">
      <c r="B1275" s="150" t="s">
        <v>2942</v>
      </c>
      <c r="C1275" s="151">
        <v>2019</v>
      </c>
      <c r="D1275" s="151">
        <v>4</v>
      </c>
      <c r="E1275" s="151">
        <v>3</v>
      </c>
    </row>
    <row r="1276" spans="2:5" x14ac:dyDescent="0.2">
      <c r="B1276" s="150" t="s">
        <v>2942</v>
      </c>
      <c r="C1276" s="151">
        <v>2019</v>
      </c>
      <c r="D1276" s="151">
        <v>9</v>
      </c>
      <c r="E1276" s="151">
        <v>3</v>
      </c>
    </row>
    <row r="1277" spans="2:5" x14ac:dyDescent="0.2">
      <c r="B1277" s="150" t="s">
        <v>2942</v>
      </c>
      <c r="C1277" s="151">
        <v>2019</v>
      </c>
      <c r="D1277" s="151">
        <v>7</v>
      </c>
      <c r="E1277" s="151">
        <v>2</v>
      </c>
    </row>
    <row r="1278" spans="2:5" x14ac:dyDescent="0.2">
      <c r="B1278" s="150" t="s">
        <v>2942</v>
      </c>
      <c r="C1278" s="151">
        <v>2019</v>
      </c>
      <c r="D1278" s="151">
        <v>8</v>
      </c>
      <c r="E1278" s="151">
        <v>2</v>
      </c>
    </row>
    <row r="1279" spans="2:5" x14ac:dyDescent="0.2">
      <c r="B1279" s="150" t="s">
        <v>2942</v>
      </c>
      <c r="C1279" s="151">
        <v>2019</v>
      </c>
      <c r="D1279" s="151">
        <v>2</v>
      </c>
      <c r="E1279" s="151">
        <v>1</v>
      </c>
    </row>
    <row r="1280" spans="2:5" x14ac:dyDescent="0.2">
      <c r="B1280" s="150" t="s">
        <v>2942</v>
      </c>
      <c r="C1280" s="151">
        <v>2019</v>
      </c>
      <c r="D1280" s="151">
        <v>5</v>
      </c>
      <c r="E1280" s="151">
        <v>1</v>
      </c>
    </row>
    <row r="1281" spans="2:5" x14ac:dyDescent="0.2">
      <c r="B1281" s="150" t="s">
        <v>2942</v>
      </c>
      <c r="C1281" s="151">
        <v>2019</v>
      </c>
      <c r="D1281" s="151">
        <v>6</v>
      </c>
      <c r="E1281" s="151">
        <v>1</v>
      </c>
    </row>
    <row r="1282" spans="2:5" x14ac:dyDescent="0.2">
      <c r="B1282" s="150" t="s">
        <v>2942</v>
      </c>
      <c r="C1282" s="151">
        <v>2019</v>
      </c>
      <c r="D1282" s="151">
        <v>11</v>
      </c>
      <c r="E1282" s="151">
        <v>1</v>
      </c>
    </row>
    <row r="1283" spans="2:5" x14ac:dyDescent="0.2">
      <c r="B1283" s="150" t="s">
        <v>2942</v>
      </c>
      <c r="C1283" s="151">
        <v>2019</v>
      </c>
      <c r="D1283" s="151">
        <v>12</v>
      </c>
      <c r="E1283" s="151">
        <v>1</v>
      </c>
    </row>
    <row r="1284" spans="2:5" x14ac:dyDescent="0.2">
      <c r="B1284" s="150" t="s">
        <v>2818</v>
      </c>
      <c r="C1284" s="151">
        <v>2019</v>
      </c>
      <c r="D1284" s="151">
        <v>4</v>
      </c>
      <c r="E1284" s="151">
        <v>344</v>
      </c>
    </row>
    <row r="1285" spans="2:5" x14ac:dyDescent="0.2">
      <c r="B1285" s="150" t="s">
        <v>2818</v>
      </c>
      <c r="C1285" s="151">
        <v>2019</v>
      </c>
      <c r="D1285" s="151">
        <v>1</v>
      </c>
      <c r="E1285" s="151">
        <v>261</v>
      </c>
    </row>
    <row r="1286" spans="2:5" x14ac:dyDescent="0.2">
      <c r="B1286" s="150" t="s">
        <v>2818</v>
      </c>
      <c r="C1286" s="151">
        <v>2019</v>
      </c>
      <c r="D1286" s="151">
        <v>9</v>
      </c>
      <c r="E1286" s="151">
        <v>239</v>
      </c>
    </row>
    <row r="1287" spans="2:5" x14ac:dyDescent="0.2">
      <c r="B1287" s="150" t="s">
        <v>2818</v>
      </c>
      <c r="C1287" s="151">
        <v>2019</v>
      </c>
      <c r="D1287" s="151">
        <v>8</v>
      </c>
      <c r="E1287" s="151">
        <v>194</v>
      </c>
    </row>
    <row r="1288" spans="2:5" x14ac:dyDescent="0.2">
      <c r="B1288" s="150" t="s">
        <v>2818</v>
      </c>
      <c r="C1288" s="151">
        <v>2019</v>
      </c>
      <c r="D1288" s="151">
        <v>3</v>
      </c>
      <c r="E1288" s="151">
        <v>186</v>
      </c>
    </row>
    <row r="1289" spans="2:5" x14ac:dyDescent="0.2">
      <c r="B1289" s="150" t="s">
        <v>2818</v>
      </c>
      <c r="C1289" s="151">
        <v>2019</v>
      </c>
      <c r="D1289" s="151">
        <v>10</v>
      </c>
      <c r="E1289" s="151">
        <v>180</v>
      </c>
    </row>
    <row r="1290" spans="2:5" x14ac:dyDescent="0.2">
      <c r="B1290" s="150" t="s">
        <v>2818</v>
      </c>
      <c r="C1290" s="151">
        <v>2019</v>
      </c>
      <c r="D1290" s="151">
        <v>11</v>
      </c>
      <c r="E1290" s="151">
        <v>173</v>
      </c>
    </row>
    <row r="1291" spans="2:5" x14ac:dyDescent="0.2">
      <c r="B1291" s="150" t="s">
        <v>2818</v>
      </c>
      <c r="C1291" s="151">
        <v>2019</v>
      </c>
      <c r="D1291" s="151">
        <v>5</v>
      </c>
      <c r="E1291" s="151">
        <v>168</v>
      </c>
    </row>
    <row r="1292" spans="2:5" x14ac:dyDescent="0.2">
      <c r="B1292" s="150" t="s">
        <v>2818</v>
      </c>
      <c r="C1292" s="151">
        <v>2019</v>
      </c>
      <c r="D1292" s="151">
        <v>2</v>
      </c>
      <c r="E1292" s="151">
        <v>126</v>
      </c>
    </row>
    <row r="1293" spans="2:5" x14ac:dyDescent="0.2">
      <c r="B1293" s="150" t="s">
        <v>2818</v>
      </c>
      <c r="C1293" s="151">
        <v>2019</v>
      </c>
      <c r="D1293" s="151">
        <v>6</v>
      </c>
      <c r="E1293" s="151">
        <v>114</v>
      </c>
    </row>
    <row r="1294" spans="2:5" x14ac:dyDescent="0.2">
      <c r="B1294" s="150" t="s">
        <v>2818</v>
      </c>
      <c r="C1294" s="151">
        <v>2019</v>
      </c>
      <c r="D1294" s="151">
        <v>7</v>
      </c>
      <c r="E1294" s="151">
        <v>108</v>
      </c>
    </row>
    <row r="1295" spans="2:5" x14ac:dyDescent="0.2">
      <c r="B1295" s="150" t="s">
        <v>2818</v>
      </c>
      <c r="C1295" s="151">
        <v>2019</v>
      </c>
      <c r="D1295" s="151">
        <v>12</v>
      </c>
      <c r="E1295" s="151">
        <v>90</v>
      </c>
    </row>
    <row r="1296" spans="2:5" x14ac:dyDescent="0.2">
      <c r="B1296" s="150" t="s">
        <v>2913</v>
      </c>
      <c r="C1296" s="151">
        <v>2019</v>
      </c>
      <c r="D1296" s="151">
        <v>9</v>
      </c>
      <c r="E1296" s="151">
        <v>13</v>
      </c>
    </row>
    <row r="1297" spans="2:5" x14ac:dyDescent="0.2">
      <c r="B1297" s="150" t="s">
        <v>2913</v>
      </c>
      <c r="C1297" s="151">
        <v>2019</v>
      </c>
      <c r="D1297" s="151">
        <v>6</v>
      </c>
      <c r="E1297" s="151">
        <v>12</v>
      </c>
    </row>
    <row r="1298" spans="2:5" x14ac:dyDescent="0.2">
      <c r="B1298" s="150" t="s">
        <v>2913</v>
      </c>
      <c r="C1298" s="151">
        <v>2019</v>
      </c>
      <c r="D1298" s="151">
        <v>7</v>
      </c>
      <c r="E1298" s="151">
        <v>12</v>
      </c>
    </row>
    <row r="1299" spans="2:5" x14ac:dyDescent="0.2">
      <c r="B1299" s="150" t="s">
        <v>2913</v>
      </c>
      <c r="C1299" s="151">
        <v>2019</v>
      </c>
      <c r="D1299" s="151">
        <v>4</v>
      </c>
      <c r="E1299" s="151">
        <v>11</v>
      </c>
    </row>
    <row r="1300" spans="2:5" x14ac:dyDescent="0.2">
      <c r="B1300" s="150" t="s">
        <v>2913</v>
      </c>
      <c r="C1300" s="151">
        <v>2019</v>
      </c>
      <c r="D1300" s="151">
        <v>8</v>
      </c>
      <c r="E1300" s="151">
        <v>10</v>
      </c>
    </row>
    <row r="1301" spans="2:5" x14ac:dyDescent="0.2">
      <c r="B1301" s="150" t="s">
        <v>2913</v>
      </c>
      <c r="C1301" s="151">
        <v>2019</v>
      </c>
      <c r="D1301" s="151">
        <v>12</v>
      </c>
      <c r="E1301" s="151">
        <v>8</v>
      </c>
    </row>
    <row r="1302" spans="2:5" x14ac:dyDescent="0.2">
      <c r="B1302" s="150" t="s">
        <v>2913</v>
      </c>
      <c r="C1302" s="151">
        <v>2019</v>
      </c>
      <c r="D1302" s="151">
        <v>11</v>
      </c>
      <c r="E1302" s="151">
        <v>6</v>
      </c>
    </row>
    <row r="1303" spans="2:5" x14ac:dyDescent="0.2">
      <c r="B1303" s="150" t="s">
        <v>2913</v>
      </c>
      <c r="C1303" s="151">
        <v>2019</v>
      </c>
      <c r="D1303" s="151">
        <v>2</v>
      </c>
      <c r="E1303" s="151">
        <v>4</v>
      </c>
    </row>
    <row r="1304" spans="2:5" x14ac:dyDescent="0.2">
      <c r="B1304" s="150" t="s">
        <v>2913</v>
      </c>
      <c r="C1304" s="151">
        <v>2019</v>
      </c>
      <c r="D1304" s="151">
        <v>10</v>
      </c>
      <c r="E1304" s="151">
        <v>4</v>
      </c>
    </row>
    <row r="1305" spans="2:5" x14ac:dyDescent="0.2">
      <c r="B1305" s="150" t="s">
        <v>2913</v>
      </c>
      <c r="C1305" s="151">
        <v>2019</v>
      </c>
      <c r="D1305" s="151">
        <v>1</v>
      </c>
      <c r="E1305" s="151">
        <v>3</v>
      </c>
    </row>
    <row r="1306" spans="2:5" x14ac:dyDescent="0.2">
      <c r="B1306" s="150" t="s">
        <v>2913</v>
      </c>
      <c r="C1306" s="151">
        <v>2019</v>
      </c>
      <c r="D1306" s="151">
        <v>5</v>
      </c>
      <c r="E1306" s="151">
        <v>3</v>
      </c>
    </row>
    <row r="1307" spans="2:5" x14ac:dyDescent="0.2">
      <c r="B1307" s="150" t="s">
        <v>2913</v>
      </c>
      <c r="C1307" s="151">
        <v>2019</v>
      </c>
      <c r="D1307" s="151">
        <v>3</v>
      </c>
      <c r="E1307" s="151">
        <v>2</v>
      </c>
    </row>
    <row r="1308" spans="2:5" x14ac:dyDescent="0.2">
      <c r="B1308" s="150" t="s">
        <v>2899</v>
      </c>
      <c r="C1308" s="151">
        <v>2019</v>
      </c>
      <c r="D1308" s="151">
        <v>3</v>
      </c>
      <c r="E1308" s="151">
        <v>46</v>
      </c>
    </row>
    <row r="1309" spans="2:5" x14ac:dyDescent="0.2">
      <c r="B1309" s="150" t="s">
        <v>2899</v>
      </c>
      <c r="C1309" s="151">
        <v>2019</v>
      </c>
      <c r="D1309" s="151">
        <v>8</v>
      </c>
      <c r="E1309" s="151">
        <v>30</v>
      </c>
    </row>
    <row r="1310" spans="2:5" x14ac:dyDescent="0.2">
      <c r="B1310" s="150" t="s">
        <v>2899</v>
      </c>
      <c r="C1310" s="151">
        <v>2019</v>
      </c>
      <c r="D1310" s="151">
        <v>10</v>
      </c>
      <c r="E1310" s="151">
        <v>26</v>
      </c>
    </row>
    <row r="1311" spans="2:5" x14ac:dyDescent="0.2">
      <c r="B1311" s="150" t="s">
        <v>2899</v>
      </c>
      <c r="C1311" s="151">
        <v>2019</v>
      </c>
      <c r="D1311" s="151">
        <v>7</v>
      </c>
      <c r="E1311" s="151">
        <v>25</v>
      </c>
    </row>
    <row r="1312" spans="2:5" x14ac:dyDescent="0.2">
      <c r="B1312" s="150" t="s">
        <v>2899</v>
      </c>
      <c r="C1312" s="151">
        <v>2019</v>
      </c>
      <c r="D1312" s="151">
        <v>6</v>
      </c>
      <c r="E1312" s="151">
        <v>23</v>
      </c>
    </row>
    <row r="1313" spans="2:5" x14ac:dyDescent="0.2">
      <c r="B1313" s="150" t="s">
        <v>2899</v>
      </c>
      <c r="C1313" s="151">
        <v>2019</v>
      </c>
      <c r="D1313" s="151">
        <v>9</v>
      </c>
      <c r="E1313" s="151">
        <v>21</v>
      </c>
    </row>
    <row r="1314" spans="2:5" x14ac:dyDescent="0.2">
      <c r="B1314" s="150" t="s">
        <v>2899</v>
      </c>
      <c r="C1314" s="151">
        <v>2019</v>
      </c>
      <c r="D1314" s="151">
        <v>5</v>
      </c>
      <c r="E1314" s="151">
        <v>19</v>
      </c>
    </row>
    <row r="1315" spans="2:5" x14ac:dyDescent="0.2">
      <c r="B1315" s="150" t="s">
        <v>2899</v>
      </c>
      <c r="C1315" s="151">
        <v>2019</v>
      </c>
      <c r="D1315" s="151">
        <v>11</v>
      </c>
      <c r="E1315" s="151">
        <v>14</v>
      </c>
    </row>
    <row r="1316" spans="2:5" x14ac:dyDescent="0.2">
      <c r="B1316" s="150" t="s">
        <v>2899</v>
      </c>
      <c r="C1316" s="151">
        <v>2019</v>
      </c>
      <c r="D1316" s="151">
        <v>1</v>
      </c>
      <c r="E1316" s="151">
        <v>13</v>
      </c>
    </row>
    <row r="1317" spans="2:5" x14ac:dyDescent="0.2">
      <c r="B1317" s="150" t="s">
        <v>2899</v>
      </c>
      <c r="C1317" s="151">
        <v>2019</v>
      </c>
      <c r="D1317" s="151">
        <v>12</v>
      </c>
      <c r="E1317" s="151">
        <v>9</v>
      </c>
    </row>
    <row r="1318" spans="2:5" x14ac:dyDescent="0.2">
      <c r="B1318" s="150" t="s">
        <v>2899</v>
      </c>
      <c r="C1318" s="151">
        <v>2019</v>
      </c>
      <c r="D1318" s="151">
        <v>2</v>
      </c>
      <c r="E1318" s="151">
        <v>5</v>
      </c>
    </row>
    <row r="1319" spans="2:5" x14ac:dyDescent="0.2">
      <c r="B1319" s="150" t="s">
        <v>2899</v>
      </c>
      <c r="C1319" s="151">
        <v>2019</v>
      </c>
      <c r="D1319" s="151">
        <v>4</v>
      </c>
      <c r="E1319" s="151">
        <v>5</v>
      </c>
    </row>
    <row r="1320" spans="2:5" x14ac:dyDescent="0.2">
      <c r="B1320" s="150" t="s">
        <v>2928</v>
      </c>
      <c r="C1320" s="151">
        <v>2019</v>
      </c>
      <c r="D1320" s="151">
        <v>3</v>
      </c>
      <c r="E1320" s="151">
        <v>10</v>
      </c>
    </row>
    <row r="1321" spans="2:5" x14ac:dyDescent="0.2">
      <c r="B1321" s="150" t="s">
        <v>2928</v>
      </c>
      <c r="C1321" s="151">
        <v>2019</v>
      </c>
      <c r="D1321" s="151">
        <v>5</v>
      </c>
      <c r="E1321" s="151">
        <v>7</v>
      </c>
    </row>
    <row r="1322" spans="2:5" x14ac:dyDescent="0.2">
      <c r="B1322" s="150" t="s">
        <v>2928</v>
      </c>
      <c r="C1322" s="151">
        <v>2019</v>
      </c>
      <c r="D1322" s="151">
        <v>9</v>
      </c>
      <c r="E1322" s="151">
        <v>5</v>
      </c>
    </row>
    <row r="1323" spans="2:5" x14ac:dyDescent="0.2">
      <c r="B1323" s="150" t="s">
        <v>2928</v>
      </c>
      <c r="C1323" s="151">
        <v>2019</v>
      </c>
      <c r="D1323" s="151">
        <v>6</v>
      </c>
      <c r="E1323" s="151">
        <v>4</v>
      </c>
    </row>
    <row r="1324" spans="2:5" x14ac:dyDescent="0.2">
      <c r="B1324" s="150" t="s">
        <v>2928</v>
      </c>
      <c r="C1324" s="151">
        <v>2019</v>
      </c>
      <c r="D1324" s="151">
        <v>7</v>
      </c>
      <c r="E1324" s="151">
        <v>4</v>
      </c>
    </row>
    <row r="1325" spans="2:5" x14ac:dyDescent="0.2">
      <c r="B1325" s="150" t="s">
        <v>2928</v>
      </c>
      <c r="C1325" s="151">
        <v>2019</v>
      </c>
      <c r="D1325" s="151">
        <v>8</v>
      </c>
      <c r="E1325" s="151">
        <v>4</v>
      </c>
    </row>
    <row r="1326" spans="2:5" x14ac:dyDescent="0.2">
      <c r="B1326" s="150" t="s">
        <v>2928</v>
      </c>
      <c r="C1326" s="151">
        <v>2019</v>
      </c>
      <c r="D1326" s="151">
        <v>2</v>
      </c>
      <c r="E1326" s="151">
        <v>3</v>
      </c>
    </row>
    <row r="1327" spans="2:5" x14ac:dyDescent="0.2">
      <c r="B1327" s="150" t="s">
        <v>2928</v>
      </c>
      <c r="C1327" s="151">
        <v>2019</v>
      </c>
      <c r="D1327" s="151">
        <v>10</v>
      </c>
      <c r="E1327" s="151">
        <v>3</v>
      </c>
    </row>
    <row r="1328" spans="2:5" x14ac:dyDescent="0.2">
      <c r="B1328" s="150" t="s">
        <v>2928</v>
      </c>
      <c r="C1328" s="151">
        <v>2019</v>
      </c>
      <c r="D1328" s="151">
        <v>11</v>
      </c>
      <c r="E1328" s="151">
        <v>3</v>
      </c>
    </row>
    <row r="1329" spans="2:5" x14ac:dyDescent="0.2">
      <c r="B1329" s="150" t="s">
        <v>2819</v>
      </c>
      <c r="C1329" s="151">
        <v>2019</v>
      </c>
      <c r="D1329" s="151">
        <v>5</v>
      </c>
      <c r="E1329" s="151">
        <v>30</v>
      </c>
    </row>
    <row r="1330" spans="2:5" x14ac:dyDescent="0.2">
      <c r="B1330" s="150" t="s">
        <v>2819</v>
      </c>
      <c r="C1330" s="151">
        <v>2019</v>
      </c>
      <c r="D1330" s="151">
        <v>11</v>
      </c>
      <c r="E1330" s="151">
        <v>23</v>
      </c>
    </row>
    <row r="1331" spans="2:5" x14ac:dyDescent="0.2">
      <c r="B1331" s="150" t="s">
        <v>2819</v>
      </c>
      <c r="C1331" s="151">
        <v>2019</v>
      </c>
      <c r="D1331" s="151">
        <v>10</v>
      </c>
      <c r="E1331" s="151">
        <v>19</v>
      </c>
    </row>
    <row r="1332" spans="2:5" x14ac:dyDescent="0.2">
      <c r="B1332" s="150" t="s">
        <v>2819</v>
      </c>
      <c r="C1332" s="151">
        <v>2019</v>
      </c>
      <c r="D1332" s="151">
        <v>3</v>
      </c>
      <c r="E1332" s="151">
        <v>15</v>
      </c>
    </row>
    <row r="1333" spans="2:5" x14ac:dyDescent="0.2">
      <c r="B1333" s="150" t="s">
        <v>2819</v>
      </c>
      <c r="C1333" s="151">
        <v>2019</v>
      </c>
      <c r="D1333" s="151">
        <v>9</v>
      </c>
      <c r="E1333" s="151">
        <v>15</v>
      </c>
    </row>
    <row r="1334" spans="2:5" x14ac:dyDescent="0.2">
      <c r="B1334" s="150" t="s">
        <v>2819</v>
      </c>
      <c r="C1334" s="151">
        <v>2019</v>
      </c>
      <c r="D1334" s="151">
        <v>7</v>
      </c>
      <c r="E1334" s="151">
        <v>14</v>
      </c>
    </row>
    <row r="1335" spans="2:5" x14ac:dyDescent="0.2">
      <c r="B1335" s="150" t="s">
        <v>2819</v>
      </c>
      <c r="C1335" s="151">
        <v>2019</v>
      </c>
      <c r="D1335" s="151">
        <v>8</v>
      </c>
      <c r="E1335" s="151">
        <v>14</v>
      </c>
    </row>
    <row r="1336" spans="2:5" x14ac:dyDescent="0.2">
      <c r="B1336" s="150" t="s">
        <v>2819</v>
      </c>
      <c r="C1336" s="151">
        <v>2019</v>
      </c>
      <c r="D1336" s="151">
        <v>6</v>
      </c>
      <c r="E1336" s="151">
        <v>11</v>
      </c>
    </row>
    <row r="1337" spans="2:5" x14ac:dyDescent="0.2">
      <c r="B1337" s="150" t="s">
        <v>2819</v>
      </c>
      <c r="C1337" s="151">
        <v>2019</v>
      </c>
      <c r="D1337" s="151">
        <v>4</v>
      </c>
      <c r="E1337" s="151">
        <v>10</v>
      </c>
    </row>
    <row r="1338" spans="2:5" x14ac:dyDescent="0.2">
      <c r="B1338" s="150" t="s">
        <v>2819</v>
      </c>
      <c r="C1338" s="151">
        <v>2019</v>
      </c>
      <c r="D1338" s="151">
        <v>1</v>
      </c>
      <c r="E1338" s="151">
        <v>8</v>
      </c>
    </row>
    <row r="1339" spans="2:5" x14ac:dyDescent="0.2">
      <c r="B1339" s="150" t="s">
        <v>2819</v>
      </c>
      <c r="C1339" s="151">
        <v>2019</v>
      </c>
      <c r="D1339" s="151">
        <v>2</v>
      </c>
      <c r="E1339" s="151">
        <v>3</v>
      </c>
    </row>
    <row r="1340" spans="2:5" x14ac:dyDescent="0.2">
      <c r="B1340" s="150" t="s">
        <v>2819</v>
      </c>
      <c r="C1340" s="151">
        <v>2019</v>
      </c>
      <c r="D1340" s="151">
        <v>12</v>
      </c>
      <c r="E1340" s="151">
        <v>1</v>
      </c>
    </row>
    <row r="1341" spans="2:5" x14ac:dyDescent="0.2">
      <c r="B1341" s="150" t="s">
        <v>2959</v>
      </c>
      <c r="C1341" s="151">
        <v>2019</v>
      </c>
      <c r="D1341" s="151">
        <v>11</v>
      </c>
      <c r="E1341" s="151">
        <v>3</v>
      </c>
    </row>
    <row r="1342" spans="2:5" x14ac:dyDescent="0.2">
      <c r="B1342" s="150" t="s">
        <v>2959</v>
      </c>
      <c r="C1342" s="151">
        <v>2019</v>
      </c>
      <c r="D1342" s="151">
        <v>1</v>
      </c>
      <c r="E1342" s="151">
        <v>1</v>
      </c>
    </row>
    <row r="1343" spans="2:5" x14ac:dyDescent="0.2">
      <c r="B1343" s="150" t="s">
        <v>2959</v>
      </c>
      <c r="C1343" s="151">
        <v>2019</v>
      </c>
      <c r="D1343" s="151">
        <v>8</v>
      </c>
      <c r="E1343" s="151">
        <v>1</v>
      </c>
    </row>
    <row r="1344" spans="2:5" x14ac:dyDescent="0.2">
      <c r="B1344" s="150" t="s">
        <v>2959</v>
      </c>
      <c r="C1344" s="151">
        <v>2019</v>
      </c>
      <c r="D1344" s="151">
        <v>9</v>
      </c>
      <c r="E1344" s="151">
        <v>1</v>
      </c>
    </row>
    <row r="1345" spans="2:5" x14ac:dyDescent="0.2">
      <c r="B1345" s="150" t="s">
        <v>2959</v>
      </c>
      <c r="C1345" s="151">
        <v>2019</v>
      </c>
      <c r="D1345" s="151">
        <v>12</v>
      </c>
      <c r="E1345" s="151">
        <v>1</v>
      </c>
    </row>
    <row r="1346" spans="2:5" x14ac:dyDescent="0.2">
      <c r="B1346" s="150" t="s">
        <v>2820</v>
      </c>
      <c r="C1346" s="151">
        <v>2019</v>
      </c>
      <c r="D1346" s="151">
        <v>5</v>
      </c>
      <c r="E1346" s="151">
        <v>27</v>
      </c>
    </row>
    <row r="1347" spans="2:5" x14ac:dyDescent="0.2">
      <c r="B1347" s="150" t="s">
        <v>2820</v>
      </c>
      <c r="C1347" s="151">
        <v>2019</v>
      </c>
      <c r="D1347" s="151">
        <v>3</v>
      </c>
      <c r="E1347" s="151">
        <v>16</v>
      </c>
    </row>
    <row r="1348" spans="2:5" x14ac:dyDescent="0.2">
      <c r="B1348" s="150" t="s">
        <v>2820</v>
      </c>
      <c r="C1348" s="151">
        <v>2019</v>
      </c>
      <c r="D1348" s="151">
        <v>8</v>
      </c>
      <c r="E1348" s="151">
        <v>16</v>
      </c>
    </row>
    <row r="1349" spans="2:5" x14ac:dyDescent="0.2">
      <c r="B1349" s="150" t="s">
        <v>2820</v>
      </c>
      <c r="C1349" s="151">
        <v>2019</v>
      </c>
      <c r="D1349" s="151">
        <v>10</v>
      </c>
      <c r="E1349" s="151">
        <v>14</v>
      </c>
    </row>
    <row r="1350" spans="2:5" x14ac:dyDescent="0.2">
      <c r="B1350" s="150" t="s">
        <v>2820</v>
      </c>
      <c r="C1350" s="151">
        <v>2019</v>
      </c>
      <c r="D1350" s="151">
        <v>6</v>
      </c>
      <c r="E1350" s="151">
        <v>13</v>
      </c>
    </row>
    <row r="1351" spans="2:5" x14ac:dyDescent="0.2">
      <c r="B1351" s="150" t="s">
        <v>2820</v>
      </c>
      <c r="C1351" s="151">
        <v>2019</v>
      </c>
      <c r="D1351" s="151">
        <v>11</v>
      </c>
      <c r="E1351" s="151">
        <v>12</v>
      </c>
    </row>
    <row r="1352" spans="2:5" x14ac:dyDescent="0.2">
      <c r="B1352" s="150" t="s">
        <v>2820</v>
      </c>
      <c r="C1352" s="151">
        <v>2019</v>
      </c>
      <c r="D1352" s="151">
        <v>7</v>
      </c>
      <c r="E1352" s="151">
        <v>10</v>
      </c>
    </row>
    <row r="1353" spans="2:5" x14ac:dyDescent="0.2">
      <c r="B1353" s="150" t="s">
        <v>2820</v>
      </c>
      <c r="C1353" s="151">
        <v>2019</v>
      </c>
      <c r="D1353" s="151">
        <v>2</v>
      </c>
      <c r="E1353" s="151">
        <v>8</v>
      </c>
    </row>
    <row r="1354" spans="2:5" x14ac:dyDescent="0.2">
      <c r="B1354" s="150" t="s">
        <v>2820</v>
      </c>
      <c r="C1354" s="151">
        <v>2019</v>
      </c>
      <c r="D1354" s="151">
        <v>12</v>
      </c>
      <c r="E1354" s="151">
        <v>4</v>
      </c>
    </row>
    <row r="1355" spans="2:5" x14ac:dyDescent="0.2">
      <c r="B1355" s="150" t="s">
        <v>2820</v>
      </c>
      <c r="C1355" s="151">
        <v>2019</v>
      </c>
      <c r="D1355" s="151">
        <v>9</v>
      </c>
      <c r="E1355" s="151">
        <v>3</v>
      </c>
    </row>
    <row r="1356" spans="2:5" x14ac:dyDescent="0.2">
      <c r="B1356" s="150" t="s">
        <v>2964</v>
      </c>
      <c r="C1356" s="151">
        <v>2019</v>
      </c>
      <c r="D1356" s="151">
        <v>6</v>
      </c>
      <c r="E1356" s="151">
        <v>2</v>
      </c>
    </row>
    <row r="1357" spans="2:5" x14ac:dyDescent="0.2">
      <c r="B1357" s="150" t="s">
        <v>2964</v>
      </c>
      <c r="C1357" s="151">
        <v>2019</v>
      </c>
      <c r="D1357" s="151">
        <v>2</v>
      </c>
      <c r="E1357" s="151">
        <v>1</v>
      </c>
    </row>
    <row r="1358" spans="2:5" x14ac:dyDescent="0.2">
      <c r="B1358" s="150" t="s">
        <v>2964</v>
      </c>
      <c r="C1358" s="151">
        <v>2019</v>
      </c>
      <c r="D1358" s="151">
        <v>3</v>
      </c>
      <c r="E1358" s="151">
        <v>1</v>
      </c>
    </row>
    <row r="1359" spans="2:5" x14ac:dyDescent="0.2">
      <c r="B1359" s="150" t="s">
        <v>2964</v>
      </c>
      <c r="C1359" s="151">
        <v>2019</v>
      </c>
      <c r="D1359" s="151">
        <v>5</v>
      </c>
      <c r="E1359" s="151">
        <v>1</v>
      </c>
    </row>
    <row r="1360" spans="2:5" x14ac:dyDescent="0.2">
      <c r="B1360" s="150" t="s">
        <v>2964</v>
      </c>
      <c r="C1360" s="151">
        <v>2019</v>
      </c>
      <c r="D1360" s="151">
        <v>7</v>
      </c>
      <c r="E1360" s="151">
        <v>1</v>
      </c>
    </row>
    <row r="1361" spans="2:5" x14ac:dyDescent="0.2">
      <c r="B1361" s="150" t="s">
        <v>2821</v>
      </c>
      <c r="C1361" s="151">
        <v>2019</v>
      </c>
      <c r="D1361" s="151">
        <v>4</v>
      </c>
      <c r="E1361" s="151">
        <v>36</v>
      </c>
    </row>
    <row r="1362" spans="2:5" x14ac:dyDescent="0.2">
      <c r="B1362" s="150" t="s">
        <v>2821</v>
      </c>
      <c r="C1362" s="151">
        <v>2019</v>
      </c>
      <c r="D1362" s="151">
        <v>7</v>
      </c>
      <c r="E1362" s="151">
        <v>29</v>
      </c>
    </row>
    <row r="1363" spans="2:5" x14ac:dyDescent="0.2">
      <c r="B1363" s="150" t="s">
        <v>2821</v>
      </c>
      <c r="C1363" s="151">
        <v>2019</v>
      </c>
      <c r="D1363" s="151">
        <v>5</v>
      </c>
      <c r="E1363" s="151">
        <v>26</v>
      </c>
    </row>
    <row r="1364" spans="2:5" x14ac:dyDescent="0.2">
      <c r="B1364" s="150" t="s">
        <v>2821</v>
      </c>
      <c r="C1364" s="151">
        <v>2019</v>
      </c>
      <c r="D1364" s="151">
        <v>9</v>
      </c>
      <c r="E1364" s="151">
        <v>22</v>
      </c>
    </row>
    <row r="1365" spans="2:5" x14ac:dyDescent="0.2">
      <c r="B1365" s="150" t="s">
        <v>2821</v>
      </c>
      <c r="C1365" s="151">
        <v>2019</v>
      </c>
      <c r="D1365" s="151">
        <v>10</v>
      </c>
      <c r="E1365" s="151">
        <v>19</v>
      </c>
    </row>
    <row r="1366" spans="2:5" x14ac:dyDescent="0.2">
      <c r="B1366" s="150" t="s">
        <v>2821</v>
      </c>
      <c r="C1366" s="151">
        <v>2019</v>
      </c>
      <c r="D1366" s="151">
        <v>6</v>
      </c>
      <c r="E1366" s="151">
        <v>13</v>
      </c>
    </row>
    <row r="1367" spans="2:5" x14ac:dyDescent="0.2">
      <c r="B1367" s="150" t="s">
        <v>2821</v>
      </c>
      <c r="C1367" s="151">
        <v>2019</v>
      </c>
      <c r="D1367" s="151">
        <v>12</v>
      </c>
      <c r="E1367" s="151">
        <v>12</v>
      </c>
    </row>
    <row r="1368" spans="2:5" x14ac:dyDescent="0.2">
      <c r="B1368" s="150" t="s">
        <v>2821</v>
      </c>
      <c r="C1368" s="151">
        <v>2019</v>
      </c>
      <c r="D1368" s="151">
        <v>11</v>
      </c>
      <c r="E1368" s="151">
        <v>11</v>
      </c>
    </row>
    <row r="1369" spans="2:5" x14ac:dyDescent="0.2">
      <c r="B1369" s="150" t="s">
        <v>2821</v>
      </c>
      <c r="C1369" s="151">
        <v>2019</v>
      </c>
      <c r="D1369" s="151">
        <v>8</v>
      </c>
      <c r="E1369" s="151">
        <v>10</v>
      </c>
    </row>
    <row r="1370" spans="2:5" x14ac:dyDescent="0.2">
      <c r="B1370" s="150" t="s">
        <v>2821</v>
      </c>
      <c r="C1370" s="151">
        <v>2019</v>
      </c>
      <c r="D1370" s="151">
        <v>1</v>
      </c>
      <c r="E1370" s="151">
        <v>6</v>
      </c>
    </row>
    <row r="1371" spans="2:5" x14ac:dyDescent="0.2">
      <c r="B1371" s="150" t="s">
        <v>2821</v>
      </c>
      <c r="C1371" s="151">
        <v>2019</v>
      </c>
      <c r="D1371" s="151">
        <v>2</v>
      </c>
      <c r="E1371" s="151">
        <v>4</v>
      </c>
    </row>
    <row r="1372" spans="2:5" x14ac:dyDescent="0.2">
      <c r="B1372" s="150" t="s">
        <v>2905</v>
      </c>
      <c r="C1372" s="151">
        <v>2019</v>
      </c>
      <c r="D1372" s="151">
        <v>8</v>
      </c>
      <c r="E1372" s="151">
        <v>37</v>
      </c>
    </row>
    <row r="1373" spans="2:5" x14ac:dyDescent="0.2">
      <c r="B1373" s="150" t="s">
        <v>2905</v>
      </c>
      <c r="C1373" s="151">
        <v>2019</v>
      </c>
      <c r="D1373" s="151">
        <v>5</v>
      </c>
      <c r="E1373" s="151">
        <v>28</v>
      </c>
    </row>
    <row r="1374" spans="2:5" x14ac:dyDescent="0.2">
      <c r="B1374" s="150" t="s">
        <v>2905</v>
      </c>
      <c r="C1374" s="151">
        <v>2019</v>
      </c>
      <c r="D1374" s="151">
        <v>11</v>
      </c>
      <c r="E1374" s="151">
        <v>25</v>
      </c>
    </row>
    <row r="1375" spans="2:5" x14ac:dyDescent="0.2">
      <c r="B1375" s="150" t="s">
        <v>2905</v>
      </c>
      <c r="C1375" s="151">
        <v>2019</v>
      </c>
      <c r="D1375" s="151">
        <v>3</v>
      </c>
      <c r="E1375" s="151">
        <v>15</v>
      </c>
    </row>
    <row r="1376" spans="2:5" x14ac:dyDescent="0.2">
      <c r="B1376" s="150" t="s">
        <v>2905</v>
      </c>
      <c r="C1376" s="151">
        <v>2019</v>
      </c>
      <c r="D1376" s="151">
        <v>6</v>
      </c>
      <c r="E1376" s="151">
        <v>15</v>
      </c>
    </row>
    <row r="1377" spans="2:5" x14ac:dyDescent="0.2">
      <c r="B1377" s="150" t="s">
        <v>2905</v>
      </c>
      <c r="C1377" s="151">
        <v>2019</v>
      </c>
      <c r="D1377" s="151">
        <v>10</v>
      </c>
      <c r="E1377" s="151">
        <v>14</v>
      </c>
    </row>
    <row r="1378" spans="2:5" x14ac:dyDescent="0.2">
      <c r="B1378" s="150" t="s">
        <v>2905</v>
      </c>
      <c r="C1378" s="151">
        <v>2019</v>
      </c>
      <c r="D1378" s="151">
        <v>9</v>
      </c>
      <c r="E1378" s="151">
        <v>12</v>
      </c>
    </row>
    <row r="1379" spans="2:5" x14ac:dyDescent="0.2">
      <c r="B1379" s="150" t="s">
        <v>2905</v>
      </c>
      <c r="C1379" s="151">
        <v>2019</v>
      </c>
      <c r="D1379" s="151">
        <v>7</v>
      </c>
      <c r="E1379" s="151">
        <v>11</v>
      </c>
    </row>
    <row r="1380" spans="2:5" x14ac:dyDescent="0.2">
      <c r="B1380" s="150" t="s">
        <v>2905</v>
      </c>
      <c r="C1380" s="151">
        <v>2019</v>
      </c>
      <c r="D1380" s="151">
        <v>1</v>
      </c>
      <c r="E1380" s="151">
        <v>10</v>
      </c>
    </row>
    <row r="1381" spans="2:5" x14ac:dyDescent="0.2">
      <c r="B1381" s="150" t="s">
        <v>2905</v>
      </c>
      <c r="C1381" s="151">
        <v>2019</v>
      </c>
      <c r="D1381" s="151">
        <v>4</v>
      </c>
      <c r="E1381" s="151">
        <v>6</v>
      </c>
    </row>
    <row r="1382" spans="2:5" x14ac:dyDescent="0.2">
      <c r="B1382" s="150" t="s">
        <v>2905</v>
      </c>
      <c r="C1382" s="151">
        <v>2019</v>
      </c>
      <c r="D1382" s="151">
        <v>12</v>
      </c>
      <c r="E1382" s="151">
        <v>6</v>
      </c>
    </row>
    <row r="1383" spans="2:5" x14ac:dyDescent="0.2">
      <c r="B1383" s="150" t="s">
        <v>2905</v>
      </c>
      <c r="C1383" s="151">
        <v>2019</v>
      </c>
      <c r="D1383" s="151">
        <v>2</v>
      </c>
      <c r="E1383" s="151">
        <v>2</v>
      </c>
    </row>
    <row r="1384" spans="2:5" x14ac:dyDescent="0.2">
      <c r="B1384" s="150" t="s">
        <v>2965</v>
      </c>
      <c r="C1384" s="151">
        <v>2019</v>
      </c>
      <c r="D1384" s="151">
        <v>1</v>
      </c>
      <c r="E1384" s="151">
        <v>2</v>
      </c>
    </row>
    <row r="1385" spans="2:5" x14ac:dyDescent="0.2">
      <c r="B1385" s="150" t="s">
        <v>2965</v>
      </c>
      <c r="C1385" s="151">
        <v>2019</v>
      </c>
      <c r="D1385" s="151">
        <v>4</v>
      </c>
      <c r="E1385" s="151">
        <v>2</v>
      </c>
    </row>
    <row r="1386" spans="2:5" x14ac:dyDescent="0.2">
      <c r="B1386" s="150" t="s">
        <v>2965</v>
      </c>
      <c r="C1386" s="151">
        <v>2019</v>
      </c>
      <c r="D1386" s="151">
        <v>5</v>
      </c>
      <c r="E1386" s="151">
        <v>1</v>
      </c>
    </row>
    <row r="1387" spans="2:5" x14ac:dyDescent="0.2">
      <c r="B1387" s="150" t="s">
        <v>2965</v>
      </c>
      <c r="C1387" s="151">
        <v>2019</v>
      </c>
      <c r="D1387" s="151">
        <v>6</v>
      </c>
      <c r="E1387" s="151">
        <v>1</v>
      </c>
    </row>
    <row r="1388" spans="2:5" x14ac:dyDescent="0.2">
      <c r="B1388" s="150" t="s">
        <v>2966</v>
      </c>
      <c r="C1388" s="151">
        <v>2019</v>
      </c>
      <c r="D1388" s="151">
        <v>8</v>
      </c>
      <c r="E1388" s="151">
        <v>2</v>
      </c>
    </row>
    <row r="1389" spans="2:5" x14ac:dyDescent="0.2">
      <c r="B1389" s="150" t="s">
        <v>2966</v>
      </c>
      <c r="C1389" s="151">
        <v>2019</v>
      </c>
      <c r="D1389" s="151">
        <v>9</v>
      </c>
      <c r="E1389" s="151">
        <v>1</v>
      </c>
    </row>
    <row r="1390" spans="2:5" x14ac:dyDescent="0.2">
      <c r="B1390" s="150" t="s">
        <v>2966</v>
      </c>
      <c r="C1390" s="151">
        <v>2019</v>
      </c>
      <c r="D1390" s="151">
        <v>10</v>
      </c>
      <c r="E1390" s="151">
        <v>1</v>
      </c>
    </row>
    <row r="1391" spans="2:5" x14ac:dyDescent="0.2">
      <c r="B1391" s="150" t="s">
        <v>2966</v>
      </c>
      <c r="C1391" s="151">
        <v>2019</v>
      </c>
      <c r="D1391" s="151">
        <v>11</v>
      </c>
      <c r="E1391" s="151">
        <v>1</v>
      </c>
    </row>
    <row r="1392" spans="2:5" x14ac:dyDescent="0.2">
      <c r="B1392" s="150" t="s">
        <v>2966</v>
      </c>
      <c r="C1392" s="151">
        <v>2019</v>
      </c>
      <c r="D1392" s="151">
        <v>12</v>
      </c>
      <c r="E1392" s="151">
        <v>1</v>
      </c>
    </row>
    <row r="1393" spans="2:5" x14ac:dyDescent="0.2">
      <c r="B1393" s="150" t="s">
        <v>2822</v>
      </c>
      <c r="C1393" s="151">
        <v>2019</v>
      </c>
      <c r="D1393" s="151">
        <v>5</v>
      </c>
      <c r="E1393" s="151">
        <v>40</v>
      </c>
    </row>
    <row r="1394" spans="2:5" x14ac:dyDescent="0.2">
      <c r="B1394" s="150" t="s">
        <v>2822</v>
      </c>
      <c r="C1394" s="151">
        <v>2019</v>
      </c>
      <c r="D1394" s="151">
        <v>4</v>
      </c>
      <c r="E1394" s="151">
        <v>25</v>
      </c>
    </row>
    <row r="1395" spans="2:5" x14ac:dyDescent="0.2">
      <c r="B1395" s="150" t="s">
        <v>2822</v>
      </c>
      <c r="C1395" s="151">
        <v>2019</v>
      </c>
      <c r="D1395" s="151">
        <v>6</v>
      </c>
      <c r="E1395" s="151">
        <v>23</v>
      </c>
    </row>
    <row r="1396" spans="2:5" x14ac:dyDescent="0.2">
      <c r="B1396" s="150" t="s">
        <v>2822</v>
      </c>
      <c r="C1396" s="151">
        <v>2019</v>
      </c>
      <c r="D1396" s="151">
        <v>7</v>
      </c>
      <c r="E1396" s="151">
        <v>15</v>
      </c>
    </row>
    <row r="1397" spans="2:5" x14ac:dyDescent="0.2">
      <c r="B1397" s="150" t="s">
        <v>2822</v>
      </c>
      <c r="C1397" s="151">
        <v>2019</v>
      </c>
      <c r="D1397" s="151">
        <v>2</v>
      </c>
      <c r="E1397" s="151">
        <v>12</v>
      </c>
    </row>
    <row r="1398" spans="2:5" x14ac:dyDescent="0.2">
      <c r="B1398" s="150" t="s">
        <v>2822</v>
      </c>
      <c r="C1398" s="151">
        <v>2019</v>
      </c>
      <c r="D1398" s="151">
        <v>1</v>
      </c>
      <c r="E1398" s="151">
        <v>7</v>
      </c>
    </row>
    <row r="1399" spans="2:5" x14ac:dyDescent="0.2">
      <c r="B1399" s="150" t="s">
        <v>2822</v>
      </c>
      <c r="C1399" s="151">
        <v>2019</v>
      </c>
      <c r="D1399" s="151">
        <v>8</v>
      </c>
      <c r="E1399" s="151">
        <v>7</v>
      </c>
    </row>
    <row r="1400" spans="2:5" x14ac:dyDescent="0.2">
      <c r="B1400" s="150" t="s">
        <v>2822</v>
      </c>
      <c r="C1400" s="151">
        <v>2019</v>
      </c>
      <c r="D1400" s="151">
        <v>12</v>
      </c>
      <c r="E1400" s="151">
        <v>5</v>
      </c>
    </row>
    <row r="1401" spans="2:5" x14ac:dyDescent="0.2">
      <c r="B1401" s="150" t="s">
        <v>2822</v>
      </c>
      <c r="C1401" s="151">
        <v>2019</v>
      </c>
      <c r="D1401" s="151">
        <v>10</v>
      </c>
      <c r="E1401" s="151">
        <v>3</v>
      </c>
    </row>
    <row r="1402" spans="2:5" x14ac:dyDescent="0.2">
      <c r="B1402" s="150" t="s">
        <v>2822</v>
      </c>
      <c r="C1402" s="151">
        <v>2019</v>
      </c>
      <c r="D1402" s="151">
        <v>9</v>
      </c>
      <c r="E1402" s="151">
        <v>2</v>
      </c>
    </row>
    <row r="1403" spans="2:5" x14ac:dyDescent="0.2">
      <c r="B1403" s="150" t="s">
        <v>2822</v>
      </c>
      <c r="C1403" s="151">
        <v>2019</v>
      </c>
      <c r="D1403" s="151">
        <v>11</v>
      </c>
      <c r="E1403" s="151">
        <v>1</v>
      </c>
    </row>
    <row r="1404" spans="2:5" x14ac:dyDescent="0.2">
      <c r="B1404" s="150" t="s">
        <v>2823</v>
      </c>
      <c r="C1404" s="151">
        <v>2019</v>
      </c>
      <c r="D1404" s="151">
        <v>4</v>
      </c>
      <c r="E1404" s="151">
        <v>74</v>
      </c>
    </row>
    <row r="1405" spans="2:5" x14ac:dyDescent="0.2">
      <c r="B1405" s="150" t="s">
        <v>2823</v>
      </c>
      <c r="C1405" s="151">
        <v>2019</v>
      </c>
      <c r="D1405" s="151">
        <v>3</v>
      </c>
      <c r="E1405" s="151">
        <v>69</v>
      </c>
    </row>
    <row r="1406" spans="2:5" x14ac:dyDescent="0.2">
      <c r="B1406" s="150" t="s">
        <v>2823</v>
      </c>
      <c r="C1406" s="151">
        <v>2019</v>
      </c>
      <c r="D1406" s="151">
        <v>5</v>
      </c>
      <c r="E1406" s="151">
        <v>66</v>
      </c>
    </row>
    <row r="1407" spans="2:5" x14ac:dyDescent="0.2">
      <c r="B1407" s="150" t="s">
        <v>2823</v>
      </c>
      <c r="C1407" s="151">
        <v>2019</v>
      </c>
      <c r="D1407" s="151">
        <v>10</v>
      </c>
      <c r="E1407" s="151">
        <v>62</v>
      </c>
    </row>
    <row r="1408" spans="2:5" x14ac:dyDescent="0.2">
      <c r="B1408" s="150" t="s">
        <v>2823</v>
      </c>
      <c r="C1408" s="151">
        <v>2019</v>
      </c>
      <c r="D1408" s="151">
        <v>9</v>
      </c>
      <c r="E1408" s="151">
        <v>56</v>
      </c>
    </row>
    <row r="1409" spans="2:5" x14ac:dyDescent="0.2">
      <c r="B1409" s="150" t="s">
        <v>2823</v>
      </c>
      <c r="C1409" s="151">
        <v>2019</v>
      </c>
      <c r="D1409" s="151">
        <v>8</v>
      </c>
      <c r="E1409" s="151">
        <v>50</v>
      </c>
    </row>
    <row r="1410" spans="2:5" x14ac:dyDescent="0.2">
      <c r="B1410" s="150" t="s">
        <v>2823</v>
      </c>
      <c r="C1410" s="151">
        <v>2019</v>
      </c>
      <c r="D1410" s="151">
        <v>1</v>
      </c>
      <c r="E1410" s="151">
        <v>47</v>
      </c>
    </row>
    <row r="1411" spans="2:5" x14ac:dyDescent="0.2">
      <c r="B1411" s="150" t="s">
        <v>2823</v>
      </c>
      <c r="C1411" s="151">
        <v>2019</v>
      </c>
      <c r="D1411" s="151">
        <v>2</v>
      </c>
      <c r="E1411" s="151">
        <v>47</v>
      </c>
    </row>
    <row r="1412" spans="2:5" x14ac:dyDescent="0.2">
      <c r="B1412" s="150" t="s">
        <v>2823</v>
      </c>
      <c r="C1412" s="151">
        <v>2019</v>
      </c>
      <c r="D1412" s="151">
        <v>6</v>
      </c>
      <c r="E1412" s="151">
        <v>28</v>
      </c>
    </row>
    <row r="1413" spans="2:5" x14ac:dyDescent="0.2">
      <c r="B1413" s="150" t="s">
        <v>2823</v>
      </c>
      <c r="C1413" s="151">
        <v>2019</v>
      </c>
      <c r="D1413" s="151">
        <v>7</v>
      </c>
      <c r="E1413" s="151">
        <v>26</v>
      </c>
    </row>
    <row r="1414" spans="2:5" x14ac:dyDescent="0.2">
      <c r="B1414" s="150" t="s">
        <v>2823</v>
      </c>
      <c r="C1414" s="151">
        <v>2019</v>
      </c>
      <c r="D1414" s="151">
        <v>11</v>
      </c>
      <c r="E1414" s="151">
        <v>17</v>
      </c>
    </row>
    <row r="1415" spans="2:5" x14ac:dyDescent="0.2">
      <c r="B1415" s="150" t="s">
        <v>2823</v>
      </c>
      <c r="C1415" s="151">
        <v>2019</v>
      </c>
      <c r="D1415" s="151">
        <v>12</v>
      </c>
      <c r="E1415" s="151">
        <v>3</v>
      </c>
    </row>
    <row r="1416" spans="2:5" x14ac:dyDescent="0.2">
      <c r="B1416" s="150" t="s">
        <v>2902</v>
      </c>
      <c r="C1416" s="151">
        <v>2019</v>
      </c>
      <c r="D1416" s="151">
        <v>2</v>
      </c>
      <c r="E1416" s="151">
        <v>30</v>
      </c>
    </row>
    <row r="1417" spans="2:5" x14ac:dyDescent="0.2">
      <c r="B1417" s="150" t="s">
        <v>2902</v>
      </c>
      <c r="C1417" s="151">
        <v>2019</v>
      </c>
      <c r="D1417" s="151">
        <v>3</v>
      </c>
      <c r="E1417" s="151">
        <v>29</v>
      </c>
    </row>
    <row r="1418" spans="2:5" x14ac:dyDescent="0.2">
      <c r="B1418" s="150" t="s">
        <v>2902</v>
      </c>
      <c r="C1418" s="151">
        <v>2019</v>
      </c>
      <c r="D1418" s="151">
        <v>1</v>
      </c>
      <c r="E1418" s="151">
        <v>28</v>
      </c>
    </row>
    <row r="1419" spans="2:5" x14ac:dyDescent="0.2">
      <c r="B1419" s="150" t="s">
        <v>2902</v>
      </c>
      <c r="C1419" s="151">
        <v>2019</v>
      </c>
      <c r="D1419" s="151">
        <v>9</v>
      </c>
      <c r="E1419" s="151">
        <v>24</v>
      </c>
    </row>
    <row r="1420" spans="2:5" x14ac:dyDescent="0.2">
      <c r="B1420" s="150" t="s">
        <v>2902</v>
      </c>
      <c r="C1420" s="151">
        <v>2019</v>
      </c>
      <c r="D1420" s="151">
        <v>4</v>
      </c>
      <c r="E1420" s="151">
        <v>21</v>
      </c>
    </row>
    <row r="1421" spans="2:5" x14ac:dyDescent="0.2">
      <c r="B1421" s="150" t="s">
        <v>2902</v>
      </c>
      <c r="C1421" s="151">
        <v>2019</v>
      </c>
      <c r="D1421" s="151">
        <v>11</v>
      </c>
      <c r="E1421" s="151">
        <v>17</v>
      </c>
    </row>
    <row r="1422" spans="2:5" x14ac:dyDescent="0.2">
      <c r="B1422" s="150" t="s">
        <v>2902</v>
      </c>
      <c r="C1422" s="151">
        <v>2019</v>
      </c>
      <c r="D1422" s="151">
        <v>6</v>
      </c>
      <c r="E1422" s="151">
        <v>16</v>
      </c>
    </row>
    <row r="1423" spans="2:5" x14ac:dyDescent="0.2">
      <c r="B1423" s="150" t="s">
        <v>2902</v>
      </c>
      <c r="C1423" s="151">
        <v>2019</v>
      </c>
      <c r="D1423" s="151">
        <v>8</v>
      </c>
      <c r="E1423" s="151">
        <v>12</v>
      </c>
    </row>
    <row r="1424" spans="2:5" x14ac:dyDescent="0.2">
      <c r="B1424" s="150" t="s">
        <v>2902</v>
      </c>
      <c r="C1424" s="151">
        <v>2019</v>
      </c>
      <c r="D1424" s="151">
        <v>10</v>
      </c>
      <c r="E1424" s="151">
        <v>11</v>
      </c>
    </row>
    <row r="1425" spans="2:5" x14ac:dyDescent="0.2">
      <c r="B1425" s="150" t="s">
        <v>2902</v>
      </c>
      <c r="C1425" s="151">
        <v>2019</v>
      </c>
      <c r="D1425" s="151">
        <v>7</v>
      </c>
      <c r="E1425" s="151">
        <v>10</v>
      </c>
    </row>
    <row r="1426" spans="2:5" x14ac:dyDescent="0.2">
      <c r="B1426" s="150" t="s">
        <v>2902</v>
      </c>
      <c r="C1426" s="151">
        <v>2019</v>
      </c>
      <c r="D1426" s="151">
        <v>12</v>
      </c>
      <c r="E1426" s="151">
        <v>10</v>
      </c>
    </row>
    <row r="1427" spans="2:5" x14ac:dyDescent="0.2">
      <c r="B1427" s="150" t="s">
        <v>2902</v>
      </c>
      <c r="C1427" s="151">
        <v>2019</v>
      </c>
      <c r="D1427" s="151">
        <v>5</v>
      </c>
      <c r="E1427" s="151">
        <v>7</v>
      </c>
    </row>
    <row r="1428" spans="2:5" x14ac:dyDescent="0.2">
      <c r="B1428" s="150" t="s">
        <v>2936</v>
      </c>
      <c r="C1428" s="151">
        <v>2019</v>
      </c>
      <c r="D1428" s="151">
        <v>1</v>
      </c>
      <c r="E1428" s="151">
        <v>4</v>
      </c>
    </row>
    <row r="1429" spans="2:5" x14ac:dyDescent="0.2">
      <c r="B1429" s="150" t="s">
        <v>2936</v>
      </c>
      <c r="C1429" s="151">
        <v>2019</v>
      </c>
      <c r="D1429" s="151">
        <v>9</v>
      </c>
      <c r="E1429" s="151">
        <v>4</v>
      </c>
    </row>
    <row r="1430" spans="2:5" x14ac:dyDescent="0.2">
      <c r="B1430" s="150" t="s">
        <v>2936</v>
      </c>
      <c r="C1430" s="151">
        <v>2019</v>
      </c>
      <c r="D1430" s="151">
        <v>7</v>
      </c>
      <c r="E1430" s="151">
        <v>3</v>
      </c>
    </row>
    <row r="1431" spans="2:5" x14ac:dyDescent="0.2">
      <c r="B1431" s="150" t="s">
        <v>2936</v>
      </c>
      <c r="C1431" s="151">
        <v>2019</v>
      </c>
      <c r="D1431" s="151">
        <v>10</v>
      </c>
      <c r="E1431" s="151">
        <v>3</v>
      </c>
    </row>
    <row r="1432" spans="2:5" x14ac:dyDescent="0.2">
      <c r="B1432" s="150" t="s">
        <v>2936</v>
      </c>
      <c r="C1432" s="151">
        <v>2019</v>
      </c>
      <c r="D1432" s="151">
        <v>3</v>
      </c>
      <c r="E1432" s="151">
        <v>2</v>
      </c>
    </row>
    <row r="1433" spans="2:5" x14ac:dyDescent="0.2">
      <c r="B1433" s="150" t="s">
        <v>2936</v>
      </c>
      <c r="C1433" s="151">
        <v>2019</v>
      </c>
      <c r="D1433" s="151">
        <v>6</v>
      </c>
      <c r="E1433" s="151">
        <v>2</v>
      </c>
    </row>
    <row r="1434" spans="2:5" x14ac:dyDescent="0.2">
      <c r="B1434" s="150" t="s">
        <v>2936</v>
      </c>
      <c r="C1434" s="151">
        <v>2019</v>
      </c>
      <c r="D1434" s="151">
        <v>12</v>
      </c>
      <c r="E1434" s="151">
        <v>2</v>
      </c>
    </row>
    <row r="1435" spans="2:5" x14ac:dyDescent="0.2">
      <c r="B1435" s="150" t="s">
        <v>2936</v>
      </c>
      <c r="C1435" s="151">
        <v>2019</v>
      </c>
      <c r="D1435" s="151">
        <v>5</v>
      </c>
      <c r="E1435" s="151">
        <v>1</v>
      </c>
    </row>
    <row r="1436" spans="2:5" x14ac:dyDescent="0.2">
      <c r="B1436" s="150" t="s">
        <v>2936</v>
      </c>
      <c r="C1436" s="151">
        <v>2019</v>
      </c>
      <c r="D1436" s="151">
        <v>8</v>
      </c>
      <c r="E1436" s="151">
        <v>1</v>
      </c>
    </row>
    <row r="1437" spans="2:5" x14ac:dyDescent="0.2">
      <c r="B1437" s="150" t="s">
        <v>2936</v>
      </c>
      <c r="C1437" s="151">
        <v>2019</v>
      </c>
      <c r="D1437" s="151">
        <v>11</v>
      </c>
      <c r="E1437" s="151">
        <v>1</v>
      </c>
    </row>
    <row r="1438" spans="2:5" x14ac:dyDescent="0.2">
      <c r="B1438" s="150" t="s">
        <v>2824</v>
      </c>
      <c r="C1438" s="151">
        <v>2019</v>
      </c>
      <c r="D1438" s="151">
        <v>9</v>
      </c>
      <c r="E1438" s="151">
        <v>14</v>
      </c>
    </row>
    <row r="1439" spans="2:5" x14ac:dyDescent="0.2">
      <c r="B1439" s="150" t="s">
        <v>2824</v>
      </c>
      <c r="C1439" s="151">
        <v>2019</v>
      </c>
      <c r="D1439" s="151">
        <v>8</v>
      </c>
      <c r="E1439" s="151">
        <v>8</v>
      </c>
    </row>
    <row r="1440" spans="2:5" x14ac:dyDescent="0.2">
      <c r="B1440" s="150" t="s">
        <v>2824</v>
      </c>
      <c r="C1440" s="151">
        <v>2019</v>
      </c>
      <c r="D1440" s="151">
        <v>5</v>
      </c>
      <c r="E1440" s="151">
        <v>5</v>
      </c>
    </row>
    <row r="1441" spans="2:5" x14ac:dyDescent="0.2">
      <c r="B1441" s="150" t="s">
        <v>2824</v>
      </c>
      <c r="C1441" s="151">
        <v>2019</v>
      </c>
      <c r="D1441" s="151">
        <v>7</v>
      </c>
      <c r="E1441" s="151">
        <v>5</v>
      </c>
    </row>
    <row r="1442" spans="2:5" x14ac:dyDescent="0.2">
      <c r="B1442" s="150" t="s">
        <v>2824</v>
      </c>
      <c r="C1442" s="151">
        <v>2019</v>
      </c>
      <c r="D1442" s="151">
        <v>3</v>
      </c>
      <c r="E1442" s="151">
        <v>4</v>
      </c>
    </row>
    <row r="1443" spans="2:5" x14ac:dyDescent="0.2">
      <c r="B1443" s="150" t="s">
        <v>2824</v>
      </c>
      <c r="C1443" s="151">
        <v>2019</v>
      </c>
      <c r="D1443" s="151">
        <v>6</v>
      </c>
      <c r="E1443" s="151">
        <v>4</v>
      </c>
    </row>
    <row r="1444" spans="2:5" x14ac:dyDescent="0.2">
      <c r="B1444" s="150" t="s">
        <v>2824</v>
      </c>
      <c r="C1444" s="151">
        <v>2019</v>
      </c>
      <c r="D1444" s="151">
        <v>10</v>
      </c>
      <c r="E1444" s="151">
        <v>4</v>
      </c>
    </row>
    <row r="1445" spans="2:5" x14ac:dyDescent="0.2">
      <c r="B1445" s="150" t="s">
        <v>2824</v>
      </c>
      <c r="C1445" s="151">
        <v>2019</v>
      </c>
      <c r="D1445" s="151">
        <v>1</v>
      </c>
      <c r="E1445" s="151">
        <v>3</v>
      </c>
    </row>
    <row r="1446" spans="2:5" x14ac:dyDescent="0.2">
      <c r="B1446" s="150" t="s">
        <v>2824</v>
      </c>
      <c r="C1446" s="151">
        <v>2019</v>
      </c>
      <c r="D1446" s="151">
        <v>11</v>
      </c>
      <c r="E1446" s="151">
        <v>2</v>
      </c>
    </row>
    <row r="1447" spans="2:5" x14ac:dyDescent="0.2">
      <c r="B1447" s="150" t="s">
        <v>2824</v>
      </c>
      <c r="C1447" s="151">
        <v>2019</v>
      </c>
      <c r="D1447" s="151">
        <v>2</v>
      </c>
      <c r="E1447" s="151">
        <v>1</v>
      </c>
    </row>
    <row r="1448" spans="2:5" x14ac:dyDescent="0.2">
      <c r="B1448" s="150" t="s">
        <v>2824</v>
      </c>
      <c r="C1448" s="151">
        <v>2019</v>
      </c>
      <c r="D1448" s="151">
        <v>12</v>
      </c>
      <c r="E1448" s="151">
        <v>1</v>
      </c>
    </row>
    <row r="1449" spans="2:5" x14ac:dyDescent="0.2">
      <c r="B1449" s="150" t="s">
        <v>2825</v>
      </c>
      <c r="C1449" s="151">
        <v>2019</v>
      </c>
      <c r="D1449" s="151">
        <v>5</v>
      </c>
      <c r="E1449" s="151">
        <v>5</v>
      </c>
    </row>
    <row r="1450" spans="2:5" x14ac:dyDescent="0.2">
      <c r="B1450" s="150" t="s">
        <v>2825</v>
      </c>
      <c r="C1450" s="151">
        <v>2019</v>
      </c>
      <c r="D1450" s="151">
        <v>7</v>
      </c>
      <c r="E1450" s="151">
        <v>5</v>
      </c>
    </row>
    <row r="1451" spans="2:5" x14ac:dyDescent="0.2">
      <c r="B1451" s="150" t="s">
        <v>2825</v>
      </c>
      <c r="C1451" s="151">
        <v>2019</v>
      </c>
      <c r="D1451" s="151">
        <v>9</v>
      </c>
      <c r="E1451" s="151">
        <v>2</v>
      </c>
    </row>
    <row r="1452" spans="2:5" x14ac:dyDescent="0.2">
      <c r="B1452" s="150" t="s">
        <v>2825</v>
      </c>
      <c r="C1452" s="151">
        <v>2019</v>
      </c>
      <c r="D1452" s="151">
        <v>10</v>
      </c>
      <c r="E1452" s="151">
        <v>2</v>
      </c>
    </row>
    <row r="1453" spans="2:5" x14ac:dyDescent="0.2">
      <c r="B1453" s="150" t="s">
        <v>2825</v>
      </c>
      <c r="C1453" s="151">
        <v>2019</v>
      </c>
      <c r="D1453" s="151">
        <v>1</v>
      </c>
      <c r="E1453" s="151">
        <v>1</v>
      </c>
    </row>
    <row r="1454" spans="2:5" x14ac:dyDescent="0.2">
      <c r="B1454" s="150" t="s">
        <v>2825</v>
      </c>
      <c r="C1454" s="151">
        <v>2019</v>
      </c>
      <c r="D1454" s="151">
        <v>2</v>
      </c>
      <c r="E1454" s="151">
        <v>1</v>
      </c>
    </row>
    <row r="1455" spans="2:5" x14ac:dyDescent="0.2">
      <c r="B1455" s="150" t="s">
        <v>2825</v>
      </c>
      <c r="C1455" s="151">
        <v>2019</v>
      </c>
      <c r="D1455" s="151">
        <v>3</v>
      </c>
      <c r="E1455" s="151">
        <v>1</v>
      </c>
    </row>
    <row r="1456" spans="2:5" x14ac:dyDescent="0.2">
      <c r="B1456" s="150" t="s">
        <v>2825</v>
      </c>
      <c r="C1456" s="151">
        <v>2019</v>
      </c>
      <c r="D1456" s="151">
        <v>6</v>
      </c>
      <c r="E1456" s="151">
        <v>1</v>
      </c>
    </row>
    <row r="1457" spans="2:5" x14ac:dyDescent="0.2">
      <c r="B1457" s="150" t="s">
        <v>2825</v>
      </c>
      <c r="C1457" s="151">
        <v>2019</v>
      </c>
      <c r="D1457" s="151">
        <v>8</v>
      </c>
      <c r="E1457" s="151">
        <v>1</v>
      </c>
    </row>
    <row r="1458" spans="2:5" x14ac:dyDescent="0.2">
      <c r="B1458" s="150" t="s">
        <v>2943</v>
      </c>
      <c r="C1458" s="151">
        <v>2019</v>
      </c>
      <c r="D1458" s="151">
        <v>7</v>
      </c>
      <c r="E1458" s="151">
        <v>5</v>
      </c>
    </row>
    <row r="1459" spans="2:5" x14ac:dyDescent="0.2">
      <c r="B1459" s="150" t="s">
        <v>2943</v>
      </c>
      <c r="C1459" s="151">
        <v>2019</v>
      </c>
      <c r="D1459" s="151">
        <v>1</v>
      </c>
      <c r="E1459" s="151">
        <v>2</v>
      </c>
    </row>
    <row r="1460" spans="2:5" x14ac:dyDescent="0.2">
      <c r="B1460" s="150" t="s">
        <v>2943</v>
      </c>
      <c r="C1460" s="151">
        <v>2019</v>
      </c>
      <c r="D1460" s="151">
        <v>3</v>
      </c>
      <c r="E1460" s="151">
        <v>2</v>
      </c>
    </row>
    <row r="1461" spans="2:5" x14ac:dyDescent="0.2">
      <c r="B1461" s="150" t="s">
        <v>2943</v>
      </c>
      <c r="C1461" s="151">
        <v>2019</v>
      </c>
      <c r="D1461" s="151">
        <v>5</v>
      </c>
      <c r="E1461" s="151">
        <v>2</v>
      </c>
    </row>
    <row r="1462" spans="2:5" x14ac:dyDescent="0.2">
      <c r="B1462" s="150" t="s">
        <v>2943</v>
      </c>
      <c r="C1462" s="151">
        <v>2019</v>
      </c>
      <c r="D1462" s="151">
        <v>2</v>
      </c>
      <c r="E1462" s="151">
        <v>1</v>
      </c>
    </row>
    <row r="1463" spans="2:5" x14ac:dyDescent="0.2">
      <c r="B1463" s="150" t="s">
        <v>2943</v>
      </c>
      <c r="C1463" s="151">
        <v>2019</v>
      </c>
      <c r="D1463" s="151">
        <v>4</v>
      </c>
      <c r="E1463" s="151">
        <v>1</v>
      </c>
    </row>
    <row r="1464" spans="2:5" x14ac:dyDescent="0.2">
      <c r="B1464" s="150" t="s">
        <v>2943</v>
      </c>
      <c r="C1464" s="151">
        <v>2019</v>
      </c>
      <c r="D1464" s="151">
        <v>8</v>
      </c>
      <c r="E1464" s="151">
        <v>1</v>
      </c>
    </row>
    <row r="1465" spans="2:5" x14ac:dyDescent="0.2">
      <c r="B1465" s="150" t="s">
        <v>2943</v>
      </c>
      <c r="C1465" s="151">
        <v>2019</v>
      </c>
      <c r="D1465" s="151">
        <v>10</v>
      </c>
      <c r="E1465" s="151">
        <v>1</v>
      </c>
    </row>
    <row r="1466" spans="2:5" x14ac:dyDescent="0.2">
      <c r="B1466" s="150" t="s">
        <v>2826</v>
      </c>
      <c r="C1466" s="151">
        <v>2019</v>
      </c>
      <c r="D1466" s="151">
        <v>11</v>
      </c>
      <c r="E1466" s="151">
        <v>27</v>
      </c>
    </row>
    <row r="1467" spans="2:5" x14ac:dyDescent="0.2">
      <c r="B1467" s="150" t="s">
        <v>2826</v>
      </c>
      <c r="C1467" s="151">
        <v>2019</v>
      </c>
      <c r="D1467" s="151">
        <v>3</v>
      </c>
      <c r="E1467" s="151">
        <v>22</v>
      </c>
    </row>
    <row r="1468" spans="2:5" x14ac:dyDescent="0.2">
      <c r="B1468" s="150" t="s">
        <v>2826</v>
      </c>
      <c r="C1468" s="151">
        <v>2019</v>
      </c>
      <c r="D1468" s="151">
        <v>7</v>
      </c>
      <c r="E1468" s="151">
        <v>18</v>
      </c>
    </row>
    <row r="1469" spans="2:5" x14ac:dyDescent="0.2">
      <c r="B1469" s="150" t="s">
        <v>2826</v>
      </c>
      <c r="C1469" s="151">
        <v>2019</v>
      </c>
      <c r="D1469" s="151">
        <v>9</v>
      </c>
      <c r="E1469" s="151">
        <v>17</v>
      </c>
    </row>
    <row r="1470" spans="2:5" x14ac:dyDescent="0.2">
      <c r="B1470" s="150" t="s">
        <v>2826</v>
      </c>
      <c r="C1470" s="151">
        <v>2019</v>
      </c>
      <c r="D1470" s="151">
        <v>10</v>
      </c>
      <c r="E1470" s="151">
        <v>16</v>
      </c>
    </row>
    <row r="1471" spans="2:5" x14ac:dyDescent="0.2">
      <c r="B1471" s="150" t="s">
        <v>2826</v>
      </c>
      <c r="C1471" s="151">
        <v>2019</v>
      </c>
      <c r="D1471" s="151">
        <v>5</v>
      </c>
      <c r="E1471" s="151">
        <v>15</v>
      </c>
    </row>
    <row r="1472" spans="2:5" x14ac:dyDescent="0.2">
      <c r="B1472" s="150" t="s">
        <v>2826</v>
      </c>
      <c r="C1472" s="151">
        <v>2019</v>
      </c>
      <c r="D1472" s="151">
        <v>6</v>
      </c>
      <c r="E1472" s="151">
        <v>11</v>
      </c>
    </row>
    <row r="1473" spans="2:5" x14ac:dyDescent="0.2">
      <c r="B1473" s="150" t="s">
        <v>2826</v>
      </c>
      <c r="C1473" s="151">
        <v>2019</v>
      </c>
      <c r="D1473" s="151">
        <v>12</v>
      </c>
      <c r="E1473" s="151">
        <v>11</v>
      </c>
    </row>
    <row r="1474" spans="2:5" x14ac:dyDescent="0.2">
      <c r="B1474" s="150" t="s">
        <v>2826</v>
      </c>
      <c r="C1474" s="151">
        <v>2019</v>
      </c>
      <c r="D1474" s="151">
        <v>8</v>
      </c>
      <c r="E1474" s="151">
        <v>10</v>
      </c>
    </row>
    <row r="1475" spans="2:5" x14ac:dyDescent="0.2">
      <c r="B1475" s="150" t="s">
        <v>2826</v>
      </c>
      <c r="C1475" s="151">
        <v>2019</v>
      </c>
      <c r="D1475" s="151">
        <v>1</v>
      </c>
      <c r="E1475" s="151">
        <v>3</v>
      </c>
    </row>
    <row r="1476" spans="2:5" x14ac:dyDescent="0.2">
      <c r="B1476" s="150" t="s">
        <v>2826</v>
      </c>
      <c r="C1476" s="151">
        <v>2019</v>
      </c>
      <c r="D1476" s="151">
        <v>2</v>
      </c>
      <c r="E1476" s="151">
        <v>1</v>
      </c>
    </row>
    <row r="1477" spans="2:5" x14ac:dyDescent="0.2">
      <c r="B1477" s="150" t="s">
        <v>2827</v>
      </c>
      <c r="C1477" s="151">
        <v>2019</v>
      </c>
      <c r="D1477" s="151">
        <v>8</v>
      </c>
      <c r="E1477" s="151">
        <v>14</v>
      </c>
    </row>
    <row r="1478" spans="2:5" x14ac:dyDescent="0.2">
      <c r="B1478" s="150" t="s">
        <v>2827</v>
      </c>
      <c r="C1478" s="151">
        <v>2019</v>
      </c>
      <c r="D1478" s="151">
        <v>1</v>
      </c>
      <c r="E1478" s="151">
        <v>7</v>
      </c>
    </row>
    <row r="1479" spans="2:5" x14ac:dyDescent="0.2">
      <c r="B1479" s="150" t="s">
        <v>2827</v>
      </c>
      <c r="C1479" s="151">
        <v>2019</v>
      </c>
      <c r="D1479" s="151">
        <v>6</v>
      </c>
      <c r="E1479" s="151">
        <v>7</v>
      </c>
    </row>
    <row r="1480" spans="2:5" x14ac:dyDescent="0.2">
      <c r="B1480" s="150" t="s">
        <v>2827</v>
      </c>
      <c r="C1480" s="151">
        <v>2019</v>
      </c>
      <c r="D1480" s="151">
        <v>7</v>
      </c>
      <c r="E1480" s="151">
        <v>7</v>
      </c>
    </row>
    <row r="1481" spans="2:5" x14ac:dyDescent="0.2">
      <c r="B1481" s="150" t="s">
        <v>2827</v>
      </c>
      <c r="C1481" s="151">
        <v>2019</v>
      </c>
      <c r="D1481" s="151">
        <v>9</v>
      </c>
      <c r="E1481" s="151">
        <v>7</v>
      </c>
    </row>
    <row r="1482" spans="2:5" x14ac:dyDescent="0.2">
      <c r="B1482" s="150" t="s">
        <v>2827</v>
      </c>
      <c r="C1482" s="151">
        <v>2019</v>
      </c>
      <c r="D1482" s="151">
        <v>5</v>
      </c>
      <c r="E1482" s="151">
        <v>5</v>
      </c>
    </row>
    <row r="1483" spans="2:5" x14ac:dyDescent="0.2">
      <c r="B1483" s="150" t="s">
        <v>2827</v>
      </c>
      <c r="C1483" s="151">
        <v>2019</v>
      </c>
      <c r="D1483" s="151">
        <v>11</v>
      </c>
      <c r="E1483" s="151">
        <v>3</v>
      </c>
    </row>
    <row r="1484" spans="2:5" x14ac:dyDescent="0.2">
      <c r="B1484" s="150" t="s">
        <v>2827</v>
      </c>
      <c r="C1484" s="151">
        <v>2019</v>
      </c>
      <c r="D1484" s="151">
        <v>2</v>
      </c>
      <c r="E1484" s="151">
        <v>2</v>
      </c>
    </row>
    <row r="1485" spans="2:5" x14ac:dyDescent="0.2">
      <c r="B1485" s="150" t="s">
        <v>2827</v>
      </c>
      <c r="C1485" s="151">
        <v>2019</v>
      </c>
      <c r="D1485" s="151">
        <v>4</v>
      </c>
      <c r="E1485" s="151">
        <v>2</v>
      </c>
    </row>
    <row r="1486" spans="2:5" x14ac:dyDescent="0.2">
      <c r="B1486" s="150" t="s">
        <v>2827</v>
      </c>
      <c r="C1486" s="151">
        <v>2019</v>
      </c>
      <c r="D1486" s="151">
        <v>3</v>
      </c>
      <c r="E1486" s="151">
        <v>1</v>
      </c>
    </row>
    <row r="1487" spans="2:5" x14ac:dyDescent="0.2">
      <c r="B1487" s="150" t="s">
        <v>2827</v>
      </c>
      <c r="C1487" s="151">
        <v>2019</v>
      </c>
      <c r="D1487" s="151">
        <v>10</v>
      </c>
      <c r="E1487" s="151">
        <v>1</v>
      </c>
    </row>
    <row r="1488" spans="2:5" x14ac:dyDescent="0.2">
      <c r="B1488" s="150" t="s">
        <v>2828</v>
      </c>
      <c r="C1488" s="151">
        <v>2019</v>
      </c>
      <c r="D1488" s="151">
        <v>12</v>
      </c>
      <c r="E1488" s="151">
        <v>23</v>
      </c>
    </row>
    <row r="1489" spans="2:5" x14ac:dyDescent="0.2">
      <c r="B1489" s="150" t="s">
        <v>2828</v>
      </c>
      <c r="C1489" s="151">
        <v>2019</v>
      </c>
      <c r="D1489" s="151">
        <v>9</v>
      </c>
      <c r="E1489" s="151">
        <v>22</v>
      </c>
    </row>
    <row r="1490" spans="2:5" x14ac:dyDescent="0.2">
      <c r="B1490" s="150" t="s">
        <v>2828</v>
      </c>
      <c r="C1490" s="151">
        <v>2019</v>
      </c>
      <c r="D1490" s="151">
        <v>5</v>
      </c>
      <c r="E1490" s="151">
        <v>19</v>
      </c>
    </row>
    <row r="1491" spans="2:5" x14ac:dyDescent="0.2">
      <c r="B1491" s="150" t="s">
        <v>2828</v>
      </c>
      <c r="C1491" s="151">
        <v>2019</v>
      </c>
      <c r="D1491" s="151">
        <v>8</v>
      </c>
      <c r="E1491" s="151">
        <v>18</v>
      </c>
    </row>
    <row r="1492" spans="2:5" x14ac:dyDescent="0.2">
      <c r="B1492" s="150" t="s">
        <v>2828</v>
      </c>
      <c r="C1492" s="151">
        <v>2019</v>
      </c>
      <c r="D1492" s="151">
        <v>2</v>
      </c>
      <c r="E1492" s="151">
        <v>15</v>
      </c>
    </row>
    <row r="1493" spans="2:5" x14ac:dyDescent="0.2">
      <c r="B1493" s="150" t="s">
        <v>2828</v>
      </c>
      <c r="C1493" s="151">
        <v>2019</v>
      </c>
      <c r="D1493" s="151">
        <v>4</v>
      </c>
      <c r="E1493" s="151">
        <v>11</v>
      </c>
    </row>
    <row r="1494" spans="2:5" x14ac:dyDescent="0.2">
      <c r="B1494" s="150" t="s">
        <v>2828</v>
      </c>
      <c r="C1494" s="151">
        <v>2019</v>
      </c>
      <c r="D1494" s="151">
        <v>3</v>
      </c>
      <c r="E1494" s="151">
        <v>10</v>
      </c>
    </row>
    <row r="1495" spans="2:5" x14ac:dyDescent="0.2">
      <c r="B1495" s="150" t="s">
        <v>2828</v>
      </c>
      <c r="C1495" s="151">
        <v>2019</v>
      </c>
      <c r="D1495" s="151">
        <v>6</v>
      </c>
      <c r="E1495" s="151">
        <v>9</v>
      </c>
    </row>
    <row r="1496" spans="2:5" x14ac:dyDescent="0.2">
      <c r="B1496" s="150" t="s">
        <v>2828</v>
      </c>
      <c r="C1496" s="151">
        <v>2019</v>
      </c>
      <c r="D1496" s="151">
        <v>7</v>
      </c>
      <c r="E1496" s="151">
        <v>9</v>
      </c>
    </row>
    <row r="1497" spans="2:5" x14ac:dyDescent="0.2">
      <c r="B1497" s="150" t="s">
        <v>2828</v>
      </c>
      <c r="C1497" s="151">
        <v>2019</v>
      </c>
      <c r="D1497" s="151">
        <v>1</v>
      </c>
      <c r="E1497" s="151">
        <v>6</v>
      </c>
    </row>
    <row r="1498" spans="2:5" x14ac:dyDescent="0.2">
      <c r="B1498" s="150" t="s">
        <v>2828</v>
      </c>
      <c r="C1498" s="151">
        <v>2019</v>
      </c>
      <c r="D1498" s="151">
        <v>10</v>
      </c>
      <c r="E1498" s="151">
        <v>5</v>
      </c>
    </row>
    <row r="1499" spans="2:5" x14ac:dyDescent="0.2">
      <c r="B1499" s="150" t="s">
        <v>2829</v>
      </c>
      <c r="C1499" s="151">
        <v>2019</v>
      </c>
      <c r="D1499" s="151">
        <v>6</v>
      </c>
      <c r="E1499" s="151">
        <v>70</v>
      </c>
    </row>
    <row r="1500" spans="2:5" x14ac:dyDescent="0.2">
      <c r="B1500" s="150" t="s">
        <v>2829</v>
      </c>
      <c r="C1500" s="151">
        <v>2019</v>
      </c>
      <c r="D1500" s="151">
        <v>10</v>
      </c>
      <c r="E1500" s="151">
        <v>41</v>
      </c>
    </row>
    <row r="1501" spans="2:5" x14ac:dyDescent="0.2">
      <c r="B1501" s="150" t="s">
        <v>2829</v>
      </c>
      <c r="C1501" s="151">
        <v>2019</v>
      </c>
      <c r="D1501" s="151">
        <v>7</v>
      </c>
      <c r="E1501" s="151">
        <v>36</v>
      </c>
    </row>
    <row r="1502" spans="2:5" x14ac:dyDescent="0.2">
      <c r="B1502" s="150" t="s">
        <v>2829</v>
      </c>
      <c r="C1502" s="151">
        <v>2019</v>
      </c>
      <c r="D1502" s="151">
        <v>4</v>
      </c>
      <c r="E1502" s="151">
        <v>24</v>
      </c>
    </row>
    <row r="1503" spans="2:5" x14ac:dyDescent="0.2">
      <c r="B1503" s="150" t="s">
        <v>2829</v>
      </c>
      <c r="C1503" s="151">
        <v>2019</v>
      </c>
      <c r="D1503" s="151">
        <v>1</v>
      </c>
      <c r="E1503" s="151">
        <v>22</v>
      </c>
    </row>
    <row r="1504" spans="2:5" x14ac:dyDescent="0.2">
      <c r="B1504" s="150" t="s">
        <v>2829</v>
      </c>
      <c r="C1504" s="151">
        <v>2019</v>
      </c>
      <c r="D1504" s="151">
        <v>9</v>
      </c>
      <c r="E1504" s="151">
        <v>14</v>
      </c>
    </row>
    <row r="1505" spans="2:5" x14ac:dyDescent="0.2">
      <c r="B1505" s="150" t="s">
        <v>2829</v>
      </c>
      <c r="C1505" s="151">
        <v>2019</v>
      </c>
      <c r="D1505" s="151">
        <v>11</v>
      </c>
      <c r="E1505" s="151">
        <v>14</v>
      </c>
    </row>
    <row r="1506" spans="2:5" x14ac:dyDescent="0.2">
      <c r="B1506" s="150" t="s">
        <v>2829</v>
      </c>
      <c r="C1506" s="151">
        <v>2019</v>
      </c>
      <c r="D1506" s="151">
        <v>3</v>
      </c>
      <c r="E1506" s="151">
        <v>12</v>
      </c>
    </row>
    <row r="1507" spans="2:5" x14ac:dyDescent="0.2">
      <c r="B1507" s="150" t="s">
        <v>2829</v>
      </c>
      <c r="C1507" s="151">
        <v>2019</v>
      </c>
      <c r="D1507" s="151">
        <v>12</v>
      </c>
      <c r="E1507" s="151">
        <v>6</v>
      </c>
    </row>
    <row r="1508" spans="2:5" x14ac:dyDescent="0.2">
      <c r="B1508" s="150" t="s">
        <v>2829</v>
      </c>
      <c r="C1508" s="151">
        <v>2019</v>
      </c>
      <c r="D1508" s="151">
        <v>5</v>
      </c>
      <c r="E1508" s="151">
        <v>4</v>
      </c>
    </row>
    <row r="1509" spans="2:5" x14ac:dyDescent="0.2">
      <c r="B1509" s="150" t="s">
        <v>2829</v>
      </c>
      <c r="C1509" s="151">
        <v>2019</v>
      </c>
      <c r="D1509" s="151">
        <v>8</v>
      </c>
      <c r="E1509" s="151">
        <v>4</v>
      </c>
    </row>
    <row r="1510" spans="2:5" x14ac:dyDescent="0.2">
      <c r="B1510" s="150" t="s">
        <v>2829</v>
      </c>
      <c r="C1510" s="151">
        <v>2019</v>
      </c>
      <c r="D1510" s="151">
        <v>2</v>
      </c>
      <c r="E1510" s="151">
        <v>2</v>
      </c>
    </row>
    <row r="1511" spans="2:5" x14ac:dyDescent="0.2">
      <c r="B1511" s="150" t="s">
        <v>2916</v>
      </c>
      <c r="C1511" s="151">
        <v>2019</v>
      </c>
      <c r="D1511" s="151">
        <v>4</v>
      </c>
      <c r="E1511" s="151">
        <v>10</v>
      </c>
    </row>
    <row r="1512" spans="2:5" x14ac:dyDescent="0.2">
      <c r="B1512" s="150" t="s">
        <v>2916</v>
      </c>
      <c r="C1512" s="151">
        <v>2019</v>
      </c>
      <c r="D1512" s="151">
        <v>5</v>
      </c>
      <c r="E1512" s="151">
        <v>10</v>
      </c>
    </row>
    <row r="1513" spans="2:5" x14ac:dyDescent="0.2">
      <c r="B1513" s="150" t="s">
        <v>2916</v>
      </c>
      <c r="C1513" s="151">
        <v>2019</v>
      </c>
      <c r="D1513" s="151">
        <v>3</v>
      </c>
      <c r="E1513" s="151">
        <v>7</v>
      </c>
    </row>
    <row r="1514" spans="2:5" x14ac:dyDescent="0.2">
      <c r="B1514" s="150" t="s">
        <v>2916</v>
      </c>
      <c r="C1514" s="151">
        <v>2019</v>
      </c>
      <c r="D1514" s="151">
        <v>7</v>
      </c>
      <c r="E1514" s="151">
        <v>7</v>
      </c>
    </row>
    <row r="1515" spans="2:5" x14ac:dyDescent="0.2">
      <c r="B1515" s="150" t="s">
        <v>2916</v>
      </c>
      <c r="C1515" s="151">
        <v>2019</v>
      </c>
      <c r="D1515" s="151">
        <v>8</v>
      </c>
      <c r="E1515" s="151">
        <v>7</v>
      </c>
    </row>
    <row r="1516" spans="2:5" x14ac:dyDescent="0.2">
      <c r="B1516" s="150" t="s">
        <v>2916</v>
      </c>
      <c r="C1516" s="151">
        <v>2019</v>
      </c>
      <c r="D1516" s="151">
        <v>12</v>
      </c>
      <c r="E1516" s="151">
        <v>6</v>
      </c>
    </row>
    <row r="1517" spans="2:5" x14ac:dyDescent="0.2">
      <c r="B1517" s="150" t="s">
        <v>2916</v>
      </c>
      <c r="C1517" s="151">
        <v>2019</v>
      </c>
      <c r="D1517" s="151">
        <v>9</v>
      </c>
      <c r="E1517" s="151">
        <v>5</v>
      </c>
    </row>
    <row r="1518" spans="2:5" x14ac:dyDescent="0.2">
      <c r="B1518" s="150" t="s">
        <v>2916</v>
      </c>
      <c r="C1518" s="151">
        <v>2019</v>
      </c>
      <c r="D1518" s="151">
        <v>10</v>
      </c>
      <c r="E1518" s="151">
        <v>5</v>
      </c>
    </row>
    <row r="1519" spans="2:5" x14ac:dyDescent="0.2">
      <c r="B1519" s="150" t="s">
        <v>2916</v>
      </c>
      <c r="C1519" s="151">
        <v>2019</v>
      </c>
      <c r="D1519" s="151">
        <v>11</v>
      </c>
      <c r="E1519" s="151">
        <v>5</v>
      </c>
    </row>
    <row r="1520" spans="2:5" x14ac:dyDescent="0.2">
      <c r="B1520" s="150" t="s">
        <v>2916</v>
      </c>
      <c r="C1520" s="151">
        <v>2019</v>
      </c>
      <c r="D1520" s="151">
        <v>1</v>
      </c>
      <c r="E1520" s="151">
        <v>3</v>
      </c>
    </row>
    <row r="1521" spans="2:5" x14ac:dyDescent="0.2">
      <c r="B1521" s="150" t="s">
        <v>2916</v>
      </c>
      <c r="C1521" s="151">
        <v>2019</v>
      </c>
      <c r="D1521" s="151">
        <v>2</v>
      </c>
      <c r="E1521" s="151">
        <v>3</v>
      </c>
    </row>
    <row r="1522" spans="2:5" x14ac:dyDescent="0.2">
      <c r="B1522" s="150" t="s">
        <v>2916</v>
      </c>
      <c r="C1522" s="151">
        <v>2019</v>
      </c>
      <c r="D1522" s="151">
        <v>6</v>
      </c>
      <c r="E1522" s="151">
        <v>3</v>
      </c>
    </row>
    <row r="1523" spans="2:5" x14ac:dyDescent="0.2">
      <c r="B1523" s="150" t="s">
        <v>2948</v>
      </c>
      <c r="C1523" s="151">
        <v>2019</v>
      </c>
      <c r="D1523" s="151">
        <v>5</v>
      </c>
      <c r="E1523" s="151">
        <v>5</v>
      </c>
    </row>
    <row r="1524" spans="2:5" x14ac:dyDescent="0.2">
      <c r="B1524" s="150" t="s">
        <v>2948</v>
      </c>
      <c r="C1524" s="151">
        <v>2019</v>
      </c>
      <c r="D1524" s="151">
        <v>9</v>
      </c>
      <c r="E1524" s="151">
        <v>3</v>
      </c>
    </row>
    <row r="1525" spans="2:5" x14ac:dyDescent="0.2">
      <c r="B1525" s="150" t="s">
        <v>2948</v>
      </c>
      <c r="C1525" s="151">
        <v>2019</v>
      </c>
      <c r="D1525" s="151">
        <v>4</v>
      </c>
      <c r="E1525" s="151">
        <v>2</v>
      </c>
    </row>
    <row r="1526" spans="2:5" x14ac:dyDescent="0.2">
      <c r="B1526" s="150" t="s">
        <v>2948</v>
      </c>
      <c r="C1526" s="151">
        <v>2019</v>
      </c>
      <c r="D1526" s="151">
        <v>3</v>
      </c>
      <c r="E1526" s="151">
        <v>1</v>
      </c>
    </row>
    <row r="1527" spans="2:5" x14ac:dyDescent="0.2">
      <c r="B1527" s="150" t="s">
        <v>2948</v>
      </c>
      <c r="C1527" s="151">
        <v>2019</v>
      </c>
      <c r="D1527" s="151">
        <v>6</v>
      </c>
      <c r="E1527" s="151">
        <v>1</v>
      </c>
    </row>
    <row r="1528" spans="2:5" x14ac:dyDescent="0.2">
      <c r="B1528" s="150" t="s">
        <v>2830</v>
      </c>
      <c r="C1528" s="151">
        <v>2019</v>
      </c>
      <c r="D1528" s="151">
        <v>6</v>
      </c>
      <c r="E1528" s="151">
        <v>9</v>
      </c>
    </row>
    <row r="1529" spans="2:5" x14ac:dyDescent="0.2">
      <c r="B1529" s="150" t="s">
        <v>2830</v>
      </c>
      <c r="C1529" s="151">
        <v>2019</v>
      </c>
      <c r="D1529" s="151">
        <v>3</v>
      </c>
      <c r="E1529" s="151">
        <v>5</v>
      </c>
    </row>
    <row r="1530" spans="2:5" x14ac:dyDescent="0.2">
      <c r="B1530" s="150" t="s">
        <v>2830</v>
      </c>
      <c r="C1530" s="151">
        <v>2019</v>
      </c>
      <c r="D1530" s="151">
        <v>5</v>
      </c>
      <c r="E1530" s="151">
        <v>5</v>
      </c>
    </row>
    <row r="1531" spans="2:5" x14ac:dyDescent="0.2">
      <c r="B1531" s="150" t="s">
        <v>2830</v>
      </c>
      <c r="C1531" s="151">
        <v>2019</v>
      </c>
      <c r="D1531" s="151">
        <v>10</v>
      </c>
      <c r="E1531" s="151">
        <v>4</v>
      </c>
    </row>
    <row r="1532" spans="2:5" x14ac:dyDescent="0.2">
      <c r="B1532" s="150" t="s">
        <v>2830</v>
      </c>
      <c r="C1532" s="151">
        <v>2019</v>
      </c>
      <c r="D1532" s="151">
        <v>4</v>
      </c>
      <c r="E1532" s="151">
        <v>3</v>
      </c>
    </row>
    <row r="1533" spans="2:5" x14ac:dyDescent="0.2">
      <c r="B1533" s="150" t="s">
        <v>2830</v>
      </c>
      <c r="C1533" s="151">
        <v>2019</v>
      </c>
      <c r="D1533" s="151">
        <v>1</v>
      </c>
      <c r="E1533" s="151">
        <v>2</v>
      </c>
    </row>
    <row r="1534" spans="2:5" x14ac:dyDescent="0.2">
      <c r="B1534" s="150" t="s">
        <v>2830</v>
      </c>
      <c r="C1534" s="151">
        <v>2019</v>
      </c>
      <c r="D1534" s="151">
        <v>9</v>
      </c>
      <c r="E1534" s="151">
        <v>2</v>
      </c>
    </row>
    <row r="1535" spans="2:5" x14ac:dyDescent="0.2">
      <c r="B1535" s="150" t="s">
        <v>2830</v>
      </c>
      <c r="C1535" s="151">
        <v>2019</v>
      </c>
      <c r="D1535" s="151">
        <v>7</v>
      </c>
      <c r="E1535" s="151">
        <v>1</v>
      </c>
    </row>
    <row r="1536" spans="2:5" x14ac:dyDescent="0.2">
      <c r="B1536" s="150" t="s">
        <v>2830</v>
      </c>
      <c r="C1536" s="151">
        <v>2019</v>
      </c>
      <c r="D1536" s="151">
        <v>8</v>
      </c>
      <c r="E1536" s="151">
        <v>1</v>
      </c>
    </row>
    <row r="1537" spans="2:5" x14ac:dyDescent="0.2">
      <c r="B1537" s="150" t="s">
        <v>2960</v>
      </c>
      <c r="C1537" s="151">
        <v>2019</v>
      </c>
      <c r="D1537" s="151">
        <v>3</v>
      </c>
      <c r="E1537" s="151">
        <v>2</v>
      </c>
    </row>
    <row r="1538" spans="2:5" x14ac:dyDescent="0.2">
      <c r="B1538" s="150" t="s">
        <v>2960</v>
      </c>
      <c r="C1538" s="151">
        <v>2019</v>
      </c>
      <c r="D1538" s="151">
        <v>7</v>
      </c>
      <c r="E1538" s="151">
        <v>2</v>
      </c>
    </row>
    <row r="1539" spans="2:5" x14ac:dyDescent="0.2">
      <c r="B1539" s="150" t="s">
        <v>2960</v>
      </c>
      <c r="C1539" s="151">
        <v>2019</v>
      </c>
      <c r="D1539" s="151">
        <v>1</v>
      </c>
      <c r="E1539" s="151">
        <v>1</v>
      </c>
    </row>
    <row r="1540" spans="2:5" x14ac:dyDescent="0.2">
      <c r="B1540" s="150" t="s">
        <v>2960</v>
      </c>
      <c r="C1540" s="151">
        <v>2019</v>
      </c>
      <c r="D1540" s="151">
        <v>5</v>
      </c>
      <c r="E1540" s="151">
        <v>1</v>
      </c>
    </row>
    <row r="1541" spans="2:5" x14ac:dyDescent="0.2">
      <c r="B1541" s="150" t="s">
        <v>2960</v>
      </c>
      <c r="C1541" s="151">
        <v>2019</v>
      </c>
      <c r="D1541" s="151">
        <v>6</v>
      </c>
      <c r="E1541" s="151">
        <v>1</v>
      </c>
    </row>
    <row r="1542" spans="2:5" x14ac:dyDescent="0.2">
      <c r="B1542" s="150" t="s">
        <v>2831</v>
      </c>
      <c r="C1542" s="151">
        <v>2019</v>
      </c>
      <c r="D1542" s="151">
        <v>9</v>
      </c>
      <c r="E1542" s="151">
        <v>39</v>
      </c>
    </row>
    <row r="1543" spans="2:5" x14ac:dyDescent="0.2">
      <c r="B1543" s="150" t="s">
        <v>2831</v>
      </c>
      <c r="C1543" s="151">
        <v>2019</v>
      </c>
      <c r="D1543" s="151">
        <v>3</v>
      </c>
      <c r="E1543" s="151">
        <v>35</v>
      </c>
    </row>
    <row r="1544" spans="2:5" x14ac:dyDescent="0.2">
      <c r="B1544" s="150" t="s">
        <v>2831</v>
      </c>
      <c r="C1544" s="151">
        <v>2019</v>
      </c>
      <c r="D1544" s="151">
        <v>7</v>
      </c>
      <c r="E1544" s="151">
        <v>31</v>
      </c>
    </row>
    <row r="1545" spans="2:5" x14ac:dyDescent="0.2">
      <c r="B1545" s="150" t="s">
        <v>2831</v>
      </c>
      <c r="C1545" s="151">
        <v>2019</v>
      </c>
      <c r="D1545" s="151">
        <v>10</v>
      </c>
      <c r="E1545" s="151">
        <v>28</v>
      </c>
    </row>
    <row r="1546" spans="2:5" x14ac:dyDescent="0.2">
      <c r="B1546" s="150" t="s">
        <v>2831</v>
      </c>
      <c r="C1546" s="151">
        <v>2019</v>
      </c>
      <c r="D1546" s="151">
        <v>8</v>
      </c>
      <c r="E1546" s="151">
        <v>27</v>
      </c>
    </row>
    <row r="1547" spans="2:5" x14ac:dyDescent="0.2">
      <c r="B1547" s="150" t="s">
        <v>2831</v>
      </c>
      <c r="C1547" s="151">
        <v>2019</v>
      </c>
      <c r="D1547" s="151">
        <v>6</v>
      </c>
      <c r="E1547" s="151">
        <v>26</v>
      </c>
    </row>
    <row r="1548" spans="2:5" x14ac:dyDescent="0.2">
      <c r="B1548" s="150" t="s">
        <v>2831</v>
      </c>
      <c r="C1548" s="151">
        <v>2019</v>
      </c>
      <c r="D1548" s="151">
        <v>4</v>
      </c>
      <c r="E1548" s="151">
        <v>25</v>
      </c>
    </row>
    <row r="1549" spans="2:5" x14ac:dyDescent="0.2">
      <c r="B1549" s="150" t="s">
        <v>2831</v>
      </c>
      <c r="C1549" s="151">
        <v>2019</v>
      </c>
      <c r="D1549" s="151">
        <v>5</v>
      </c>
      <c r="E1549" s="151">
        <v>20</v>
      </c>
    </row>
    <row r="1550" spans="2:5" x14ac:dyDescent="0.2">
      <c r="B1550" s="150" t="s">
        <v>2831</v>
      </c>
      <c r="C1550" s="151">
        <v>2019</v>
      </c>
      <c r="D1550" s="151">
        <v>11</v>
      </c>
      <c r="E1550" s="151">
        <v>19</v>
      </c>
    </row>
    <row r="1551" spans="2:5" x14ac:dyDescent="0.2">
      <c r="B1551" s="150" t="s">
        <v>2831</v>
      </c>
      <c r="C1551" s="151">
        <v>2019</v>
      </c>
      <c r="D1551" s="151">
        <v>12</v>
      </c>
      <c r="E1551" s="151">
        <v>19</v>
      </c>
    </row>
    <row r="1552" spans="2:5" x14ac:dyDescent="0.2">
      <c r="B1552" s="150" t="s">
        <v>2831</v>
      </c>
      <c r="C1552" s="151">
        <v>2019</v>
      </c>
      <c r="D1552" s="151">
        <v>2</v>
      </c>
      <c r="E1552" s="151">
        <v>13</v>
      </c>
    </row>
    <row r="1553" spans="2:5" x14ac:dyDescent="0.2">
      <c r="B1553" s="150" t="s">
        <v>2831</v>
      </c>
      <c r="C1553" s="151">
        <v>2019</v>
      </c>
      <c r="D1553" s="151">
        <v>1</v>
      </c>
      <c r="E1553" s="151">
        <v>3</v>
      </c>
    </row>
    <row r="1554" spans="2:5" x14ac:dyDescent="0.2">
      <c r="B1554" s="150" t="s">
        <v>2926</v>
      </c>
      <c r="C1554" s="151">
        <v>2019</v>
      </c>
      <c r="D1554" s="151">
        <v>3</v>
      </c>
      <c r="E1554" s="151">
        <v>17</v>
      </c>
    </row>
    <row r="1555" spans="2:5" x14ac:dyDescent="0.2">
      <c r="B1555" s="150" t="s">
        <v>2926</v>
      </c>
      <c r="C1555" s="151">
        <v>2019</v>
      </c>
      <c r="D1555" s="151">
        <v>6</v>
      </c>
      <c r="E1555" s="151">
        <v>9</v>
      </c>
    </row>
    <row r="1556" spans="2:5" x14ac:dyDescent="0.2">
      <c r="B1556" s="150" t="s">
        <v>2926</v>
      </c>
      <c r="C1556" s="151">
        <v>2019</v>
      </c>
      <c r="D1556" s="151">
        <v>11</v>
      </c>
      <c r="E1556" s="151">
        <v>6</v>
      </c>
    </row>
    <row r="1557" spans="2:5" x14ac:dyDescent="0.2">
      <c r="B1557" s="150" t="s">
        <v>2926</v>
      </c>
      <c r="C1557" s="151">
        <v>2019</v>
      </c>
      <c r="D1557" s="151">
        <v>5</v>
      </c>
      <c r="E1557" s="151">
        <v>4</v>
      </c>
    </row>
    <row r="1558" spans="2:5" x14ac:dyDescent="0.2">
      <c r="B1558" s="150" t="s">
        <v>2926</v>
      </c>
      <c r="C1558" s="151">
        <v>2019</v>
      </c>
      <c r="D1558" s="151">
        <v>7</v>
      </c>
      <c r="E1558" s="151">
        <v>3</v>
      </c>
    </row>
    <row r="1559" spans="2:5" x14ac:dyDescent="0.2">
      <c r="B1559" s="150" t="s">
        <v>2926</v>
      </c>
      <c r="C1559" s="151">
        <v>2019</v>
      </c>
      <c r="D1559" s="151">
        <v>8</v>
      </c>
      <c r="E1559" s="151">
        <v>3</v>
      </c>
    </row>
    <row r="1560" spans="2:5" x14ac:dyDescent="0.2">
      <c r="B1560" s="150" t="s">
        <v>2926</v>
      </c>
      <c r="C1560" s="151">
        <v>2019</v>
      </c>
      <c r="D1560" s="151">
        <v>2</v>
      </c>
      <c r="E1560" s="151">
        <v>2</v>
      </c>
    </row>
    <row r="1561" spans="2:5" x14ac:dyDescent="0.2">
      <c r="B1561" s="150" t="s">
        <v>2926</v>
      </c>
      <c r="C1561" s="151">
        <v>2019</v>
      </c>
      <c r="D1561" s="151">
        <v>9</v>
      </c>
      <c r="E1561" s="151">
        <v>1</v>
      </c>
    </row>
    <row r="1562" spans="2:5" x14ac:dyDescent="0.2">
      <c r="B1562" s="150" t="s">
        <v>2968</v>
      </c>
      <c r="C1562" s="151">
        <v>2019</v>
      </c>
      <c r="D1562" s="151">
        <v>1</v>
      </c>
      <c r="E1562" s="151">
        <v>1</v>
      </c>
    </row>
    <row r="1563" spans="2:5" x14ac:dyDescent="0.2">
      <c r="B1563" s="150" t="s">
        <v>2968</v>
      </c>
      <c r="C1563" s="151">
        <v>2019</v>
      </c>
      <c r="D1563" s="151">
        <v>2</v>
      </c>
      <c r="E1563" s="151">
        <v>1</v>
      </c>
    </row>
    <row r="1564" spans="2:5" x14ac:dyDescent="0.2">
      <c r="B1564" s="150" t="s">
        <v>2968</v>
      </c>
      <c r="C1564" s="151">
        <v>2019</v>
      </c>
      <c r="D1564" s="151">
        <v>7</v>
      </c>
      <c r="E1564" s="151">
        <v>1</v>
      </c>
    </row>
    <row r="1565" spans="2:5" x14ac:dyDescent="0.2">
      <c r="B1565" s="150" t="s">
        <v>2968</v>
      </c>
      <c r="C1565" s="151">
        <v>2019</v>
      </c>
      <c r="D1565" s="151">
        <v>8</v>
      </c>
      <c r="E1565" s="151">
        <v>1</v>
      </c>
    </row>
    <row r="1566" spans="2:5" x14ac:dyDescent="0.2">
      <c r="B1566" s="150" t="s">
        <v>2968</v>
      </c>
      <c r="C1566" s="151">
        <v>2019</v>
      </c>
      <c r="D1566" s="151">
        <v>9</v>
      </c>
      <c r="E1566" s="151">
        <v>1</v>
      </c>
    </row>
    <row r="1567" spans="2:5" x14ac:dyDescent="0.2">
      <c r="B1567" s="150" t="s">
        <v>2961</v>
      </c>
      <c r="C1567" s="151">
        <v>2019</v>
      </c>
      <c r="D1567" s="151">
        <v>2</v>
      </c>
      <c r="E1567" s="151">
        <v>2</v>
      </c>
    </row>
    <row r="1568" spans="2:5" x14ac:dyDescent="0.2">
      <c r="B1568" s="150" t="s">
        <v>2961</v>
      </c>
      <c r="C1568" s="151">
        <v>2019</v>
      </c>
      <c r="D1568" s="151">
        <v>3</v>
      </c>
      <c r="E1568" s="151">
        <v>1</v>
      </c>
    </row>
    <row r="1569" spans="2:5" x14ac:dyDescent="0.2">
      <c r="B1569" s="150" t="s">
        <v>2961</v>
      </c>
      <c r="C1569" s="151">
        <v>2019</v>
      </c>
      <c r="D1569" s="151">
        <v>4</v>
      </c>
      <c r="E1569" s="151">
        <v>1</v>
      </c>
    </row>
    <row r="1570" spans="2:5" x14ac:dyDescent="0.2">
      <c r="B1570" s="150" t="s">
        <v>2961</v>
      </c>
      <c r="C1570" s="151">
        <v>2019</v>
      </c>
      <c r="D1570" s="151">
        <v>7</v>
      </c>
      <c r="E1570" s="151">
        <v>1</v>
      </c>
    </row>
    <row r="1571" spans="2:5" x14ac:dyDescent="0.2">
      <c r="B1571" s="150" t="s">
        <v>2961</v>
      </c>
      <c r="C1571" s="151">
        <v>2019</v>
      </c>
      <c r="D1571" s="151">
        <v>10</v>
      </c>
      <c r="E1571" s="151">
        <v>1</v>
      </c>
    </row>
    <row r="1572" spans="2:5" x14ac:dyDescent="0.2">
      <c r="B1572" s="150" t="s">
        <v>2961</v>
      </c>
      <c r="C1572" s="151">
        <v>2019</v>
      </c>
      <c r="D1572" s="151">
        <v>11</v>
      </c>
      <c r="E1572" s="151">
        <v>1</v>
      </c>
    </row>
    <row r="1573" spans="2:5" x14ac:dyDescent="0.2">
      <c r="B1573" s="150" t="s">
        <v>2832</v>
      </c>
      <c r="C1573" s="151">
        <v>2019</v>
      </c>
      <c r="D1573" s="151">
        <v>3</v>
      </c>
      <c r="E1573" s="151">
        <v>61</v>
      </c>
    </row>
    <row r="1574" spans="2:5" x14ac:dyDescent="0.2">
      <c r="B1574" s="150" t="s">
        <v>2832</v>
      </c>
      <c r="C1574" s="151">
        <v>2019</v>
      </c>
      <c r="D1574" s="151">
        <v>4</v>
      </c>
      <c r="E1574" s="151">
        <v>50</v>
      </c>
    </row>
    <row r="1575" spans="2:5" x14ac:dyDescent="0.2">
      <c r="B1575" s="150" t="s">
        <v>2832</v>
      </c>
      <c r="C1575" s="151">
        <v>2019</v>
      </c>
      <c r="D1575" s="151">
        <v>10</v>
      </c>
      <c r="E1575" s="151">
        <v>46</v>
      </c>
    </row>
    <row r="1576" spans="2:5" x14ac:dyDescent="0.2">
      <c r="B1576" s="150" t="s">
        <v>2832</v>
      </c>
      <c r="C1576" s="151">
        <v>2019</v>
      </c>
      <c r="D1576" s="151">
        <v>9</v>
      </c>
      <c r="E1576" s="151">
        <v>39</v>
      </c>
    </row>
    <row r="1577" spans="2:5" x14ac:dyDescent="0.2">
      <c r="B1577" s="150" t="s">
        <v>2832</v>
      </c>
      <c r="C1577" s="151">
        <v>2019</v>
      </c>
      <c r="D1577" s="151">
        <v>1</v>
      </c>
      <c r="E1577" s="151">
        <v>36</v>
      </c>
    </row>
    <row r="1578" spans="2:5" x14ac:dyDescent="0.2">
      <c r="B1578" s="150" t="s">
        <v>2832</v>
      </c>
      <c r="C1578" s="151">
        <v>2019</v>
      </c>
      <c r="D1578" s="151">
        <v>5</v>
      </c>
      <c r="E1578" s="151">
        <v>27</v>
      </c>
    </row>
    <row r="1579" spans="2:5" x14ac:dyDescent="0.2">
      <c r="B1579" s="150" t="s">
        <v>2832</v>
      </c>
      <c r="C1579" s="151">
        <v>2019</v>
      </c>
      <c r="D1579" s="151">
        <v>8</v>
      </c>
      <c r="E1579" s="151">
        <v>27</v>
      </c>
    </row>
    <row r="1580" spans="2:5" x14ac:dyDescent="0.2">
      <c r="B1580" s="150" t="s">
        <v>2832</v>
      </c>
      <c r="C1580" s="151">
        <v>2019</v>
      </c>
      <c r="D1580" s="151">
        <v>11</v>
      </c>
      <c r="E1580" s="151">
        <v>22</v>
      </c>
    </row>
    <row r="1581" spans="2:5" x14ac:dyDescent="0.2">
      <c r="B1581" s="150" t="s">
        <v>2832</v>
      </c>
      <c r="C1581" s="151">
        <v>2019</v>
      </c>
      <c r="D1581" s="151">
        <v>7</v>
      </c>
      <c r="E1581" s="151">
        <v>19</v>
      </c>
    </row>
    <row r="1582" spans="2:5" x14ac:dyDescent="0.2">
      <c r="B1582" s="150" t="s">
        <v>2832</v>
      </c>
      <c r="C1582" s="151">
        <v>2019</v>
      </c>
      <c r="D1582" s="151">
        <v>6</v>
      </c>
      <c r="E1582" s="151">
        <v>17</v>
      </c>
    </row>
    <row r="1583" spans="2:5" x14ac:dyDescent="0.2">
      <c r="B1583" s="150" t="s">
        <v>2832</v>
      </c>
      <c r="C1583" s="151">
        <v>2019</v>
      </c>
      <c r="D1583" s="151">
        <v>2</v>
      </c>
      <c r="E1583" s="151">
        <v>16</v>
      </c>
    </row>
    <row r="1584" spans="2:5" x14ac:dyDescent="0.2">
      <c r="B1584" s="150" t="s">
        <v>2832</v>
      </c>
      <c r="C1584" s="151">
        <v>2019</v>
      </c>
      <c r="D1584" s="151">
        <v>12</v>
      </c>
      <c r="E1584" s="151">
        <v>10</v>
      </c>
    </row>
    <row r="1585" spans="2:5" x14ac:dyDescent="0.2">
      <c r="B1585" s="150" t="s">
        <v>2934</v>
      </c>
      <c r="C1585" s="151">
        <v>2019</v>
      </c>
      <c r="D1585" s="151">
        <v>6</v>
      </c>
      <c r="E1585" s="151">
        <v>6</v>
      </c>
    </row>
    <row r="1586" spans="2:5" x14ac:dyDescent="0.2">
      <c r="B1586" s="150" t="s">
        <v>2934</v>
      </c>
      <c r="C1586" s="151">
        <v>2019</v>
      </c>
      <c r="D1586" s="151">
        <v>4</v>
      </c>
      <c r="E1586" s="151">
        <v>5</v>
      </c>
    </row>
    <row r="1587" spans="2:5" x14ac:dyDescent="0.2">
      <c r="B1587" s="150" t="s">
        <v>2934</v>
      </c>
      <c r="C1587" s="151">
        <v>2019</v>
      </c>
      <c r="D1587" s="151">
        <v>5</v>
      </c>
      <c r="E1587" s="151">
        <v>4</v>
      </c>
    </row>
    <row r="1588" spans="2:5" x14ac:dyDescent="0.2">
      <c r="B1588" s="150" t="s">
        <v>2934</v>
      </c>
      <c r="C1588" s="151">
        <v>2019</v>
      </c>
      <c r="D1588" s="151">
        <v>2</v>
      </c>
      <c r="E1588" s="151">
        <v>3</v>
      </c>
    </row>
    <row r="1589" spans="2:5" x14ac:dyDescent="0.2">
      <c r="B1589" s="150" t="s">
        <v>2934</v>
      </c>
      <c r="C1589" s="151">
        <v>2019</v>
      </c>
      <c r="D1589" s="151">
        <v>8</v>
      </c>
      <c r="E1589" s="151">
        <v>2</v>
      </c>
    </row>
    <row r="1590" spans="2:5" x14ac:dyDescent="0.2">
      <c r="B1590" s="150" t="s">
        <v>2934</v>
      </c>
      <c r="C1590" s="151">
        <v>2019</v>
      </c>
      <c r="D1590" s="151">
        <v>1</v>
      </c>
      <c r="E1590" s="151">
        <v>1</v>
      </c>
    </row>
    <row r="1591" spans="2:5" x14ac:dyDescent="0.2">
      <c r="B1591" s="150" t="s">
        <v>2934</v>
      </c>
      <c r="C1591" s="151">
        <v>2019</v>
      </c>
      <c r="D1591" s="151">
        <v>3</v>
      </c>
      <c r="E1591" s="151">
        <v>1</v>
      </c>
    </row>
    <row r="1592" spans="2:5" x14ac:dyDescent="0.2">
      <c r="B1592" s="150" t="s">
        <v>2934</v>
      </c>
      <c r="C1592" s="151">
        <v>2019</v>
      </c>
      <c r="D1592" s="151">
        <v>11</v>
      </c>
      <c r="E1592" s="151">
        <v>1</v>
      </c>
    </row>
    <row r="1593" spans="2:5" x14ac:dyDescent="0.2">
      <c r="B1593" s="150" t="s">
        <v>2934</v>
      </c>
      <c r="C1593" s="151">
        <v>2019</v>
      </c>
      <c r="D1593" s="151">
        <v>12</v>
      </c>
      <c r="E1593" s="151">
        <v>1</v>
      </c>
    </row>
    <row r="1594" spans="2:5" x14ac:dyDescent="0.2">
      <c r="B1594" s="150" t="s">
        <v>2833</v>
      </c>
      <c r="C1594" s="151">
        <v>2019</v>
      </c>
      <c r="D1594" s="151">
        <v>5</v>
      </c>
      <c r="E1594" s="151">
        <v>9</v>
      </c>
    </row>
    <row r="1595" spans="2:5" x14ac:dyDescent="0.2">
      <c r="B1595" s="150" t="s">
        <v>2833</v>
      </c>
      <c r="C1595" s="151">
        <v>2019</v>
      </c>
      <c r="D1595" s="151">
        <v>6</v>
      </c>
      <c r="E1595" s="151">
        <v>5</v>
      </c>
    </row>
    <row r="1596" spans="2:5" x14ac:dyDescent="0.2">
      <c r="B1596" s="150" t="s">
        <v>2833</v>
      </c>
      <c r="C1596" s="151">
        <v>2019</v>
      </c>
      <c r="D1596" s="151">
        <v>8</v>
      </c>
      <c r="E1596" s="151">
        <v>4</v>
      </c>
    </row>
    <row r="1597" spans="2:5" x14ac:dyDescent="0.2">
      <c r="B1597" s="150" t="s">
        <v>2833</v>
      </c>
      <c r="C1597" s="151">
        <v>2019</v>
      </c>
      <c r="D1597" s="151">
        <v>7</v>
      </c>
      <c r="E1597" s="151">
        <v>3</v>
      </c>
    </row>
    <row r="1598" spans="2:5" x14ac:dyDescent="0.2">
      <c r="B1598" s="150" t="s">
        <v>2833</v>
      </c>
      <c r="C1598" s="151">
        <v>2019</v>
      </c>
      <c r="D1598" s="151">
        <v>2</v>
      </c>
      <c r="E1598" s="151">
        <v>1</v>
      </c>
    </row>
    <row r="1599" spans="2:5" x14ac:dyDescent="0.2">
      <c r="B1599" s="150" t="s">
        <v>2833</v>
      </c>
      <c r="C1599" s="151">
        <v>2019</v>
      </c>
      <c r="D1599" s="151">
        <v>3</v>
      </c>
      <c r="E1599" s="151">
        <v>1</v>
      </c>
    </row>
    <row r="1600" spans="2:5" x14ac:dyDescent="0.2">
      <c r="B1600" s="150" t="s">
        <v>2833</v>
      </c>
      <c r="C1600" s="151">
        <v>2019</v>
      </c>
      <c r="D1600" s="151">
        <v>4</v>
      </c>
      <c r="E1600" s="151">
        <v>1</v>
      </c>
    </row>
    <row r="1601" spans="2:5" x14ac:dyDescent="0.2">
      <c r="B1601" s="150" t="s">
        <v>2833</v>
      </c>
      <c r="C1601" s="151">
        <v>2019</v>
      </c>
      <c r="D1601" s="151">
        <v>9</v>
      </c>
      <c r="E1601" s="151">
        <v>1</v>
      </c>
    </row>
    <row r="1602" spans="2:5" x14ac:dyDescent="0.2">
      <c r="B1602" s="150" t="s">
        <v>2833</v>
      </c>
      <c r="C1602" s="151">
        <v>2019</v>
      </c>
      <c r="D1602" s="151">
        <v>12</v>
      </c>
      <c r="E1602" s="151">
        <v>1</v>
      </c>
    </row>
    <row r="1603" spans="2:5" x14ac:dyDescent="0.2">
      <c r="B1603" s="150" t="s">
        <v>2834</v>
      </c>
      <c r="C1603" s="151">
        <v>2019</v>
      </c>
      <c r="D1603" s="151">
        <v>2</v>
      </c>
      <c r="E1603" s="151">
        <v>7</v>
      </c>
    </row>
    <row r="1604" spans="2:5" x14ac:dyDescent="0.2">
      <c r="B1604" s="150" t="s">
        <v>2834</v>
      </c>
      <c r="C1604" s="151">
        <v>2019</v>
      </c>
      <c r="D1604" s="151">
        <v>3</v>
      </c>
      <c r="E1604" s="151">
        <v>5</v>
      </c>
    </row>
    <row r="1605" spans="2:5" x14ac:dyDescent="0.2">
      <c r="B1605" s="150" t="s">
        <v>2834</v>
      </c>
      <c r="C1605" s="151">
        <v>2019</v>
      </c>
      <c r="D1605" s="151">
        <v>5</v>
      </c>
      <c r="E1605" s="151">
        <v>4</v>
      </c>
    </row>
    <row r="1606" spans="2:5" x14ac:dyDescent="0.2">
      <c r="B1606" s="150" t="s">
        <v>2834</v>
      </c>
      <c r="C1606" s="151">
        <v>2019</v>
      </c>
      <c r="D1606" s="151">
        <v>6</v>
      </c>
      <c r="E1606" s="151">
        <v>4</v>
      </c>
    </row>
    <row r="1607" spans="2:5" x14ac:dyDescent="0.2">
      <c r="B1607" s="150" t="s">
        <v>2834</v>
      </c>
      <c r="C1607" s="151">
        <v>2019</v>
      </c>
      <c r="D1607" s="151">
        <v>7</v>
      </c>
      <c r="E1607" s="151">
        <v>4</v>
      </c>
    </row>
    <row r="1608" spans="2:5" x14ac:dyDescent="0.2">
      <c r="B1608" s="150" t="s">
        <v>2834</v>
      </c>
      <c r="C1608" s="151">
        <v>2019</v>
      </c>
      <c r="D1608" s="151">
        <v>8</v>
      </c>
      <c r="E1608" s="151">
        <v>4</v>
      </c>
    </row>
    <row r="1609" spans="2:5" x14ac:dyDescent="0.2">
      <c r="B1609" s="150" t="s">
        <v>2834</v>
      </c>
      <c r="C1609" s="151">
        <v>2019</v>
      </c>
      <c r="D1609" s="151">
        <v>9</v>
      </c>
      <c r="E1609" s="151">
        <v>4</v>
      </c>
    </row>
    <row r="1610" spans="2:5" x14ac:dyDescent="0.2">
      <c r="B1610" s="150" t="s">
        <v>2834</v>
      </c>
      <c r="C1610" s="151">
        <v>2019</v>
      </c>
      <c r="D1610" s="151">
        <v>12</v>
      </c>
      <c r="E1610" s="151">
        <v>4</v>
      </c>
    </row>
    <row r="1611" spans="2:5" x14ac:dyDescent="0.2">
      <c r="B1611" s="150" t="s">
        <v>2834</v>
      </c>
      <c r="C1611" s="151">
        <v>2019</v>
      </c>
      <c r="D1611" s="151">
        <v>1</v>
      </c>
      <c r="E1611" s="151">
        <v>3</v>
      </c>
    </row>
    <row r="1612" spans="2:5" x14ac:dyDescent="0.2">
      <c r="B1612" s="150" t="s">
        <v>2834</v>
      </c>
      <c r="C1612" s="151">
        <v>2019</v>
      </c>
      <c r="D1612" s="151">
        <v>4</v>
      </c>
      <c r="E1612" s="151">
        <v>3</v>
      </c>
    </row>
    <row r="1613" spans="2:5" x14ac:dyDescent="0.2">
      <c r="B1613" s="150" t="s">
        <v>2834</v>
      </c>
      <c r="C1613" s="151">
        <v>2019</v>
      </c>
      <c r="D1613" s="151">
        <v>10</v>
      </c>
      <c r="E1613" s="151">
        <v>2</v>
      </c>
    </row>
    <row r="1614" spans="2:5" x14ac:dyDescent="0.2">
      <c r="B1614" s="150" t="s">
        <v>2834</v>
      </c>
      <c r="C1614" s="151">
        <v>2019</v>
      </c>
      <c r="D1614" s="151">
        <v>11</v>
      </c>
      <c r="E1614" s="151">
        <v>1</v>
      </c>
    </row>
    <row r="1615" spans="2:5" x14ac:dyDescent="0.2">
      <c r="B1615" s="150" t="s">
        <v>2835</v>
      </c>
      <c r="C1615" s="151">
        <v>2019</v>
      </c>
      <c r="D1615" s="151">
        <v>3</v>
      </c>
      <c r="E1615" s="151">
        <v>6</v>
      </c>
    </row>
    <row r="1616" spans="2:5" x14ac:dyDescent="0.2">
      <c r="B1616" s="150" t="s">
        <v>2835</v>
      </c>
      <c r="C1616" s="151">
        <v>2019</v>
      </c>
      <c r="D1616" s="151">
        <v>8</v>
      </c>
      <c r="E1616" s="151">
        <v>6</v>
      </c>
    </row>
    <row r="1617" spans="2:5" x14ac:dyDescent="0.2">
      <c r="B1617" s="150" t="s">
        <v>2835</v>
      </c>
      <c r="C1617" s="151">
        <v>2019</v>
      </c>
      <c r="D1617" s="151">
        <v>1</v>
      </c>
      <c r="E1617" s="151">
        <v>5</v>
      </c>
    </row>
    <row r="1618" spans="2:5" x14ac:dyDescent="0.2">
      <c r="B1618" s="150" t="s">
        <v>2835</v>
      </c>
      <c r="C1618" s="151">
        <v>2019</v>
      </c>
      <c r="D1618" s="151">
        <v>10</v>
      </c>
      <c r="E1618" s="151">
        <v>5</v>
      </c>
    </row>
    <row r="1619" spans="2:5" x14ac:dyDescent="0.2">
      <c r="B1619" s="150" t="s">
        <v>2835</v>
      </c>
      <c r="C1619" s="151">
        <v>2019</v>
      </c>
      <c r="D1619" s="151">
        <v>6</v>
      </c>
      <c r="E1619" s="151">
        <v>3</v>
      </c>
    </row>
    <row r="1620" spans="2:5" x14ac:dyDescent="0.2">
      <c r="B1620" s="150" t="s">
        <v>2835</v>
      </c>
      <c r="C1620" s="151">
        <v>2019</v>
      </c>
      <c r="D1620" s="151">
        <v>9</v>
      </c>
      <c r="E1620" s="151">
        <v>3</v>
      </c>
    </row>
    <row r="1621" spans="2:5" x14ac:dyDescent="0.2">
      <c r="B1621" s="150" t="s">
        <v>2835</v>
      </c>
      <c r="C1621" s="151">
        <v>2019</v>
      </c>
      <c r="D1621" s="151">
        <v>11</v>
      </c>
      <c r="E1621" s="151">
        <v>3</v>
      </c>
    </row>
    <row r="1622" spans="2:5" x14ac:dyDescent="0.2">
      <c r="B1622" s="150" t="s">
        <v>2835</v>
      </c>
      <c r="C1622" s="151">
        <v>2019</v>
      </c>
      <c r="D1622" s="151">
        <v>2</v>
      </c>
      <c r="E1622" s="151">
        <v>2</v>
      </c>
    </row>
    <row r="1623" spans="2:5" x14ac:dyDescent="0.2">
      <c r="B1623" s="150" t="s">
        <v>2835</v>
      </c>
      <c r="C1623" s="151">
        <v>2019</v>
      </c>
      <c r="D1623" s="151">
        <v>4</v>
      </c>
      <c r="E1623" s="151">
        <v>2</v>
      </c>
    </row>
    <row r="1624" spans="2:5" x14ac:dyDescent="0.2">
      <c r="B1624" s="150" t="s">
        <v>2835</v>
      </c>
      <c r="C1624" s="151">
        <v>2019</v>
      </c>
      <c r="D1624" s="151">
        <v>5</v>
      </c>
      <c r="E1624" s="151">
        <v>1</v>
      </c>
    </row>
    <row r="1625" spans="2:5" x14ac:dyDescent="0.2">
      <c r="B1625" s="150" t="s">
        <v>2835</v>
      </c>
      <c r="C1625" s="151">
        <v>2019</v>
      </c>
      <c r="D1625" s="151">
        <v>7</v>
      </c>
      <c r="E1625" s="151">
        <v>1</v>
      </c>
    </row>
    <row r="1626" spans="2:5" x14ac:dyDescent="0.2">
      <c r="B1626" s="150" t="s">
        <v>2835</v>
      </c>
      <c r="C1626" s="151">
        <v>2019</v>
      </c>
      <c r="D1626" s="151">
        <v>12</v>
      </c>
      <c r="E1626" s="151">
        <v>1</v>
      </c>
    </row>
    <row r="1627" spans="2:5" x14ac:dyDescent="0.2">
      <c r="B1627" s="150" t="s">
        <v>2901</v>
      </c>
      <c r="C1627" s="151">
        <v>2019</v>
      </c>
      <c r="D1627" s="151">
        <v>9</v>
      </c>
      <c r="E1627" s="151">
        <v>36</v>
      </c>
    </row>
    <row r="1628" spans="2:5" x14ac:dyDescent="0.2">
      <c r="B1628" s="150" t="s">
        <v>2901</v>
      </c>
      <c r="C1628" s="151">
        <v>2019</v>
      </c>
      <c r="D1628" s="151">
        <v>1</v>
      </c>
      <c r="E1628" s="151">
        <v>25</v>
      </c>
    </row>
    <row r="1629" spans="2:5" x14ac:dyDescent="0.2">
      <c r="B1629" s="150" t="s">
        <v>2901</v>
      </c>
      <c r="C1629" s="151">
        <v>2019</v>
      </c>
      <c r="D1629" s="151">
        <v>2</v>
      </c>
      <c r="E1629" s="151">
        <v>24</v>
      </c>
    </row>
    <row r="1630" spans="2:5" x14ac:dyDescent="0.2">
      <c r="B1630" s="150" t="s">
        <v>2901</v>
      </c>
      <c r="C1630" s="151">
        <v>2019</v>
      </c>
      <c r="D1630" s="151">
        <v>3</v>
      </c>
      <c r="E1630" s="151">
        <v>24</v>
      </c>
    </row>
    <row r="1631" spans="2:5" x14ac:dyDescent="0.2">
      <c r="B1631" s="150" t="s">
        <v>2901</v>
      </c>
      <c r="C1631" s="151">
        <v>2019</v>
      </c>
      <c r="D1631" s="151">
        <v>4</v>
      </c>
      <c r="E1631" s="151">
        <v>24</v>
      </c>
    </row>
    <row r="1632" spans="2:5" x14ac:dyDescent="0.2">
      <c r="B1632" s="150" t="s">
        <v>2901</v>
      </c>
      <c r="C1632" s="151">
        <v>2019</v>
      </c>
      <c r="D1632" s="151">
        <v>8</v>
      </c>
      <c r="E1632" s="151">
        <v>16</v>
      </c>
    </row>
    <row r="1633" spans="2:5" x14ac:dyDescent="0.2">
      <c r="B1633" s="150" t="s">
        <v>2901</v>
      </c>
      <c r="C1633" s="151">
        <v>2019</v>
      </c>
      <c r="D1633" s="151">
        <v>12</v>
      </c>
      <c r="E1633" s="151">
        <v>15</v>
      </c>
    </row>
    <row r="1634" spans="2:5" x14ac:dyDescent="0.2">
      <c r="B1634" s="150" t="s">
        <v>2901</v>
      </c>
      <c r="C1634" s="151">
        <v>2019</v>
      </c>
      <c r="D1634" s="151">
        <v>10</v>
      </c>
      <c r="E1634" s="151">
        <v>14</v>
      </c>
    </row>
    <row r="1635" spans="2:5" x14ac:dyDescent="0.2">
      <c r="B1635" s="150" t="s">
        <v>2901</v>
      </c>
      <c r="C1635" s="151">
        <v>2019</v>
      </c>
      <c r="D1635" s="151">
        <v>11</v>
      </c>
      <c r="E1635" s="151">
        <v>13</v>
      </c>
    </row>
    <row r="1636" spans="2:5" x14ac:dyDescent="0.2">
      <c r="B1636" s="150" t="s">
        <v>2901</v>
      </c>
      <c r="C1636" s="151">
        <v>2019</v>
      </c>
      <c r="D1636" s="151">
        <v>6</v>
      </c>
      <c r="E1636" s="151">
        <v>10</v>
      </c>
    </row>
    <row r="1637" spans="2:5" x14ac:dyDescent="0.2">
      <c r="B1637" s="150" t="s">
        <v>2901</v>
      </c>
      <c r="C1637" s="151">
        <v>2019</v>
      </c>
      <c r="D1637" s="151">
        <v>5</v>
      </c>
      <c r="E1637" s="151">
        <v>9</v>
      </c>
    </row>
    <row r="1638" spans="2:5" x14ac:dyDescent="0.2">
      <c r="B1638" s="150" t="s">
        <v>2901</v>
      </c>
      <c r="C1638" s="151">
        <v>2019</v>
      </c>
      <c r="D1638" s="151">
        <v>7</v>
      </c>
      <c r="E1638" s="151">
        <v>9</v>
      </c>
    </row>
    <row r="1639" spans="2:5" x14ac:dyDescent="0.2">
      <c r="B1639" s="150" t="s">
        <v>2836</v>
      </c>
      <c r="C1639" s="151">
        <v>2019</v>
      </c>
      <c r="D1639" s="151">
        <v>10</v>
      </c>
      <c r="E1639" s="151">
        <v>6</v>
      </c>
    </row>
    <row r="1640" spans="2:5" x14ac:dyDescent="0.2">
      <c r="B1640" s="150" t="s">
        <v>2836</v>
      </c>
      <c r="C1640" s="151">
        <v>2019</v>
      </c>
      <c r="D1640" s="151">
        <v>1</v>
      </c>
      <c r="E1640" s="151">
        <v>3</v>
      </c>
    </row>
    <row r="1641" spans="2:5" x14ac:dyDescent="0.2">
      <c r="B1641" s="150" t="s">
        <v>2836</v>
      </c>
      <c r="C1641" s="151">
        <v>2019</v>
      </c>
      <c r="D1641" s="151">
        <v>5</v>
      </c>
      <c r="E1641" s="151">
        <v>3</v>
      </c>
    </row>
    <row r="1642" spans="2:5" x14ac:dyDescent="0.2">
      <c r="B1642" s="150" t="s">
        <v>2836</v>
      </c>
      <c r="C1642" s="151">
        <v>2019</v>
      </c>
      <c r="D1642" s="151">
        <v>4</v>
      </c>
      <c r="E1642" s="151">
        <v>2</v>
      </c>
    </row>
    <row r="1643" spans="2:5" x14ac:dyDescent="0.2">
      <c r="B1643" s="150" t="s">
        <v>2836</v>
      </c>
      <c r="C1643" s="151">
        <v>2019</v>
      </c>
      <c r="D1643" s="151">
        <v>6</v>
      </c>
      <c r="E1643" s="151">
        <v>2</v>
      </c>
    </row>
    <row r="1644" spans="2:5" x14ac:dyDescent="0.2">
      <c r="B1644" s="150" t="s">
        <v>2836</v>
      </c>
      <c r="C1644" s="151">
        <v>2019</v>
      </c>
      <c r="D1644" s="151">
        <v>3</v>
      </c>
      <c r="E1644" s="151">
        <v>1</v>
      </c>
    </row>
    <row r="1645" spans="2:5" x14ac:dyDescent="0.2">
      <c r="B1645" s="150" t="s">
        <v>2836</v>
      </c>
      <c r="C1645" s="151">
        <v>2019</v>
      </c>
      <c r="D1645" s="151">
        <v>7</v>
      </c>
      <c r="E1645" s="151">
        <v>1</v>
      </c>
    </row>
    <row r="1646" spans="2:5" x14ac:dyDescent="0.2">
      <c r="B1646" s="150" t="s">
        <v>2836</v>
      </c>
      <c r="C1646" s="151">
        <v>2019</v>
      </c>
      <c r="D1646" s="151">
        <v>12</v>
      </c>
      <c r="E1646" s="151">
        <v>1</v>
      </c>
    </row>
    <row r="1647" spans="2:5" x14ac:dyDescent="0.2">
      <c r="B1647" s="150" t="s">
        <v>2837</v>
      </c>
      <c r="C1647" s="151">
        <v>2019</v>
      </c>
      <c r="D1647" s="151">
        <v>3</v>
      </c>
      <c r="E1647" s="151">
        <v>62</v>
      </c>
    </row>
    <row r="1648" spans="2:5" x14ac:dyDescent="0.2">
      <c r="B1648" s="150" t="s">
        <v>2837</v>
      </c>
      <c r="C1648" s="151">
        <v>2019</v>
      </c>
      <c r="D1648" s="151">
        <v>5</v>
      </c>
      <c r="E1648" s="151">
        <v>55</v>
      </c>
    </row>
    <row r="1649" spans="2:5" x14ac:dyDescent="0.2">
      <c r="B1649" s="150" t="s">
        <v>2837</v>
      </c>
      <c r="C1649" s="151">
        <v>2019</v>
      </c>
      <c r="D1649" s="151">
        <v>9</v>
      </c>
      <c r="E1649" s="151">
        <v>54</v>
      </c>
    </row>
    <row r="1650" spans="2:5" x14ac:dyDescent="0.2">
      <c r="B1650" s="150" t="s">
        <v>2837</v>
      </c>
      <c r="C1650" s="151">
        <v>2019</v>
      </c>
      <c r="D1650" s="151">
        <v>10</v>
      </c>
      <c r="E1650" s="151">
        <v>47</v>
      </c>
    </row>
    <row r="1651" spans="2:5" x14ac:dyDescent="0.2">
      <c r="B1651" s="150" t="s">
        <v>2837</v>
      </c>
      <c r="C1651" s="151">
        <v>2019</v>
      </c>
      <c r="D1651" s="151">
        <v>11</v>
      </c>
      <c r="E1651" s="151">
        <v>47</v>
      </c>
    </row>
    <row r="1652" spans="2:5" x14ac:dyDescent="0.2">
      <c r="B1652" s="150" t="s">
        <v>2837</v>
      </c>
      <c r="C1652" s="151">
        <v>2019</v>
      </c>
      <c r="D1652" s="151">
        <v>8</v>
      </c>
      <c r="E1652" s="151">
        <v>44</v>
      </c>
    </row>
    <row r="1653" spans="2:5" x14ac:dyDescent="0.2">
      <c r="B1653" s="150" t="s">
        <v>2837</v>
      </c>
      <c r="C1653" s="151">
        <v>2019</v>
      </c>
      <c r="D1653" s="151">
        <v>4</v>
      </c>
      <c r="E1653" s="151">
        <v>42</v>
      </c>
    </row>
    <row r="1654" spans="2:5" x14ac:dyDescent="0.2">
      <c r="B1654" s="150" t="s">
        <v>2837</v>
      </c>
      <c r="C1654" s="151">
        <v>2019</v>
      </c>
      <c r="D1654" s="151">
        <v>12</v>
      </c>
      <c r="E1654" s="151">
        <v>34</v>
      </c>
    </row>
    <row r="1655" spans="2:5" x14ac:dyDescent="0.2">
      <c r="B1655" s="150" t="s">
        <v>2837</v>
      </c>
      <c r="C1655" s="151">
        <v>2019</v>
      </c>
      <c r="D1655" s="151">
        <v>6</v>
      </c>
      <c r="E1655" s="151">
        <v>28</v>
      </c>
    </row>
    <row r="1656" spans="2:5" x14ac:dyDescent="0.2">
      <c r="B1656" s="150" t="s">
        <v>2837</v>
      </c>
      <c r="C1656" s="151">
        <v>2019</v>
      </c>
      <c r="D1656" s="151">
        <v>7</v>
      </c>
      <c r="E1656" s="151">
        <v>26</v>
      </c>
    </row>
    <row r="1657" spans="2:5" x14ac:dyDescent="0.2">
      <c r="B1657" s="150" t="s">
        <v>2837</v>
      </c>
      <c r="C1657" s="151">
        <v>2019</v>
      </c>
      <c r="D1657" s="151">
        <v>1</v>
      </c>
      <c r="E1657" s="151">
        <v>10</v>
      </c>
    </row>
    <row r="1658" spans="2:5" x14ac:dyDescent="0.2">
      <c r="B1658" s="150" t="s">
        <v>2837</v>
      </c>
      <c r="C1658" s="151">
        <v>2019</v>
      </c>
      <c r="D1658" s="151">
        <v>2</v>
      </c>
      <c r="E1658" s="151">
        <v>3</v>
      </c>
    </row>
    <row r="1659" spans="2:5" x14ac:dyDescent="0.2">
      <c r="B1659" s="150" t="s">
        <v>2838</v>
      </c>
      <c r="C1659" s="151">
        <v>2019</v>
      </c>
      <c r="D1659" s="151">
        <v>4</v>
      </c>
      <c r="E1659" s="151">
        <v>12</v>
      </c>
    </row>
    <row r="1660" spans="2:5" x14ac:dyDescent="0.2">
      <c r="B1660" s="150" t="s">
        <v>2838</v>
      </c>
      <c r="C1660" s="151">
        <v>2019</v>
      </c>
      <c r="D1660" s="151">
        <v>10</v>
      </c>
      <c r="E1660" s="151">
        <v>10</v>
      </c>
    </row>
    <row r="1661" spans="2:5" x14ac:dyDescent="0.2">
      <c r="B1661" s="150" t="s">
        <v>2838</v>
      </c>
      <c r="C1661" s="151">
        <v>2019</v>
      </c>
      <c r="D1661" s="151">
        <v>3</v>
      </c>
      <c r="E1661" s="151">
        <v>8</v>
      </c>
    </row>
    <row r="1662" spans="2:5" x14ac:dyDescent="0.2">
      <c r="B1662" s="150" t="s">
        <v>2838</v>
      </c>
      <c r="C1662" s="151">
        <v>2019</v>
      </c>
      <c r="D1662" s="151">
        <v>1</v>
      </c>
      <c r="E1662" s="151">
        <v>6</v>
      </c>
    </row>
    <row r="1663" spans="2:5" x14ac:dyDescent="0.2">
      <c r="B1663" s="150" t="s">
        <v>2838</v>
      </c>
      <c r="C1663" s="151">
        <v>2019</v>
      </c>
      <c r="D1663" s="151">
        <v>5</v>
      </c>
      <c r="E1663" s="151">
        <v>6</v>
      </c>
    </row>
    <row r="1664" spans="2:5" x14ac:dyDescent="0.2">
      <c r="B1664" s="150" t="s">
        <v>2838</v>
      </c>
      <c r="C1664" s="151">
        <v>2019</v>
      </c>
      <c r="D1664" s="151">
        <v>6</v>
      </c>
      <c r="E1664" s="151">
        <v>5</v>
      </c>
    </row>
    <row r="1665" spans="2:5" x14ac:dyDescent="0.2">
      <c r="B1665" s="150" t="s">
        <v>2838</v>
      </c>
      <c r="C1665" s="151">
        <v>2019</v>
      </c>
      <c r="D1665" s="151">
        <v>9</v>
      </c>
      <c r="E1665" s="151">
        <v>5</v>
      </c>
    </row>
    <row r="1666" spans="2:5" x14ac:dyDescent="0.2">
      <c r="B1666" s="150" t="s">
        <v>2838</v>
      </c>
      <c r="C1666" s="151">
        <v>2019</v>
      </c>
      <c r="D1666" s="151">
        <v>8</v>
      </c>
      <c r="E1666" s="151">
        <v>2</v>
      </c>
    </row>
    <row r="1667" spans="2:5" x14ac:dyDescent="0.2">
      <c r="B1667" s="150" t="s">
        <v>2838</v>
      </c>
      <c r="C1667" s="151">
        <v>2019</v>
      </c>
      <c r="D1667" s="151">
        <v>11</v>
      </c>
      <c r="E1667" s="151">
        <v>2</v>
      </c>
    </row>
    <row r="1668" spans="2:5" x14ac:dyDescent="0.2">
      <c r="B1668" s="150" t="s">
        <v>2838</v>
      </c>
      <c r="C1668" s="151">
        <v>2019</v>
      </c>
      <c r="D1668" s="151">
        <v>12</v>
      </c>
      <c r="E1668" s="151">
        <v>2</v>
      </c>
    </row>
    <row r="1669" spans="2:5" x14ac:dyDescent="0.2">
      <c r="B1669" s="150" t="s">
        <v>2838</v>
      </c>
      <c r="C1669" s="151">
        <v>2019</v>
      </c>
      <c r="D1669" s="151">
        <v>2</v>
      </c>
      <c r="E1669" s="151">
        <v>1</v>
      </c>
    </row>
    <row r="1670" spans="2:5" x14ac:dyDescent="0.2">
      <c r="B1670" s="150" t="s">
        <v>2839</v>
      </c>
      <c r="C1670" s="151">
        <v>2019</v>
      </c>
      <c r="D1670" s="151">
        <v>5</v>
      </c>
      <c r="E1670" s="151">
        <v>8</v>
      </c>
    </row>
    <row r="1671" spans="2:5" x14ac:dyDescent="0.2">
      <c r="B1671" s="150" t="s">
        <v>2839</v>
      </c>
      <c r="C1671" s="151">
        <v>2019</v>
      </c>
      <c r="D1671" s="151">
        <v>8</v>
      </c>
      <c r="E1671" s="151">
        <v>8</v>
      </c>
    </row>
    <row r="1672" spans="2:5" x14ac:dyDescent="0.2">
      <c r="B1672" s="150" t="s">
        <v>2839</v>
      </c>
      <c r="C1672" s="151">
        <v>2019</v>
      </c>
      <c r="D1672" s="151">
        <v>3</v>
      </c>
      <c r="E1672" s="151">
        <v>5</v>
      </c>
    </row>
    <row r="1673" spans="2:5" x14ac:dyDescent="0.2">
      <c r="B1673" s="150" t="s">
        <v>2839</v>
      </c>
      <c r="C1673" s="151">
        <v>2019</v>
      </c>
      <c r="D1673" s="151">
        <v>10</v>
      </c>
      <c r="E1673" s="151">
        <v>4</v>
      </c>
    </row>
    <row r="1674" spans="2:5" x14ac:dyDescent="0.2">
      <c r="B1674" s="150" t="s">
        <v>2839</v>
      </c>
      <c r="C1674" s="151">
        <v>2019</v>
      </c>
      <c r="D1674" s="151">
        <v>7</v>
      </c>
      <c r="E1674" s="151">
        <v>3</v>
      </c>
    </row>
    <row r="1675" spans="2:5" x14ac:dyDescent="0.2">
      <c r="B1675" s="150" t="s">
        <v>2839</v>
      </c>
      <c r="C1675" s="151">
        <v>2019</v>
      </c>
      <c r="D1675" s="151">
        <v>1</v>
      </c>
      <c r="E1675" s="151">
        <v>2</v>
      </c>
    </row>
    <row r="1676" spans="2:5" x14ac:dyDescent="0.2">
      <c r="B1676" s="150" t="s">
        <v>2839</v>
      </c>
      <c r="C1676" s="151">
        <v>2019</v>
      </c>
      <c r="D1676" s="151">
        <v>9</v>
      </c>
      <c r="E1676" s="151">
        <v>2</v>
      </c>
    </row>
    <row r="1677" spans="2:5" x14ac:dyDescent="0.2">
      <c r="B1677" s="150" t="s">
        <v>2839</v>
      </c>
      <c r="C1677" s="151">
        <v>2019</v>
      </c>
      <c r="D1677" s="151">
        <v>2</v>
      </c>
      <c r="E1677" s="151">
        <v>1</v>
      </c>
    </row>
    <row r="1678" spans="2:5" x14ac:dyDescent="0.2">
      <c r="B1678" s="150" t="s">
        <v>2839</v>
      </c>
      <c r="C1678" s="151">
        <v>2019</v>
      </c>
      <c r="D1678" s="151">
        <v>4</v>
      </c>
      <c r="E1678" s="151">
        <v>1</v>
      </c>
    </row>
    <row r="1679" spans="2:5" x14ac:dyDescent="0.2">
      <c r="B1679" s="150" t="s">
        <v>2839</v>
      </c>
      <c r="C1679" s="151">
        <v>2019</v>
      </c>
      <c r="D1679" s="151">
        <v>6</v>
      </c>
      <c r="E1679" s="151">
        <v>1</v>
      </c>
    </row>
    <row r="1680" spans="2:5" x14ac:dyDescent="0.2">
      <c r="B1680" s="150" t="s">
        <v>2839</v>
      </c>
      <c r="C1680" s="151">
        <v>2019</v>
      </c>
      <c r="D1680" s="151">
        <v>11</v>
      </c>
      <c r="E1680" s="151">
        <v>1</v>
      </c>
    </row>
    <row r="1681" spans="2:5" x14ac:dyDescent="0.2">
      <c r="B1681" s="150" t="s">
        <v>2840</v>
      </c>
      <c r="C1681" s="151">
        <v>2019</v>
      </c>
      <c r="D1681" s="151">
        <v>4</v>
      </c>
      <c r="E1681" s="151">
        <v>44</v>
      </c>
    </row>
    <row r="1682" spans="2:5" x14ac:dyDescent="0.2">
      <c r="B1682" s="150" t="s">
        <v>2840</v>
      </c>
      <c r="C1682" s="151">
        <v>2019</v>
      </c>
      <c r="D1682" s="151">
        <v>9</v>
      </c>
      <c r="E1682" s="151">
        <v>18</v>
      </c>
    </row>
    <row r="1683" spans="2:5" x14ac:dyDescent="0.2">
      <c r="B1683" s="150" t="s">
        <v>2840</v>
      </c>
      <c r="C1683" s="151">
        <v>2019</v>
      </c>
      <c r="D1683" s="151">
        <v>8</v>
      </c>
      <c r="E1683" s="151">
        <v>16</v>
      </c>
    </row>
    <row r="1684" spans="2:5" x14ac:dyDescent="0.2">
      <c r="B1684" s="150" t="s">
        <v>2840</v>
      </c>
      <c r="C1684" s="151">
        <v>2019</v>
      </c>
      <c r="D1684" s="151">
        <v>12</v>
      </c>
      <c r="E1684" s="151">
        <v>16</v>
      </c>
    </row>
    <row r="1685" spans="2:5" x14ac:dyDescent="0.2">
      <c r="B1685" s="150" t="s">
        <v>2840</v>
      </c>
      <c r="C1685" s="151">
        <v>2019</v>
      </c>
      <c r="D1685" s="151">
        <v>7</v>
      </c>
      <c r="E1685" s="151">
        <v>14</v>
      </c>
    </row>
    <row r="1686" spans="2:5" x14ac:dyDescent="0.2">
      <c r="B1686" s="150" t="s">
        <v>2840</v>
      </c>
      <c r="C1686" s="151">
        <v>2019</v>
      </c>
      <c r="D1686" s="151">
        <v>5</v>
      </c>
      <c r="E1686" s="151">
        <v>12</v>
      </c>
    </row>
    <row r="1687" spans="2:5" x14ac:dyDescent="0.2">
      <c r="B1687" s="150" t="s">
        <v>2840</v>
      </c>
      <c r="C1687" s="151">
        <v>2019</v>
      </c>
      <c r="D1687" s="151">
        <v>6</v>
      </c>
      <c r="E1687" s="151">
        <v>12</v>
      </c>
    </row>
    <row r="1688" spans="2:5" x14ac:dyDescent="0.2">
      <c r="B1688" s="150" t="s">
        <v>2840</v>
      </c>
      <c r="C1688" s="151">
        <v>2019</v>
      </c>
      <c r="D1688" s="151">
        <v>3</v>
      </c>
      <c r="E1688" s="151">
        <v>11</v>
      </c>
    </row>
    <row r="1689" spans="2:5" x14ac:dyDescent="0.2">
      <c r="B1689" s="150" t="s">
        <v>2840</v>
      </c>
      <c r="C1689" s="151">
        <v>2019</v>
      </c>
      <c r="D1689" s="151">
        <v>11</v>
      </c>
      <c r="E1689" s="151">
        <v>11</v>
      </c>
    </row>
    <row r="1690" spans="2:5" x14ac:dyDescent="0.2">
      <c r="B1690" s="150" t="s">
        <v>2840</v>
      </c>
      <c r="C1690" s="151">
        <v>2019</v>
      </c>
      <c r="D1690" s="151">
        <v>10</v>
      </c>
      <c r="E1690" s="151">
        <v>9</v>
      </c>
    </row>
    <row r="1691" spans="2:5" x14ac:dyDescent="0.2">
      <c r="B1691" s="150" t="s">
        <v>2840</v>
      </c>
      <c r="C1691" s="151">
        <v>2019</v>
      </c>
      <c r="D1691" s="151">
        <v>1</v>
      </c>
      <c r="E1691" s="151">
        <v>7</v>
      </c>
    </row>
    <row r="1692" spans="2:5" x14ac:dyDescent="0.2">
      <c r="B1692" s="150" t="s">
        <v>2841</v>
      </c>
      <c r="C1692" s="151">
        <v>2019</v>
      </c>
      <c r="D1692" s="151">
        <v>8</v>
      </c>
      <c r="E1692" s="151">
        <v>24</v>
      </c>
    </row>
    <row r="1693" spans="2:5" x14ac:dyDescent="0.2">
      <c r="B1693" s="150" t="s">
        <v>2841</v>
      </c>
      <c r="C1693" s="151">
        <v>2019</v>
      </c>
      <c r="D1693" s="151">
        <v>5</v>
      </c>
      <c r="E1693" s="151">
        <v>14</v>
      </c>
    </row>
    <row r="1694" spans="2:5" x14ac:dyDescent="0.2">
      <c r="B1694" s="150" t="s">
        <v>2841</v>
      </c>
      <c r="C1694" s="151">
        <v>2019</v>
      </c>
      <c r="D1694" s="151">
        <v>4</v>
      </c>
      <c r="E1694" s="151">
        <v>13</v>
      </c>
    </row>
    <row r="1695" spans="2:5" x14ac:dyDescent="0.2">
      <c r="B1695" s="150" t="s">
        <v>2841</v>
      </c>
      <c r="C1695" s="151">
        <v>2019</v>
      </c>
      <c r="D1695" s="151">
        <v>7</v>
      </c>
      <c r="E1695" s="151">
        <v>11</v>
      </c>
    </row>
    <row r="1696" spans="2:5" x14ac:dyDescent="0.2">
      <c r="B1696" s="150" t="s">
        <v>2841</v>
      </c>
      <c r="C1696" s="151">
        <v>2019</v>
      </c>
      <c r="D1696" s="151">
        <v>11</v>
      </c>
      <c r="E1696" s="151">
        <v>8</v>
      </c>
    </row>
    <row r="1697" spans="2:5" x14ac:dyDescent="0.2">
      <c r="B1697" s="150" t="s">
        <v>2841</v>
      </c>
      <c r="C1697" s="151">
        <v>2019</v>
      </c>
      <c r="D1697" s="151">
        <v>6</v>
      </c>
      <c r="E1697" s="151">
        <v>6</v>
      </c>
    </row>
    <row r="1698" spans="2:5" x14ac:dyDescent="0.2">
      <c r="B1698" s="150" t="s">
        <v>2841</v>
      </c>
      <c r="C1698" s="151">
        <v>2019</v>
      </c>
      <c r="D1698" s="151">
        <v>1</v>
      </c>
      <c r="E1698" s="151">
        <v>5</v>
      </c>
    </row>
    <row r="1699" spans="2:5" x14ac:dyDescent="0.2">
      <c r="B1699" s="150" t="s">
        <v>2841</v>
      </c>
      <c r="C1699" s="151">
        <v>2019</v>
      </c>
      <c r="D1699" s="151">
        <v>3</v>
      </c>
      <c r="E1699" s="151">
        <v>5</v>
      </c>
    </row>
    <row r="1700" spans="2:5" x14ac:dyDescent="0.2">
      <c r="B1700" s="150" t="s">
        <v>2841</v>
      </c>
      <c r="C1700" s="151">
        <v>2019</v>
      </c>
      <c r="D1700" s="151">
        <v>9</v>
      </c>
      <c r="E1700" s="151">
        <v>5</v>
      </c>
    </row>
    <row r="1701" spans="2:5" x14ac:dyDescent="0.2">
      <c r="B1701" s="150" t="s">
        <v>2841</v>
      </c>
      <c r="C1701" s="151">
        <v>2019</v>
      </c>
      <c r="D1701" s="151">
        <v>10</v>
      </c>
      <c r="E1701" s="151">
        <v>5</v>
      </c>
    </row>
    <row r="1702" spans="2:5" x14ac:dyDescent="0.2">
      <c r="B1702" s="150" t="s">
        <v>2841</v>
      </c>
      <c r="C1702" s="151">
        <v>2019</v>
      </c>
      <c r="D1702" s="151">
        <v>2</v>
      </c>
      <c r="E1702" s="151">
        <v>3</v>
      </c>
    </row>
    <row r="1703" spans="2:5" x14ac:dyDescent="0.2">
      <c r="B1703" s="150" t="s">
        <v>2841</v>
      </c>
      <c r="C1703" s="151">
        <v>2019</v>
      </c>
      <c r="D1703" s="151">
        <v>12</v>
      </c>
      <c r="E1703" s="151">
        <v>1</v>
      </c>
    </row>
    <row r="1704" spans="2:5" x14ac:dyDescent="0.2">
      <c r="B1704" s="150" t="s">
        <v>2927</v>
      </c>
      <c r="C1704" s="151">
        <v>2019</v>
      </c>
      <c r="D1704" s="151">
        <v>11</v>
      </c>
      <c r="E1704" s="151">
        <v>11</v>
      </c>
    </row>
    <row r="1705" spans="2:5" x14ac:dyDescent="0.2">
      <c r="B1705" s="150" t="s">
        <v>2927</v>
      </c>
      <c r="C1705" s="151">
        <v>2019</v>
      </c>
      <c r="D1705" s="151">
        <v>6</v>
      </c>
      <c r="E1705" s="151">
        <v>7</v>
      </c>
    </row>
    <row r="1706" spans="2:5" x14ac:dyDescent="0.2">
      <c r="B1706" s="150" t="s">
        <v>2927</v>
      </c>
      <c r="C1706" s="151">
        <v>2019</v>
      </c>
      <c r="D1706" s="151">
        <v>10</v>
      </c>
      <c r="E1706" s="151">
        <v>5</v>
      </c>
    </row>
    <row r="1707" spans="2:5" x14ac:dyDescent="0.2">
      <c r="B1707" s="150" t="s">
        <v>2927</v>
      </c>
      <c r="C1707" s="151">
        <v>2019</v>
      </c>
      <c r="D1707" s="151">
        <v>5</v>
      </c>
      <c r="E1707" s="151">
        <v>4</v>
      </c>
    </row>
    <row r="1708" spans="2:5" x14ac:dyDescent="0.2">
      <c r="B1708" s="150" t="s">
        <v>2927</v>
      </c>
      <c r="C1708" s="151">
        <v>2019</v>
      </c>
      <c r="D1708" s="151">
        <v>7</v>
      </c>
      <c r="E1708" s="151">
        <v>4</v>
      </c>
    </row>
    <row r="1709" spans="2:5" x14ac:dyDescent="0.2">
      <c r="B1709" s="150" t="s">
        <v>2927</v>
      </c>
      <c r="C1709" s="151">
        <v>2019</v>
      </c>
      <c r="D1709" s="151">
        <v>8</v>
      </c>
      <c r="E1709" s="151">
        <v>4</v>
      </c>
    </row>
    <row r="1710" spans="2:5" x14ac:dyDescent="0.2">
      <c r="B1710" s="150" t="s">
        <v>2927</v>
      </c>
      <c r="C1710" s="151">
        <v>2019</v>
      </c>
      <c r="D1710" s="151">
        <v>9</v>
      </c>
      <c r="E1710" s="151">
        <v>3</v>
      </c>
    </row>
    <row r="1711" spans="2:5" x14ac:dyDescent="0.2">
      <c r="B1711" s="150" t="s">
        <v>2927</v>
      </c>
      <c r="C1711" s="151">
        <v>2019</v>
      </c>
      <c r="D1711" s="151">
        <v>12</v>
      </c>
      <c r="E1711" s="151">
        <v>3</v>
      </c>
    </row>
    <row r="1712" spans="2:5" x14ac:dyDescent="0.2">
      <c r="B1712" s="150" t="s">
        <v>2927</v>
      </c>
      <c r="C1712" s="151">
        <v>2019</v>
      </c>
      <c r="D1712" s="151">
        <v>3</v>
      </c>
      <c r="E1712" s="151">
        <v>2</v>
      </c>
    </row>
    <row r="1713" spans="2:5" x14ac:dyDescent="0.2">
      <c r="B1713" s="150" t="s">
        <v>2927</v>
      </c>
      <c r="C1713" s="151">
        <v>2019</v>
      </c>
      <c r="D1713" s="151">
        <v>1</v>
      </c>
      <c r="E1713" s="151">
        <v>1</v>
      </c>
    </row>
    <row r="1714" spans="2:5" x14ac:dyDescent="0.2">
      <c r="B1714" s="150" t="s">
        <v>2940</v>
      </c>
      <c r="C1714" s="151">
        <v>2019</v>
      </c>
      <c r="D1714" s="151">
        <v>2</v>
      </c>
      <c r="E1714" s="151">
        <v>4</v>
      </c>
    </row>
    <row r="1715" spans="2:5" x14ac:dyDescent="0.2">
      <c r="B1715" s="150" t="s">
        <v>2940</v>
      </c>
      <c r="C1715" s="151">
        <v>2019</v>
      </c>
      <c r="D1715" s="151">
        <v>10</v>
      </c>
      <c r="E1715" s="151">
        <v>4</v>
      </c>
    </row>
    <row r="1716" spans="2:5" x14ac:dyDescent="0.2">
      <c r="B1716" s="150" t="s">
        <v>2940</v>
      </c>
      <c r="C1716" s="151">
        <v>2019</v>
      </c>
      <c r="D1716" s="151">
        <v>1</v>
      </c>
      <c r="E1716" s="151">
        <v>2</v>
      </c>
    </row>
    <row r="1717" spans="2:5" x14ac:dyDescent="0.2">
      <c r="B1717" s="150" t="s">
        <v>2940</v>
      </c>
      <c r="C1717" s="151">
        <v>2019</v>
      </c>
      <c r="D1717" s="151">
        <v>6</v>
      </c>
      <c r="E1717" s="151">
        <v>2</v>
      </c>
    </row>
    <row r="1718" spans="2:5" x14ac:dyDescent="0.2">
      <c r="B1718" s="150" t="s">
        <v>2940</v>
      </c>
      <c r="C1718" s="151">
        <v>2019</v>
      </c>
      <c r="D1718" s="151">
        <v>12</v>
      </c>
      <c r="E1718" s="151">
        <v>2</v>
      </c>
    </row>
    <row r="1719" spans="2:5" x14ac:dyDescent="0.2">
      <c r="B1719" s="150" t="s">
        <v>2940</v>
      </c>
      <c r="C1719" s="151">
        <v>2019</v>
      </c>
      <c r="D1719" s="151">
        <v>3</v>
      </c>
      <c r="E1719" s="151">
        <v>1</v>
      </c>
    </row>
    <row r="1720" spans="2:5" x14ac:dyDescent="0.2">
      <c r="B1720" s="150" t="s">
        <v>2940</v>
      </c>
      <c r="C1720" s="151">
        <v>2019</v>
      </c>
      <c r="D1720" s="151">
        <v>4</v>
      </c>
      <c r="E1720" s="151">
        <v>1</v>
      </c>
    </row>
    <row r="1721" spans="2:5" x14ac:dyDescent="0.2">
      <c r="B1721" s="150" t="s">
        <v>2940</v>
      </c>
      <c r="C1721" s="151">
        <v>2019</v>
      </c>
      <c r="D1721" s="151">
        <v>7</v>
      </c>
      <c r="E1721" s="151">
        <v>1</v>
      </c>
    </row>
    <row r="1722" spans="2:5" x14ac:dyDescent="0.2">
      <c r="B1722" s="150" t="s">
        <v>2940</v>
      </c>
      <c r="C1722" s="151">
        <v>2019</v>
      </c>
      <c r="D1722" s="151">
        <v>8</v>
      </c>
      <c r="E1722" s="151">
        <v>1</v>
      </c>
    </row>
    <row r="1723" spans="2:5" x14ac:dyDescent="0.2">
      <c r="B1723" s="150" t="s">
        <v>2940</v>
      </c>
      <c r="C1723" s="151">
        <v>2019</v>
      </c>
      <c r="D1723" s="151">
        <v>9</v>
      </c>
      <c r="E1723" s="151">
        <v>1</v>
      </c>
    </row>
    <row r="1724" spans="2:5" x14ac:dyDescent="0.2">
      <c r="B1724" s="150" t="s">
        <v>2940</v>
      </c>
      <c r="C1724" s="151">
        <v>2019</v>
      </c>
      <c r="D1724" s="151">
        <v>11</v>
      </c>
      <c r="E1724" s="151">
        <v>1</v>
      </c>
    </row>
    <row r="1725" spans="2:5" x14ac:dyDescent="0.2">
      <c r="B1725" s="150" t="s">
        <v>2946</v>
      </c>
      <c r="C1725" s="151">
        <v>2019</v>
      </c>
      <c r="D1725" s="151">
        <v>3</v>
      </c>
      <c r="E1725" s="151">
        <v>6</v>
      </c>
    </row>
    <row r="1726" spans="2:5" x14ac:dyDescent="0.2">
      <c r="B1726" s="150" t="s">
        <v>2946</v>
      </c>
      <c r="C1726" s="151">
        <v>2019</v>
      </c>
      <c r="D1726" s="151">
        <v>8</v>
      </c>
      <c r="E1726" s="151">
        <v>2</v>
      </c>
    </row>
    <row r="1727" spans="2:5" x14ac:dyDescent="0.2">
      <c r="B1727" s="150" t="s">
        <v>2946</v>
      </c>
      <c r="C1727" s="151">
        <v>2019</v>
      </c>
      <c r="D1727" s="151">
        <v>11</v>
      </c>
      <c r="E1727" s="151">
        <v>2</v>
      </c>
    </row>
    <row r="1728" spans="2:5" x14ac:dyDescent="0.2">
      <c r="B1728" s="150" t="s">
        <v>2946</v>
      </c>
      <c r="C1728" s="151">
        <v>2019</v>
      </c>
      <c r="D1728" s="151">
        <v>4</v>
      </c>
      <c r="E1728" s="151">
        <v>1</v>
      </c>
    </row>
    <row r="1729" spans="2:5" x14ac:dyDescent="0.2">
      <c r="B1729" s="150" t="s">
        <v>2946</v>
      </c>
      <c r="C1729" s="151">
        <v>2019</v>
      </c>
      <c r="D1729" s="151">
        <v>6</v>
      </c>
      <c r="E1729" s="151">
        <v>1</v>
      </c>
    </row>
    <row r="1730" spans="2:5" x14ac:dyDescent="0.2">
      <c r="B1730" s="150" t="s">
        <v>2946</v>
      </c>
      <c r="C1730" s="151">
        <v>2019</v>
      </c>
      <c r="D1730" s="151">
        <v>7</v>
      </c>
      <c r="E1730" s="151">
        <v>1</v>
      </c>
    </row>
    <row r="1731" spans="2:5" x14ac:dyDescent="0.2">
      <c r="B1731" s="150" t="s">
        <v>2842</v>
      </c>
      <c r="C1731" s="151">
        <v>2019</v>
      </c>
      <c r="D1731" s="151">
        <v>10</v>
      </c>
      <c r="E1731" s="151">
        <v>91</v>
      </c>
    </row>
    <row r="1732" spans="2:5" x14ac:dyDescent="0.2">
      <c r="B1732" s="150" t="s">
        <v>2842</v>
      </c>
      <c r="C1732" s="151">
        <v>2019</v>
      </c>
      <c r="D1732" s="151">
        <v>2</v>
      </c>
      <c r="E1732" s="151">
        <v>63</v>
      </c>
    </row>
    <row r="1733" spans="2:5" x14ac:dyDescent="0.2">
      <c r="B1733" s="150" t="s">
        <v>2842</v>
      </c>
      <c r="C1733" s="151">
        <v>2019</v>
      </c>
      <c r="D1733" s="151">
        <v>8</v>
      </c>
      <c r="E1733" s="151">
        <v>55</v>
      </c>
    </row>
    <row r="1734" spans="2:5" x14ac:dyDescent="0.2">
      <c r="B1734" s="150" t="s">
        <v>2842</v>
      </c>
      <c r="C1734" s="151">
        <v>2019</v>
      </c>
      <c r="D1734" s="151">
        <v>4</v>
      </c>
      <c r="E1734" s="151">
        <v>52</v>
      </c>
    </row>
    <row r="1735" spans="2:5" x14ac:dyDescent="0.2">
      <c r="B1735" s="150" t="s">
        <v>2842</v>
      </c>
      <c r="C1735" s="151">
        <v>2019</v>
      </c>
      <c r="D1735" s="151">
        <v>3</v>
      </c>
      <c r="E1735" s="151">
        <v>51</v>
      </c>
    </row>
    <row r="1736" spans="2:5" x14ac:dyDescent="0.2">
      <c r="B1736" s="150" t="s">
        <v>2842</v>
      </c>
      <c r="C1736" s="151">
        <v>2019</v>
      </c>
      <c r="D1736" s="151">
        <v>11</v>
      </c>
      <c r="E1736" s="151">
        <v>30</v>
      </c>
    </row>
    <row r="1737" spans="2:5" x14ac:dyDescent="0.2">
      <c r="B1737" s="150" t="s">
        <v>2842</v>
      </c>
      <c r="C1737" s="151">
        <v>2019</v>
      </c>
      <c r="D1737" s="151">
        <v>7</v>
      </c>
      <c r="E1737" s="151">
        <v>27</v>
      </c>
    </row>
    <row r="1738" spans="2:5" x14ac:dyDescent="0.2">
      <c r="B1738" s="150" t="s">
        <v>2842</v>
      </c>
      <c r="C1738" s="151">
        <v>2019</v>
      </c>
      <c r="D1738" s="151">
        <v>1</v>
      </c>
      <c r="E1738" s="151">
        <v>24</v>
      </c>
    </row>
    <row r="1739" spans="2:5" x14ac:dyDescent="0.2">
      <c r="B1739" s="150" t="s">
        <v>2842</v>
      </c>
      <c r="C1739" s="151">
        <v>2019</v>
      </c>
      <c r="D1739" s="151">
        <v>5</v>
      </c>
      <c r="E1739" s="151">
        <v>22</v>
      </c>
    </row>
    <row r="1740" spans="2:5" x14ac:dyDescent="0.2">
      <c r="B1740" s="150" t="s">
        <v>2842</v>
      </c>
      <c r="C1740" s="151">
        <v>2019</v>
      </c>
      <c r="D1740" s="151">
        <v>9</v>
      </c>
      <c r="E1740" s="151">
        <v>22</v>
      </c>
    </row>
    <row r="1741" spans="2:5" x14ac:dyDescent="0.2">
      <c r="B1741" s="150" t="s">
        <v>2842</v>
      </c>
      <c r="C1741" s="151">
        <v>2019</v>
      </c>
      <c r="D1741" s="151">
        <v>6</v>
      </c>
      <c r="E1741" s="151">
        <v>18</v>
      </c>
    </row>
    <row r="1742" spans="2:5" x14ac:dyDescent="0.2">
      <c r="B1742" s="150" t="s">
        <v>2842</v>
      </c>
      <c r="C1742" s="151">
        <v>2019</v>
      </c>
      <c r="D1742" s="151">
        <v>12</v>
      </c>
      <c r="E1742" s="151">
        <v>4</v>
      </c>
    </row>
    <row r="1743" spans="2:5" x14ac:dyDescent="0.2">
      <c r="B1743" s="150" t="s">
        <v>2843</v>
      </c>
      <c r="C1743" s="151">
        <v>2019</v>
      </c>
      <c r="D1743" s="151">
        <v>10</v>
      </c>
      <c r="E1743" s="151">
        <v>55</v>
      </c>
    </row>
    <row r="1744" spans="2:5" x14ac:dyDescent="0.2">
      <c r="B1744" s="150" t="s">
        <v>2843</v>
      </c>
      <c r="C1744" s="151">
        <v>2019</v>
      </c>
      <c r="D1744" s="151">
        <v>12</v>
      </c>
      <c r="E1744" s="151">
        <v>43</v>
      </c>
    </row>
    <row r="1745" spans="2:5" x14ac:dyDescent="0.2">
      <c r="B1745" s="150" t="s">
        <v>2843</v>
      </c>
      <c r="C1745" s="151">
        <v>2019</v>
      </c>
      <c r="D1745" s="151">
        <v>6</v>
      </c>
      <c r="E1745" s="151">
        <v>20</v>
      </c>
    </row>
    <row r="1746" spans="2:5" x14ac:dyDescent="0.2">
      <c r="B1746" s="150" t="s">
        <v>2843</v>
      </c>
      <c r="C1746" s="151">
        <v>2019</v>
      </c>
      <c r="D1746" s="151">
        <v>5</v>
      </c>
      <c r="E1746" s="151">
        <v>19</v>
      </c>
    </row>
    <row r="1747" spans="2:5" x14ac:dyDescent="0.2">
      <c r="B1747" s="150" t="s">
        <v>2843</v>
      </c>
      <c r="C1747" s="151">
        <v>2019</v>
      </c>
      <c r="D1747" s="151">
        <v>2</v>
      </c>
      <c r="E1747" s="151">
        <v>18</v>
      </c>
    </row>
    <row r="1748" spans="2:5" x14ac:dyDescent="0.2">
      <c r="B1748" s="150" t="s">
        <v>2843</v>
      </c>
      <c r="C1748" s="151">
        <v>2019</v>
      </c>
      <c r="D1748" s="151">
        <v>8</v>
      </c>
      <c r="E1748" s="151">
        <v>17</v>
      </c>
    </row>
    <row r="1749" spans="2:5" x14ac:dyDescent="0.2">
      <c r="B1749" s="150" t="s">
        <v>2843</v>
      </c>
      <c r="C1749" s="151">
        <v>2019</v>
      </c>
      <c r="D1749" s="151">
        <v>7</v>
      </c>
      <c r="E1749" s="151">
        <v>14</v>
      </c>
    </row>
    <row r="1750" spans="2:5" x14ac:dyDescent="0.2">
      <c r="B1750" s="150" t="s">
        <v>2843</v>
      </c>
      <c r="C1750" s="151">
        <v>2019</v>
      </c>
      <c r="D1750" s="151">
        <v>4</v>
      </c>
      <c r="E1750" s="151">
        <v>11</v>
      </c>
    </row>
    <row r="1751" spans="2:5" x14ac:dyDescent="0.2">
      <c r="B1751" s="150" t="s">
        <v>2843</v>
      </c>
      <c r="C1751" s="151">
        <v>2019</v>
      </c>
      <c r="D1751" s="151">
        <v>9</v>
      </c>
      <c r="E1751" s="151">
        <v>10</v>
      </c>
    </row>
    <row r="1752" spans="2:5" x14ac:dyDescent="0.2">
      <c r="B1752" s="150" t="s">
        <v>2843</v>
      </c>
      <c r="C1752" s="151">
        <v>2019</v>
      </c>
      <c r="D1752" s="151">
        <v>1</v>
      </c>
      <c r="E1752" s="151">
        <v>8</v>
      </c>
    </row>
    <row r="1753" spans="2:5" x14ac:dyDescent="0.2">
      <c r="B1753" s="150" t="s">
        <v>2843</v>
      </c>
      <c r="C1753" s="151">
        <v>2019</v>
      </c>
      <c r="D1753" s="151">
        <v>11</v>
      </c>
      <c r="E1753" s="151">
        <v>8</v>
      </c>
    </row>
    <row r="1754" spans="2:5" x14ac:dyDescent="0.2">
      <c r="B1754" s="150" t="s">
        <v>2843</v>
      </c>
      <c r="C1754" s="151">
        <v>2019</v>
      </c>
      <c r="D1754" s="151">
        <v>3</v>
      </c>
      <c r="E1754" s="151">
        <v>2</v>
      </c>
    </row>
    <row r="1755" spans="2:5" x14ac:dyDescent="0.2">
      <c r="B1755" s="150" t="s">
        <v>2844</v>
      </c>
      <c r="C1755" s="151">
        <v>2019</v>
      </c>
      <c r="D1755" s="151">
        <v>3</v>
      </c>
      <c r="E1755" s="151">
        <v>98</v>
      </c>
    </row>
    <row r="1756" spans="2:5" x14ac:dyDescent="0.2">
      <c r="B1756" s="150" t="s">
        <v>2844</v>
      </c>
      <c r="C1756" s="151">
        <v>2019</v>
      </c>
      <c r="D1756" s="151">
        <v>9</v>
      </c>
      <c r="E1756" s="151">
        <v>71</v>
      </c>
    </row>
    <row r="1757" spans="2:5" x14ac:dyDescent="0.2">
      <c r="B1757" s="150" t="s">
        <v>2844</v>
      </c>
      <c r="C1757" s="151">
        <v>2019</v>
      </c>
      <c r="D1757" s="151">
        <v>2</v>
      </c>
      <c r="E1757" s="151">
        <v>67</v>
      </c>
    </row>
    <row r="1758" spans="2:5" x14ac:dyDescent="0.2">
      <c r="B1758" s="150" t="s">
        <v>2844</v>
      </c>
      <c r="C1758" s="151">
        <v>2019</v>
      </c>
      <c r="D1758" s="151">
        <v>8</v>
      </c>
      <c r="E1758" s="151">
        <v>63</v>
      </c>
    </row>
    <row r="1759" spans="2:5" x14ac:dyDescent="0.2">
      <c r="B1759" s="150" t="s">
        <v>2844</v>
      </c>
      <c r="C1759" s="151">
        <v>2019</v>
      </c>
      <c r="D1759" s="151">
        <v>4</v>
      </c>
      <c r="E1759" s="151">
        <v>59</v>
      </c>
    </row>
    <row r="1760" spans="2:5" x14ac:dyDescent="0.2">
      <c r="B1760" s="150" t="s">
        <v>2844</v>
      </c>
      <c r="C1760" s="151">
        <v>2019</v>
      </c>
      <c r="D1760" s="151">
        <v>10</v>
      </c>
      <c r="E1760" s="151">
        <v>59</v>
      </c>
    </row>
    <row r="1761" spans="2:5" x14ac:dyDescent="0.2">
      <c r="B1761" s="150" t="s">
        <v>2844</v>
      </c>
      <c r="C1761" s="151">
        <v>2019</v>
      </c>
      <c r="D1761" s="151">
        <v>11</v>
      </c>
      <c r="E1761" s="151">
        <v>50</v>
      </c>
    </row>
    <row r="1762" spans="2:5" x14ac:dyDescent="0.2">
      <c r="B1762" s="150" t="s">
        <v>2844</v>
      </c>
      <c r="C1762" s="151">
        <v>2019</v>
      </c>
      <c r="D1762" s="151">
        <v>12</v>
      </c>
      <c r="E1762" s="151">
        <v>50</v>
      </c>
    </row>
    <row r="1763" spans="2:5" x14ac:dyDescent="0.2">
      <c r="B1763" s="150" t="s">
        <v>2844</v>
      </c>
      <c r="C1763" s="151">
        <v>2019</v>
      </c>
      <c r="D1763" s="151">
        <v>1</v>
      </c>
      <c r="E1763" s="151">
        <v>47</v>
      </c>
    </row>
    <row r="1764" spans="2:5" x14ac:dyDescent="0.2">
      <c r="B1764" s="150" t="s">
        <v>2844</v>
      </c>
      <c r="C1764" s="151">
        <v>2019</v>
      </c>
      <c r="D1764" s="151">
        <v>6</v>
      </c>
      <c r="E1764" s="151">
        <v>45</v>
      </c>
    </row>
    <row r="1765" spans="2:5" x14ac:dyDescent="0.2">
      <c r="B1765" s="150" t="s">
        <v>2844</v>
      </c>
      <c r="C1765" s="151">
        <v>2019</v>
      </c>
      <c r="D1765" s="151">
        <v>7</v>
      </c>
      <c r="E1765" s="151">
        <v>37</v>
      </c>
    </row>
    <row r="1766" spans="2:5" x14ac:dyDescent="0.2">
      <c r="B1766" s="150" t="s">
        <v>2844</v>
      </c>
      <c r="C1766" s="151">
        <v>2019</v>
      </c>
      <c r="D1766" s="151">
        <v>5</v>
      </c>
      <c r="E1766" s="151">
        <v>27</v>
      </c>
    </row>
    <row r="1767" spans="2:5" x14ac:dyDescent="0.2">
      <c r="B1767" s="150" t="s">
        <v>2845</v>
      </c>
      <c r="C1767" s="151">
        <v>2019</v>
      </c>
      <c r="D1767" s="151">
        <v>6</v>
      </c>
      <c r="E1767" s="151">
        <v>1</v>
      </c>
    </row>
    <row r="1768" spans="2:5" x14ac:dyDescent="0.2">
      <c r="B1768" s="150" t="s">
        <v>2903</v>
      </c>
      <c r="C1768" s="151">
        <v>2019</v>
      </c>
      <c r="D1768" s="151">
        <v>4</v>
      </c>
      <c r="E1768" s="151">
        <v>45</v>
      </c>
    </row>
    <row r="1769" spans="2:5" x14ac:dyDescent="0.2">
      <c r="B1769" s="150" t="s">
        <v>2903</v>
      </c>
      <c r="C1769" s="151">
        <v>2019</v>
      </c>
      <c r="D1769" s="151">
        <v>5</v>
      </c>
      <c r="E1769" s="151">
        <v>43</v>
      </c>
    </row>
    <row r="1770" spans="2:5" x14ac:dyDescent="0.2">
      <c r="B1770" s="150" t="s">
        <v>2903</v>
      </c>
      <c r="C1770" s="151">
        <v>2019</v>
      </c>
      <c r="D1770" s="151">
        <v>7</v>
      </c>
      <c r="E1770" s="151">
        <v>32</v>
      </c>
    </row>
    <row r="1771" spans="2:5" x14ac:dyDescent="0.2">
      <c r="B1771" s="150" t="s">
        <v>2903</v>
      </c>
      <c r="C1771" s="151">
        <v>2019</v>
      </c>
      <c r="D1771" s="151">
        <v>6</v>
      </c>
      <c r="E1771" s="151">
        <v>21</v>
      </c>
    </row>
    <row r="1772" spans="2:5" x14ac:dyDescent="0.2">
      <c r="B1772" s="150" t="s">
        <v>2903</v>
      </c>
      <c r="C1772" s="151">
        <v>2019</v>
      </c>
      <c r="D1772" s="151">
        <v>11</v>
      </c>
      <c r="E1772" s="151">
        <v>20</v>
      </c>
    </row>
    <row r="1773" spans="2:5" x14ac:dyDescent="0.2">
      <c r="B1773" s="150" t="s">
        <v>2903</v>
      </c>
      <c r="C1773" s="151">
        <v>2019</v>
      </c>
      <c r="D1773" s="151">
        <v>8</v>
      </c>
      <c r="E1773" s="151">
        <v>18</v>
      </c>
    </row>
    <row r="1774" spans="2:5" x14ac:dyDescent="0.2">
      <c r="B1774" s="150" t="s">
        <v>2903</v>
      </c>
      <c r="C1774" s="151">
        <v>2019</v>
      </c>
      <c r="D1774" s="151">
        <v>2</v>
      </c>
      <c r="E1774" s="151">
        <v>7</v>
      </c>
    </row>
    <row r="1775" spans="2:5" x14ac:dyDescent="0.2">
      <c r="B1775" s="150" t="s">
        <v>2903</v>
      </c>
      <c r="C1775" s="151">
        <v>2019</v>
      </c>
      <c r="D1775" s="151">
        <v>9</v>
      </c>
      <c r="E1775" s="151">
        <v>7</v>
      </c>
    </row>
    <row r="1776" spans="2:5" x14ac:dyDescent="0.2">
      <c r="B1776" s="150" t="s">
        <v>2903</v>
      </c>
      <c r="C1776" s="151">
        <v>2019</v>
      </c>
      <c r="D1776" s="151">
        <v>10</v>
      </c>
      <c r="E1776" s="151">
        <v>3</v>
      </c>
    </row>
    <row r="1777" spans="2:5" x14ac:dyDescent="0.2">
      <c r="B1777" s="150" t="s">
        <v>2903</v>
      </c>
      <c r="C1777" s="151">
        <v>2019</v>
      </c>
      <c r="D1777" s="151">
        <v>12</v>
      </c>
      <c r="E1777" s="151">
        <v>3</v>
      </c>
    </row>
    <row r="1778" spans="2:5" x14ac:dyDescent="0.2">
      <c r="B1778" s="150" t="s">
        <v>2903</v>
      </c>
      <c r="C1778" s="151">
        <v>2019</v>
      </c>
      <c r="D1778" s="151">
        <v>1</v>
      </c>
      <c r="E1778" s="151">
        <v>2</v>
      </c>
    </row>
    <row r="1779" spans="2:5" x14ac:dyDescent="0.2">
      <c r="B1779" s="150" t="s">
        <v>2903</v>
      </c>
      <c r="C1779" s="151">
        <v>2019</v>
      </c>
      <c r="D1779" s="151">
        <v>3</v>
      </c>
      <c r="E1779" s="151">
        <v>1</v>
      </c>
    </row>
    <row r="1780" spans="2:5" x14ac:dyDescent="0.2">
      <c r="B1780" s="150" t="s">
        <v>988</v>
      </c>
      <c r="C1780" s="151">
        <v>2019</v>
      </c>
      <c r="D1780" s="151">
        <v>10</v>
      </c>
      <c r="E1780" s="151">
        <v>419</v>
      </c>
    </row>
    <row r="1781" spans="2:5" x14ac:dyDescent="0.2">
      <c r="B1781" s="150" t="s">
        <v>988</v>
      </c>
      <c r="C1781" s="151">
        <v>2019</v>
      </c>
      <c r="D1781" s="151">
        <v>4</v>
      </c>
      <c r="E1781" s="151">
        <v>414</v>
      </c>
    </row>
    <row r="1782" spans="2:5" x14ac:dyDescent="0.2">
      <c r="B1782" s="150" t="s">
        <v>988</v>
      </c>
      <c r="C1782" s="151">
        <v>2019</v>
      </c>
      <c r="D1782" s="151">
        <v>5</v>
      </c>
      <c r="E1782" s="151">
        <v>362</v>
      </c>
    </row>
    <row r="1783" spans="2:5" x14ac:dyDescent="0.2">
      <c r="B1783" s="150" t="s">
        <v>988</v>
      </c>
      <c r="C1783" s="151">
        <v>2019</v>
      </c>
      <c r="D1783" s="151">
        <v>8</v>
      </c>
      <c r="E1783" s="151">
        <v>308</v>
      </c>
    </row>
    <row r="1784" spans="2:5" x14ac:dyDescent="0.2">
      <c r="B1784" s="150" t="s">
        <v>988</v>
      </c>
      <c r="C1784" s="151">
        <v>2019</v>
      </c>
      <c r="D1784" s="151">
        <v>1</v>
      </c>
      <c r="E1784" s="151">
        <v>303</v>
      </c>
    </row>
    <row r="1785" spans="2:5" x14ac:dyDescent="0.2">
      <c r="B1785" s="150" t="s">
        <v>988</v>
      </c>
      <c r="C1785" s="151">
        <v>2019</v>
      </c>
      <c r="D1785" s="151">
        <v>9</v>
      </c>
      <c r="E1785" s="151">
        <v>300</v>
      </c>
    </row>
    <row r="1786" spans="2:5" x14ac:dyDescent="0.2">
      <c r="B1786" s="150" t="s">
        <v>988</v>
      </c>
      <c r="C1786" s="151">
        <v>2019</v>
      </c>
      <c r="D1786" s="151">
        <v>3</v>
      </c>
      <c r="E1786" s="151">
        <v>289</v>
      </c>
    </row>
    <row r="1787" spans="2:5" x14ac:dyDescent="0.2">
      <c r="B1787" s="150" t="s">
        <v>988</v>
      </c>
      <c r="C1787" s="151">
        <v>2019</v>
      </c>
      <c r="D1787" s="151">
        <v>11</v>
      </c>
      <c r="E1787" s="151">
        <v>280</v>
      </c>
    </row>
    <row r="1788" spans="2:5" x14ac:dyDescent="0.2">
      <c r="B1788" s="150" t="s">
        <v>988</v>
      </c>
      <c r="C1788" s="151">
        <v>2019</v>
      </c>
      <c r="D1788" s="151">
        <v>2</v>
      </c>
      <c r="E1788" s="151">
        <v>259</v>
      </c>
    </row>
    <row r="1789" spans="2:5" x14ac:dyDescent="0.2">
      <c r="B1789" s="150" t="s">
        <v>988</v>
      </c>
      <c r="C1789" s="151">
        <v>2019</v>
      </c>
      <c r="D1789" s="151">
        <v>7</v>
      </c>
      <c r="E1789" s="151">
        <v>250</v>
      </c>
    </row>
    <row r="1790" spans="2:5" x14ac:dyDescent="0.2">
      <c r="B1790" s="150" t="s">
        <v>988</v>
      </c>
      <c r="C1790" s="151">
        <v>2019</v>
      </c>
      <c r="D1790" s="151">
        <v>6</v>
      </c>
      <c r="E1790" s="151">
        <v>225</v>
      </c>
    </row>
    <row r="1791" spans="2:5" x14ac:dyDescent="0.2">
      <c r="B1791" s="150" t="s">
        <v>988</v>
      </c>
      <c r="C1791" s="151">
        <v>2019</v>
      </c>
      <c r="D1791" s="151">
        <v>12</v>
      </c>
      <c r="E1791" s="151">
        <v>194</v>
      </c>
    </row>
    <row r="1792" spans="2:5" x14ac:dyDescent="0.2">
      <c r="B1792" s="150" t="s">
        <v>2847</v>
      </c>
      <c r="C1792" s="151">
        <v>2019</v>
      </c>
      <c r="D1792" s="151">
        <v>6</v>
      </c>
      <c r="E1792" s="151">
        <v>15</v>
      </c>
    </row>
    <row r="1793" spans="2:5" x14ac:dyDescent="0.2">
      <c r="B1793" s="150" t="s">
        <v>2847</v>
      </c>
      <c r="C1793" s="151">
        <v>2019</v>
      </c>
      <c r="D1793" s="151">
        <v>1</v>
      </c>
      <c r="E1793" s="151">
        <v>14</v>
      </c>
    </row>
    <row r="1794" spans="2:5" x14ac:dyDescent="0.2">
      <c r="B1794" s="150" t="s">
        <v>2847</v>
      </c>
      <c r="C1794" s="151">
        <v>2019</v>
      </c>
      <c r="D1794" s="151">
        <v>3</v>
      </c>
      <c r="E1794" s="151">
        <v>10</v>
      </c>
    </row>
    <row r="1795" spans="2:5" x14ac:dyDescent="0.2">
      <c r="B1795" s="150" t="s">
        <v>2847</v>
      </c>
      <c r="C1795" s="151">
        <v>2019</v>
      </c>
      <c r="D1795" s="151">
        <v>9</v>
      </c>
      <c r="E1795" s="151">
        <v>5</v>
      </c>
    </row>
    <row r="1796" spans="2:5" x14ac:dyDescent="0.2">
      <c r="B1796" s="150" t="s">
        <v>2847</v>
      </c>
      <c r="C1796" s="151">
        <v>2019</v>
      </c>
      <c r="D1796" s="151">
        <v>2</v>
      </c>
      <c r="E1796" s="151">
        <v>4</v>
      </c>
    </row>
    <row r="1797" spans="2:5" x14ac:dyDescent="0.2">
      <c r="B1797" s="150" t="s">
        <v>2847</v>
      </c>
      <c r="C1797" s="151">
        <v>2019</v>
      </c>
      <c r="D1797" s="151">
        <v>11</v>
      </c>
      <c r="E1797" s="151">
        <v>4</v>
      </c>
    </row>
    <row r="1798" spans="2:5" x14ac:dyDescent="0.2">
      <c r="B1798" s="150" t="s">
        <v>2847</v>
      </c>
      <c r="C1798" s="151">
        <v>2019</v>
      </c>
      <c r="D1798" s="151">
        <v>4</v>
      </c>
      <c r="E1798" s="151">
        <v>2</v>
      </c>
    </row>
    <row r="1799" spans="2:5" x14ac:dyDescent="0.2">
      <c r="B1799" s="150" t="s">
        <v>2847</v>
      </c>
      <c r="C1799" s="151">
        <v>2019</v>
      </c>
      <c r="D1799" s="151">
        <v>10</v>
      </c>
      <c r="E1799" s="151">
        <v>2</v>
      </c>
    </row>
    <row r="1800" spans="2:5" x14ac:dyDescent="0.2">
      <c r="B1800" s="150" t="s">
        <v>2847</v>
      </c>
      <c r="C1800" s="151">
        <v>2019</v>
      </c>
      <c r="D1800" s="151">
        <v>7</v>
      </c>
      <c r="E1800" s="151">
        <v>1</v>
      </c>
    </row>
    <row r="1801" spans="2:5" x14ac:dyDescent="0.2">
      <c r="B1801" s="150" t="s">
        <v>2847</v>
      </c>
      <c r="C1801" s="151">
        <v>2019</v>
      </c>
      <c r="D1801" s="151">
        <v>8</v>
      </c>
      <c r="E1801" s="151">
        <v>1</v>
      </c>
    </row>
    <row r="1802" spans="2:5" x14ac:dyDescent="0.2">
      <c r="B1802" s="150" t="s">
        <v>2848</v>
      </c>
      <c r="C1802" s="151">
        <v>2019</v>
      </c>
      <c r="D1802" s="151">
        <v>3</v>
      </c>
      <c r="E1802" s="151">
        <v>9</v>
      </c>
    </row>
    <row r="1803" spans="2:5" x14ac:dyDescent="0.2">
      <c r="B1803" s="150" t="s">
        <v>2848</v>
      </c>
      <c r="C1803" s="151">
        <v>2019</v>
      </c>
      <c r="D1803" s="151">
        <v>8</v>
      </c>
      <c r="E1803" s="151">
        <v>8</v>
      </c>
    </row>
    <row r="1804" spans="2:5" x14ac:dyDescent="0.2">
      <c r="B1804" s="150" t="s">
        <v>2848</v>
      </c>
      <c r="C1804" s="151">
        <v>2019</v>
      </c>
      <c r="D1804" s="151">
        <v>6</v>
      </c>
      <c r="E1804" s="151">
        <v>6</v>
      </c>
    </row>
    <row r="1805" spans="2:5" x14ac:dyDescent="0.2">
      <c r="B1805" s="150" t="s">
        <v>2848</v>
      </c>
      <c r="C1805" s="151">
        <v>2019</v>
      </c>
      <c r="D1805" s="151">
        <v>9</v>
      </c>
      <c r="E1805" s="151">
        <v>6</v>
      </c>
    </row>
    <row r="1806" spans="2:5" x14ac:dyDescent="0.2">
      <c r="B1806" s="150" t="s">
        <v>2848</v>
      </c>
      <c r="C1806" s="151">
        <v>2019</v>
      </c>
      <c r="D1806" s="151">
        <v>1</v>
      </c>
      <c r="E1806" s="151">
        <v>5</v>
      </c>
    </row>
    <row r="1807" spans="2:5" x14ac:dyDescent="0.2">
      <c r="B1807" s="150" t="s">
        <v>2848</v>
      </c>
      <c r="C1807" s="151">
        <v>2019</v>
      </c>
      <c r="D1807" s="151">
        <v>4</v>
      </c>
      <c r="E1807" s="151">
        <v>5</v>
      </c>
    </row>
    <row r="1808" spans="2:5" x14ac:dyDescent="0.2">
      <c r="B1808" s="150" t="s">
        <v>2848</v>
      </c>
      <c r="C1808" s="151">
        <v>2019</v>
      </c>
      <c r="D1808" s="151">
        <v>5</v>
      </c>
      <c r="E1808" s="151">
        <v>5</v>
      </c>
    </row>
    <row r="1809" spans="2:5" x14ac:dyDescent="0.2">
      <c r="B1809" s="150" t="s">
        <v>2848</v>
      </c>
      <c r="C1809" s="151">
        <v>2019</v>
      </c>
      <c r="D1809" s="151">
        <v>10</v>
      </c>
      <c r="E1809" s="151">
        <v>5</v>
      </c>
    </row>
    <row r="1810" spans="2:5" x14ac:dyDescent="0.2">
      <c r="B1810" s="150" t="s">
        <v>2848</v>
      </c>
      <c r="C1810" s="151">
        <v>2019</v>
      </c>
      <c r="D1810" s="151">
        <v>11</v>
      </c>
      <c r="E1810" s="151">
        <v>5</v>
      </c>
    </row>
    <row r="1811" spans="2:5" x14ac:dyDescent="0.2">
      <c r="B1811" s="150" t="s">
        <v>2848</v>
      </c>
      <c r="C1811" s="151">
        <v>2019</v>
      </c>
      <c r="D1811" s="151">
        <v>7</v>
      </c>
      <c r="E1811" s="151">
        <v>4</v>
      </c>
    </row>
    <row r="1812" spans="2:5" x14ac:dyDescent="0.2">
      <c r="B1812" s="150" t="s">
        <v>2848</v>
      </c>
      <c r="C1812" s="151">
        <v>2019</v>
      </c>
      <c r="D1812" s="151">
        <v>12</v>
      </c>
      <c r="E1812" s="151">
        <v>4</v>
      </c>
    </row>
    <row r="1813" spans="2:5" x14ac:dyDescent="0.2">
      <c r="B1813" s="150" t="s">
        <v>2848</v>
      </c>
      <c r="C1813" s="151">
        <v>2019</v>
      </c>
      <c r="D1813" s="151">
        <v>2</v>
      </c>
      <c r="E1813" s="151">
        <v>2</v>
      </c>
    </row>
    <row r="1814" spans="2:5" x14ac:dyDescent="0.2">
      <c r="B1814" s="150" t="s">
        <v>2900</v>
      </c>
      <c r="C1814" s="151">
        <v>2019</v>
      </c>
      <c r="D1814" s="151">
        <v>3</v>
      </c>
      <c r="E1814" s="151">
        <v>95</v>
      </c>
    </row>
    <row r="1815" spans="2:5" x14ac:dyDescent="0.2">
      <c r="B1815" s="150" t="s">
        <v>2900</v>
      </c>
      <c r="C1815" s="151">
        <v>2019</v>
      </c>
      <c r="D1815" s="151">
        <v>4</v>
      </c>
      <c r="E1815" s="151">
        <v>31</v>
      </c>
    </row>
    <row r="1816" spans="2:5" x14ac:dyDescent="0.2">
      <c r="B1816" s="150" t="s">
        <v>2900</v>
      </c>
      <c r="C1816" s="151">
        <v>2019</v>
      </c>
      <c r="D1816" s="151">
        <v>5</v>
      </c>
      <c r="E1816" s="151">
        <v>20</v>
      </c>
    </row>
    <row r="1817" spans="2:5" x14ac:dyDescent="0.2">
      <c r="B1817" s="150" t="s">
        <v>2900</v>
      </c>
      <c r="C1817" s="151">
        <v>2019</v>
      </c>
      <c r="D1817" s="151">
        <v>11</v>
      </c>
      <c r="E1817" s="151">
        <v>19</v>
      </c>
    </row>
    <row r="1818" spans="2:5" x14ac:dyDescent="0.2">
      <c r="B1818" s="150" t="s">
        <v>2900</v>
      </c>
      <c r="C1818" s="151">
        <v>2019</v>
      </c>
      <c r="D1818" s="151">
        <v>6</v>
      </c>
      <c r="E1818" s="151">
        <v>17</v>
      </c>
    </row>
    <row r="1819" spans="2:5" x14ac:dyDescent="0.2">
      <c r="B1819" s="150" t="s">
        <v>2900</v>
      </c>
      <c r="C1819" s="151">
        <v>2019</v>
      </c>
      <c r="D1819" s="151">
        <v>1</v>
      </c>
      <c r="E1819" s="151">
        <v>15</v>
      </c>
    </row>
    <row r="1820" spans="2:5" x14ac:dyDescent="0.2">
      <c r="B1820" s="150" t="s">
        <v>2900</v>
      </c>
      <c r="C1820" s="151">
        <v>2019</v>
      </c>
      <c r="D1820" s="151">
        <v>8</v>
      </c>
      <c r="E1820" s="151">
        <v>14</v>
      </c>
    </row>
    <row r="1821" spans="2:5" x14ac:dyDescent="0.2">
      <c r="B1821" s="150" t="s">
        <v>2900</v>
      </c>
      <c r="C1821" s="151">
        <v>2019</v>
      </c>
      <c r="D1821" s="151">
        <v>7</v>
      </c>
      <c r="E1821" s="151">
        <v>8</v>
      </c>
    </row>
    <row r="1822" spans="2:5" x14ac:dyDescent="0.2">
      <c r="B1822" s="150" t="s">
        <v>2900</v>
      </c>
      <c r="C1822" s="151">
        <v>2019</v>
      </c>
      <c r="D1822" s="151">
        <v>2</v>
      </c>
      <c r="E1822" s="151">
        <v>1</v>
      </c>
    </row>
    <row r="1823" spans="2:5" x14ac:dyDescent="0.2">
      <c r="B1823" s="150" t="s">
        <v>2900</v>
      </c>
      <c r="C1823" s="151">
        <v>2019</v>
      </c>
      <c r="D1823" s="151">
        <v>10</v>
      </c>
      <c r="E1823" s="151">
        <v>1</v>
      </c>
    </row>
    <row r="1824" spans="2:5" x14ac:dyDescent="0.2">
      <c r="B1824" s="150" t="s">
        <v>2900</v>
      </c>
      <c r="C1824" s="151">
        <v>2019</v>
      </c>
      <c r="D1824" s="151">
        <v>12</v>
      </c>
      <c r="E1824" s="151">
        <v>1</v>
      </c>
    </row>
    <row r="1825" spans="2:5" x14ac:dyDescent="0.2">
      <c r="B1825" s="150" t="s">
        <v>2849</v>
      </c>
      <c r="C1825" s="151">
        <v>2019</v>
      </c>
      <c r="D1825" s="151">
        <v>10</v>
      </c>
      <c r="E1825" s="151">
        <v>19</v>
      </c>
    </row>
    <row r="1826" spans="2:5" x14ac:dyDescent="0.2">
      <c r="B1826" s="150" t="s">
        <v>2849</v>
      </c>
      <c r="C1826" s="151">
        <v>2019</v>
      </c>
      <c r="D1826" s="151">
        <v>6</v>
      </c>
      <c r="E1826" s="151">
        <v>14</v>
      </c>
    </row>
    <row r="1827" spans="2:5" x14ac:dyDescent="0.2">
      <c r="B1827" s="150" t="s">
        <v>2849</v>
      </c>
      <c r="C1827" s="151">
        <v>2019</v>
      </c>
      <c r="D1827" s="151">
        <v>7</v>
      </c>
      <c r="E1827" s="151">
        <v>12</v>
      </c>
    </row>
    <row r="1828" spans="2:5" x14ac:dyDescent="0.2">
      <c r="B1828" s="150" t="s">
        <v>2849</v>
      </c>
      <c r="C1828" s="151">
        <v>2019</v>
      </c>
      <c r="D1828" s="151">
        <v>4</v>
      </c>
      <c r="E1828" s="151">
        <v>11</v>
      </c>
    </row>
    <row r="1829" spans="2:5" x14ac:dyDescent="0.2">
      <c r="B1829" s="150" t="s">
        <v>2849</v>
      </c>
      <c r="C1829" s="151">
        <v>2019</v>
      </c>
      <c r="D1829" s="151">
        <v>8</v>
      </c>
      <c r="E1829" s="151">
        <v>11</v>
      </c>
    </row>
    <row r="1830" spans="2:5" x14ac:dyDescent="0.2">
      <c r="B1830" s="150" t="s">
        <v>2849</v>
      </c>
      <c r="C1830" s="151">
        <v>2019</v>
      </c>
      <c r="D1830" s="151">
        <v>5</v>
      </c>
      <c r="E1830" s="151">
        <v>9</v>
      </c>
    </row>
    <row r="1831" spans="2:5" x14ac:dyDescent="0.2">
      <c r="B1831" s="150" t="s">
        <v>2849</v>
      </c>
      <c r="C1831" s="151">
        <v>2019</v>
      </c>
      <c r="D1831" s="151">
        <v>11</v>
      </c>
      <c r="E1831" s="151">
        <v>7</v>
      </c>
    </row>
    <row r="1832" spans="2:5" x14ac:dyDescent="0.2">
      <c r="B1832" s="150" t="s">
        <v>2849</v>
      </c>
      <c r="C1832" s="151">
        <v>2019</v>
      </c>
      <c r="D1832" s="151">
        <v>2</v>
      </c>
      <c r="E1832" s="151">
        <v>6</v>
      </c>
    </row>
    <row r="1833" spans="2:5" x14ac:dyDescent="0.2">
      <c r="B1833" s="150" t="s">
        <v>2849</v>
      </c>
      <c r="C1833" s="151">
        <v>2019</v>
      </c>
      <c r="D1833" s="151">
        <v>9</v>
      </c>
      <c r="E1833" s="151">
        <v>4</v>
      </c>
    </row>
    <row r="1834" spans="2:5" x14ac:dyDescent="0.2">
      <c r="B1834" s="150" t="s">
        <v>2849</v>
      </c>
      <c r="C1834" s="151">
        <v>2019</v>
      </c>
      <c r="D1834" s="151">
        <v>1</v>
      </c>
      <c r="E1834" s="151">
        <v>3</v>
      </c>
    </row>
    <row r="1835" spans="2:5" x14ac:dyDescent="0.2">
      <c r="B1835" s="150" t="s">
        <v>2849</v>
      </c>
      <c r="C1835" s="151">
        <v>2019</v>
      </c>
      <c r="D1835" s="151">
        <v>12</v>
      </c>
      <c r="E1835" s="151">
        <v>2</v>
      </c>
    </row>
    <row r="1836" spans="2:5" x14ac:dyDescent="0.2">
      <c r="B1836" s="150" t="s">
        <v>2849</v>
      </c>
      <c r="C1836" s="151">
        <v>2019</v>
      </c>
      <c r="D1836" s="151">
        <v>3</v>
      </c>
      <c r="E1836" s="151">
        <v>1</v>
      </c>
    </row>
    <row r="1837" spans="2:5" x14ac:dyDescent="0.2">
      <c r="B1837" s="150" t="s">
        <v>2979</v>
      </c>
      <c r="C1837" s="151">
        <v>2019</v>
      </c>
      <c r="D1837" s="151">
        <v>5</v>
      </c>
      <c r="E1837" s="151">
        <v>1</v>
      </c>
    </row>
    <row r="1838" spans="2:5" x14ac:dyDescent="0.2">
      <c r="B1838" s="150" t="s">
        <v>2929</v>
      </c>
      <c r="C1838" s="151">
        <v>2019</v>
      </c>
      <c r="D1838" s="151">
        <v>4</v>
      </c>
      <c r="E1838" s="151">
        <v>10</v>
      </c>
    </row>
    <row r="1839" spans="2:5" x14ac:dyDescent="0.2">
      <c r="B1839" s="150" t="s">
        <v>2929</v>
      </c>
      <c r="C1839" s="151">
        <v>2019</v>
      </c>
      <c r="D1839" s="151">
        <v>8</v>
      </c>
      <c r="E1839" s="151">
        <v>6</v>
      </c>
    </row>
    <row r="1840" spans="2:5" x14ac:dyDescent="0.2">
      <c r="B1840" s="150" t="s">
        <v>2929</v>
      </c>
      <c r="C1840" s="151">
        <v>2019</v>
      </c>
      <c r="D1840" s="151">
        <v>1</v>
      </c>
      <c r="E1840" s="151">
        <v>5</v>
      </c>
    </row>
    <row r="1841" spans="2:5" x14ac:dyDescent="0.2">
      <c r="B1841" s="150" t="s">
        <v>2929</v>
      </c>
      <c r="C1841" s="151">
        <v>2019</v>
      </c>
      <c r="D1841" s="151">
        <v>7</v>
      </c>
      <c r="E1841" s="151">
        <v>4</v>
      </c>
    </row>
    <row r="1842" spans="2:5" x14ac:dyDescent="0.2">
      <c r="B1842" s="150" t="s">
        <v>2929</v>
      </c>
      <c r="C1842" s="151">
        <v>2019</v>
      </c>
      <c r="D1842" s="151">
        <v>9</v>
      </c>
      <c r="E1842" s="151">
        <v>4</v>
      </c>
    </row>
    <row r="1843" spans="2:5" x14ac:dyDescent="0.2">
      <c r="B1843" s="150" t="s">
        <v>2929</v>
      </c>
      <c r="C1843" s="151">
        <v>2019</v>
      </c>
      <c r="D1843" s="151">
        <v>10</v>
      </c>
      <c r="E1843" s="151">
        <v>3</v>
      </c>
    </row>
    <row r="1844" spans="2:5" x14ac:dyDescent="0.2">
      <c r="B1844" s="150" t="s">
        <v>2929</v>
      </c>
      <c r="C1844" s="151">
        <v>2019</v>
      </c>
      <c r="D1844" s="151">
        <v>12</v>
      </c>
      <c r="E1844" s="151">
        <v>3</v>
      </c>
    </row>
    <row r="1845" spans="2:5" x14ac:dyDescent="0.2">
      <c r="B1845" s="150" t="s">
        <v>2929</v>
      </c>
      <c r="C1845" s="151">
        <v>2019</v>
      </c>
      <c r="D1845" s="151">
        <v>3</v>
      </c>
      <c r="E1845" s="151">
        <v>2</v>
      </c>
    </row>
    <row r="1846" spans="2:5" x14ac:dyDescent="0.2">
      <c r="B1846" s="150" t="s">
        <v>2929</v>
      </c>
      <c r="C1846" s="151">
        <v>2019</v>
      </c>
      <c r="D1846" s="151">
        <v>11</v>
      </c>
      <c r="E1846" s="151">
        <v>2</v>
      </c>
    </row>
    <row r="1847" spans="2:5" x14ac:dyDescent="0.2">
      <c r="B1847" s="150" t="s">
        <v>2929</v>
      </c>
      <c r="C1847" s="151">
        <v>2019</v>
      </c>
      <c r="D1847" s="151">
        <v>6</v>
      </c>
      <c r="E1847" s="151">
        <v>1</v>
      </c>
    </row>
    <row r="1848" spans="2:5" x14ac:dyDescent="0.2">
      <c r="B1848" s="150" t="s">
        <v>2896</v>
      </c>
      <c r="C1848" s="151">
        <v>2019</v>
      </c>
      <c r="D1848" s="151">
        <v>11</v>
      </c>
      <c r="E1848" s="151">
        <v>38</v>
      </c>
    </row>
    <row r="1849" spans="2:5" x14ac:dyDescent="0.2">
      <c r="B1849" s="150" t="s">
        <v>2896</v>
      </c>
      <c r="C1849" s="151">
        <v>2019</v>
      </c>
      <c r="D1849" s="151">
        <v>1</v>
      </c>
      <c r="E1849" s="151">
        <v>35</v>
      </c>
    </row>
    <row r="1850" spans="2:5" x14ac:dyDescent="0.2">
      <c r="B1850" s="150" t="s">
        <v>2896</v>
      </c>
      <c r="C1850" s="151">
        <v>2019</v>
      </c>
      <c r="D1850" s="151">
        <v>6</v>
      </c>
      <c r="E1850" s="151">
        <v>35</v>
      </c>
    </row>
    <row r="1851" spans="2:5" x14ac:dyDescent="0.2">
      <c r="B1851" s="150" t="s">
        <v>2896</v>
      </c>
      <c r="C1851" s="151">
        <v>2019</v>
      </c>
      <c r="D1851" s="151">
        <v>8</v>
      </c>
      <c r="E1851" s="151">
        <v>30</v>
      </c>
    </row>
    <row r="1852" spans="2:5" x14ac:dyDescent="0.2">
      <c r="B1852" s="150" t="s">
        <v>2896</v>
      </c>
      <c r="C1852" s="151">
        <v>2019</v>
      </c>
      <c r="D1852" s="151">
        <v>4</v>
      </c>
      <c r="E1852" s="151">
        <v>28</v>
      </c>
    </row>
    <row r="1853" spans="2:5" x14ac:dyDescent="0.2">
      <c r="B1853" s="150" t="s">
        <v>2896</v>
      </c>
      <c r="C1853" s="151">
        <v>2019</v>
      </c>
      <c r="D1853" s="151">
        <v>2</v>
      </c>
      <c r="E1853" s="151">
        <v>26</v>
      </c>
    </row>
    <row r="1854" spans="2:5" x14ac:dyDescent="0.2">
      <c r="B1854" s="150" t="s">
        <v>2896</v>
      </c>
      <c r="C1854" s="151">
        <v>2019</v>
      </c>
      <c r="D1854" s="151">
        <v>5</v>
      </c>
      <c r="E1854" s="151">
        <v>17</v>
      </c>
    </row>
    <row r="1855" spans="2:5" x14ac:dyDescent="0.2">
      <c r="B1855" s="150" t="s">
        <v>2896</v>
      </c>
      <c r="C1855" s="151">
        <v>2019</v>
      </c>
      <c r="D1855" s="151">
        <v>9</v>
      </c>
      <c r="E1855" s="151">
        <v>17</v>
      </c>
    </row>
    <row r="1856" spans="2:5" x14ac:dyDescent="0.2">
      <c r="B1856" s="150" t="s">
        <v>2896</v>
      </c>
      <c r="C1856" s="151">
        <v>2019</v>
      </c>
      <c r="D1856" s="151">
        <v>7</v>
      </c>
      <c r="E1856" s="151">
        <v>16</v>
      </c>
    </row>
    <row r="1857" spans="2:5" x14ac:dyDescent="0.2">
      <c r="B1857" s="150" t="s">
        <v>2896</v>
      </c>
      <c r="C1857" s="151">
        <v>2019</v>
      </c>
      <c r="D1857" s="151">
        <v>10</v>
      </c>
      <c r="E1857" s="151">
        <v>11</v>
      </c>
    </row>
    <row r="1858" spans="2:5" x14ac:dyDescent="0.2">
      <c r="B1858" s="150" t="s">
        <v>2896</v>
      </c>
      <c r="C1858" s="151">
        <v>2019</v>
      </c>
      <c r="D1858" s="151">
        <v>12</v>
      </c>
      <c r="E1858" s="151">
        <v>11</v>
      </c>
    </row>
    <row r="1859" spans="2:5" x14ac:dyDescent="0.2">
      <c r="B1859" s="150" t="s">
        <v>2896</v>
      </c>
      <c r="C1859" s="151">
        <v>2019</v>
      </c>
      <c r="D1859" s="151">
        <v>3</v>
      </c>
      <c r="E1859" s="151">
        <v>1</v>
      </c>
    </row>
    <row r="1860" spans="2:5" x14ac:dyDescent="0.2">
      <c r="B1860" s="150" t="s">
        <v>2850</v>
      </c>
      <c r="C1860" s="151">
        <v>2019</v>
      </c>
      <c r="D1860" s="151">
        <v>11</v>
      </c>
      <c r="E1860" s="151">
        <v>30</v>
      </c>
    </row>
    <row r="1861" spans="2:5" x14ac:dyDescent="0.2">
      <c r="B1861" s="150" t="s">
        <v>2850</v>
      </c>
      <c r="C1861" s="151">
        <v>2019</v>
      </c>
      <c r="D1861" s="151">
        <v>9</v>
      </c>
      <c r="E1861" s="151">
        <v>27</v>
      </c>
    </row>
    <row r="1862" spans="2:5" x14ac:dyDescent="0.2">
      <c r="B1862" s="150" t="s">
        <v>2850</v>
      </c>
      <c r="C1862" s="151">
        <v>2019</v>
      </c>
      <c r="D1862" s="151">
        <v>6</v>
      </c>
      <c r="E1862" s="151">
        <v>26</v>
      </c>
    </row>
    <row r="1863" spans="2:5" x14ac:dyDescent="0.2">
      <c r="B1863" s="150" t="s">
        <v>2850</v>
      </c>
      <c r="C1863" s="151">
        <v>2019</v>
      </c>
      <c r="D1863" s="151">
        <v>5</v>
      </c>
      <c r="E1863" s="151">
        <v>20</v>
      </c>
    </row>
    <row r="1864" spans="2:5" x14ac:dyDescent="0.2">
      <c r="B1864" s="150" t="s">
        <v>2850</v>
      </c>
      <c r="C1864" s="151">
        <v>2019</v>
      </c>
      <c r="D1864" s="151">
        <v>3</v>
      </c>
      <c r="E1864" s="151">
        <v>19</v>
      </c>
    </row>
    <row r="1865" spans="2:5" x14ac:dyDescent="0.2">
      <c r="B1865" s="150" t="s">
        <v>2850</v>
      </c>
      <c r="C1865" s="151">
        <v>2019</v>
      </c>
      <c r="D1865" s="151">
        <v>8</v>
      </c>
      <c r="E1865" s="151">
        <v>17</v>
      </c>
    </row>
    <row r="1866" spans="2:5" x14ac:dyDescent="0.2">
      <c r="B1866" s="150" t="s">
        <v>2850</v>
      </c>
      <c r="C1866" s="151">
        <v>2019</v>
      </c>
      <c r="D1866" s="151">
        <v>7</v>
      </c>
      <c r="E1866" s="151">
        <v>11</v>
      </c>
    </row>
    <row r="1867" spans="2:5" x14ac:dyDescent="0.2">
      <c r="B1867" s="150" t="s">
        <v>2850</v>
      </c>
      <c r="C1867" s="151">
        <v>2019</v>
      </c>
      <c r="D1867" s="151">
        <v>10</v>
      </c>
      <c r="E1867" s="151">
        <v>8</v>
      </c>
    </row>
    <row r="1868" spans="2:5" x14ac:dyDescent="0.2">
      <c r="B1868" s="150" t="s">
        <v>2850</v>
      </c>
      <c r="C1868" s="151">
        <v>2019</v>
      </c>
      <c r="D1868" s="151">
        <v>2</v>
      </c>
      <c r="E1868" s="151">
        <v>7</v>
      </c>
    </row>
    <row r="1869" spans="2:5" x14ac:dyDescent="0.2">
      <c r="B1869" s="150" t="s">
        <v>2850</v>
      </c>
      <c r="C1869" s="151">
        <v>2019</v>
      </c>
      <c r="D1869" s="151">
        <v>12</v>
      </c>
      <c r="E1869" s="151">
        <v>6</v>
      </c>
    </row>
    <row r="1870" spans="2:5" x14ac:dyDescent="0.2">
      <c r="B1870" s="150" t="s">
        <v>2850</v>
      </c>
      <c r="C1870" s="151">
        <v>2019</v>
      </c>
      <c r="D1870" s="151">
        <v>1</v>
      </c>
      <c r="E1870" s="151">
        <v>4</v>
      </c>
    </row>
    <row r="1871" spans="2:5" x14ac:dyDescent="0.2">
      <c r="B1871" s="150" t="s">
        <v>2850</v>
      </c>
      <c r="C1871" s="151">
        <v>2019</v>
      </c>
      <c r="D1871" s="151">
        <v>4</v>
      </c>
      <c r="E1871" s="151">
        <v>3</v>
      </c>
    </row>
    <row r="1872" spans="2:5" x14ac:dyDescent="0.2">
      <c r="B1872" s="150" t="s">
        <v>2851</v>
      </c>
      <c r="C1872" s="151">
        <v>2019</v>
      </c>
      <c r="D1872" s="151">
        <v>10</v>
      </c>
      <c r="E1872" s="151">
        <v>21</v>
      </c>
    </row>
    <row r="1873" spans="2:5" x14ac:dyDescent="0.2">
      <c r="B1873" s="150" t="s">
        <v>2851</v>
      </c>
      <c r="C1873" s="151">
        <v>2019</v>
      </c>
      <c r="D1873" s="151">
        <v>5</v>
      </c>
      <c r="E1873" s="151">
        <v>15</v>
      </c>
    </row>
    <row r="1874" spans="2:5" x14ac:dyDescent="0.2">
      <c r="B1874" s="150" t="s">
        <v>2851</v>
      </c>
      <c r="C1874" s="151">
        <v>2019</v>
      </c>
      <c r="D1874" s="151">
        <v>7</v>
      </c>
      <c r="E1874" s="151">
        <v>14</v>
      </c>
    </row>
    <row r="1875" spans="2:5" x14ac:dyDescent="0.2">
      <c r="B1875" s="150" t="s">
        <v>2851</v>
      </c>
      <c r="C1875" s="151">
        <v>2019</v>
      </c>
      <c r="D1875" s="151">
        <v>6</v>
      </c>
      <c r="E1875" s="151">
        <v>12</v>
      </c>
    </row>
    <row r="1876" spans="2:5" x14ac:dyDescent="0.2">
      <c r="B1876" s="150" t="s">
        <v>2851</v>
      </c>
      <c r="C1876" s="151">
        <v>2019</v>
      </c>
      <c r="D1876" s="151">
        <v>4</v>
      </c>
      <c r="E1876" s="151">
        <v>10</v>
      </c>
    </row>
    <row r="1877" spans="2:5" x14ac:dyDescent="0.2">
      <c r="B1877" s="150" t="s">
        <v>2851</v>
      </c>
      <c r="C1877" s="151">
        <v>2019</v>
      </c>
      <c r="D1877" s="151">
        <v>1</v>
      </c>
      <c r="E1877" s="151">
        <v>5</v>
      </c>
    </row>
    <row r="1878" spans="2:5" x14ac:dyDescent="0.2">
      <c r="B1878" s="150" t="s">
        <v>2851</v>
      </c>
      <c r="C1878" s="151">
        <v>2019</v>
      </c>
      <c r="D1878" s="151">
        <v>8</v>
      </c>
      <c r="E1878" s="151">
        <v>4</v>
      </c>
    </row>
    <row r="1879" spans="2:5" x14ac:dyDescent="0.2">
      <c r="B1879" s="150" t="s">
        <v>2851</v>
      </c>
      <c r="C1879" s="151">
        <v>2019</v>
      </c>
      <c r="D1879" s="151">
        <v>3</v>
      </c>
      <c r="E1879" s="151">
        <v>3</v>
      </c>
    </row>
    <row r="1880" spans="2:5" x14ac:dyDescent="0.2">
      <c r="B1880" s="150" t="s">
        <v>2851</v>
      </c>
      <c r="C1880" s="151">
        <v>2019</v>
      </c>
      <c r="D1880" s="151">
        <v>2</v>
      </c>
      <c r="E1880" s="151">
        <v>2</v>
      </c>
    </row>
    <row r="1881" spans="2:5" x14ac:dyDescent="0.2">
      <c r="B1881" s="150" t="s">
        <v>2851</v>
      </c>
      <c r="C1881" s="151">
        <v>2019</v>
      </c>
      <c r="D1881" s="151">
        <v>9</v>
      </c>
      <c r="E1881" s="151">
        <v>1</v>
      </c>
    </row>
    <row r="1882" spans="2:5" x14ac:dyDescent="0.2">
      <c r="B1882" s="150" t="s">
        <v>2851</v>
      </c>
      <c r="C1882" s="151">
        <v>2019</v>
      </c>
      <c r="D1882" s="151">
        <v>11</v>
      </c>
      <c r="E1882" s="151">
        <v>1</v>
      </c>
    </row>
    <row r="1883" spans="2:5" x14ac:dyDescent="0.2">
      <c r="B1883" s="150" t="s">
        <v>2852</v>
      </c>
      <c r="C1883" s="151">
        <v>2019</v>
      </c>
      <c r="D1883" s="151">
        <v>10</v>
      </c>
      <c r="E1883" s="151">
        <v>26</v>
      </c>
    </row>
    <row r="1884" spans="2:5" x14ac:dyDescent="0.2">
      <c r="B1884" s="150" t="s">
        <v>2852</v>
      </c>
      <c r="C1884" s="151">
        <v>2019</v>
      </c>
      <c r="D1884" s="151">
        <v>6</v>
      </c>
      <c r="E1884" s="151">
        <v>21</v>
      </c>
    </row>
    <row r="1885" spans="2:5" x14ac:dyDescent="0.2">
      <c r="B1885" s="150" t="s">
        <v>2852</v>
      </c>
      <c r="C1885" s="151">
        <v>2019</v>
      </c>
      <c r="D1885" s="151">
        <v>7</v>
      </c>
      <c r="E1885" s="151">
        <v>18</v>
      </c>
    </row>
    <row r="1886" spans="2:5" x14ac:dyDescent="0.2">
      <c r="B1886" s="150" t="s">
        <v>2852</v>
      </c>
      <c r="C1886" s="151">
        <v>2019</v>
      </c>
      <c r="D1886" s="151">
        <v>8</v>
      </c>
      <c r="E1886" s="151">
        <v>18</v>
      </c>
    </row>
    <row r="1887" spans="2:5" x14ac:dyDescent="0.2">
      <c r="B1887" s="150" t="s">
        <v>2852</v>
      </c>
      <c r="C1887" s="151">
        <v>2019</v>
      </c>
      <c r="D1887" s="151">
        <v>9</v>
      </c>
      <c r="E1887" s="151">
        <v>18</v>
      </c>
    </row>
    <row r="1888" spans="2:5" x14ac:dyDescent="0.2">
      <c r="B1888" s="150" t="s">
        <v>2852</v>
      </c>
      <c r="C1888" s="151">
        <v>2019</v>
      </c>
      <c r="D1888" s="151">
        <v>5</v>
      </c>
      <c r="E1888" s="151">
        <v>15</v>
      </c>
    </row>
    <row r="1889" spans="2:5" x14ac:dyDescent="0.2">
      <c r="B1889" s="150" t="s">
        <v>2852</v>
      </c>
      <c r="C1889" s="151">
        <v>2019</v>
      </c>
      <c r="D1889" s="151">
        <v>2</v>
      </c>
      <c r="E1889" s="151">
        <v>11</v>
      </c>
    </row>
    <row r="1890" spans="2:5" x14ac:dyDescent="0.2">
      <c r="B1890" s="150" t="s">
        <v>2852</v>
      </c>
      <c r="C1890" s="151">
        <v>2019</v>
      </c>
      <c r="D1890" s="151">
        <v>11</v>
      </c>
      <c r="E1890" s="151">
        <v>11</v>
      </c>
    </row>
    <row r="1891" spans="2:5" x14ac:dyDescent="0.2">
      <c r="B1891" s="150" t="s">
        <v>2852</v>
      </c>
      <c r="C1891" s="151">
        <v>2019</v>
      </c>
      <c r="D1891" s="151">
        <v>1</v>
      </c>
      <c r="E1891" s="151">
        <v>9</v>
      </c>
    </row>
    <row r="1892" spans="2:5" x14ac:dyDescent="0.2">
      <c r="B1892" s="150" t="s">
        <v>2852</v>
      </c>
      <c r="C1892" s="151">
        <v>2019</v>
      </c>
      <c r="D1892" s="151">
        <v>3</v>
      </c>
      <c r="E1892" s="151">
        <v>7</v>
      </c>
    </row>
    <row r="1893" spans="2:5" x14ac:dyDescent="0.2">
      <c r="B1893" s="150" t="s">
        <v>2852</v>
      </c>
      <c r="C1893" s="151">
        <v>2019</v>
      </c>
      <c r="D1893" s="151">
        <v>12</v>
      </c>
      <c r="E1893" s="151">
        <v>6</v>
      </c>
    </row>
    <row r="1894" spans="2:5" x14ac:dyDescent="0.2">
      <c r="B1894" s="150" t="s">
        <v>2852</v>
      </c>
      <c r="C1894" s="151">
        <v>2019</v>
      </c>
      <c r="D1894" s="151">
        <v>4</v>
      </c>
      <c r="E1894" s="151">
        <v>3</v>
      </c>
    </row>
    <row r="1895" spans="2:5" x14ac:dyDescent="0.2">
      <c r="B1895" s="150" t="s">
        <v>2853</v>
      </c>
      <c r="C1895" s="151">
        <v>2019</v>
      </c>
      <c r="D1895" s="151">
        <v>9</v>
      </c>
      <c r="E1895" s="151">
        <v>183</v>
      </c>
    </row>
    <row r="1896" spans="2:5" x14ac:dyDescent="0.2">
      <c r="B1896" s="150" t="s">
        <v>2853</v>
      </c>
      <c r="C1896" s="151">
        <v>2019</v>
      </c>
      <c r="D1896" s="151">
        <v>3</v>
      </c>
      <c r="E1896" s="151">
        <v>180</v>
      </c>
    </row>
    <row r="1897" spans="2:5" x14ac:dyDescent="0.2">
      <c r="B1897" s="150" t="s">
        <v>2853</v>
      </c>
      <c r="C1897" s="151">
        <v>2019</v>
      </c>
      <c r="D1897" s="151">
        <v>5</v>
      </c>
      <c r="E1897" s="151">
        <v>173</v>
      </c>
    </row>
    <row r="1898" spans="2:5" x14ac:dyDescent="0.2">
      <c r="B1898" s="150" t="s">
        <v>2853</v>
      </c>
      <c r="C1898" s="151">
        <v>2019</v>
      </c>
      <c r="D1898" s="151">
        <v>8</v>
      </c>
      <c r="E1898" s="151">
        <v>145</v>
      </c>
    </row>
    <row r="1899" spans="2:5" x14ac:dyDescent="0.2">
      <c r="B1899" s="150" t="s">
        <v>2853</v>
      </c>
      <c r="C1899" s="151">
        <v>2019</v>
      </c>
      <c r="D1899" s="151">
        <v>10</v>
      </c>
      <c r="E1899" s="151">
        <v>120</v>
      </c>
    </row>
    <row r="1900" spans="2:5" x14ac:dyDescent="0.2">
      <c r="B1900" s="150" t="s">
        <v>2853</v>
      </c>
      <c r="C1900" s="151">
        <v>2019</v>
      </c>
      <c r="D1900" s="151">
        <v>6</v>
      </c>
      <c r="E1900" s="151">
        <v>105</v>
      </c>
    </row>
    <row r="1901" spans="2:5" x14ac:dyDescent="0.2">
      <c r="B1901" s="150" t="s">
        <v>2853</v>
      </c>
      <c r="C1901" s="151">
        <v>2019</v>
      </c>
      <c r="D1901" s="151">
        <v>11</v>
      </c>
      <c r="E1901" s="151">
        <v>77</v>
      </c>
    </row>
    <row r="1902" spans="2:5" x14ac:dyDescent="0.2">
      <c r="B1902" s="150" t="s">
        <v>2853</v>
      </c>
      <c r="C1902" s="151">
        <v>2019</v>
      </c>
      <c r="D1902" s="151">
        <v>7</v>
      </c>
      <c r="E1902" s="151">
        <v>72</v>
      </c>
    </row>
    <row r="1903" spans="2:5" x14ac:dyDescent="0.2">
      <c r="B1903" s="150" t="s">
        <v>2853</v>
      </c>
      <c r="C1903" s="151">
        <v>2019</v>
      </c>
      <c r="D1903" s="151">
        <v>1</v>
      </c>
      <c r="E1903" s="151">
        <v>69</v>
      </c>
    </row>
    <row r="1904" spans="2:5" x14ac:dyDescent="0.2">
      <c r="B1904" s="150" t="s">
        <v>2853</v>
      </c>
      <c r="C1904" s="151">
        <v>2019</v>
      </c>
      <c r="D1904" s="151">
        <v>4</v>
      </c>
      <c r="E1904" s="151">
        <v>69</v>
      </c>
    </row>
    <row r="1905" spans="2:5" x14ac:dyDescent="0.2">
      <c r="B1905" s="150" t="s">
        <v>2853</v>
      </c>
      <c r="C1905" s="151">
        <v>2019</v>
      </c>
      <c r="D1905" s="151">
        <v>12</v>
      </c>
      <c r="E1905" s="151">
        <v>42</v>
      </c>
    </row>
    <row r="1906" spans="2:5" x14ac:dyDescent="0.2">
      <c r="B1906" s="150" t="s">
        <v>2853</v>
      </c>
      <c r="C1906" s="151">
        <v>2019</v>
      </c>
      <c r="D1906" s="151">
        <v>2</v>
      </c>
      <c r="E1906" s="151">
        <v>21</v>
      </c>
    </row>
    <row r="1907" spans="2:5" x14ac:dyDescent="0.2">
      <c r="B1907" s="150" t="s">
        <v>2904</v>
      </c>
      <c r="C1907" s="151">
        <v>2019</v>
      </c>
      <c r="D1907" s="151">
        <v>4</v>
      </c>
      <c r="E1907" s="151">
        <v>29</v>
      </c>
    </row>
    <row r="1908" spans="2:5" x14ac:dyDescent="0.2">
      <c r="B1908" s="150" t="s">
        <v>2904</v>
      </c>
      <c r="C1908" s="151">
        <v>2019</v>
      </c>
      <c r="D1908" s="151">
        <v>6</v>
      </c>
      <c r="E1908" s="151">
        <v>28</v>
      </c>
    </row>
    <row r="1909" spans="2:5" x14ac:dyDescent="0.2">
      <c r="B1909" s="150" t="s">
        <v>2904</v>
      </c>
      <c r="C1909" s="151">
        <v>2019</v>
      </c>
      <c r="D1909" s="151">
        <v>7</v>
      </c>
      <c r="E1909" s="151">
        <v>24</v>
      </c>
    </row>
    <row r="1910" spans="2:5" x14ac:dyDescent="0.2">
      <c r="B1910" s="150" t="s">
        <v>2904</v>
      </c>
      <c r="C1910" s="151">
        <v>2019</v>
      </c>
      <c r="D1910" s="151">
        <v>11</v>
      </c>
      <c r="E1910" s="151">
        <v>16</v>
      </c>
    </row>
    <row r="1911" spans="2:5" x14ac:dyDescent="0.2">
      <c r="B1911" s="150" t="s">
        <v>2904</v>
      </c>
      <c r="C1911" s="151">
        <v>2019</v>
      </c>
      <c r="D1911" s="151">
        <v>1</v>
      </c>
      <c r="E1911" s="151">
        <v>15</v>
      </c>
    </row>
    <row r="1912" spans="2:5" x14ac:dyDescent="0.2">
      <c r="B1912" s="150" t="s">
        <v>2904</v>
      </c>
      <c r="C1912" s="151">
        <v>2019</v>
      </c>
      <c r="D1912" s="151">
        <v>5</v>
      </c>
      <c r="E1912" s="151">
        <v>15</v>
      </c>
    </row>
    <row r="1913" spans="2:5" x14ac:dyDescent="0.2">
      <c r="B1913" s="150" t="s">
        <v>2904</v>
      </c>
      <c r="C1913" s="151">
        <v>2019</v>
      </c>
      <c r="D1913" s="151">
        <v>12</v>
      </c>
      <c r="E1913" s="151">
        <v>14</v>
      </c>
    </row>
    <row r="1914" spans="2:5" x14ac:dyDescent="0.2">
      <c r="B1914" s="150" t="s">
        <v>2904</v>
      </c>
      <c r="C1914" s="151">
        <v>2019</v>
      </c>
      <c r="D1914" s="151">
        <v>8</v>
      </c>
      <c r="E1914" s="151">
        <v>13</v>
      </c>
    </row>
    <row r="1915" spans="2:5" x14ac:dyDescent="0.2">
      <c r="B1915" s="150" t="s">
        <v>2904</v>
      </c>
      <c r="C1915" s="151">
        <v>2019</v>
      </c>
      <c r="D1915" s="151">
        <v>9</v>
      </c>
      <c r="E1915" s="151">
        <v>13</v>
      </c>
    </row>
    <row r="1916" spans="2:5" x14ac:dyDescent="0.2">
      <c r="B1916" s="150" t="s">
        <v>2904</v>
      </c>
      <c r="C1916" s="151">
        <v>2019</v>
      </c>
      <c r="D1916" s="151">
        <v>10</v>
      </c>
      <c r="E1916" s="151">
        <v>13</v>
      </c>
    </row>
    <row r="1917" spans="2:5" x14ac:dyDescent="0.2">
      <c r="B1917" s="150" t="s">
        <v>2904</v>
      </c>
      <c r="C1917" s="151">
        <v>2019</v>
      </c>
      <c r="D1917" s="151">
        <v>2</v>
      </c>
      <c r="E1917" s="151">
        <v>12</v>
      </c>
    </row>
    <row r="1918" spans="2:5" x14ac:dyDescent="0.2">
      <c r="B1918" s="150" t="s">
        <v>2904</v>
      </c>
      <c r="C1918" s="151">
        <v>2019</v>
      </c>
      <c r="D1918" s="151">
        <v>3</v>
      </c>
      <c r="E1918" s="151">
        <v>9</v>
      </c>
    </row>
    <row r="1919" spans="2:5" x14ac:dyDescent="0.2">
      <c r="B1919" s="150" t="s">
        <v>2854</v>
      </c>
      <c r="C1919" s="151">
        <v>2019</v>
      </c>
      <c r="D1919" s="151">
        <v>3</v>
      </c>
      <c r="E1919" s="151">
        <v>1</v>
      </c>
    </row>
    <row r="1920" spans="2:5" x14ac:dyDescent="0.2">
      <c r="B1920" s="150" t="s">
        <v>2854</v>
      </c>
      <c r="C1920" s="151">
        <v>2019</v>
      </c>
      <c r="D1920" s="151">
        <v>4</v>
      </c>
      <c r="E1920" s="151">
        <v>1</v>
      </c>
    </row>
    <row r="1921" spans="2:5" x14ac:dyDescent="0.2">
      <c r="B1921" s="150" t="s">
        <v>2854</v>
      </c>
      <c r="C1921" s="151">
        <v>2019</v>
      </c>
      <c r="D1921" s="151">
        <v>7</v>
      </c>
      <c r="E1921" s="151">
        <v>1</v>
      </c>
    </row>
    <row r="1922" spans="2:5" x14ac:dyDescent="0.2">
      <c r="B1922" s="150" t="s">
        <v>2917</v>
      </c>
      <c r="C1922" s="151">
        <v>2019</v>
      </c>
      <c r="D1922" s="151">
        <v>12</v>
      </c>
      <c r="E1922" s="151">
        <v>15</v>
      </c>
    </row>
    <row r="1923" spans="2:5" x14ac:dyDescent="0.2">
      <c r="B1923" s="150" t="s">
        <v>2917</v>
      </c>
      <c r="C1923" s="151">
        <v>2019</v>
      </c>
      <c r="D1923" s="151">
        <v>5</v>
      </c>
      <c r="E1923" s="151">
        <v>12</v>
      </c>
    </row>
    <row r="1924" spans="2:5" x14ac:dyDescent="0.2">
      <c r="B1924" s="150" t="s">
        <v>2917</v>
      </c>
      <c r="C1924" s="151">
        <v>2019</v>
      </c>
      <c r="D1924" s="151">
        <v>4</v>
      </c>
      <c r="E1924" s="151">
        <v>10</v>
      </c>
    </row>
    <row r="1925" spans="2:5" x14ac:dyDescent="0.2">
      <c r="B1925" s="150" t="s">
        <v>2917</v>
      </c>
      <c r="C1925" s="151">
        <v>2019</v>
      </c>
      <c r="D1925" s="151">
        <v>10</v>
      </c>
      <c r="E1925" s="151">
        <v>7</v>
      </c>
    </row>
    <row r="1926" spans="2:5" x14ac:dyDescent="0.2">
      <c r="B1926" s="150" t="s">
        <v>2917</v>
      </c>
      <c r="C1926" s="151">
        <v>2019</v>
      </c>
      <c r="D1926" s="151">
        <v>3</v>
      </c>
      <c r="E1926" s="151">
        <v>6</v>
      </c>
    </row>
    <row r="1927" spans="2:5" x14ac:dyDescent="0.2">
      <c r="B1927" s="150" t="s">
        <v>2917</v>
      </c>
      <c r="C1927" s="151">
        <v>2019</v>
      </c>
      <c r="D1927" s="151">
        <v>6</v>
      </c>
      <c r="E1927" s="151">
        <v>6</v>
      </c>
    </row>
    <row r="1928" spans="2:5" x14ac:dyDescent="0.2">
      <c r="B1928" s="150" t="s">
        <v>2917</v>
      </c>
      <c r="C1928" s="151">
        <v>2019</v>
      </c>
      <c r="D1928" s="151">
        <v>8</v>
      </c>
      <c r="E1928" s="151">
        <v>5</v>
      </c>
    </row>
    <row r="1929" spans="2:5" x14ac:dyDescent="0.2">
      <c r="B1929" s="150" t="s">
        <v>2917</v>
      </c>
      <c r="C1929" s="151">
        <v>2019</v>
      </c>
      <c r="D1929" s="151">
        <v>1</v>
      </c>
      <c r="E1929" s="151">
        <v>3</v>
      </c>
    </row>
    <row r="1930" spans="2:5" x14ac:dyDescent="0.2">
      <c r="B1930" s="150" t="s">
        <v>2917</v>
      </c>
      <c r="C1930" s="151">
        <v>2019</v>
      </c>
      <c r="D1930" s="151">
        <v>9</v>
      </c>
      <c r="E1930" s="151">
        <v>2</v>
      </c>
    </row>
    <row r="1931" spans="2:5" x14ac:dyDescent="0.2">
      <c r="B1931" s="150" t="s">
        <v>2917</v>
      </c>
      <c r="C1931" s="151">
        <v>2019</v>
      </c>
      <c r="D1931" s="151">
        <v>7</v>
      </c>
      <c r="E1931" s="151">
        <v>1</v>
      </c>
    </row>
    <row r="1932" spans="2:5" x14ac:dyDescent="0.2">
      <c r="B1932" s="150" t="s">
        <v>2855</v>
      </c>
      <c r="C1932" s="151">
        <v>2019</v>
      </c>
      <c r="D1932" s="151">
        <v>3</v>
      </c>
      <c r="E1932" s="151">
        <v>128</v>
      </c>
    </row>
    <row r="1933" spans="2:5" x14ac:dyDescent="0.2">
      <c r="B1933" s="150" t="s">
        <v>2855</v>
      </c>
      <c r="C1933" s="151">
        <v>2019</v>
      </c>
      <c r="D1933" s="151">
        <v>9</v>
      </c>
      <c r="E1933" s="151">
        <v>107</v>
      </c>
    </row>
    <row r="1934" spans="2:5" x14ac:dyDescent="0.2">
      <c r="B1934" s="150" t="s">
        <v>2855</v>
      </c>
      <c r="C1934" s="151">
        <v>2019</v>
      </c>
      <c r="D1934" s="151">
        <v>5</v>
      </c>
      <c r="E1934" s="151">
        <v>105</v>
      </c>
    </row>
    <row r="1935" spans="2:5" x14ac:dyDescent="0.2">
      <c r="B1935" s="150" t="s">
        <v>2855</v>
      </c>
      <c r="C1935" s="151">
        <v>2019</v>
      </c>
      <c r="D1935" s="151">
        <v>1</v>
      </c>
      <c r="E1935" s="151">
        <v>79</v>
      </c>
    </row>
    <row r="1936" spans="2:5" x14ac:dyDescent="0.2">
      <c r="B1936" s="150" t="s">
        <v>2855</v>
      </c>
      <c r="C1936" s="151">
        <v>2019</v>
      </c>
      <c r="D1936" s="151">
        <v>8</v>
      </c>
      <c r="E1936" s="151">
        <v>77</v>
      </c>
    </row>
    <row r="1937" spans="2:5" x14ac:dyDescent="0.2">
      <c r="B1937" s="150" t="s">
        <v>2855</v>
      </c>
      <c r="C1937" s="151">
        <v>2019</v>
      </c>
      <c r="D1937" s="151">
        <v>10</v>
      </c>
      <c r="E1937" s="151">
        <v>67</v>
      </c>
    </row>
    <row r="1938" spans="2:5" x14ac:dyDescent="0.2">
      <c r="B1938" s="150" t="s">
        <v>2855</v>
      </c>
      <c r="C1938" s="151">
        <v>2019</v>
      </c>
      <c r="D1938" s="151">
        <v>6</v>
      </c>
      <c r="E1938" s="151">
        <v>65</v>
      </c>
    </row>
    <row r="1939" spans="2:5" x14ac:dyDescent="0.2">
      <c r="B1939" s="150" t="s">
        <v>2855</v>
      </c>
      <c r="C1939" s="151">
        <v>2019</v>
      </c>
      <c r="D1939" s="151">
        <v>7</v>
      </c>
      <c r="E1939" s="151">
        <v>56</v>
      </c>
    </row>
    <row r="1940" spans="2:5" x14ac:dyDescent="0.2">
      <c r="B1940" s="150" t="s">
        <v>2855</v>
      </c>
      <c r="C1940" s="151">
        <v>2019</v>
      </c>
      <c r="D1940" s="151">
        <v>4</v>
      </c>
      <c r="E1940" s="151">
        <v>50</v>
      </c>
    </row>
    <row r="1941" spans="2:5" x14ac:dyDescent="0.2">
      <c r="B1941" s="150" t="s">
        <v>2855</v>
      </c>
      <c r="C1941" s="151">
        <v>2019</v>
      </c>
      <c r="D1941" s="151">
        <v>12</v>
      </c>
      <c r="E1941" s="151">
        <v>40</v>
      </c>
    </row>
    <row r="1942" spans="2:5" x14ac:dyDescent="0.2">
      <c r="B1942" s="150" t="s">
        <v>2855</v>
      </c>
      <c r="C1942" s="151">
        <v>2019</v>
      </c>
      <c r="D1942" s="151">
        <v>11</v>
      </c>
      <c r="E1942" s="151">
        <v>30</v>
      </c>
    </row>
    <row r="1943" spans="2:5" x14ac:dyDescent="0.2">
      <c r="B1943" s="150" t="s">
        <v>2855</v>
      </c>
      <c r="C1943" s="151">
        <v>2019</v>
      </c>
      <c r="D1943" s="151">
        <v>2</v>
      </c>
      <c r="E1943" s="151">
        <v>10</v>
      </c>
    </row>
    <row r="1944" spans="2:5" x14ac:dyDescent="0.2">
      <c r="B1944" s="150" t="s">
        <v>2970</v>
      </c>
      <c r="C1944" s="151">
        <v>2019</v>
      </c>
      <c r="D1944" s="151">
        <v>3</v>
      </c>
      <c r="E1944" s="151">
        <v>2</v>
      </c>
    </row>
    <row r="1945" spans="2:5" x14ac:dyDescent="0.2">
      <c r="B1945" s="150" t="s">
        <v>2970</v>
      </c>
      <c r="C1945" s="151">
        <v>2019</v>
      </c>
      <c r="D1945" s="151">
        <v>10</v>
      </c>
      <c r="E1945" s="151">
        <v>2</v>
      </c>
    </row>
    <row r="1946" spans="2:5" x14ac:dyDescent="0.2">
      <c r="B1946" s="150" t="s">
        <v>2856</v>
      </c>
      <c r="C1946" s="151">
        <v>2019</v>
      </c>
      <c r="D1946" s="151">
        <v>3</v>
      </c>
      <c r="E1946" s="151">
        <v>7</v>
      </c>
    </row>
    <row r="1947" spans="2:5" x14ac:dyDescent="0.2">
      <c r="B1947" s="150" t="s">
        <v>2856</v>
      </c>
      <c r="C1947" s="151">
        <v>2019</v>
      </c>
      <c r="D1947" s="151">
        <v>1</v>
      </c>
      <c r="E1947" s="151">
        <v>6</v>
      </c>
    </row>
    <row r="1948" spans="2:5" x14ac:dyDescent="0.2">
      <c r="B1948" s="150" t="s">
        <v>2856</v>
      </c>
      <c r="C1948" s="151">
        <v>2019</v>
      </c>
      <c r="D1948" s="151">
        <v>4</v>
      </c>
      <c r="E1948" s="151">
        <v>4</v>
      </c>
    </row>
    <row r="1949" spans="2:5" x14ac:dyDescent="0.2">
      <c r="B1949" s="150" t="s">
        <v>2856</v>
      </c>
      <c r="C1949" s="151">
        <v>2019</v>
      </c>
      <c r="D1949" s="151">
        <v>7</v>
      </c>
      <c r="E1949" s="151">
        <v>3</v>
      </c>
    </row>
    <row r="1950" spans="2:5" x14ac:dyDescent="0.2">
      <c r="B1950" s="150" t="s">
        <v>2856</v>
      </c>
      <c r="C1950" s="151">
        <v>2019</v>
      </c>
      <c r="D1950" s="151">
        <v>10</v>
      </c>
      <c r="E1950" s="151">
        <v>3</v>
      </c>
    </row>
    <row r="1951" spans="2:5" x14ac:dyDescent="0.2">
      <c r="B1951" s="150" t="s">
        <v>2856</v>
      </c>
      <c r="C1951" s="151">
        <v>2019</v>
      </c>
      <c r="D1951" s="151">
        <v>2</v>
      </c>
      <c r="E1951" s="151">
        <v>2</v>
      </c>
    </row>
    <row r="1952" spans="2:5" x14ac:dyDescent="0.2">
      <c r="B1952" s="150" t="s">
        <v>2856</v>
      </c>
      <c r="C1952" s="151">
        <v>2019</v>
      </c>
      <c r="D1952" s="151">
        <v>5</v>
      </c>
      <c r="E1952" s="151">
        <v>2</v>
      </c>
    </row>
    <row r="1953" spans="2:5" x14ac:dyDescent="0.2">
      <c r="B1953" s="150" t="s">
        <v>2856</v>
      </c>
      <c r="C1953" s="151">
        <v>2019</v>
      </c>
      <c r="D1953" s="151">
        <v>6</v>
      </c>
      <c r="E1953" s="151">
        <v>2</v>
      </c>
    </row>
    <row r="1954" spans="2:5" x14ac:dyDescent="0.2">
      <c r="B1954" s="150" t="s">
        <v>2856</v>
      </c>
      <c r="C1954" s="151">
        <v>2019</v>
      </c>
      <c r="D1954" s="151">
        <v>8</v>
      </c>
      <c r="E1954" s="151">
        <v>2</v>
      </c>
    </row>
    <row r="1955" spans="2:5" x14ac:dyDescent="0.2">
      <c r="B1955" s="150" t="s">
        <v>2856</v>
      </c>
      <c r="C1955" s="151">
        <v>2019</v>
      </c>
      <c r="D1955" s="151">
        <v>11</v>
      </c>
      <c r="E1955" s="151">
        <v>1</v>
      </c>
    </row>
    <row r="1956" spans="2:5" x14ac:dyDescent="0.2">
      <c r="B1956" s="150" t="s">
        <v>2856</v>
      </c>
      <c r="C1956" s="151">
        <v>2019</v>
      </c>
      <c r="D1956" s="151">
        <v>12</v>
      </c>
      <c r="E1956" s="151">
        <v>1</v>
      </c>
    </row>
    <row r="1957" spans="2:5" x14ac:dyDescent="0.2">
      <c r="B1957" s="150" t="s">
        <v>2857</v>
      </c>
      <c r="C1957" s="151">
        <v>2019</v>
      </c>
      <c r="D1957" s="151">
        <v>11</v>
      </c>
      <c r="E1957" s="151">
        <v>3</v>
      </c>
    </row>
    <row r="1958" spans="2:5" x14ac:dyDescent="0.2">
      <c r="B1958" s="150" t="s">
        <v>2857</v>
      </c>
      <c r="C1958" s="151">
        <v>2019</v>
      </c>
      <c r="D1958" s="151">
        <v>3</v>
      </c>
      <c r="E1958" s="151">
        <v>2</v>
      </c>
    </row>
    <row r="1959" spans="2:5" x14ac:dyDescent="0.2">
      <c r="B1959" s="150" t="s">
        <v>2857</v>
      </c>
      <c r="C1959" s="151">
        <v>2019</v>
      </c>
      <c r="D1959" s="151">
        <v>7</v>
      </c>
      <c r="E1959" s="151">
        <v>2</v>
      </c>
    </row>
    <row r="1960" spans="2:5" x14ac:dyDescent="0.2">
      <c r="B1960" s="150" t="s">
        <v>2857</v>
      </c>
      <c r="C1960" s="151">
        <v>2019</v>
      </c>
      <c r="D1960" s="151">
        <v>8</v>
      </c>
      <c r="E1960" s="151">
        <v>1</v>
      </c>
    </row>
    <row r="1961" spans="2:5" x14ac:dyDescent="0.2">
      <c r="B1961" s="150" t="s">
        <v>2857</v>
      </c>
      <c r="C1961" s="151">
        <v>2019</v>
      </c>
      <c r="D1961" s="151">
        <v>9</v>
      </c>
      <c r="E1961" s="151">
        <v>1</v>
      </c>
    </row>
    <row r="1962" spans="2:5" x14ac:dyDescent="0.2">
      <c r="B1962" s="150" t="s">
        <v>2858</v>
      </c>
      <c r="C1962" s="151">
        <v>2019</v>
      </c>
      <c r="D1962" s="151">
        <v>9</v>
      </c>
      <c r="E1962" s="151">
        <v>1</v>
      </c>
    </row>
    <row r="1963" spans="2:5" x14ac:dyDescent="0.2">
      <c r="B1963" s="150" t="s">
        <v>2923</v>
      </c>
      <c r="C1963" s="151">
        <v>2019</v>
      </c>
      <c r="D1963" s="151">
        <v>5</v>
      </c>
      <c r="E1963" s="151">
        <v>7</v>
      </c>
    </row>
    <row r="1964" spans="2:5" x14ac:dyDescent="0.2">
      <c r="B1964" s="150" t="s">
        <v>2923</v>
      </c>
      <c r="C1964" s="151">
        <v>2019</v>
      </c>
      <c r="D1964" s="151">
        <v>6</v>
      </c>
      <c r="E1964" s="151">
        <v>7</v>
      </c>
    </row>
    <row r="1965" spans="2:5" x14ac:dyDescent="0.2">
      <c r="B1965" s="150" t="s">
        <v>2923</v>
      </c>
      <c r="C1965" s="151">
        <v>2019</v>
      </c>
      <c r="D1965" s="151">
        <v>9</v>
      </c>
      <c r="E1965" s="151">
        <v>7</v>
      </c>
    </row>
    <row r="1966" spans="2:5" x14ac:dyDescent="0.2">
      <c r="B1966" s="150" t="s">
        <v>2923</v>
      </c>
      <c r="C1966" s="151">
        <v>2019</v>
      </c>
      <c r="D1966" s="151">
        <v>4</v>
      </c>
      <c r="E1966" s="151">
        <v>6</v>
      </c>
    </row>
    <row r="1967" spans="2:5" x14ac:dyDescent="0.2">
      <c r="B1967" s="150" t="s">
        <v>2923</v>
      </c>
      <c r="C1967" s="151">
        <v>2019</v>
      </c>
      <c r="D1967" s="151">
        <v>7</v>
      </c>
      <c r="E1967" s="151">
        <v>6</v>
      </c>
    </row>
    <row r="1968" spans="2:5" x14ac:dyDescent="0.2">
      <c r="B1968" s="150" t="s">
        <v>2923</v>
      </c>
      <c r="C1968" s="151">
        <v>2019</v>
      </c>
      <c r="D1968" s="151">
        <v>11</v>
      </c>
      <c r="E1968" s="151">
        <v>4</v>
      </c>
    </row>
    <row r="1969" spans="2:5" x14ac:dyDescent="0.2">
      <c r="B1969" s="150" t="s">
        <v>2923</v>
      </c>
      <c r="C1969" s="151">
        <v>2019</v>
      </c>
      <c r="D1969" s="151">
        <v>2</v>
      </c>
      <c r="E1969" s="151">
        <v>3</v>
      </c>
    </row>
    <row r="1970" spans="2:5" x14ac:dyDescent="0.2">
      <c r="B1970" s="150" t="s">
        <v>2923</v>
      </c>
      <c r="C1970" s="151">
        <v>2019</v>
      </c>
      <c r="D1970" s="151">
        <v>3</v>
      </c>
      <c r="E1970" s="151">
        <v>3</v>
      </c>
    </row>
    <row r="1971" spans="2:5" x14ac:dyDescent="0.2">
      <c r="B1971" s="150" t="s">
        <v>2923</v>
      </c>
      <c r="C1971" s="151">
        <v>2019</v>
      </c>
      <c r="D1971" s="151">
        <v>8</v>
      </c>
      <c r="E1971" s="151">
        <v>3</v>
      </c>
    </row>
    <row r="1972" spans="2:5" x14ac:dyDescent="0.2">
      <c r="B1972" s="150" t="s">
        <v>2923</v>
      </c>
      <c r="C1972" s="151">
        <v>2019</v>
      </c>
      <c r="D1972" s="151">
        <v>1</v>
      </c>
      <c r="E1972" s="151">
        <v>2</v>
      </c>
    </row>
    <row r="1973" spans="2:5" x14ac:dyDescent="0.2">
      <c r="B1973" s="150" t="s">
        <v>2923</v>
      </c>
      <c r="C1973" s="151">
        <v>2019</v>
      </c>
      <c r="D1973" s="151">
        <v>10</v>
      </c>
      <c r="E1973" s="151">
        <v>2</v>
      </c>
    </row>
    <row r="1974" spans="2:5" x14ac:dyDescent="0.2">
      <c r="B1974" s="150" t="s">
        <v>2923</v>
      </c>
      <c r="C1974" s="151">
        <v>2019</v>
      </c>
      <c r="D1974" s="151">
        <v>12</v>
      </c>
      <c r="E1974" s="151">
        <v>1</v>
      </c>
    </row>
    <row r="1975" spans="2:5" x14ac:dyDescent="0.2">
      <c r="B1975" s="150" t="s">
        <v>982</v>
      </c>
      <c r="C1975" s="151">
        <v>2019</v>
      </c>
      <c r="D1975" s="151">
        <v>4</v>
      </c>
      <c r="E1975" s="151">
        <v>931</v>
      </c>
    </row>
    <row r="1976" spans="2:5" x14ac:dyDescent="0.2">
      <c r="B1976" s="150" t="s">
        <v>982</v>
      </c>
      <c r="C1976" s="151">
        <v>2019</v>
      </c>
      <c r="D1976" s="151">
        <v>9</v>
      </c>
      <c r="E1976" s="151">
        <v>916</v>
      </c>
    </row>
    <row r="1977" spans="2:5" x14ac:dyDescent="0.2">
      <c r="B1977" s="150" t="s">
        <v>982</v>
      </c>
      <c r="C1977" s="151">
        <v>2019</v>
      </c>
      <c r="D1977" s="151">
        <v>1</v>
      </c>
      <c r="E1977" s="151">
        <v>887</v>
      </c>
    </row>
    <row r="1978" spans="2:5" x14ac:dyDescent="0.2">
      <c r="B1978" s="150" t="s">
        <v>982</v>
      </c>
      <c r="C1978" s="151">
        <v>2019</v>
      </c>
      <c r="D1978" s="151">
        <v>6</v>
      </c>
      <c r="E1978" s="151">
        <v>806</v>
      </c>
    </row>
    <row r="1979" spans="2:5" x14ac:dyDescent="0.2">
      <c r="B1979" s="150" t="s">
        <v>982</v>
      </c>
      <c r="C1979" s="151">
        <v>2019</v>
      </c>
      <c r="D1979" s="151">
        <v>10</v>
      </c>
      <c r="E1979" s="151">
        <v>679</v>
      </c>
    </row>
    <row r="1980" spans="2:5" x14ac:dyDescent="0.2">
      <c r="B1980" s="150" t="s">
        <v>982</v>
      </c>
      <c r="C1980" s="151">
        <v>2019</v>
      </c>
      <c r="D1980" s="151">
        <v>2</v>
      </c>
      <c r="E1980" s="151">
        <v>671</v>
      </c>
    </row>
    <row r="1981" spans="2:5" x14ac:dyDescent="0.2">
      <c r="B1981" s="150" t="s">
        <v>982</v>
      </c>
      <c r="C1981" s="151">
        <v>2019</v>
      </c>
      <c r="D1981" s="151">
        <v>3</v>
      </c>
      <c r="E1981" s="151">
        <v>637</v>
      </c>
    </row>
    <row r="1982" spans="2:5" x14ac:dyDescent="0.2">
      <c r="B1982" s="150" t="s">
        <v>982</v>
      </c>
      <c r="C1982" s="151">
        <v>2019</v>
      </c>
      <c r="D1982" s="151">
        <v>8</v>
      </c>
      <c r="E1982" s="151">
        <v>626</v>
      </c>
    </row>
    <row r="1983" spans="2:5" x14ac:dyDescent="0.2">
      <c r="B1983" s="150" t="s">
        <v>982</v>
      </c>
      <c r="C1983" s="151">
        <v>2019</v>
      </c>
      <c r="D1983" s="151">
        <v>5</v>
      </c>
      <c r="E1983" s="151">
        <v>607</v>
      </c>
    </row>
    <row r="1984" spans="2:5" x14ac:dyDescent="0.2">
      <c r="B1984" s="150" t="s">
        <v>982</v>
      </c>
      <c r="C1984" s="151">
        <v>2019</v>
      </c>
      <c r="D1984" s="151">
        <v>12</v>
      </c>
      <c r="E1984" s="151">
        <v>554</v>
      </c>
    </row>
    <row r="1985" spans="2:5" x14ac:dyDescent="0.2">
      <c r="B1985" s="150" t="s">
        <v>982</v>
      </c>
      <c r="C1985" s="151">
        <v>2019</v>
      </c>
      <c r="D1985" s="151">
        <v>7</v>
      </c>
      <c r="E1985" s="151">
        <v>470</v>
      </c>
    </row>
    <row r="1986" spans="2:5" x14ac:dyDescent="0.2">
      <c r="B1986" s="150" t="s">
        <v>982</v>
      </c>
      <c r="C1986" s="151">
        <v>2019</v>
      </c>
      <c r="D1986" s="151">
        <v>11</v>
      </c>
      <c r="E1986" s="151">
        <v>435</v>
      </c>
    </row>
    <row r="1987" spans="2:5" x14ac:dyDescent="0.2">
      <c r="B1987" s="150" t="s">
        <v>2859</v>
      </c>
      <c r="C1987" s="151">
        <v>2019</v>
      </c>
      <c r="D1987" s="151">
        <v>7</v>
      </c>
      <c r="E1987" s="151">
        <v>54</v>
      </c>
    </row>
    <row r="1988" spans="2:5" x14ac:dyDescent="0.2">
      <c r="B1988" s="150" t="s">
        <v>2859</v>
      </c>
      <c r="C1988" s="151">
        <v>2019</v>
      </c>
      <c r="D1988" s="151">
        <v>5</v>
      </c>
      <c r="E1988" s="151">
        <v>47</v>
      </c>
    </row>
    <row r="1989" spans="2:5" x14ac:dyDescent="0.2">
      <c r="B1989" s="150" t="s">
        <v>2859</v>
      </c>
      <c r="C1989" s="151">
        <v>2019</v>
      </c>
      <c r="D1989" s="151">
        <v>10</v>
      </c>
      <c r="E1989" s="151">
        <v>43</v>
      </c>
    </row>
    <row r="1990" spans="2:5" x14ac:dyDescent="0.2">
      <c r="B1990" s="150" t="s">
        <v>2859</v>
      </c>
      <c r="C1990" s="151">
        <v>2019</v>
      </c>
      <c r="D1990" s="151">
        <v>8</v>
      </c>
      <c r="E1990" s="151">
        <v>33</v>
      </c>
    </row>
    <row r="1991" spans="2:5" x14ac:dyDescent="0.2">
      <c r="B1991" s="150" t="s">
        <v>2859</v>
      </c>
      <c r="C1991" s="151">
        <v>2019</v>
      </c>
      <c r="D1991" s="151">
        <v>4</v>
      </c>
      <c r="E1991" s="151">
        <v>28</v>
      </c>
    </row>
    <row r="1992" spans="2:5" x14ac:dyDescent="0.2">
      <c r="B1992" s="150" t="s">
        <v>2859</v>
      </c>
      <c r="C1992" s="151">
        <v>2019</v>
      </c>
      <c r="D1992" s="151">
        <v>3</v>
      </c>
      <c r="E1992" s="151">
        <v>23</v>
      </c>
    </row>
    <row r="1993" spans="2:5" x14ac:dyDescent="0.2">
      <c r="B1993" s="150" t="s">
        <v>2859</v>
      </c>
      <c r="C1993" s="151">
        <v>2019</v>
      </c>
      <c r="D1993" s="151">
        <v>6</v>
      </c>
      <c r="E1993" s="151">
        <v>22</v>
      </c>
    </row>
    <row r="1994" spans="2:5" x14ac:dyDescent="0.2">
      <c r="B1994" s="150" t="s">
        <v>2859</v>
      </c>
      <c r="C1994" s="151">
        <v>2019</v>
      </c>
      <c r="D1994" s="151">
        <v>11</v>
      </c>
      <c r="E1994" s="151">
        <v>20</v>
      </c>
    </row>
    <row r="1995" spans="2:5" x14ac:dyDescent="0.2">
      <c r="B1995" s="150" t="s">
        <v>2859</v>
      </c>
      <c r="C1995" s="151">
        <v>2019</v>
      </c>
      <c r="D1995" s="151">
        <v>9</v>
      </c>
      <c r="E1995" s="151">
        <v>19</v>
      </c>
    </row>
    <row r="1996" spans="2:5" x14ac:dyDescent="0.2">
      <c r="B1996" s="150" t="s">
        <v>2859</v>
      </c>
      <c r="C1996" s="151">
        <v>2019</v>
      </c>
      <c r="D1996" s="151">
        <v>1</v>
      </c>
      <c r="E1996" s="151">
        <v>17</v>
      </c>
    </row>
    <row r="1997" spans="2:5" x14ac:dyDescent="0.2">
      <c r="B1997" s="150" t="s">
        <v>2859</v>
      </c>
      <c r="C1997" s="151">
        <v>2019</v>
      </c>
      <c r="D1997" s="151">
        <v>12</v>
      </c>
      <c r="E1997" s="151">
        <v>7</v>
      </c>
    </row>
    <row r="1998" spans="2:5" x14ac:dyDescent="0.2">
      <c r="B1998" s="150" t="s">
        <v>2859</v>
      </c>
      <c r="C1998" s="151">
        <v>2019</v>
      </c>
      <c r="D1998" s="151">
        <v>2</v>
      </c>
      <c r="E1998" s="151">
        <v>4</v>
      </c>
    </row>
    <row r="1999" spans="2:5" x14ac:dyDescent="0.2">
      <c r="B1999" s="150" t="s">
        <v>2860</v>
      </c>
      <c r="C1999" s="151">
        <v>2019</v>
      </c>
      <c r="D1999" s="151">
        <v>9</v>
      </c>
      <c r="E1999" s="151">
        <v>49</v>
      </c>
    </row>
    <row r="2000" spans="2:5" x14ac:dyDescent="0.2">
      <c r="B2000" s="150" t="s">
        <v>2860</v>
      </c>
      <c r="C2000" s="151">
        <v>2019</v>
      </c>
      <c r="D2000" s="151">
        <v>2</v>
      </c>
      <c r="E2000" s="151">
        <v>40</v>
      </c>
    </row>
    <row r="2001" spans="2:5" x14ac:dyDescent="0.2">
      <c r="B2001" s="150" t="s">
        <v>2860</v>
      </c>
      <c r="C2001" s="151">
        <v>2019</v>
      </c>
      <c r="D2001" s="151">
        <v>5</v>
      </c>
      <c r="E2001" s="151">
        <v>27</v>
      </c>
    </row>
    <row r="2002" spans="2:5" x14ac:dyDescent="0.2">
      <c r="B2002" s="150" t="s">
        <v>2860</v>
      </c>
      <c r="C2002" s="151">
        <v>2019</v>
      </c>
      <c r="D2002" s="151">
        <v>8</v>
      </c>
      <c r="E2002" s="151">
        <v>27</v>
      </c>
    </row>
    <row r="2003" spans="2:5" x14ac:dyDescent="0.2">
      <c r="B2003" s="150" t="s">
        <v>2860</v>
      </c>
      <c r="C2003" s="151">
        <v>2019</v>
      </c>
      <c r="D2003" s="151">
        <v>3</v>
      </c>
      <c r="E2003" s="151">
        <v>26</v>
      </c>
    </row>
    <row r="2004" spans="2:5" x14ac:dyDescent="0.2">
      <c r="B2004" s="150" t="s">
        <v>2860</v>
      </c>
      <c r="C2004" s="151">
        <v>2019</v>
      </c>
      <c r="D2004" s="151">
        <v>10</v>
      </c>
      <c r="E2004" s="151">
        <v>25</v>
      </c>
    </row>
    <row r="2005" spans="2:5" x14ac:dyDescent="0.2">
      <c r="B2005" s="150" t="s">
        <v>2860</v>
      </c>
      <c r="C2005" s="151">
        <v>2019</v>
      </c>
      <c r="D2005" s="151">
        <v>7</v>
      </c>
      <c r="E2005" s="151">
        <v>24</v>
      </c>
    </row>
    <row r="2006" spans="2:5" x14ac:dyDescent="0.2">
      <c r="B2006" s="150" t="s">
        <v>2860</v>
      </c>
      <c r="C2006" s="151">
        <v>2019</v>
      </c>
      <c r="D2006" s="151">
        <v>6</v>
      </c>
      <c r="E2006" s="151">
        <v>23</v>
      </c>
    </row>
    <row r="2007" spans="2:5" x14ac:dyDescent="0.2">
      <c r="B2007" s="150" t="s">
        <v>2860</v>
      </c>
      <c r="C2007" s="151">
        <v>2019</v>
      </c>
      <c r="D2007" s="151">
        <v>11</v>
      </c>
      <c r="E2007" s="151">
        <v>13</v>
      </c>
    </row>
    <row r="2008" spans="2:5" x14ac:dyDescent="0.2">
      <c r="B2008" s="150" t="s">
        <v>2860</v>
      </c>
      <c r="C2008" s="151">
        <v>2019</v>
      </c>
      <c r="D2008" s="151">
        <v>12</v>
      </c>
      <c r="E2008" s="151">
        <v>12</v>
      </c>
    </row>
    <row r="2009" spans="2:5" x14ac:dyDescent="0.2">
      <c r="B2009" s="150" t="s">
        <v>2860</v>
      </c>
      <c r="C2009" s="151">
        <v>2019</v>
      </c>
      <c r="D2009" s="151">
        <v>1</v>
      </c>
      <c r="E2009" s="151">
        <v>10</v>
      </c>
    </row>
    <row r="2010" spans="2:5" x14ac:dyDescent="0.2">
      <c r="B2010" s="150" t="s">
        <v>2860</v>
      </c>
      <c r="C2010" s="151">
        <v>2019</v>
      </c>
      <c r="D2010" s="151">
        <v>4</v>
      </c>
      <c r="E2010" s="151">
        <v>2</v>
      </c>
    </row>
    <row r="2011" spans="2:5" x14ac:dyDescent="0.2">
      <c r="B2011" s="150" t="s">
        <v>2930</v>
      </c>
      <c r="C2011" s="151">
        <v>2019</v>
      </c>
      <c r="D2011" s="151">
        <v>5</v>
      </c>
      <c r="E2011" s="151">
        <v>8</v>
      </c>
    </row>
    <row r="2012" spans="2:5" x14ac:dyDescent="0.2">
      <c r="B2012" s="150" t="s">
        <v>2930</v>
      </c>
      <c r="C2012" s="151">
        <v>2019</v>
      </c>
      <c r="D2012" s="151">
        <v>2</v>
      </c>
      <c r="E2012" s="151">
        <v>6</v>
      </c>
    </row>
    <row r="2013" spans="2:5" x14ac:dyDescent="0.2">
      <c r="B2013" s="150" t="s">
        <v>2930</v>
      </c>
      <c r="C2013" s="151">
        <v>2019</v>
      </c>
      <c r="D2013" s="151">
        <v>4</v>
      </c>
      <c r="E2013" s="151">
        <v>6</v>
      </c>
    </row>
    <row r="2014" spans="2:5" x14ac:dyDescent="0.2">
      <c r="B2014" s="150" t="s">
        <v>2930</v>
      </c>
      <c r="C2014" s="151">
        <v>2019</v>
      </c>
      <c r="D2014" s="151">
        <v>6</v>
      </c>
      <c r="E2014" s="151">
        <v>6</v>
      </c>
    </row>
    <row r="2015" spans="2:5" x14ac:dyDescent="0.2">
      <c r="B2015" s="150" t="s">
        <v>2930</v>
      </c>
      <c r="C2015" s="151">
        <v>2019</v>
      </c>
      <c r="D2015" s="151">
        <v>7</v>
      </c>
      <c r="E2015" s="151">
        <v>4</v>
      </c>
    </row>
    <row r="2016" spans="2:5" x14ac:dyDescent="0.2">
      <c r="B2016" s="150" t="s">
        <v>2930</v>
      </c>
      <c r="C2016" s="151">
        <v>2019</v>
      </c>
      <c r="D2016" s="151">
        <v>3</v>
      </c>
      <c r="E2016" s="151">
        <v>3</v>
      </c>
    </row>
    <row r="2017" spans="2:5" x14ac:dyDescent="0.2">
      <c r="B2017" s="150" t="s">
        <v>2930</v>
      </c>
      <c r="C2017" s="151">
        <v>2019</v>
      </c>
      <c r="D2017" s="151">
        <v>10</v>
      </c>
      <c r="E2017" s="151">
        <v>3</v>
      </c>
    </row>
    <row r="2018" spans="2:5" x14ac:dyDescent="0.2">
      <c r="B2018" s="150" t="s">
        <v>2930</v>
      </c>
      <c r="C2018" s="151">
        <v>2019</v>
      </c>
      <c r="D2018" s="151">
        <v>12</v>
      </c>
      <c r="E2018" s="151">
        <v>3</v>
      </c>
    </row>
    <row r="2019" spans="2:5" x14ac:dyDescent="0.2">
      <c r="B2019" s="150" t="s">
        <v>2930</v>
      </c>
      <c r="C2019" s="151">
        <v>2019</v>
      </c>
      <c r="D2019" s="151">
        <v>8</v>
      </c>
      <c r="E2019" s="151">
        <v>1</v>
      </c>
    </row>
    <row r="2020" spans="2:5" x14ac:dyDescent="0.2">
      <c r="B2020" s="150" t="s">
        <v>2924</v>
      </c>
      <c r="C2020" s="151">
        <v>2019</v>
      </c>
      <c r="D2020" s="151">
        <v>4</v>
      </c>
      <c r="E2020" s="151">
        <v>11</v>
      </c>
    </row>
    <row r="2021" spans="2:5" x14ac:dyDescent="0.2">
      <c r="B2021" s="150" t="s">
        <v>2924</v>
      </c>
      <c r="C2021" s="151">
        <v>2019</v>
      </c>
      <c r="D2021" s="151">
        <v>1</v>
      </c>
      <c r="E2021" s="151">
        <v>10</v>
      </c>
    </row>
    <row r="2022" spans="2:5" x14ac:dyDescent="0.2">
      <c r="B2022" s="150" t="s">
        <v>2924</v>
      </c>
      <c r="C2022" s="151">
        <v>2019</v>
      </c>
      <c r="D2022" s="151">
        <v>3</v>
      </c>
      <c r="E2022" s="151">
        <v>6</v>
      </c>
    </row>
    <row r="2023" spans="2:5" x14ac:dyDescent="0.2">
      <c r="B2023" s="150" t="s">
        <v>2924</v>
      </c>
      <c r="C2023" s="151">
        <v>2019</v>
      </c>
      <c r="D2023" s="151">
        <v>8</v>
      </c>
      <c r="E2023" s="151">
        <v>6</v>
      </c>
    </row>
    <row r="2024" spans="2:5" x14ac:dyDescent="0.2">
      <c r="B2024" s="150" t="s">
        <v>2924</v>
      </c>
      <c r="C2024" s="151">
        <v>2019</v>
      </c>
      <c r="D2024" s="151">
        <v>9</v>
      </c>
      <c r="E2024" s="151">
        <v>5</v>
      </c>
    </row>
    <row r="2025" spans="2:5" x14ac:dyDescent="0.2">
      <c r="B2025" s="150" t="s">
        <v>2924</v>
      </c>
      <c r="C2025" s="151">
        <v>2019</v>
      </c>
      <c r="D2025" s="151">
        <v>12</v>
      </c>
      <c r="E2025" s="151">
        <v>4</v>
      </c>
    </row>
    <row r="2026" spans="2:5" x14ac:dyDescent="0.2">
      <c r="B2026" s="150" t="s">
        <v>2924</v>
      </c>
      <c r="C2026" s="151">
        <v>2019</v>
      </c>
      <c r="D2026" s="151">
        <v>7</v>
      </c>
      <c r="E2026" s="151">
        <v>3</v>
      </c>
    </row>
    <row r="2027" spans="2:5" x14ac:dyDescent="0.2">
      <c r="B2027" s="150" t="s">
        <v>2924</v>
      </c>
      <c r="C2027" s="151">
        <v>2019</v>
      </c>
      <c r="D2027" s="151">
        <v>5</v>
      </c>
      <c r="E2027" s="151">
        <v>2</v>
      </c>
    </row>
    <row r="2028" spans="2:5" x14ac:dyDescent="0.2">
      <c r="B2028" s="150" t="s">
        <v>2924</v>
      </c>
      <c r="C2028" s="151">
        <v>2019</v>
      </c>
      <c r="D2028" s="151">
        <v>10</v>
      </c>
      <c r="E2028" s="151">
        <v>2</v>
      </c>
    </row>
    <row r="2029" spans="2:5" x14ac:dyDescent="0.2">
      <c r="B2029" s="150" t="s">
        <v>2924</v>
      </c>
      <c r="C2029" s="151">
        <v>2019</v>
      </c>
      <c r="D2029" s="151">
        <v>11</v>
      </c>
      <c r="E2029" s="151">
        <v>2</v>
      </c>
    </row>
    <row r="2030" spans="2:5" x14ac:dyDescent="0.2">
      <c r="B2030" s="150" t="s">
        <v>2950</v>
      </c>
      <c r="C2030" s="151">
        <v>2019</v>
      </c>
      <c r="D2030" s="151">
        <v>1</v>
      </c>
      <c r="E2030" s="151">
        <v>2</v>
      </c>
    </row>
    <row r="2031" spans="2:5" x14ac:dyDescent="0.2">
      <c r="B2031" s="150" t="s">
        <v>2950</v>
      </c>
      <c r="C2031" s="151">
        <v>2019</v>
      </c>
      <c r="D2031" s="151">
        <v>6</v>
      </c>
      <c r="E2031" s="151">
        <v>2</v>
      </c>
    </row>
    <row r="2032" spans="2:5" x14ac:dyDescent="0.2">
      <c r="B2032" s="150" t="s">
        <v>2950</v>
      </c>
      <c r="C2032" s="151">
        <v>2019</v>
      </c>
      <c r="D2032" s="151">
        <v>8</v>
      </c>
      <c r="E2032" s="151">
        <v>2</v>
      </c>
    </row>
    <row r="2033" spans="2:5" x14ac:dyDescent="0.2">
      <c r="B2033" s="150" t="s">
        <v>2950</v>
      </c>
      <c r="C2033" s="151">
        <v>2019</v>
      </c>
      <c r="D2033" s="151">
        <v>9</v>
      </c>
      <c r="E2033" s="151">
        <v>2</v>
      </c>
    </row>
    <row r="2034" spans="2:5" x14ac:dyDescent="0.2">
      <c r="B2034" s="150" t="s">
        <v>2950</v>
      </c>
      <c r="C2034" s="151">
        <v>2019</v>
      </c>
      <c r="D2034" s="151">
        <v>5</v>
      </c>
      <c r="E2034" s="151">
        <v>1</v>
      </c>
    </row>
    <row r="2035" spans="2:5" x14ac:dyDescent="0.2">
      <c r="B2035" s="150" t="s">
        <v>2950</v>
      </c>
      <c r="C2035" s="151">
        <v>2019</v>
      </c>
      <c r="D2035" s="151">
        <v>10</v>
      </c>
      <c r="E2035" s="151">
        <v>1</v>
      </c>
    </row>
    <row r="2036" spans="2:5" x14ac:dyDescent="0.2">
      <c r="B2036" s="150" t="s">
        <v>2950</v>
      </c>
      <c r="C2036" s="151">
        <v>2019</v>
      </c>
      <c r="D2036" s="151">
        <v>11</v>
      </c>
      <c r="E2036" s="151">
        <v>1</v>
      </c>
    </row>
    <row r="2037" spans="2:5" x14ac:dyDescent="0.2">
      <c r="B2037" s="150" t="s">
        <v>2955</v>
      </c>
      <c r="C2037" s="151">
        <v>2019</v>
      </c>
      <c r="D2037" s="151">
        <v>8</v>
      </c>
      <c r="E2037" s="151">
        <v>3</v>
      </c>
    </row>
    <row r="2038" spans="2:5" x14ac:dyDescent="0.2">
      <c r="B2038" s="150" t="s">
        <v>2955</v>
      </c>
      <c r="C2038" s="151">
        <v>2019</v>
      </c>
      <c r="D2038" s="151">
        <v>5</v>
      </c>
      <c r="E2038" s="151">
        <v>2</v>
      </c>
    </row>
    <row r="2039" spans="2:5" x14ac:dyDescent="0.2">
      <c r="B2039" s="150" t="s">
        <v>2955</v>
      </c>
      <c r="C2039" s="151">
        <v>2019</v>
      </c>
      <c r="D2039" s="151">
        <v>7</v>
      </c>
      <c r="E2039" s="151">
        <v>2</v>
      </c>
    </row>
    <row r="2040" spans="2:5" x14ac:dyDescent="0.2">
      <c r="B2040" s="150" t="s">
        <v>2955</v>
      </c>
      <c r="C2040" s="151">
        <v>2019</v>
      </c>
      <c r="D2040" s="151">
        <v>10</v>
      </c>
      <c r="E2040" s="151">
        <v>2</v>
      </c>
    </row>
    <row r="2041" spans="2:5" x14ac:dyDescent="0.2">
      <c r="B2041" s="150" t="s">
        <v>2955</v>
      </c>
      <c r="C2041" s="151">
        <v>2019</v>
      </c>
      <c r="D2041" s="151">
        <v>6</v>
      </c>
      <c r="E2041" s="151">
        <v>1</v>
      </c>
    </row>
    <row r="2042" spans="2:5" x14ac:dyDescent="0.2">
      <c r="B2042" s="150" t="s">
        <v>2861</v>
      </c>
      <c r="C2042" s="151">
        <v>2019</v>
      </c>
      <c r="D2042" s="151">
        <v>10</v>
      </c>
      <c r="E2042" s="151">
        <v>190</v>
      </c>
    </row>
    <row r="2043" spans="2:5" x14ac:dyDescent="0.2">
      <c r="B2043" s="150" t="s">
        <v>2861</v>
      </c>
      <c r="C2043" s="151">
        <v>2019</v>
      </c>
      <c r="D2043" s="151">
        <v>4</v>
      </c>
      <c r="E2043" s="151">
        <v>183</v>
      </c>
    </row>
    <row r="2044" spans="2:5" x14ac:dyDescent="0.2">
      <c r="B2044" s="150" t="s">
        <v>2861</v>
      </c>
      <c r="C2044" s="151">
        <v>2019</v>
      </c>
      <c r="D2044" s="151">
        <v>2</v>
      </c>
      <c r="E2044" s="151">
        <v>149</v>
      </c>
    </row>
    <row r="2045" spans="2:5" x14ac:dyDescent="0.2">
      <c r="B2045" s="150" t="s">
        <v>2861</v>
      </c>
      <c r="C2045" s="151">
        <v>2019</v>
      </c>
      <c r="D2045" s="151">
        <v>1</v>
      </c>
      <c r="E2045" s="151">
        <v>123</v>
      </c>
    </row>
    <row r="2046" spans="2:5" x14ac:dyDescent="0.2">
      <c r="B2046" s="150" t="s">
        <v>2861</v>
      </c>
      <c r="C2046" s="151">
        <v>2019</v>
      </c>
      <c r="D2046" s="151">
        <v>3</v>
      </c>
      <c r="E2046" s="151">
        <v>114</v>
      </c>
    </row>
    <row r="2047" spans="2:5" x14ac:dyDescent="0.2">
      <c r="B2047" s="150" t="s">
        <v>2861</v>
      </c>
      <c r="C2047" s="151">
        <v>2019</v>
      </c>
      <c r="D2047" s="151">
        <v>8</v>
      </c>
      <c r="E2047" s="151">
        <v>114</v>
      </c>
    </row>
    <row r="2048" spans="2:5" x14ac:dyDescent="0.2">
      <c r="B2048" s="150" t="s">
        <v>2861</v>
      </c>
      <c r="C2048" s="151">
        <v>2019</v>
      </c>
      <c r="D2048" s="151">
        <v>11</v>
      </c>
      <c r="E2048" s="151">
        <v>95</v>
      </c>
    </row>
    <row r="2049" spans="2:5" x14ac:dyDescent="0.2">
      <c r="B2049" s="150" t="s">
        <v>2861</v>
      </c>
      <c r="C2049" s="151">
        <v>2019</v>
      </c>
      <c r="D2049" s="151">
        <v>9</v>
      </c>
      <c r="E2049" s="151">
        <v>94</v>
      </c>
    </row>
    <row r="2050" spans="2:5" x14ac:dyDescent="0.2">
      <c r="B2050" s="150" t="s">
        <v>2861</v>
      </c>
      <c r="C2050" s="151">
        <v>2019</v>
      </c>
      <c r="D2050" s="151">
        <v>5</v>
      </c>
      <c r="E2050" s="151">
        <v>91</v>
      </c>
    </row>
    <row r="2051" spans="2:5" x14ac:dyDescent="0.2">
      <c r="B2051" s="150" t="s">
        <v>2861</v>
      </c>
      <c r="C2051" s="151">
        <v>2019</v>
      </c>
      <c r="D2051" s="151">
        <v>7</v>
      </c>
      <c r="E2051" s="151">
        <v>83</v>
      </c>
    </row>
    <row r="2052" spans="2:5" x14ac:dyDescent="0.2">
      <c r="B2052" s="150" t="s">
        <v>2861</v>
      </c>
      <c r="C2052" s="151">
        <v>2019</v>
      </c>
      <c r="D2052" s="151">
        <v>12</v>
      </c>
      <c r="E2052" s="151">
        <v>75</v>
      </c>
    </row>
    <row r="2053" spans="2:5" x14ac:dyDescent="0.2">
      <c r="B2053" s="150" t="s">
        <v>2861</v>
      </c>
      <c r="C2053" s="151">
        <v>2019</v>
      </c>
      <c r="D2053" s="151">
        <v>6</v>
      </c>
      <c r="E2053" s="151">
        <v>51</v>
      </c>
    </row>
    <row r="2054" spans="2:5" x14ac:dyDescent="0.2">
      <c r="B2054" s="150" t="s">
        <v>2971</v>
      </c>
      <c r="C2054" s="151">
        <v>2019</v>
      </c>
      <c r="D2054" s="151">
        <v>2</v>
      </c>
      <c r="E2054" s="151">
        <v>1</v>
      </c>
    </row>
    <row r="2055" spans="2:5" x14ac:dyDescent="0.2">
      <c r="B2055" s="150" t="s">
        <v>2971</v>
      </c>
      <c r="C2055" s="151">
        <v>2019</v>
      </c>
      <c r="D2055" s="151">
        <v>5</v>
      </c>
      <c r="E2055" s="151">
        <v>1</v>
      </c>
    </row>
    <row r="2056" spans="2:5" x14ac:dyDescent="0.2">
      <c r="B2056" s="150" t="s">
        <v>2971</v>
      </c>
      <c r="C2056" s="151">
        <v>2019</v>
      </c>
      <c r="D2056" s="151">
        <v>9</v>
      </c>
      <c r="E2056" s="151">
        <v>1</v>
      </c>
    </row>
    <row r="2057" spans="2:5" x14ac:dyDescent="0.2">
      <c r="B2057" s="150" t="s">
        <v>2971</v>
      </c>
      <c r="C2057" s="151">
        <v>2019</v>
      </c>
      <c r="D2057" s="151">
        <v>12</v>
      </c>
      <c r="E2057" s="151">
        <v>1</v>
      </c>
    </row>
    <row r="2058" spans="2:5" x14ac:dyDescent="0.2">
      <c r="B2058" s="150" t="s">
        <v>2925</v>
      </c>
      <c r="C2058" s="151">
        <v>2019</v>
      </c>
      <c r="D2058" s="151">
        <v>3</v>
      </c>
      <c r="E2058" s="151">
        <v>14</v>
      </c>
    </row>
    <row r="2059" spans="2:5" x14ac:dyDescent="0.2">
      <c r="B2059" s="150" t="s">
        <v>2925</v>
      </c>
      <c r="C2059" s="151">
        <v>2019</v>
      </c>
      <c r="D2059" s="151">
        <v>5</v>
      </c>
      <c r="E2059" s="151">
        <v>12</v>
      </c>
    </row>
    <row r="2060" spans="2:5" x14ac:dyDescent="0.2">
      <c r="B2060" s="150" t="s">
        <v>2925</v>
      </c>
      <c r="C2060" s="151">
        <v>2019</v>
      </c>
      <c r="D2060" s="151">
        <v>10</v>
      </c>
      <c r="E2060" s="151">
        <v>7</v>
      </c>
    </row>
    <row r="2061" spans="2:5" x14ac:dyDescent="0.2">
      <c r="B2061" s="150" t="s">
        <v>2925</v>
      </c>
      <c r="C2061" s="151">
        <v>2019</v>
      </c>
      <c r="D2061" s="151">
        <v>7</v>
      </c>
      <c r="E2061" s="151">
        <v>6</v>
      </c>
    </row>
    <row r="2062" spans="2:5" x14ac:dyDescent="0.2">
      <c r="B2062" s="150" t="s">
        <v>2925</v>
      </c>
      <c r="C2062" s="151">
        <v>2019</v>
      </c>
      <c r="D2062" s="151">
        <v>4</v>
      </c>
      <c r="E2062" s="151">
        <v>3</v>
      </c>
    </row>
    <row r="2063" spans="2:5" x14ac:dyDescent="0.2">
      <c r="B2063" s="150" t="s">
        <v>2925</v>
      </c>
      <c r="C2063" s="151">
        <v>2019</v>
      </c>
      <c r="D2063" s="151">
        <v>6</v>
      </c>
      <c r="E2063" s="151">
        <v>2</v>
      </c>
    </row>
    <row r="2064" spans="2:5" x14ac:dyDescent="0.2">
      <c r="B2064" s="150" t="s">
        <v>2925</v>
      </c>
      <c r="C2064" s="151">
        <v>2019</v>
      </c>
      <c r="D2064" s="151">
        <v>1</v>
      </c>
      <c r="E2064" s="151">
        <v>1</v>
      </c>
    </row>
    <row r="2065" spans="2:5" x14ac:dyDescent="0.2">
      <c r="B2065" s="150" t="s">
        <v>2925</v>
      </c>
      <c r="C2065" s="151">
        <v>2019</v>
      </c>
      <c r="D2065" s="151">
        <v>8</v>
      </c>
      <c r="E2065" s="151">
        <v>1</v>
      </c>
    </row>
    <row r="2066" spans="2:5" x14ac:dyDescent="0.2">
      <c r="B2066" s="150" t="s">
        <v>2937</v>
      </c>
      <c r="C2066" s="151">
        <v>2019</v>
      </c>
      <c r="D2066" s="151">
        <v>4</v>
      </c>
      <c r="E2066" s="151">
        <v>6</v>
      </c>
    </row>
    <row r="2067" spans="2:5" x14ac:dyDescent="0.2">
      <c r="B2067" s="150" t="s">
        <v>2937</v>
      </c>
      <c r="C2067" s="151">
        <v>2019</v>
      </c>
      <c r="D2067" s="151">
        <v>3</v>
      </c>
      <c r="E2067" s="151">
        <v>3</v>
      </c>
    </row>
    <row r="2068" spans="2:5" x14ac:dyDescent="0.2">
      <c r="B2068" s="150" t="s">
        <v>2937</v>
      </c>
      <c r="C2068" s="151">
        <v>2019</v>
      </c>
      <c r="D2068" s="151">
        <v>6</v>
      </c>
      <c r="E2068" s="151">
        <v>3</v>
      </c>
    </row>
    <row r="2069" spans="2:5" x14ac:dyDescent="0.2">
      <c r="B2069" s="150" t="s">
        <v>2937</v>
      </c>
      <c r="C2069" s="151">
        <v>2019</v>
      </c>
      <c r="D2069" s="151">
        <v>9</v>
      </c>
      <c r="E2069" s="151">
        <v>3</v>
      </c>
    </row>
    <row r="2070" spans="2:5" x14ac:dyDescent="0.2">
      <c r="B2070" s="150" t="s">
        <v>2937</v>
      </c>
      <c r="C2070" s="151">
        <v>2019</v>
      </c>
      <c r="D2070" s="151">
        <v>5</v>
      </c>
      <c r="E2070" s="151">
        <v>2</v>
      </c>
    </row>
    <row r="2071" spans="2:5" x14ac:dyDescent="0.2">
      <c r="B2071" s="150" t="s">
        <v>2937</v>
      </c>
      <c r="C2071" s="151">
        <v>2019</v>
      </c>
      <c r="D2071" s="151">
        <v>7</v>
      </c>
      <c r="E2071" s="151">
        <v>2</v>
      </c>
    </row>
    <row r="2072" spans="2:5" x14ac:dyDescent="0.2">
      <c r="B2072" s="150" t="s">
        <v>2937</v>
      </c>
      <c r="C2072" s="151">
        <v>2019</v>
      </c>
      <c r="D2072" s="151">
        <v>8</v>
      </c>
      <c r="E2072" s="151">
        <v>2</v>
      </c>
    </row>
    <row r="2073" spans="2:5" x14ac:dyDescent="0.2">
      <c r="B2073" s="150" t="s">
        <v>2937</v>
      </c>
      <c r="C2073" s="151">
        <v>2019</v>
      </c>
      <c r="D2073" s="151">
        <v>10</v>
      </c>
      <c r="E2073" s="151">
        <v>2</v>
      </c>
    </row>
    <row r="2074" spans="2:5" x14ac:dyDescent="0.2">
      <c r="B2074" s="150" t="s">
        <v>2935</v>
      </c>
      <c r="C2074" s="151">
        <v>2019</v>
      </c>
      <c r="D2074" s="151">
        <v>6</v>
      </c>
      <c r="E2074" s="151">
        <v>6</v>
      </c>
    </row>
    <row r="2075" spans="2:5" x14ac:dyDescent="0.2">
      <c r="B2075" s="150" t="s">
        <v>2935</v>
      </c>
      <c r="C2075" s="151">
        <v>2019</v>
      </c>
      <c r="D2075" s="151">
        <v>1</v>
      </c>
      <c r="E2075" s="151">
        <v>4</v>
      </c>
    </row>
    <row r="2076" spans="2:5" x14ac:dyDescent="0.2">
      <c r="B2076" s="150" t="s">
        <v>2935</v>
      </c>
      <c r="C2076" s="151">
        <v>2019</v>
      </c>
      <c r="D2076" s="151">
        <v>5</v>
      </c>
      <c r="E2076" s="151">
        <v>4</v>
      </c>
    </row>
    <row r="2077" spans="2:5" x14ac:dyDescent="0.2">
      <c r="B2077" s="150" t="s">
        <v>2935</v>
      </c>
      <c r="C2077" s="151">
        <v>2019</v>
      </c>
      <c r="D2077" s="151">
        <v>8</v>
      </c>
      <c r="E2077" s="151">
        <v>4</v>
      </c>
    </row>
    <row r="2078" spans="2:5" x14ac:dyDescent="0.2">
      <c r="B2078" s="150" t="s">
        <v>2935</v>
      </c>
      <c r="C2078" s="151">
        <v>2019</v>
      </c>
      <c r="D2078" s="151">
        <v>7</v>
      </c>
      <c r="E2078" s="151">
        <v>2</v>
      </c>
    </row>
    <row r="2079" spans="2:5" x14ac:dyDescent="0.2">
      <c r="B2079" s="150" t="s">
        <v>2935</v>
      </c>
      <c r="C2079" s="151">
        <v>2019</v>
      </c>
      <c r="D2079" s="151">
        <v>4</v>
      </c>
      <c r="E2079" s="151">
        <v>1</v>
      </c>
    </row>
    <row r="2080" spans="2:5" x14ac:dyDescent="0.2">
      <c r="B2080" s="150" t="s">
        <v>2935</v>
      </c>
      <c r="C2080" s="151">
        <v>2019</v>
      </c>
      <c r="D2080" s="151">
        <v>9</v>
      </c>
      <c r="E2080" s="151">
        <v>1</v>
      </c>
    </row>
    <row r="2081" spans="2:5" x14ac:dyDescent="0.2">
      <c r="B2081" s="150" t="s">
        <v>2935</v>
      </c>
      <c r="C2081" s="151">
        <v>2019</v>
      </c>
      <c r="D2081" s="151">
        <v>10</v>
      </c>
      <c r="E2081" s="151">
        <v>1</v>
      </c>
    </row>
    <row r="2082" spans="2:5" x14ac:dyDescent="0.2">
      <c r="B2082" s="150" t="s">
        <v>2935</v>
      </c>
      <c r="C2082" s="151">
        <v>2019</v>
      </c>
      <c r="D2082" s="151">
        <v>11</v>
      </c>
      <c r="E2082" s="151">
        <v>1</v>
      </c>
    </row>
    <row r="2083" spans="2:5" x14ac:dyDescent="0.2">
      <c r="B2083" s="150" t="s">
        <v>2862</v>
      </c>
      <c r="C2083" s="151">
        <v>2019</v>
      </c>
      <c r="D2083" s="151">
        <v>5</v>
      </c>
      <c r="E2083" s="151">
        <v>29</v>
      </c>
    </row>
    <row r="2084" spans="2:5" x14ac:dyDescent="0.2">
      <c r="B2084" s="150" t="s">
        <v>2862</v>
      </c>
      <c r="C2084" s="151">
        <v>2019</v>
      </c>
      <c r="D2084" s="151">
        <v>11</v>
      </c>
      <c r="E2084" s="151">
        <v>24</v>
      </c>
    </row>
    <row r="2085" spans="2:5" x14ac:dyDescent="0.2">
      <c r="B2085" s="150" t="s">
        <v>2862</v>
      </c>
      <c r="C2085" s="151">
        <v>2019</v>
      </c>
      <c r="D2085" s="151">
        <v>3</v>
      </c>
      <c r="E2085" s="151">
        <v>16</v>
      </c>
    </row>
    <row r="2086" spans="2:5" x14ac:dyDescent="0.2">
      <c r="B2086" s="150" t="s">
        <v>2862</v>
      </c>
      <c r="C2086" s="151">
        <v>2019</v>
      </c>
      <c r="D2086" s="151">
        <v>8</v>
      </c>
      <c r="E2086" s="151">
        <v>16</v>
      </c>
    </row>
    <row r="2087" spans="2:5" x14ac:dyDescent="0.2">
      <c r="B2087" s="150" t="s">
        <v>2862</v>
      </c>
      <c r="C2087" s="151">
        <v>2019</v>
      </c>
      <c r="D2087" s="151">
        <v>10</v>
      </c>
      <c r="E2087" s="151">
        <v>13</v>
      </c>
    </row>
    <row r="2088" spans="2:5" x14ac:dyDescent="0.2">
      <c r="B2088" s="150" t="s">
        <v>2862</v>
      </c>
      <c r="C2088" s="151">
        <v>2019</v>
      </c>
      <c r="D2088" s="151">
        <v>4</v>
      </c>
      <c r="E2088" s="151">
        <v>7</v>
      </c>
    </row>
    <row r="2089" spans="2:5" x14ac:dyDescent="0.2">
      <c r="B2089" s="150" t="s">
        <v>2862</v>
      </c>
      <c r="C2089" s="151">
        <v>2019</v>
      </c>
      <c r="D2089" s="151">
        <v>6</v>
      </c>
      <c r="E2089" s="151">
        <v>5</v>
      </c>
    </row>
    <row r="2090" spans="2:5" x14ac:dyDescent="0.2">
      <c r="B2090" s="150" t="s">
        <v>2862</v>
      </c>
      <c r="C2090" s="151">
        <v>2019</v>
      </c>
      <c r="D2090" s="151">
        <v>12</v>
      </c>
      <c r="E2090" s="151">
        <v>4</v>
      </c>
    </row>
    <row r="2091" spans="2:5" x14ac:dyDescent="0.2">
      <c r="B2091" s="150" t="s">
        <v>2862</v>
      </c>
      <c r="C2091" s="151">
        <v>2019</v>
      </c>
      <c r="D2091" s="151">
        <v>2</v>
      </c>
      <c r="E2091" s="151">
        <v>3</v>
      </c>
    </row>
    <row r="2092" spans="2:5" x14ac:dyDescent="0.2">
      <c r="B2092" s="150" t="s">
        <v>2862</v>
      </c>
      <c r="C2092" s="151">
        <v>2019</v>
      </c>
      <c r="D2092" s="151">
        <v>9</v>
      </c>
      <c r="E2092" s="151">
        <v>2</v>
      </c>
    </row>
    <row r="2093" spans="2:5" x14ac:dyDescent="0.2">
      <c r="B2093" s="150" t="s">
        <v>2862</v>
      </c>
      <c r="C2093" s="151">
        <v>2019</v>
      </c>
      <c r="D2093" s="151">
        <v>7</v>
      </c>
      <c r="E2093" s="151">
        <v>1</v>
      </c>
    </row>
    <row r="2094" spans="2:5" x14ac:dyDescent="0.2">
      <c r="B2094" s="150" t="s">
        <v>2863</v>
      </c>
      <c r="C2094" s="151">
        <v>2019</v>
      </c>
      <c r="D2094" s="151">
        <v>5</v>
      </c>
      <c r="E2094" s="151">
        <v>31</v>
      </c>
    </row>
    <row r="2095" spans="2:5" x14ac:dyDescent="0.2">
      <c r="B2095" s="150" t="s">
        <v>2863</v>
      </c>
      <c r="C2095" s="151">
        <v>2019</v>
      </c>
      <c r="D2095" s="151">
        <v>4</v>
      </c>
      <c r="E2095" s="151">
        <v>25</v>
      </c>
    </row>
    <row r="2096" spans="2:5" x14ac:dyDescent="0.2">
      <c r="B2096" s="150" t="s">
        <v>2863</v>
      </c>
      <c r="C2096" s="151">
        <v>2019</v>
      </c>
      <c r="D2096" s="151">
        <v>10</v>
      </c>
      <c r="E2096" s="151">
        <v>21</v>
      </c>
    </row>
    <row r="2097" spans="2:5" x14ac:dyDescent="0.2">
      <c r="B2097" s="150" t="s">
        <v>2863</v>
      </c>
      <c r="C2097" s="151">
        <v>2019</v>
      </c>
      <c r="D2097" s="151">
        <v>1</v>
      </c>
      <c r="E2097" s="151">
        <v>6</v>
      </c>
    </row>
    <row r="2098" spans="2:5" x14ac:dyDescent="0.2">
      <c r="B2098" s="150" t="s">
        <v>2863</v>
      </c>
      <c r="C2098" s="151">
        <v>2019</v>
      </c>
      <c r="D2098" s="151">
        <v>11</v>
      </c>
      <c r="E2098" s="151">
        <v>6</v>
      </c>
    </row>
    <row r="2099" spans="2:5" x14ac:dyDescent="0.2">
      <c r="B2099" s="150" t="s">
        <v>2863</v>
      </c>
      <c r="C2099" s="151">
        <v>2019</v>
      </c>
      <c r="D2099" s="151">
        <v>6</v>
      </c>
      <c r="E2099" s="151">
        <v>5</v>
      </c>
    </row>
    <row r="2100" spans="2:5" x14ac:dyDescent="0.2">
      <c r="B2100" s="150" t="s">
        <v>2863</v>
      </c>
      <c r="C2100" s="151">
        <v>2019</v>
      </c>
      <c r="D2100" s="151">
        <v>9</v>
      </c>
      <c r="E2100" s="151">
        <v>5</v>
      </c>
    </row>
    <row r="2101" spans="2:5" x14ac:dyDescent="0.2">
      <c r="B2101" s="150" t="s">
        <v>2863</v>
      </c>
      <c r="C2101" s="151">
        <v>2019</v>
      </c>
      <c r="D2101" s="151">
        <v>12</v>
      </c>
      <c r="E2101" s="151">
        <v>5</v>
      </c>
    </row>
    <row r="2102" spans="2:5" x14ac:dyDescent="0.2">
      <c r="B2102" s="150" t="s">
        <v>2863</v>
      </c>
      <c r="C2102" s="151">
        <v>2019</v>
      </c>
      <c r="D2102" s="151">
        <v>8</v>
      </c>
      <c r="E2102" s="151">
        <v>3</v>
      </c>
    </row>
    <row r="2103" spans="2:5" x14ac:dyDescent="0.2">
      <c r="B2103" s="150" t="s">
        <v>2863</v>
      </c>
      <c r="C2103" s="151">
        <v>2019</v>
      </c>
      <c r="D2103" s="151">
        <v>7</v>
      </c>
      <c r="E2103" s="151">
        <v>2</v>
      </c>
    </row>
    <row r="2104" spans="2:5" x14ac:dyDescent="0.2">
      <c r="B2104" s="150" t="s">
        <v>2864</v>
      </c>
      <c r="C2104" s="151">
        <v>2019</v>
      </c>
      <c r="D2104" s="151">
        <v>4</v>
      </c>
      <c r="E2104" s="151">
        <v>65</v>
      </c>
    </row>
    <row r="2105" spans="2:5" x14ac:dyDescent="0.2">
      <c r="B2105" s="150" t="s">
        <v>2864</v>
      </c>
      <c r="C2105" s="151">
        <v>2019</v>
      </c>
      <c r="D2105" s="151">
        <v>1</v>
      </c>
      <c r="E2105" s="151">
        <v>50</v>
      </c>
    </row>
    <row r="2106" spans="2:5" x14ac:dyDescent="0.2">
      <c r="B2106" s="150" t="s">
        <v>2864</v>
      </c>
      <c r="C2106" s="151">
        <v>2019</v>
      </c>
      <c r="D2106" s="151">
        <v>10</v>
      </c>
      <c r="E2106" s="151">
        <v>37</v>
      </c>
    </row>
    <row r="2107" spans="2:5" x14ac:dyDescent="0.2">
      <c r="B2107" s="150" t="s">
        <v>2864</v>
      </c>
      <c r="C2107" s="151">
        <v>2019</v>
      </c>
      <c r="D2107" s="151">
        <v>5</v>
      </c>
      <c r="E2107" s="151">
        <v>34</v>
      </c>
    </row>
    <row r="2108" spans="2:5" x14ac:dyDescent="0.2">
      <c r="B2108" s="150" t="s">
        <v>2864</v>
      </c>
      <c r="C2108" s="151">
        <v>2019</v>
      </c>
      <c r="D2108" s="151">
        <v>12</v>
      </c>
      <c r="E2108" s="151">
        <v>34</v>
      </c>
    </row>
    <row r="2109" spans="2:5" x14ac:dyDescent="0.2">
      <c r="B2109" s="150" t="s">
        <v>2864</v>
      </c>
      <c r="C2109" s="151">
        <v>2019</v>
      </c>
      <c r="D2109" s="151">
        <v>2</v>
      </c>
      <c r="E2109" s="151">
        <v>28</v>
      </c>
    </row>
    <row r="2110" spans="2:5" x14ac:dyDescent="0.2">
      <c r="B2110" s="150" t="s">
        <v>2864</v>
      </c>
      <c r="C2110" s="151">
        <v>2019</v>
      </c>
      <c r="D2110" s="151">
        <v>6</v>
      </c>
      <c r="E2110" s="151">
        <v>28</v>
      </c>
    </row>
    <row r="2111" spans="2:5" x14ac:dyDescent="0.2">
      <c r="B2111" s="150" t="s">
        <v>2864</v>
      </c>
      <c r="C2111" s="151">
        <v>2019</v>
      </c>
      <c r="D2111" s="151">
        <v>7</v>
      </c>
      <c r="E2111" s="151">
        <v>28</v>
      </c>
    </row>
    <row r="2112" spans="2:5" x14ac:dyDescent="0.2">
      <c r="B2112" s="150" t="s">
        <v>2864</v>
      </c>
      <c r="C2112" s="151">
        <v>2019</v>
      </c>
      <c r="D2112" s="151">
        <v>3</v>
      </c>
      <c r="E2112" s="151">
        <v>24</v>
      </c>
    </row>
    <row r="2113" spans="2:5" x14ac:dyDescent="0.2">
      <c r="B2113" s="150" t="s">
        <v>2864</v>
      </c>
      <c r="C2113" s="151">
        <v>2019</v>
      </c>
      <c r="D2113" s="151">
        <v>11</v>
      </c>
      <c r="E2113" s="151">
        <v>22</v>
      </c>
    </row>
    <row r="2114" spans="2:5" x14ac:dyDescent="0.2">
      <c r="B2114" s="150" t="s">
        <v>2864</v>
      </c>
      <c r="C2114" s="151">
        <v>2019</v>
      </c>
      <c r="D2114" s="151">
        <v>8</v>
      </c>
      <c r="E2114" s="151">
        <v>19</v>
      </c>
    </row>
    <row r="2115" spans="2:5" x14ac:dyDescent="0.2">
      <c r="B2115" s="150" t="s">
        <v>2864</v>
      </c>
      <c r="C2115" s="151">
        <v>2019</v>
      </c>
      <c r="D2115" s="151">
        <v>9</v>
      </c>
      <c r="E2115" s="151">
        <v>16</v>
      </c>
    </row>
    <row r="2116" spans="2:5" x14ac:dyDescent="0.2">
      <c r="B2116" s="150" t="s">
        <v>2865</v>
      </c>
      <c r="C2116" s="151">
        <v>2019</v>
      </c>
      <c r="D2116" s="151">
        <v>3</v>
      </c>
      <c r="E2116" s="151">
        <v>74</v>
      </c>
    </row>
    <row r="2117" spans="2:5" x14ac:dyDescent="0.2">
      <c r="B2117" s="150" t="s">
        <v>2865</v>
      </c>
      <c r="C2117" s="151">
        <v>2019</v>
      </c>
      <c r="D2117" s="151">
        <v>4</v>
      </c>
      <c r="E2117" s="151">
        <v>64</v>
      </c>
    </row>
    <row r="2118" spans="2:5" x14ac:dyDescent="0.2">
      <c r="B2118" s="150" t="s">
        <v>2865</v>
      </c>
      <c r="C2118" s="151">
        <v>2019</v>
      </c>
      <c r="D2118" s="151">
        <v>1</v>
      </c>
      <c r="E2118" s="151">
        <v>63</v>
      </c>
    </row>
    <row r="2119" spans="2:5" x14ac:dyDescent="0.2">
      <c r="B2119" s="150" t="s">
        <v>2865</v>
      </c>
      <c r="C2119" s="151">
        <v>2019</v>
      </c>
      <c r="D2119" s="151">
        <v>8</v>
      </c>
      <c r="E2119" s="151">
        <v>60</v>
      </c>
    </row>
    <row r="2120" spans="2:5" x14ac:dyDescent="0.2">
      <c r="B2120" s="150" t="s">
        <v>2865</v>
      </c>
      <c r="C2120" s="151">
        <v>2019</v>
      </c>
      <c r="D2120" s="151">
        <v>9</v>
      </c>
      <c r="E2120" s="151">
        <v>55</v>
      </c>
    </row>
    <row r="2121" spans="2:5" x14ac:dyDescent="0.2">
      <c r="B2121" s="150" t="s">
        <v>2865</v>
      </c>
      <c r="C2121" s="151">
        <v>2019</v>
      </c>
      <c r="D2121" s="151">
        <v>10</v>
      </c>
      <c r="E2121" s="151">
        <v>51</v>
      </c>
    </row>
    <row r="2122" spans="2:5" x14ac:dyDescent="0.2">
      <c r="B2122" s="150" t="s">
        <v>2865</v>
      </c>
      <c r="C2122" s="151">
        <v>2019</v>
      </c>
      <c r="D2122" s="151">
        <v>7</v>
      </c>
      <c r="E2122" s="151">
        <v>34</v>
      </c>
    </row>
    <row r="2123" spans="2:5" x14ac:dyDescent="0.2">
      <c r="B2123" s="150" t="s">
        <v>2865</v>
      </c>
      <c r="C2123" s="151">
        <v>2019</v>
      </c>
      <c r="D2123" s="151">
        <v>2</v>
      </c>
      <c r="E2123" s="151">
        <v>24</v>
      </c>
    </row>
    <row r="2124" spans="2:5" x14ac:dyDescent="0.2">
      <c r="B2124" s="150" t="s">
        <v>2865</v>
      </c>
      <c r="C2124" s="151">
        <v>2019</v>
      </c>
      <c r="D2124" s="151">
        <v>6</v>
      </c>
      <c r="E2124" s="151">
        <v>23</v>
      </c>
    </row>
    <row r="2125" spans="2:5" x14ac:dyDescent="0.2">
      <c r="B2125" s="150" t="s">
        <v>2865</v>
      </c>
      <c r="C2125" s="151">
        <v>2019</v>
      </c>
      <c r="D2125" s="151">
        <v>12</v>
      </c>
      <c r="E2125" s="151">
        <v>21</v>
      </c>
    </row>
    <row r="2126" spans="2:5" x14ac:dyDescent="0.2">
      <c r="B2126" s="150" t="s">
        <v>2865</v>
      </c>
      <c r="C2126" s="151">
        <v>2019</v>
      </c>
      <c r="D2126" s="151">
        <v>5</v>
      </c>
      <c r="E2126" s="151">
        <v>19</v>
      </c>
    </row>
    <row r="2127" spans="2:5" x14ac:dyDescent="0.2">
      <c r="B2127" s="150" t="s">
        <v>2865</v>
      </c>
      <c r="C2127" s="151">
        <v>2019</v>
      </c>
      <c r="D2127" s="151">
        <v>11</v>
      </c>
      <c r="E2127" s="151">
        <v>16</v>
      </c>
    </row>
    <row r="2128" spans="2:5" x14ac:dyDescent="0.2">
      <c r="B2128" s="150" t="s">
        <v>2892</v>
      </c>
      <c r="C2128" s="151">
        <v>2019</v>
      </c>
      <c r="D2128" s="151">
        <v>5</v>
      </c>
      <c r="E2128" s="151">
        <v>122</v>
      </c>
    </row>
    <row r="2129" spans="2:5" x14ac:dyDescent="0.2">
      <c r="B2129" s="150" t="s">
        <v>2892</v>
      </c>
      <c r="C2129" s="151">
        <v>2019</v>
      </c>
      <c r="D2129" s="151">
        <v>10</v>
      </c>
      <c r="E2129" s="151">
        <v>117</v>
      </c>
    </row>
    <row r="2130" spans="2:5" x14ac:dyDescent="0.2">
      <c r="B2130" s="150" t="s">
        <v>2892</v>
      </c>
      <c r="C2130" s="151">
        <v>2019</v>
      </c>
      <c r="D2130" s="151">
        <v>3</v>
      </c>
      <c r="E2130" s="151">
        <v>77</v>
      </c>
    </row>
    <row r="2131" spans="2:5" x14ac:dyDescent="0.2">
      <c r="B2131" s="150" t="s">
        <v>2892</v>
      </c>
      <c r="C2131" s="151">
        <v>2019</v>
      </c>
      <c r="D2131" s="151">
        <v>8</v>
      </c>
      <c r="E2131" s="151">
        <v>56</v>
      </c>
    </row>
    <row r="2132" spans="2:5" x14ac:dyDescent="0.2">
      <c r="B2132" s="150" t="s">
        <v>2892</v>
      </c>
      <c r="C2132" s="151">
        <v>2019</v>
      </c>
      <c r="D2132" s="151">
        <v>6</v>
      </c>
      <c r="E2132" s="151">
        <v>53</v>
      </c>
    </row>
    <row r="2133" spans="2:5" x14ac:dyDescent="0.2">
      <c r="B2133" s="150" t="s">
        <v>2892</v>
      </c>
      <c r="C2133" s="151">
        <v>2019</v>
      </c>
      <c r="D2133" s="151">
        <v>7</v>
      </c>
      <c r="E2133" s="151">
        <v>46</v>
      </c>
    </row>
    <row r="2134" spans="2:5" x14ac:dyDescent="0.2">
      <c r="B2134" s="150" t="s">
        <v>2892</v>
      </c>
      <c r="C2134" s="151">
        <v>2019</v>
      </c>
      <c r="D2134" s="151">
        <v>4</v>
      </c>
      <c r="E2134" s="151">
        <v>42</v>
      </c>
    </row>
    <row r="2135" spans="2:5" x14ac:dyDescent="0.2">
      <c r="B2135" s="150" t="s">
        <v>2892</v>
      </c>
      <c r="C2135" s="151">
        <v>2019</v>
      </c>
      <c r="D2135" s="151">
        <v>11</v>
      </c>
      <c r="E2135" s="151">
        <v>38</v>
      </c>
    </row>
    <row r="2136" spans="2:5" x14ac:dyDescent="0.2">
      <c r="B2136" s="150" t="s">
        <v>2892</v>
      </c>
      <c r="C2136" s="151">
        <v>2019</v>
      </c>
      <c r="D2136" s="151">
        <v>9</v>
      </c>
      <c r="E2136" s="151">
        <v>37</v>
      </c>
    </row>
    <row r="2137" spans="2:5" x14ac:dyDescent="0.2">
      <c r="B2137" s="150" t="s">
        <v>2892</v>
      </c>
      <c r="C2137" s="151">
        <v>2019</v>
      </c>
      <c r="D2137" s="151">
        <v>1</v>
      </c>
      <c r="E2137" s="151">
        <v>28</v>
      </c>
    </row>
    <row r="2138" spans="2:5" x14ac:dyDescent="0.2">
      <c r="B2138" s="150" t="s">
        <v>2892</v>
      </c>
      <c r="C2138" s="151">
        <v>2019</v>
      </c>
      <c r="D2138" s="151">
        <v>2</v>
      </c>
      <c r="E2138" s="151">
        <v>23</v>
      </c>
    </row>
    <row r="2139" spans="2:5" x14ac:dyDescent="0.2">
      <c r="B2139" s="150" t="s">
        <v>2892</v>
      </c>
      <c r="C2139" s="151">
        <v>2019</v>
      </c>
      <c r="D2139" s="151">
        <v>12</v>
      </c>
      <c r="E2139" s="151">
        <v>9</v>
      </c>
    </row>
    <row r="2140" spans="2:5" x14ac:dyDescent="0.2">
      <c r="B2140" s="150" t="s">
        <v>2866</v>
      </c>
      <c r="C2140" s="151">
        <v>2019</v>
      </c>
      <c r="D2140" s="151">
        <v>7</v>
      </c>
      <c r="E2140" s="151">
        <v>14</v>
      </c>
    </row>
    <row r="2141" spans="2:5" x14ac:dyDescent="0.2">
      <c r="B2141" s="150" t="s">
        <v>2866</v>
      </c>
      <c r="C2141" s="151">
        <v>2019</v>
      </c>
      <c r="D2141" s="151">
        <v>1</v>
      </c>
      <c r="E2141" s="151">
        <v>13</v>
      </c>
    </row>
    <row r="2142" spans="2:5" x14ac:dyDescent="0.2">
      <c r="B2142" s="150" t="s">
        <v>2866</v>
      </c>
      <c r="C2142" s="151">
        <v>2019</v>
      </c>
      <c r="D2142" s="151">
        <v>6</v>
      </c>
      <c r="E2142" s="151">
        <v>13</v>
      </c>
    </row>
    <row r="2143" spans="2:5" x14ac:dyDescent="0.2">
      <c r="B2143" s="150" t="s">
        <v>2866</v>
      </c>
      <c r="C2143" s="151">
        <v>2019</v>
      </c>
      <c r="D2143" s="151">
        <v>5</v>
      </c>
      <c r="E2143" s="151">
        <v>11</v>
      </c>
    </row>
    <row r="2144" spans="2:5" x14ac:dyDescent="0.2">
      <c r="B2144" s="150" t="s">
        <v>2866</v>
      </c>
      <c r="C2144" s="151">
        <v>2019</v>
      </c>
      <c r="D2144" s="151">
        <v>11</v>
      </c>
      <c r="E2144" s="151">
        <v>11</v>
      </c>
    </row>
    <row r="2145" spans="2:5" x14ac:dyDescent="0.2">
      <c r="B2145" s="150" t="s">
        <v>2866</v>
      </c>
      <c r="C2145" s="151">
        <v>2019</v>
      </c>
      <c r="D2145" s="151">
        <v>4</v>
      </c>
      <c r="E2145" s="151">
        <v>9</v>
      </c>
    </row>
    <row r="2146" spans="2:5" x14ac:dyDescent="0.2">
      <c r="B2146" s="150" t="s">
        <v>2866</v>
      </c>
      <c r="C2146" s="151">
        <v>2019</v>
      </c>
      <c r="D2146" s="151">
        <v>3</v>
      </c>
      <c r="E2146" s="151">
        <v>8</v>
      </c>
    </row>
    <row r="2147" spans="2:5" x14ac:dyDescent="0.2">
      <c r="B2147" s="150" t="s">
        <v>2866</v>
      </c>
      <c r="C2147" s="151">
        <v>2019</v>
      </c>
      <c r="D2147" s="151">
        <v>12</v>
      </c>
      <c r="E2147" s="151">
        <v>5</v>
      </c>
    </row>
    <row r="2148" spans="2:5" x14ac:dyDescent="0.2">
      <c r="B2148" s="150" t="s">
        <v>2866</v>
      </c>
      <c r="C2148" s="151">
        <v>2019</v>
      </c>
      <c r="D2148" s="151">
        <v>10</v>
      </c>
      <c r="E2148" s="151">
        <v>1</v>
      </c>
    </row>
    <row r="2149" spans="2:5" x14ac:dyDescent="0.2">
      <c r="B2149" s="150" t="s">
        <v>2867</v>
      </c>
      <c r="C2149" s="151">
        <v>2019</v>
      </c>
      <c r="D2149" s="151">
        <v>3</v>
      </c>
      <c r="E2149" s="151">
        <v>29</v>
      </c>
    </row>
    <row r="2150" spans="2:5" x14ac:dyDescent="0.2">
      <c r="B2150" s="150" t="s">
        <v>2867</v>
      </c>
      <c r="C2150" s="151">
        <v>2019</v>
      </c>
      <c r="D2150" s="151">
        <v>12</v>
      </c>
      <c r="E2150" s="151">
        <v>24</v>
      </c>
    </row>
    <row r="2151" spans="2:5" x14ac:dyDescent="0.2">
      <c r="B2151" s="150" t="s">
        <v>2867</v>
      </c>
      <c r="C2151" s="151">
        <v>2019</v>
      </c>
      <c r="D2151" s="151">
        <v>5</v>
      </c>
      <c r="E2151" s="151">
        <v>19</v>
      </c>
    </row>
    <row r="2152" spans="2:5" x14ac:dyDescent="0.2">
      <c r="B2152" s="150" t="s">
        <v>2867</v>
      </c>
      <c r="C2152" s="151">
        <v>2019</v>
      </c>
      <c r="D2152" s="151">
        <v>8</v>
      </c>
      <c r="E2152" s="151">
        <v>19</v>
      </c>
    </row>
    <row r="2153" spans="2:5" x14ac:dyDescent="0.2">
      <c r="B2153" s="150" t="s">
        <v>2867</v>
      </c>
      <c r="C2153" s="151">
        <v>2019</v>
      </c>
      <c r="D2153" s="151">
        <v>1</v>
      </c>
      <c r="E2153" s="151">
        <v>18</v>
      </c>
    </row>
    <row r="2154" spans="2:5" x14ac:dyDescent="0.2">
      <c r="B2154" s="150" t="s">
        <v>2867</v>
      </c>
      <c r="C2154" s="151">
        <v>2019</v>
      </c>
      <c r="D2154" s="151">
        <v>4</v>
      </c>
      <c r="E2154" s="151">
        <v>16</v>
      </c>
    </row>
    <row r="2155" spans="2:5" x14ac:dyDescent="0.2">
      <c r="B2155" s="150" t="s">
        <v>2867</v>
      </c>
      <c r="C2155" s="151">
        <v>2019</v>
      </c>
      <c r="D2155" s="151">
        <v>11</v>
      </c>
      <c r="E2155" s="151">
        <v>14</v>
      </c>
    </row>
    <row r="2156" spans="2:5" x14ac:dyDescent="0.2">
      <c r="B2156" s="150" t="s">
        <v>2867</v>
      </c>
      <c r="C2156" s="151">
        <v>2019</v>
      </c>
      <c r="D2156" s="151">
        <v>2</v>
      </c>
      <c r="E2156" s="151">
        <v>13</v>
      </c>
    </row>
    <row r="2157" spans="2:5" x14ac:dyDescent="0.2">
      <c r="B2157" s="150" t="s">
        <v>2867</v>
      </c>
      <c r="C2157" s="151">
        <v>2019</v>
      </c>
      <c r="D2157" s="151">
        <v>6</v>
      </c>
      <c r="E2157" s="151">
        <v>11</v>
      </c>
    </row>
    <row r="2158" spans="2:5" x14ac:dyDescent="0.2">
      <c r="B2158" s="150" t="s">
        <v>2867</v>
      </c>
      <c r="C2158" s="151">
        <v>2019</v>
      </c>
      <c r="D2158" s="151">
        <v>10</v>
      </c>
      <c r="E2158" s="151">
        <v>11</v>
      </c>
    </row>
    <row r="2159" spans="2:5" x14ac:dyDescent="0.2">
      <c r="B2159" s="150" t="s">
        <v>2867</v>
      </c>
      <c r="C2159" s="151">
        <v>2019</v>
      </c>
      <c r="D2159" s="151">
        <v>7</v>
      </c>
      <c r="E2159" s="151">
        <v>8</v>
      </c>
    </row>
    <row r="2160" spans="2:5" x14ac:dyDescent="0.2">
      <c r="B2160" s="150" t="s">
        <v>2867</v>
      </c>
      <c r="C2160" s="151">
        <v>2019</v>
      </c>
      <c r="D2160" s="151">
        <v>9</v>
      </c>
      <c r="E2160" s="151">
        <v>2</v>
      </c>
    </row>
    <row r="2161" spans="2:5" x14ac:dyDescent="0.2">
      <c r="B2161" s="150" t="s">
        <v>2967</v>
      </c>
      <c r="C2161" s="151">
        <v>2019</v>
      </c>
      <c r="D2161" s="151">
        <v>4</v>
      </c>
      <c r="E2161" s="151">
        <v>2</v>
      </c>
    </row>
    <row r="2162" spans="2:5" x14ac:dyDescent="0.2">
      <c r="B2162" s="150" t="s">
        <v>2967</v>
      </c>
      <c r="C2162" s="151">
        <v>2019</v>
      </c>
      <c r="D2162" s="151">
        <v>10</v>
      </c>
      <c r="E2162" s="151">
        <v>2</v>
      </c>
    </row>
    <row r="2163" spans="2:5" x14ac:dyDescent="0.2">
      <c r="B2163" s="150" t="s">
        <v>2967</v>
      </c>
      <c r="C2163" s="151">
        <v>2019</v>
      </c>
      <c r="D2163" s="151">
        <v>6</v>
      </c>
      <c r="E2163" s="151">
        <v>1</v>
      </c>
    </row>
    <row r="2164" spans="2:5" x14ac:dyDescent="0.2">
      <c r="B2164" s="150" t="s">
        <v>2967</v>
      </c>
      <c r="C2164" s="151">
        <v>2019</v>
      </c>
      <c r="D2164" s="151">
        <v>9</v>
      </c>
      <c r="E2164" s="151">
        <v>1</v>
      </c>
    </row>
    <row r="2165" spans="2:5" x14ac:dyDescent="0.2">
      <c r="B2165" s="150" t="s">
        <v>2869</v>
      </c>
      <c r="C2165" s="151">
        <v>2019</v>
      </c>
      <c r="D2165" s="151">
        <v>10</v>
      </c>
      <c r="E2165" s="151">
        <v>13</v>
      </c>
    </row>
    <row r="2166" spans="2:5" x14ac:dyDescent="0.2">
      <c r="B2166" s="150" t="s">
        <v>2869</v>
      </c>
      <c r="C2166" s="151">
        <v>2019</v>
      </c>
      <c r="D2166" s="151">
        <v>11</v>
      </c>
      <c r="E2166" s="151">
        <v>12</v>
      </c>
    </row>
    <row r="2167" spans="2:5" x14ac:dyDescent="0.2">
      <c r="B2167" s="150" t="s">
        <v>2869</v>
      </c>
      <c r="C2167" s="151">
        <v>2019</v>
      </c>
      <c r="D2167" s="151">
        <v>4</v>
      </c>
      <c r="E2167" s="151">
        <v>6</v>
      </c>
    </row>
    <row r="2168" spans="2:5" x14ac:dyDescent="0.2">
      <c r="B2168" s="150" t="s">
        <v>2869</v>
      </c>
      <c r="C2168" s="151">
        <v>2019</v>
      </c>
      <c r="D2168" s="151">
        <v>5</v>
      </c>
      <c r="E2168" s="151">
        <v>6</v>
      </c>
    </row>
    <row r="2169" spans="2:5" x14ac:dyDescent="0.2">
      <c r="B2169" s="150" t="s">
        <v>2869</v>
      </c>
      <c r="C2169" s="151">
        <v>2019</v>
      </c>
      <c r="D2169" s="151">
        <v>6</v>
      </c>
      <c r="E2169" s="151">
        <v>6</v>
      </c>
    </row>
    <row r="2170" spans="2:5" x14ac:dyDescent="0.2">
      <c r="B2170" s="150" t="s">
        <v>2869</v>
      </c>
      <c r="C2170" s="151">
        <v>2019</v>
      </c>
      <c r="D2170" s="151">
        <v>1</v>
      </c>
      <c r="E2170" s="151">
        <v>4</v>
      </c>
    </row>
    <row r="2171" spans="2:5" x14ac:dyDescent="0.2">
      <c r="B2171" s="150" t="s">
        <v>2869</v>
      </c>
      <c r="C2171" s="151">
        <v>2019</v>
      </c>
      <c r="D2171" s="151">
        <v>7</v>
      </c>
      <c r="E2171" s="151">
        <v>4</v>
      </c>
    </row>
    <row r="2172" spans="2:5" x14ac:dyDescent="0.2">
      <c r="B2172" s="150" t="s">
        <v>2869</v>
      </c>
      <c r="C2172" s="151">
        <v>2019</v>
      </c>
      <c r="D2172" s="151">
        <v>9</v>
      </c>
      <c r="E2172" s="151">
        <v>3</v>
      </c>
    </row>
    <row r="2173" spans="2:5" x14ac:dyDescent="0.2">
      <c r="B2173" s="150" t="s">
        <v>2869</v>
      </c>
      <c r="C2173" s="151">
        <v>2019</v>
      </c>
      <c r="D2173" s="151">
        <v>3</v>
      </c>
      <c r="E2173" s="151">
        <v>2</v>
      </c>
    </row>
    <row r="2174" spans="2:5" x14ac:dyDescent="0.2">
      <c r="B2174" s="150" t="s">
        <v>2869</v>
      </c>
      <c r="C2174" s="151">
        <v>2019</v>
      </c>
      <c r="D2174" s="151">
        <v>12</v>
      </c>
      <c r="E2174" s="151">
        <v>2</v>
      </c>
    </row>
    <row r="2175" spans="2:5" x14ac:dyDescent="0.2">
      <c r="B2175" s="150" t="s">
        <v>2869</v>
      </c>
      <c r="C2175" s="151">
        <v>2019</v>
      </c>
      <c r="D2175" s="151">
        <v>8</v>
      </c>
      <c r="E2175" s="151">
        <v>1</v>
      </c>
    </row>
    <row r="2176" spans="2:5" x14ac:dyDescent="0.2">
      <c r="B2176" s="150" t="s">
        <v>2870</v>
      </c>
      <c r="C2176" s="151">
        <v>2019</v>
      </c>
      <c r="D2176" s="151">
        <v>4</v>
      </c>
      <c r="E2176" s="151">
        <v>137</v>
      </c>
    </row>
    <row r="2177" spans="2:5" x14ac:dyDescent="0.2">
      <c r="B2177" s="150" t="s">
        <v>2870</v>
      </c>
      <c r="C2177" s="151">
        <v>2019</v>
      </c>
      <c r="D2177" s="151">
        <v>3</v>
      </c>
      <c r="E2177" s="151">
        <v>108</v>
      </c>
    </row>
    <row r="2178" spans="2:5" x14ac:dyDescent="0.2">
      <c r="B2178" s="150" t="s">
        <v>2870</v>
      </c>
      <c r="C2178" s="151">
        <v>2019</v>
      </c>
      <c r="D2178" s="151">
        <v>1</v>
      </c>
      <c r="E2178" s="151">
        <v>106</v>
      </c>
    </row>
    <row r="2179" spans="2:5" x14ac:dyDescent="0.2">
      <c r="B2179" s="150" t="s">
        <v>2870</v>
      </c>
      <c r="C2179" s="151">
        <v>2019</v>
      </c>
      <c r="D2179" s="151">
        <v>9</v>
      </c>
      <c r="E2179" s="151">
        <v>92</v>
      </c>
    </row>
    <row r="2180" spans="2:5" x14ac:dyDescent="0.2">
      <c r="B2180" s="150" t="s">
        <v>2870</v>
      </c>
      <c r="C2180" s="151">
        <v>2019</v>
      </c>
      <c r="D2180" s="151">
        <v>10</v>
      </c>
      <c r="E2180" s="151">
        <v>90</v>
      </c>
    </row>
    <row r="2181" spans="2:5" x14ac:dyDescent="0.2">
      <c r="B2181" s="150" t="s">
        <v>2870</v>
      </c>
      <c r="C2181" s="151">
        <v>2019</v>
      </c>
      <c r="D2181" s="151">
        <v>2</v>
      </c>
      <c r="E2181" s="151">
        <v>84</v>
      </c>
    </row>
    <row r="2182" spans="2:5" x14ac:dyDescent="0.2">
      <c r="B2182" s="150" t="s">
        <v>2870</v>
      </c>
      <c r="C2182" s="151">
        <v>2019</v>
      </c>
      <c r="D2182" s="151">
        <v>11</v>
      </c>
      <c r="E2182" s="151">
        <v>84</v>
      </c>
    </row>
    <row r="2183" spans="2:5" x14ac:dyDescent="0.2">
      <c r="B2183" s="150" t="s">
        <v>2870</v>
      </c>
      <c r="C2183" s="151">
        <v>2019</v>
      </c>
      <c r="D2183" s="151">
        <v>8</v>
      </c>
      <c r="E2183" s="151">
        <v>76</v>
      </c>
    </row>
    <row r="2184" spans="2:5" x14ac:dyDescent="0.2">
      <c r="B2184" s="150" t="s">
        <v>2870</v>
      </c>
      <c r="C2184" s="151">
        <v>2019</v>
      </c>
      <c r="D2184" s="151">
        <v>6</v>
      </c>
      <c r="E2184" s="151">
        <v>73</v>
      </c>
    </row>
    <row r="2185" spans="2:5" x14ac:dyDescent="0.2">
      <c r="B2185" s="150" t="s">
        <v>2870</v>
      </c>
      <c r="C2185" s="151">
        <v>2019</v>
      </c>
      <c r="D2185" s="151">
        <v>7</v>
      </c>
      <c r="E2185" s="151">
        <v>66</v>
      </c>
    </row>
    <row r="2186" spans="2:5" x14ac:dyDescent="0.2">
      <c r="B2186" s="150" t="s">
        <v>2870</v>
      </c>
      <c r="C2186" s="151">
        <v>2019</v>
      </c>
      <c r="D2186" s="151">
        <v>5</v>
      </c>
      <c r="E2186" s="151">
        <v>51</v>
      </c>
    </row>
    <row r="2187" spans="2:5" x14ac:dyDescent="0.2">
      <c r="B2187" s="150" t="s">
        <v>2870</v>
      </c>
      <c r="C2187" s="151">
        <v>2019</v>
      </c>
      <c r="D2187" s="151">
        <v>12</v>
      </c>
      <c r="E2187" s="151">
        <v>31</v>
      </c>
    </row>
    <row r="2188" spans="2:5" x14ac:dyDescent="0.2">
      <c r="B2188" s="150" t="s">
        <v>2871</v>
      </c>
      <c r="C2188" s="151">
        <v>2019</v>
      </c>
      <c r="D2188" s="151">
        <v>10</v>
      </c>
      <c r="E2188" s="151">
        <v>50</v>
      </c>
    </row>
    <row r="2189" spans="2:5" x14ac:dyDescent="0.2">
      <c r="B2189" s="150" t="s">
        <v>2871</v>
      </c>
      <c r="C2189" s="151">
        <v>2019</v>
      </c>
      <c r="D2189" s="151">
        <v>4</v>
      </c>
      <c r="E2189" s="151">
        <v>47</v>
      </c>
    </row>
    <row r="2190" spans="2:5" x14ac:dyDescent="0.2">
      <c r="B2190" s="150" t="s">
        <v>2871</v>
      </c>
      <c r="C2190" s="151">
        <v>2019</v>
      </c>
      <c r="D2190" s="151">
        <v>9</v>
      </c>
      <c r="E2190" s="151">
        <v>44</v>
      </c>
    </row>
    <row r="2191" spans="2:5" x14ac:dyDescent="0.2">
      <c r="B2191" s="150" t="s">
        <v>2871</v>
      </c>
      <c r="C2191" s="151">
        <v>2019</v>
      </c>
      <c r="D2191" s="151">
        <v>6</v>
      </c>
      <c r="E2191" s="151">
        <v>31</v>
      </c>
    </row>
    <row r="2192" spans="2:5" x14ac:dyDescent="0.2">
      <c r="B2192" s="150" t="s">
        <v>2871</v>
      </c>
      <c r="C2192" s="151">
        <v>2019</v>
      </c>
      <c r="D2192" s="151">
        <v>5</v>
      </c>
      <c r="E2192" s="151">
        <v>30</v>
      </c>
    </row>
    <row r="2193" spans="2:5" x14ac:dyDescent="0.2">
      <c r="B2193" s="150" t="s">
        <v>2871</v>
      </c>
      <c r="C2193" s="151">
        <v>2019</v>
      </c>
      <c r="D2193" s="151">
        <v>8</v>
      </c>
      <c r="E2193" s="151">
        <v>29</v>
      </c>
    </row>
    <row r="2194" spans="2:5" x14ac:dyDescent="0.2">
      <c r="B2194" s="150" t="s">
        <v>2871</v>
      </c>
      <c r="C2194" s="151">
        <v>2019</v>
      </c>
      <c r="D2194" s="151">
        <v>3</v>
      </c>
      <c r="E2194" s="151">
        <v>26</v>
      </c>
    </row>
    <row r="2195" spans="2:5" x14ac:dyDescent="0.2">
      <c r="B2195" s="150" t="s">
        <v>2871</v>
      </c>
      <c r="C2195" s="151">
        <v>2019</v>
      </c>
      <c r="D2195" s="151">
        <v>11</v>
      </c>
      <c r="E2195" s="151">
        <v>22</v>
      </c>
    </row>
    <row r="2196" spans="2:5" x14ac:dyDescent="0.2">
      <c r="B2196" s="150" t="s">
        <v>2871</v>
      </c>
      <c r="C2196" s="151">
        <v>2019</v>
      </c>
      <c r="D2196" s="151">
        <v>7</v>
      </c>
      <c r="E2196" s="151">
        <v>16</v>
      </c>
    </row>
    <row r="2197" spans="2:5" x14ac:dyDescent="0.2">
      <c r="B2197" s="150" t="s">
        <v>2871</v>
      </c>
      <c r="C2197" s="151">
        <v>2019</v>
      </c>
      <c r="D2197" s="151">
        <v>2</v>
      </c>
      <c r="E2197" s="151">
        <v>3</v>
      </c>
    </row>
    <row r="2198" spans="2:5" x14ac:dyDescent="0.2">
      <c r="B2198" s="150" t="s">
        <v>2871</v>
      </c>
      <c r="C2198" s="151">
        <v>2019</v>
      </c>
      <c r="D2198" s="151">
        <v>1</v>
      </c>
      <c r="E2198" s="151">
        <v>2</v>
      </c>
    </row>
    <row r="2199" spans="2:5" x14ac:dyDescent="0.2">
      <c r="B2199" s="150" t="s">
        <v>2871</v>
      </c>
      <c r="C2199" s="151">
        <v>2019</v>
      </c>
      <c r="D2199" s="151">
        <v>12</v>
      </c>
      <c r="E2199" s="151">
        <v>1</v>
      </c>
    </row>
    <row r="2200" spans="2:5" x14ac:dyDescent="0.2">
      <c r="B2200" s="150" t="s">
        <v>2893</v>
      </c>
      <c r="C2200" s="151">
        <v>2019</v>
      </c>
      <c r="D2200" s="151">
        <v>3</v>
      </c>
      <c r="E2200" s="151">
        <v>65</v>
      </c>
    </row>
    <row r="2201" spans="2:5" x14ac:dyDescent="0.2">
      <c r="B2201" s="150" t="s">
        <v>2893</v>
      </c>
      <c r="C2201" s="151">
        <v>2019</v>
      </c>
      <c r="D2201" s="151">
        <v>5</v>
      </c>
      <c r="E2201" s="151">
        <v>50</v>
      </c>
    </row>
    <row r="2202" spans="2:5" x14ac:dyDescent="0.2">
      <c r="B2202" s="150" t="s">
        <v>2893</v>
      </c>
      <c r="C2202" s="151">
        <v>2019</v>
      </c>
      <c r="D2202" s="151">
        <v>9</v>
      </c>
      <c r="E2202" s="151">
        <v>44</v>
      </c>
    </row>
    <row r="2203" spans="2:5" x14ac:dyDescent="0.2">
      <c r="B2203" s="150" t="s">
        <v>2893</v>
      </c>
      <c r="C2203" s="151">
        <v>2019</v>
      </c>
      <c r="D2203" s="151">
        <v>1</v>
      </c>
      <c r="E2203" s="151">
        <v>39</v>
      </c>
    </row>
    <row r="2204" spans="2:5" x14ac:dyDescent="0.2">
      <c r="B2204" s="150" t="s">
        <v>2893</v>
      </c>
      <c r="C2204" s="151">
        <v>2019</v>
      </c>
      <c r="D2204" s="151">
        <v>10</v>
      </c>
      <c r="E2204" s="151">
        <v>39</v>
      </c>
    </row>
    <row r="2205" spans="2:5" x14ac:dyDescent="0.2">
      <c r="B2205" s="150" t="s">
        <v>2893</v>
      </c>
      <c r="C2205" s="151">
        <v>2019</v>
      </c>
      <c r="D2205" s="151">
        <v>6</v>
      </c>
      <c r="E2205" s="151">
        <v>37</v>
      </c>
    </row>
    <row r="2206" spans="2:5" x14ac:dyDescent="0.2">
      <c r="B2206" s="150" t="s">
        <v>2893</v>
      </c>
      <c r="C2206" s="151">
        <v>2019</v>
      </c>
      <c r="D2206" s="151">
        <v>8</v>
      </c>
      <c r="E2206" s="151">
        <v>31</v>
      </c>
    </row>
    <row r="2207" spans="2:5" x14ac:dyDescent="0.2">
      <c r="B2207" s="150" t="s">
        <v>2893</v>
      </c>
      <c r="C2207" s="151">
        <v>2019</v>
      </c>
      <c r="D2207" s="151">
        <v>7</v>
      </c>
      <c r="E2207" s="151">
        <v>26</v>
      </c>
    </row>
    <row r="2208" spans="2:5" x14ac:dyDescent="0.2">
      <c r="B2208" s="150" t="s">
        <v>2893</v>
      </c>
      <c r="C2208" s="151">
        <v>2019</v>
      </c>
      <c r="D2208" s="151">
        <v>11</v>
      </c>
      <c r="E2208" s="151">
        <v>23</v>
      </c>
    </row>
    <row r="2209" spans="2:5" x14ac:dyDescent="0.2">
      <c r="B2209" s="150" t="s">
        <v>2893</v>
      </c>
      <c r="C2209" s="151">
        <v>2019</v>
      </c>
      <c r="D2209" s="151">
        <v>4</v>
      </c>
      <c r="E2209" s="151">
        <v>15</v>
      </c>
    </row>
    <row r="2210" spans="2:5" x14ac:dyDescent="0.2">
      <c r="B2210" s="150" t="s">
        <v>2893</v>
      </c>
      <c r="C2210" s="151">
        <v>2019</v>
      </c>
      <c r="D2210" s="151">
        <v>2</v>
      </c>
      <c r="E2210" s="151">
        <v>8</v>
      </c>
    </row>
    <row r="2211" spans="2:5" x14ac:dyDescent="0.2">
      <c r="B2211" s="150" t="s">
        <v>2893</v>
      </c>
      <c r="C2211" s="151">
        <v>2019</v>
      </c>
      <c r="D2211" s="151">
        <v>12</v>
      </c>
      <c r="E2211" s="151">
        <v>3</v>
      </c>
    </row>
    <row r="2212" spans="2:5" x14ac:dyDescent="0.2">
      <c r="B2212" s="150" t="s">
        <v>2872</v>
      </c>
      <c r="C2212" s="151">
        <v>2019</v>
      </c>
      <c r="D2212" s="151">
        <v>9</v>
      </c>
      <c r="E2212" s="151">
        <v>47</v>
      </c>
    </row>
    <row r="2213" spans="2:5" x14ac:dyDescent="0.2">
      <c r="B2213" s="150" t="s">
        <v>2872</v>
      </c>
      <c r="C2213" s="151">
        <v>2019</v>
      </c>
      <c r="D2213" s="151">
        <v>8</v>
      </c>
      <c r="E2213" s="151">
        <v>38</v>
      </c>
    </row>
    <row r="2214" spans="2:5" x14ac:dyDescent="0.2">
      <c r="B2214" s="150" t="s">
        <v>2872</v>
      </c>
      <c r="C2214" s="151">
        <v>2019</v>
      </c>
      <c r="D2214" s="151">
        <v>4</v>
      </c>
      <c r="E2214" s="151">
        <v>36</v>
      </c>
    </row>
    <row r="2215" spans="2:5" x14ac:dyDescent="0.2">
      <c r="B2215" s="150" t="s">
        <v>2872</v>
      </c>
      <c r="C2215" s="151">
        <v>2019</v>
      </c>
      <c r="D2215" s="151">
        <v>6</v>
      </c>
      <c r="E2215" s="151">
        <v>32</v>
      </c>
    </row>
    <row r="2216" spans="2:5" x14ac:dyDescent="0.2">
      <c r="B2216" s="150" t="s">
        <v>2872</v>
      </c>
      <c r="C2216" s="151">
        <v>2019</v>
      </c>
      <c r="D2216" s="151">
        <v>7</v>
      </c>
      <c r="E2216" s="151">
        <v>24</v>
      </c>
    </row>
    <row r="2217" spans="2:5" x14ac:dyDescent="0.2">
      <c r="B2217" s="150" t="s">
        <v>2872</v>
      </c>
      <c r="C2217" s="151">
        <v>2019</v>
      </c>
      <c r="D2217" s="151">
        <v>10</v>
      </c>
      <c r="E2217" s="151">
        <v>22</v>
      </c>
    </row>
    <row r="2218" spans="2:5" x14ac:dyDescent="0.2">
      <c r="B2218" s="150" t="s">
        <v>2872</v>
      </c>
      <c r="C2218" s="151">
        <v>2019</v>
      </c>
      <c r="D2218" s="151">
        <v>3</v>
      </c>
      <c r="E2218" s="151">
        <v>19</v>
      </c>
    </row>
    <row r="2219" spans="2:5" x14ac:dyDescent="0.2">
      <c r="B2219" s="150" t="s">
        <v>2872</v>
      </c>
      <c r="C2219" s="151">
        <v>2019</v>
      </c>
      <c r="D2219" s="151">
        <v>5</v>
      </c>
      <c r="E2219" s="151">
        <v>19</v>
      </c>
    </row>
    <row r="2220" spans="2:5" x14ac:dyDescent="0.2">
      <c r="B2220" s="150" t="s">
        <v>2872</v>
      </c>
      <c r="C2220" s="151">
        <v>2019</v>
      </c>
      <c r="D2220" s="151">
        <v>12</v>
      </c>
      <c r="E2220" s="151">
        <v>16</v>
      </c>
    </row>
    <row r="2221" spans="2:5" x14ac:dyDescent="0.2">
      <c r="B2221" s="150" t="s">
        <v>2872</v>
      </c>
      <c r="C2221" s="151">
        <v>2019</v>
      </c>
      <c r="D2221" s="151">
        <v>2</v>
      </c>
      <c r="E2221" s="151">
        <v>7</v>
      </c>
    </row>
    <row r="2222" spans="2:5" x14ac:dyDescent="0.2">
      <c r="B2222" s="150" t="s">
        <v>2872</v>
      </c>
      <c r="C2222" s="151">
        <v>2019</v>
      </c>
      <c r="D2222" s="151">
        <v>11</v>
      </c>
      <c r="E2222" s="151">
        <v>7</v>
      </c>
    </row>
    <row r="2223" spans="2:5" x14ac:dyDescent="0.2">
      <c r="B2223" s="150" t="s">
        <v>2976</v>
      </c>
      <c r="C2223" s="151">
        <v>2019</v>
      </c>
      <c r="D2223" s="151">
        <v>4</v>
      </c>
      <c r="E2223" s="151">
        <v>1</v>
      </c>
    </row>
    <row r="2224" spans="2:5" x14ac:dyDescent="0.2">
      <c r="B2224" s="150" t="s">
        <v>2976</v>
      </c>
      <c r="C2224" s="151">
        <v>2019</v>
      </c>
      <c r="D2224" s="151">
        <v>6</v>
      </c>
      <c r="E2224" s="151">
        <v>1</v>
      </c>
    </row>
    <row r="2225" spans="2:5" x14ac:dyDescent="0.2">
      <c r="B2225" s="150" t="s">
        <v>2873</v>
      </c>
      <c r="C2225" s="151">
        <v>2019</v>
      </c>
      <c r="D2225" s="151">
        <v>5</v>
      </c>
      <c r="E2225" s="151">
        <v>31</v>
      </c>
    </row>
    <row r="2226" spans="2:5" x14ac:dyDescent="0.2">
      <c r="B2226" s="150" t="s">
        <v>2873</v>
      </c>
      <c r="C2226" s="151">
        <v>2019</v>
      </c>
      <c r="D2226" s="151">
        <v>12</v>
      </c>
      <c r="E2226" s="151">
        <v>24</v>
      </c>
    </row>
    <row r="2227" spans="2:5" x14ac:dyDescent="0.2">
      <c r="B2227" s="150" t="s">
        <v>2873</v>
      </c>
      <c r="C2227" s="151">
        <v>2019</v>
      </c>
      <c r="D2227" s="151">
        <v>3</v>
      </c>
      <c r="E2227" s="151">
        <v>18</v>
      </c>
    </row>
    <row r="2228" spans="2:5" x14ac:dyDescent="0.2">
      <c r="B2228" s="150" t="s">
        <v>2873</v>
      </c>
      <c r="C2228" s="151">
        <v>2019</v>
      </c>
      <c r="D2228" s="151">
        <v>2</v>
      </c>
      <c r="E2228" s="151">
        <v>14</v>
      </c>
    </row>
    <row r="2229" spans="2:5" x14ac:dyDescent="0.2">
      <c r="B2229" s="150" t="s">
        <v>2873</v>
      </c>
      <c r="C2229" s="151">
        <v>2019</v>
      </c>
      <c r="D2229" s="151">
        <v>6</v>
      </c>
      <c r="E2229" s="151">
        <v>14</v>
      </c>
    </row>
    <row r="2230" spans="2:5" x14ac:dyDescent="0.2">
      <c r="B2230" s="150" t="s">
        <v>2873</v>
      </c>
      <c r="C2230" s="151">
        <v>2019</v>
      </c>
      <c r="D2230" s="151">
        <v>10</v>
      </c>
      <c r="E2230" s="151">
        <v>14</v>
      </c>
    </row>
    <row r="2231" spans="2:5" x14ac:dyDescent="0.2">
      <c r="B2231" s="150" t="s">
        <v>2873</v>
      </c>
      <c r="C2231" s="151">
        <v>2019</v>
      </c>
      <c r="D2231" s="151">
        <v>8</v>
      </c>
      <c r="E2231" s="151">
        <v>13</v>
      </c>
    </row>
    <row r="2232" spans="2:5" x14ac:dyDescent="0.2">
      <c r="B2232" s="150" t="s">
        <v>2873</v>
      </c>
      <c r="C2232" s="151">
        <v>2019</v>
      </c>
      <c r="D2232" s="151">
        <v>4</v>
      </c>
      <c r="E2232" s="151">
        <v>12</v>
      </c>
    </row>
    <row r="2233" spans="2:5" x14ac:dyDescent="0.2">
      <c r="B2233" s="150" t="s">
        <v>2873</v>
      </c>
      <c r="C2233" s="151">
        <v>2019</v>
      </c>
      <c r="D2233" s="151">
        <v>7</v>
      </c>
      <c r="E2233" s="151">
        <v>10</v>
      </c>
    </row>
    <row r="2234" spans="2:5" x14ac:dyDescent="0.2">
      <c r="B2234" s="150" t="s">
        <v>2873</v>
      </c>
      <c r="C2234" s="151">
        <v>2019</v>
      </c>
      <c r="D2234" s="151">
        <v>9</v>
      </c>
      <c r="E2234" s="151">
        <v>9</v>
      </c>
    </row>
    <row r="2235" spans="2:5" x14ac:dyDescent="0.2">
      <c r="B2235" s="150" t="s">
        <v>2873</v>
      </c>
      <c r="C2235" s="151">
        <v>2019</v>
      </c>
      <c r="D2235" s="151">
        <v>11</v>
      </c>
      <c r="E2235" s="151">
        <v>3</v>
      </c>
    </row>
    <row r="2236" spans="2:5" x14ac:dyDescent="0.2">
      <c r="B2236" s="150" t="s">
        <v>2873</v>
      </c>
      <c r="C2236" s="151">
        <v>2019</v>
      </c>
      <c r="D2236" s="151">
        <v>1</v>
      </c>
      <c r="E2236" s="151">
        <v>2</v>
      </c>
    </row>
    <row r="2237" spans="2:5" x14ac:dyDescent="0.2">
      <c r="B2237" s="150" t="s">
        <v>2874</v>
      </c>
      <c r="C2237" s="151">
        <v>2019</v>
      </c>
      <c r="D2237" s="151">
        <v>6</v>
      </c>
      <c r="E2237" s="151">
        <v>24</v>
      </c>
    </row>
    <row r="2238" spans="2:5" x14ac:dyDescent="0.2">
      <c r="B2238" s="150" t="s">
        <v>2874</v>
      </c>
      <c r="C2238" s="151">
        <v>2019</v>
      </c>
      <c r="D2238" s="151">
        <v>7</v>
      </c>
      <c r="E2238" s="151">
        <v>18</v>
      </c>
    </row>
    <row r="2239" spans="2:5" x14ac:dyDescent="0.2">
      <c r="B2239" s="150" t="s">
        <v>2874</v>
      </c>
      <c r="C2239" s="151">
        <v>2019</v>
      </c>
      <c r="D2239" s="151">
        <v>3</v>
      </c>
      <c r="E2239" s="151">
        <v>14</v>
      </c>
    </row>
    <row r="2240" spans="2:5" x14ac:dyDescent="0.2">
      <c r="B2240" s="150" t="s">
        <v>2874</v>
      </c>
      <c r="C2240" s="151">
        <v>2019</v>
      </c>
      <c r="D2240" s="151">
        <v>9</v>
      </c>
      <c r="E2240" s="151">
        <v>7</v>
      </c>
    </row>
    <row r="2241" spans="2:5" x14ac:dyDescent="0.2">
      <c r="B2241" s="150" t="s">
        <v>2874</v>
      </c>
      <c r="C2241" s="151">
        <v>2019</v>
      </c>
      <c r="D2241" s="151">
        <v>5</v>
      </c>
      <c r="E2241" s="151">
        <v>6</v>
      </c>
    </row>
    <row r="2242" spans="2:5" x14ac:dyDescent="0.2">
      <c r="B2242" s="150" t="s">
        <v>2874</v>
      </c>
      <c r="C2242" s="151">
        <v>2019</v>
      </c>
      <c r="D2242" s="151">
        <v>4</v>
      </c>
      <c r="E2242" s="151">
        <v>5</v>
      </c>
    </row>
    <row r="2243" spans="2:5" x14ac:dyDescent="0.2">
      <c r="B2243" s="150" t="s">
        <v>2874</v>
      </c>
      <c r="C2243" s="151">
        <v>2019</v>
      </c>
      <c r="D2243" s="151">
        <v>10</v>
      </c>
      <c r="E2243" s="151">
        <v>4</v>
      </c>
    </row>
    <row r="2244" spans="2:5" x14ac:dyDescent="0.2">
      <c r="B2244" s="150" t="s">
        <v>2874</v>
      </c>
      <c r="C2244" s="151">
        <v>2019</v>
      </c>
      <c r="D2244" s="151">
        <v>2</v>
      </c>
      <c r="E2244" s="151">
        <v>3</v>
      </c>
    </row>
    <row r="2245" spans="2:5" x14ac:dyDescent="0.2">
      <c r="B2245" s="150" t="s">
        <v>2874</v>
      </c>
      <c r="C2245" s="151">
        <v>2019</v>
      </c>
      <c r="D2245" s="151">
        <v>1</v>
      </c>
      <c r="E2245" s="151">
        <v>1</v>
      </c>
    </row>
    <row r="2246" spans="2:5" x14ac:dyDescent="0.2">
      <c r="B2246" s="150" t="s">
        <v>2874</v>
      </c>
      <c r="C2246" s="151">
        <v>2019</v>
      </c>
      <c r="D2246" s="151">
        <v>11</v>
      </c>
      <c r="E2246" s="151">
        <v>1</v>
      </c>
    </row>
    <row r="2247" spans="2:5" x14ac:dyDescent="0.2">
      <c r="B2247" s="150" t="s">
        <v>2874</v>
      </c>
      <c r="C2247" s="151">
        <v>2019</v>
      </c>
      <c r="D2247" s="151">
        <v>12</v>
      </c>
      <c r="E2247" s="151">
        <v>1</v>
      </c>
    </row>
    <row r="2248" spans="2:5" x14ac:dyDescent="0.2">
      <c r="B2248" s="150" t="s">
        <v>2980</v>
      </c>
      <c r="C2248" s="151">
        <v>2019</v>
      </c>
      <c r="D2248" s="151">
        <v>4</v>
      </c>
      <c r="E2248" s="151">
        <v>1</v>
      </c>
    </row>
    <row r="2249" spans="2:5" x14ac:dyDescent="0.2">
      <c r="B2249" s="150" t="s">
        <v>2958</v>
      </c>
      <c r="C2249" s="151">
        <v>2019</v>
      </c>
      <c r="D2249" s="151">
        <v>7</v>
      </c>
      <c r="E2249" s="151">
        <v>3</v>
      </c>
    </row>
    <row r="2250" spans="2:5" x14ac:dyDescent="0.2">
      <c r="B2250" s="150" t="s">
        <v>2958</v>
      </c>
      <c r="C2250" s="151">
        <v>2019</v>
      </c>
      <c r="D2250" s="151">
        <v>5</v>
      </c>
      <c r="E2250" s="151">
        <v>2</v>
      </c>
    </row>
    <row r="2251" spans="2:5" x14ac:dyDescent="0.2">
      <c r="B2251" s="150" t="s">
        <v>2958</v>
      </c>
      <c r="C2251" s="151">
        <v>2019</v>
      </c>
      <c r="D2251" s="151">
        <v>1</v>
      </c>
      <c r="E2251" s="151">
        <v>1</v>
      </c>
    </row>
    <row r="2252" spans="2:5" x14ac:dyDescent="0.2">
      <c r="B2252" s="150" t="s">
        <v>2958</v>
      </c>
      <c r="C2252" s="151">
        <v>2019</v>
      </c>
      <c r="D2252" s="151">
        <v>3</v>
      </c>
      <c r="E2252" s="151">
        <v>1</v>
      </c>
    </row>
    <row r="2253" spans="2:5" x14ac:dyDescent="0.2">
      <c r="B2253" s="150" t="s">
        <v>2958</v>
      </c>
      <c r="C2253" s="151">
        <v>2019</v>
      </c>
      <c r="D2253" s="151">
        <v>9</v>
      </c>
      <c r="E2253" s="151">
        <v>1</v>
      </c>
    </row>
  </sheetData>
  <sortState xmlns:xlrd2="http://schemas.microsoft.com/office/spreadsheetml/2017/richdata2" ref="B3:E2253">
    <sortCondition ref="B3:B2253"/>
  </sortState>
  <mergeCells count="1">
    <mergeCell ref="B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E92D0-D444-4773-A300-16D2AA16FFCB}">
  <sheetPr>
    <tabColor theme="7" tint="0.59999389629810485"/>
  </sheetPr>
  <dimension ref="A1"/>
  <sheetViews>
    <sheetView workbookViewId="0">
      <selection activeCell="F8" sqref="F8"/>
    </sheetView>
  </sheetViews>
  <sheetFormatPr baseColWidth="10" defaultColWidth="8.83203125" defaultRowHeight="15" x14ac:dyDescent="0.2"/>
  <sheetData>
    <row r="1" spans="1:1" x14ac:dyDescent="0.2">
      <c r="A1" t="s">
        <v>2689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C6C3-0D09-4FA3-85C2-157FDC371D93}">
  <sheetPr>
    <tabColor theme="7" tint="0.59999389629810485"/>
  </sheetPr>
  <dimension ref="A1:S11"/>
  <sheetViews>
    <sheetView workbookViewId="0">
      <selection activeCell="H21" sqref="H21"/>
    </sheetView>
  </sheetViews>
  <sheetFormatPr baseColWidth="10" defaultColWidth="8.83203125" defaultRowHeight="15" x14ac:dyDescent="0.2"/>
  <cols>
    <col min="1" max="1" width="24.83203125" customWidth="1"/>
    <col min="2" max="6" width="15.33203125" bestFit="1" customWidth="1"/>
    <col min="7" max="7" width="14.33203125" bestFit="1" customWidth="1"/>
    <col min="8" max="8" width="15.33203125" bestFit="1" customWidth="1"/>
    <col min="9" max="9" width="12.5" bestFit="1" customWidth="1"/>
    <col min="10" max="10" width="17.5" customWidth="1"/>
    <col min="11" max="11" width="18.6640625" bestFit="1" customWidth="1"/>
    <col min="12" max="12" width="12.5" bestFit="1" customWidth="1"/>
  </cols>
  <sheetData>
    <row r="1" spans="1:19" x14ac:dyDescent="0.2">
      <c r="A1" s="14" t="s">
        <v>923</v>
      </c>
    </row>
    <row r="2" spans="1:19" x14ac:dyDescent="0.2">
      <c r="A2" s="327" t="s">
        <v>2696</v>
      </c>
      <c r="B2" s="273" t="s">
        <v>2697</v>
      </c>
      <c r="C2" s="273"/>
      <c r="D2" s="274"/>
      <c r="E2" s="275" t="s">
        <v>2698</v>
      </c>
      <c r="F2" s="276"/>
      <c r="G2" s="276"/>
      <c r="H2" s="278" t="s">
        <v>2699</v>
      </c>
      <c r="I2" s="279"/>
      <c r="J2" s="280"/>
    </row>
    <row r="3" spans="1:19" x14ac:dyDescent="0.2">
      <c r="A3" s="328"/>
      <c r="B3" s="15" t="s">
        <v>2700</v>
      </c>
      <c r="C3" s="16" t="s">
        <v>2701</v>
      </c>
      <c r="D3" s="17" t="s">
        <v>2702</v>
      </c>
      <c r="E3" s="15" t="s">
        <v>2700</v>
      </c>
      <c r="F3" s="17" t="s">
        <v>2701</v>
      </c>
      <c r="G3" s="16" t="s">
        <v>2702</v>
      </c>
      <c r="H3" s="15" t="s">
        <v>2700</v>
      </c>
      <c r="I3" s="16" t="s">
        <v>2701</v>
      </c>
      <c r="J3" s="18" t="s">
        <v>2702</v>
      </c>
    </row>
    <row r="4" spans="1:19" x14ac:dyDescent="0.2">
      <c r="A4" s="19" t="s">
        <v>2703</v>
      </c>
      <c r="B4" s="79">
        <f>SUM(C4:D4)</f>
        <v>29100612.598399997</v>
      </c>
      <c r="C4" s="79">
        <f>F4+I4</f>
        <v>12285079.162299993</v>
      </c>
      <c r="D4" s="79">
        <f>G4+J4</f>
        <v>16815533.436100006</v>
      </c>
      <c r="E4" s="79">
        <f>SUM(F4:G4)</f>
        <v>17547918.907499991</v>
      </c>
      <c r="F4" s="79">
        <f>'[2]2.) Small Load'!H338</f>
        <v>12129792.930899993</v>
      </c>
      <c r="G4" s="79">
        <f>'[2]2.) Small Load'!L338</f>
        <v>5418125.9766000006</v>
      </c>
      <c r="H4" s="79">
        <f>SUM(I4:J4)</f>
        <v>11552693.690900005</v>
      </c>
      <c r="I4" s="79">
        <f>'[2]3.) Large Load'!H181</f>
        <v>155286.23139999996</v>
      </c>
      <c r="J4" s="80">
        <f>'[2]3.) Large Load'!L181</f>
        <v>11397407.459500005</v>
      </c>
    </row>
    <row r="5" spans="1:19" x14ac:dyDescent="0.2">
      <c r="A5" s="19" t="s">
        <v>2704</v>
      </c>
      <c r="B5" s="79">
        <f>SUM(C5:D5)</f>
        <v>16800987.970000003</v>
      </c>
      <c r="C5" s="79">
        <f>F5+I5</f>
        <v>8495344.2900000028</v>
      </c>
      <c r="D5" s="79">
        <f>G5+J5</f>
        <v>8305643.6799999988</v>
      </c>
      <c r="E5" s="79">
        <f>SUM(F5:G5)</f>
        <v>11650460.610000003</v>
      </c>
      <c r="F5" s="79">
        <f>'[2]2.) Small Load'!J338</f>
        <v>8494544.2900000028</v>
      </c>
      <c r="G5" s="79">
        <f>'[2]2.) Small Load'!N338</f>
        <v>3155916.3199999994</v>
      </c>
      <c r="H5" s="79">
        <f>SUM(I5:J5)</f>
        <v>5150527.3599999994</v>
      </c>
      <c r="I5" s="79">
        <f>'[2]3.) Large Load'!J181</f>
        <v>800</v>
      </c>
      <c r="J5" s="79">
        <f>'[2]3.) Large Load'!N181</f>
        <v>5149727.3599999994</v>
      </c>
    </row>
    <row r="6" spans="1:19" x14ac:dyDescent="0.2">
      <c r="A6" t="s">
        <v>3882</v>
      </c>
      <c r="B6" s="34">
        <f>B5/B4</f>
        <v>0.57734138459077489</v>
      </c>
      <c r="C6" s="34">
        <f t="shared" ref="C6:J6" si="0">C5/C4</f>
        <v>0.69151726071657793</v>
      </c>
      <c r="D6" s="34">
        <f t="shared" si="0"/>
        <v>0.49392686301400562</v>
      </c>
      <c r="E6" s="34">
        <f t="shared" si="0"/>
        <v>0.66392263785881689</v>
      </c>
      <c r="F6" s="34">
        <f t="shared" si="0"/>
        <v>0.70030414685485765</v>
      </c>
      <c r="G6" s="34">
        <f t="shared" si="0"/>
        <v>0.58247378034949449</v>
      </c>
      <c r="H6" s="34">
        <f t="shared" si="0"/>
        <v>0.44582912849641654</v>
      </c>
      <c r="I6" s="34">
        <f>I5/I4</f>
        <v>5.1517767723996697E-3</v>
      </c>
      <c r="J6" s="34">
        <f t="shared" si="0"/>
        <v>0.4518332242046485</v>
      </c>
    </row>
    <row r="7" spans="1:19" x14ac:dyDescent="0.2">
      <c r="A7" t="s">
        <v>3883</v>
      </c>
      <c r="B7" s="34">
        <f>(B5/(B4-5350000))</f>
        <v>0.70739177359710848</v>
      </c>
    </row>
    <row r="8" spans="1:19" x14ac:dyDescent="0.2">
      <c r="A8" s="81" t="s">
        <v>2981</v>
      </c>
    </row>
    <row r="9" spans="1:19" x14ac:dyDescent="0.2">
      <c r="A9" s="29" t="s">
        <v>3884</v>
      </c>
      <c r="B9" s="30"/>
      <c r="C9" s="31"/>
      <c r="D9" s="31"/>
      <c r="E9" s="32"/>
      <c r="F9" s="32"/>
      <c r="G9" s="32"/>
      <c r="H9" s="32"/>
      <c r="I9" s="32"/>
      <c r="J9" s="32"/>
      <c r="K9" s="32"/>
      <c r="L9" s="32"/>
      <c r="M9" s="32"/>
      <c r="N9" s="32"/>
      <c r="O9" s="32"/>
      <c r="P9" s="32"/>
      <c r="Q9" s="30"/>
      <c r="R9" s="30"/>
      <c r="S9" s="30"/>
    </row>
    <row r="10" spans="1:19" x14ac:dyDescent="0.2">
      <c r="A10" s="29" t="s">
        <v>3879</v>
      </c>
      <c r="B10" s="30"/>
      <c r="C10" s="31"/>
      <c r="D10" s="31"/>
      <c r="E10" s="32"/>
      <c r="F10" s="32"/>
      <c r="G10" s="32"/>
      <c r="H10" s="32"/>
      <c r="I10" s="32"/>
      <c r="J10" s="32"/>
      <c r="K10" s="32"/>
      <c r="L10" s="32"/>
      <c r="M10" s="32"/>
      <c r="N10" s="32"/>
      <c r="O10" s="32"/>
      <c r="P10" s="32"/>
      <c r="Q10" s="30"/>
      <c r="R10" s="30"/>
      <c r="S10" s="30"/>
    </row>
    <row r="11" spans="1:19" x14ac:dyDescent="0.2">
      <c r="A11" t="s">
        <v>3885</v>
      </c>
      <c r="Q11" s="164"/>
      <c r="R11" s="164"/>
      <c r="S11" s="164"/>
    </row>
  </sheetData>
  <mergeCells count="4">
    <mergeCell ref="A2:A3"/>
    <mergeCell ref="B2:D2"/>
    <mergeCell ref="E2:G2"/>
    <mergeCell ref="H2: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6966-428C-436F-9DB4-F2BE0CFB47BF}">
  <sheetPr>
    <tabColor theme="7" tint="0.59999389629810485"/>
  </sheetPr>
  <dimension ref="A1:B1098"/>
  <sheetViews>
    <sheetView workbookViewId="0">
      <selection activeCell="E188" sqref="E188"/>
    </sheetView>
  </sheetViews>
  <sheetFormatPr baseColWidth="10" defaultColWidth="8.83203125" defaultRowHeight="15" x14ac:dyDescent="0.2"/>
  <cols>
    <col min="1" max="1" width="12.33203125" bestFit="1" customWidth="1"/>
    <col min="2" max="2" width="17.5" bestFit="1" customWidth="1"/>
  </cols>
  <sheetData>
    <row r="1" spans="1:2" x14ac:dyDescent="0.2">
      <c r="A1" t="s">
        <v>2712</v>
      </c>
      <c r="B1" t="s">
        <v>2729</v>
      </c>
    </row>
    <row r="2" spans="1:2" x14ac:dyDescent="0.2">
      <c r="A2" s="124">
        <v>9001055100</v>
      </c>
      <c r="B2" t="s">
        <v>944</v>
      </c>
    </row>
    <row r="3" spans="1:2" x14ac:dyDescent="0.2">
      <c r="A3" s="124">
        <v>9001055200</v>
      </c>
      <c r="B3" t="s">
        <v>944</v>
      </c>
    </row>
    <row r="4" spans="1:2" x14ac:dyDescent="0.2">
      <c r="A4" s="124">
        <v>9001060100</v>
      </c>
      <c r="B4" t="s">
        <v>944</v>
      </c>
    </row>
    <row r="5" spans="1:2" x14ac:dyDescent="0.2">
      <c r="A5" s="124">
        <v>9001060200</v>
      </c>
      <c r="B5" t="s">
        <v>944</v>
      </c>
    </row>
    <row r="6" spans="1:2" x14ac:dyDescent="0.2">
      <c r="A6" s="124">
        <v>9001060300</v>
      </c>
      <c r="B6" t="s">
        <v>944</v>
      </c>
    </row>
    <row r="7" spans="1:2" x14ac:dyDescent="0.2">
      <c r="A7" s="124">
        <v>9001060400</v>
      </c>
      <c r="B7" t="s">
        <v>944</v>
      </c>
    </row>
    <row r="8" spans="1:2" x14ac:dyDescent="0.2">
      <c r="A8" s="124">
        <v>9001060500</v>
      </c>
      <c r="B8" t="s">
        <v>944</v>
      </c>
    </row>
    <row r="9" spans="1:2" x14ac:dyDescent="0.2">
      <c r="A9" s="124">
        <v>9001060600</v>
      </c>
      <c r="B9" t="s">
        <v>944</v>
      </c>
    </row>
    <row r="10" spans="1:2" x14ac:dyDescent="0.2">
      <c r="A10" s="124">
        <v>9001060700</v>
      </c>
      <c r="B10" t="s">
        <v>944</v>
      </c>
    </row>
    <row r="11" spans="1:2" x14ac:dyDescent="0.2">
      <c r="A11" s="124">
        <v>9001060800</v>
      </c>
      <c r="B11" t="s">
        <v>944</v>
      </c>
    </row>
    <row r="12" spans="1:2" x14ac:dyDescent="0.2">
      <c r="A12" s="124">
        <v>9001060900</v>
      </c>
      <c r="B12" t="s">
        <v>944</v>
      </c>
    </row>
    <row r="13" spans="1:2" x14ac:dyDescent="0.2">
      <c r="A13" s="124">
        <v>9001061000</v>
      </c>
      <c r="B13" t="s">
        <v>944</v>
      </c>
    </row>
    <row r="14" spans="1:2" x14ac:dyDescent="0.2">
      <c r="A14" s="124">
        <v>9001061100</v>
      </c>
      <c r="B14" t="s">
        <v>944</v>
      </c>
    </row>
    <row r="15" spans="1:2" x14ac:dyDescent="0.2">
      <c r="A15" s="124">
        <v>9001061200</v>
      </c>
      <c r="B15" t="s">
        <v>944</v>
      </c>
    </row>
    <row r="16" spans="1:2" x14ac:dyDescent="0.2">
      <c r="A16" s="124">
        <v>9001061300</v>
      </c>
      <c r="B16" t="s">
        <v>944</v>
      </c>
    </row>
    <row r="17" spans="1:2" x14ac:dyDescent="0.2">
      <c r="A17" s="124">
        <v>9001061400</v>
      </c>
      <c r="B17" t="s">
        <v>944</v>
      </c>
    </row>
    <row r="18" spans="1:2" x14ac:dyDescent="0.2">
      <c r="A18" s="124">
        <v>9001061500</v>
      </c>
      <c r="B18" t="s">
        <v>944</v>
      </c>
    </row>
    <row r="19" spans="1:2" x14ac:dyDescent="0.2">
      <c r="A19" s="124">
        <v>9001061600</v>
      </c>
      <c r="B19" t="s">
        <v>944</v>
      </c>
    </row>
    <row r="20" spans="1:2" x14ac:dyDescent="0.2">
      <c r="A20" s="124">
        <v>9001070100</v>
      </c>
      <c r="B20" t="s">
        <v>944</v>
      </c>
    </row>
    <row r="21" spans="1:2" x14ac:dyDescent="0.2">
      <c r="A21" s="124">
        <v>9001070200</v>
      </c>
      <c r="B21" t="s">
        <v>944</v>
      </c>
    </row>
    <row r="22" spans="1:2" x14ac:dyDescent="0.2">
      <c r="A22" s="124">
        <v>9001070600</v>
      </c>
      <c r="B22" t="s">
        <v>944</v>
      </c>
    </row>
    <row r="23" spans="1:2" x14ac:dyDescent="0.2">
      <c r="A23" s="124">
        <v>9001072000</v>
      </c>
      <c r="B23" t="s">
        <v>944</v>
      </c>
    </row>
    <row r="24" spans="1:2" x14ac:dyDescent="0.2">
      <c r="A24" s="124">
        <v>9001072100</v>
      </c>
      <c r="B24" t="s">
        <v>944</v>
      </c>
    </row>
    <row r="25" spans="1:2" x14ac:dyDescent="0.2">
      <c r="A25" s="124">
        <v>9001072200</v>
      </c>
      <c r="B25" t="s">
        <v>944</v>
      </c>
    </row>
    <row r="26" spans="1:2" x14ac:dyDescent="0.2">
      <c r="A26" s="124">
        <v>9001072300</v>
      </c>
      <c r="B26" t="s">
        <v>944</v>
      </c>
    </row>
    <row r="27" spans="1:2" x14ac:dyDescent="0.2">
      <c r="A27" s="124">
        <v>9001072400</v>
      </c>
      <c r="B27" t="s">
        <v>944</v>
      </c>
    </row>
    <row r="28" spans="1:2" x14ac:dyDescent="0.2">
      <c r="A28" s="124">
        <v>9001072500</v>
      </c>
      <c r="B28" t="s">
        <v>944</v>
      </c>
    </row>
    <row r="29" spans="1:2" x14ac:dyDescent="0.2">
      <c r="A29" s="124">
        <v>9001072600</v>
      </c>
      <c r="B29" t="s">
        <v>944</v>
      </c>
    </row>
    <row r="30" spans="1:2" x14ac:dyDescent="0.2">
      <c r="A30" s="124">
        <v>9001072700</v>
      </c>
      <c r="B30" t="s">
        <v>944</v>
      </c>
    </row>
    <row r="31" spans="1:2" x14ac:dyDescent="0.2">
      <c r="A31" s="124">
        <v>9001072800</v>
      </c>
      <c r="B31" t="s">
        <v>944</v>
      </c>
    </row>
    <row r="32" spans="1:2" x14ac:dyDescent="0.2">
      <c r="A32" s="124">
        <v>9001072900</v>
      </c>
      <c r="B32" t="s">
        <v>944</v>
      </c>
    </row>
    <row r="33" spans="1:2" x14ac:dyDescent="0.2">
      <c r="A33" s="124">
        <v>9001073000</v>
      </c>
      <c r="B33" t="s">
        <v>944</v>
      </c>
    </row>
    <row r="34" spans="1:2" x14ac:dyDescent="0.2">
      <c r="A34" s="124">
        <v>9001073100</v>
      </c>
      <c r="B34" t="s">
        <v>944</v>
      </c>
    </row>
    <row r="35" spans="1:2" x14ac:dyDescent="0.2">
      <c r="A35" s="124">
        <v>9001073200</v>
      </c>
      <c r="B35" t="s">
        <v>944</v>
      </c>
    </row>
    <row r="36" spans="1:2" x14ac:dyDescent="0.2">
      <c r="A36" s="124">
        <v>9001080100</v>
      </c>
      <c r="B36" t="s">
        <v>944</v>
      </c>
    </row>
    <row r="37" spans="1:2" x14ac:dyDescent="0.2">
      <c r="A37" s="124">
        <v>9001080200</v>
      </c>
      <c r="B37" t="s">
        <v>944</v>
      </c>
    </row>
    <row r="38" spans="1:2" x14ac:dyDescent="0.2">
      <c r="A38" s="124">
        <v>9001080400</v>
      </c>
      <c r="B38" t="s">
        <v>944</v>
      </c>
    </row>
    <row r="39" spans="1:2" x14ac:dyDescent="0.2">
      <c r="A39" s="124">
        <v>9001080500</v>
      </c>
      <c r="B39" t="s">
        <v>944</v>
      </c>
    </row>
    <row r="40" spans="1:2" x14ac:dyDescent="0.2">
      <c r="A40" s="124">
        <v>9001080600</v>
      </c>
      <c r="B40" t="s">
        <v>944</v>
      </c>
    </row>
    <row r="41" spans="1:2" x14ac:dyDescent="0.2">
      <c r="A41" s="124">
        <v>9001080700</v>
      </c>
      <c r="B41" t="s">
        <v>944</v>
      </c>
    </row>
    <row r="42" spans="1:2" x14ac:dyDescent="0.2">
      <c r="A42" s="124">
        <v>9001080800</v>
      </c>
      <c r="B42" t="s">
        <v>944</v>
      </c>
    </row>
    <row r="43" spans="1:2" x14ac:dyDescent="0.2">
      <c r="A43" s="124">
        <v>9001080900</v>
      </c>
      <c r="B43" t="s">
        <v>944</v>
      </c>
    </row>
    <row r="44" spans="1:2" x14ac:dyDescent="0.2">
      <c r="A44" s="124">
        <v>9001081000</v>
      </c>
      <c r="B44" t="s">
        <v>944</v>
      </c>
    </row>
    <row r="45" spans="1:2" x14ac:dyDescent="0.2">
      <c r="A45" s="124">
        <v>9001081100</v>
      </c>
      <c r="B45" t="s">
        <v>944</v>
      </c>
    </row>
    <row r="46" spans="1:2" x14ac:dyDescent="0.2">
      <c r="A46" s="124">
        <v>9001081200</v>
      </c>
      <c r="B46" t="s">
        <v>944</v>
      </c>
    </row>
    <row r="47" spans="1:2" x14ac:dyDescent="0.2">
      <c r="A47" s="124">
        <v>9001081300</v>
      </c>
      <c r="B47" t="s">
        <v>944</v>
      </c>
    </row>
    <row r="48" spans="1:2" x14ac:dyDescent="0.2">
      <c r="A48" s="124">
        <v>9001090100</v>
      </c>
      <c r="B48" t="s">
        <v>944</v>
      </c>
    </row>
    <row r="49" spans="1:2" x14ac:dyDescent="0.2">
      <c r="A49" s="124">
        <v>9001090200</v>
      </c>
      <c r="B49" t="s">
        <v>944</v>
      </c>
    </row>
    <row r="50" spans="1:2" x14ac:dyDescent="0.2">
      <c r="A50" s="124">
        <v>9001090300</v>
      </c>
      <c r="B50" t="s">
        <v>944</v>
      </c>
    </row>
    <row r="51" spans="1:2" x14ac:dyDescent="0.2">
      <c r="A51" s="124">
        <v>9001090400</v>
      </c>
      <c r="B51" t="s">
        <v>944</v>
      </c>
    </row>
    <row r="52" spans="1:2" x14ac:dyDescent="0.2">
      <c r="A52" s="124">
        <v>9001090500</v>
      </c>
      <c r="B52" t="s">
        <v>944</v>
      </c>
    </row>
    <row r="53" spans="1:2" x14ac:dyDescent="0.2">
      <c r="A53" s="124">
        <v>9001090600</v>
      </c>
      <c r="B53" t="s">
        <v>944</v>
      </c>
    </row>
    <row r="54" spans="1:2" x14ac:dyDescent="0.2">
      <c r="A54" s="124">
        <v>9001090700</v>
      </c>
      <c r="B54" t="s">
        <v>944</v>
      </c>
    </row>
    <row r="55" spans="1:2" x14ac:dyDescent="0.2">
      <c r="A55" s="124">
        <v>9001100100</v>
      </c>
      <c r="B55" t="s">
        <v>944</v>
      </c>
    </row>
    <row r="56" spans="1:2" x14ac:dyDescent="0.2">
      <c r="A56" s="124">
        <v>9001100200</v>
      </c>
      <c r="B56" t="s">
        <v>944</v>
      </c>
    </row>
    <row r="57" spans="1:2" x14ac:dyDescent="0.2">
      <c r="A57" s="124">
        <v>9001105100</v>
      </c>
      <c r="B57" t="s">
        <v>944</v>
      </c>
    </row>
    <row r="58" spans="1:2" x14ac:dyDescent="0.2">
      <c r="A58" s="124">
        <v>9001105200</v>
      </c>
      <c r="B58" t="s">
        <v>944</v>
      </c>
    </row>
    <row r="59" spans="1:2" x14ac:dyDescent="0.2">
      <c r="A59" s="124">
        <v>9001110100</v>
      </c>
      <c r="B59" t="s">
        <v>944</v>
      </c>
    </row>
    <row r="60" spans="1:2" x14ac:dyDescent="0.2">
      <c r="A60" s="124">
        <v>9001110201</v>
      </c>
      <c r="B60" t="s">
        <v>944</v>
      </c>
    </row>
    <row r="61" spans="1:2" x14ac:dyDescent="0.2">
      <c r="A61" s="124">
        <v>9001110202</v>
      </c>
      <c r="B61" t="s">
        <v>944</v>
      </c>
    </row>
    <row r="62" spans="1:2" x14ac:dyDescent="0.2">
      <c r="A62" s="124">
        <v>9001110301</v>
      </c>
      <c r="B62" t="s">
        <v>944</v>
      </c>
    </row>
    <row r="63" spans="1:2" x14ac:dyDescent="0.2">
      <c r="A63" s="124">
        <v>9001110302</v>
      </c>
      <c r="B63" t="s">
        <v>944</v>
      </c>
    </row>
    <row r="64" spans="1:2" x14ac:dyDescent="0.2">
      <c r="A64" s="124">
        <v>9001110400</v>
      </c>
      <c r="B64" t="s">
        <v>944</v>
      </c>
    </row>
    <row r="65" spans="1:2" x14ac:dyDescent="0.2">
      <c r="A65" s="124">
        <v>9001110500</v>
      </c>
      <c r="B65" t="s">
        <v>944</v>
      </c>
    </row>
    <row r="66" spans="1:2" x14ac:dyDescent="0.2">
      <c r="A66" s="124">
        <v>9001110600</v>
      </c>
      <c r="B66" t="s">
        <v>944</v>
      </c>
    </row>
    <row r="67" spans="1:2" x14ac:dyDescent="0.2">
      <c r="A67" s="124">
        <v>9001240200</v>
      </c>
      <c r="B67" t="s">
        <v>944</v>
      </c>
    </row>
    <row r="68" spans="1:2" x14ac:dyDescent="0.2">
      <c r="A68" s="124">
        <v>9009120100</v>
      </c>
      <c r="B68" t="s">
        <v>944</v>
      </c>
    </row>
    <row r="69" spans="1:2" x14ac:dyDescent="0.2">
      <c r="A69" s="124">
        <v>9009125100</v>
      </c>
      <c r="B69" t="s">
        <v>944</v>
      </c>
    </row>
    <row r="70" spans="1:2" x14ac:dyDescent="0.2">
      <c r="A70" s="124">
        <v>9009125200</v>
      </c>
      <c r="B70" t="s">
        <v>944</v>
      </c>
    </row>
    <row r="71" spans="1:2" x14ac:dyDescent="0.2">
      <c r="A71" s="124">
        <v>9009125300</v>
      </c>
      <c r="B71" t="s">
        <v>944</v>
      </c>
    </row>
    <row r="72" spans="1:2" x14ac:dyDescent="0.2">
      <c r="A72" s="124">
        <v>9009125400</v>
      </c>
      <c r="B72" t="s">
        <v>944</v>
      </c>
    </row>
    <row r="73" spans="1:2" x14ac:dyDescent="0.2">
      <c r="A73" s="124">
        <v>9009130101</v>
      </c>
      <c r="B73" t="s">
        <v>944</v>
      </c>
    </row>
    <row r="74" spans="1:2" x14ac:dyDescent="0.2">
      <c r="A74" s="124">
        <v>9009130102</v>
      </c>
      <c r="B74" t="s">
        <v>944</v>
      </c>
    </row>
    <row r="75" spans="1:2" x14ac:dyDescent="0.2">
      <c r="A75" s="124">
        <v>9009130200</v>
      </c>
      <c r="B75" t="s">
        <v>944</v>
      </c>
    </row>
    <row r="76" spans="1:2" x14ac:dyDescent="0.2">
      <c r="A76" s="124">
        <v>9009140100</v>
      </c>
      <c r="B76" t="s">
        <v>944</v>
      </c>
    </row>
    <row r="77" spans="1:2" x14ac:dyDescent="0.2">
      <c r="A77" s="124">
        <v>9009140400</v>
      </c>
      <c r="B77" t="s">
        <v>944</v>
      </c>
    </row>
    <row r="78" spans="1:2" x14ac:dyDescent="0.2">
      <c r="A78" s="124">
        <v>9009140700</v>
      </c>
      <c r="B78" t="s">
        <v>944</v>
      </c>
    </row>
    <row r="79" spans="1:2" x14ac:dyDescent="0.2">
      <c r="A79" s="124">
        <v>9009140800</v>
      </c>
      <c r="B79" t="s">
        <v>944</v>
      </c>
    </row>
    <row r="80" spans="1:2" x14ac:dyDescent="0.2">
      <c r="A80" s="124">
        <v>9009140900</v>
      </c>
      <c r="B80" t="s">
        <v>944</v>
      </c>
    </row>
    <row r="81" spans="1:2" x14ac:dyDescent="0.2">
      <c r="A81" s="124">
        <v>9009141000</v>
      </c>
      <c r="B81" t="s">
        <v>944</v>
      </c>
    </row>
    <row r="82" spans="1:2" x14ac:dyDescent="0.2">
      <c r="A82" s="124">
        <v>9009141100</v>
      </c>
      <c r="B82" t="s">
        <v>944</v>
      </c>
    </row>
    <row r="83" spans="1:2" x14ac:dyDescent="0.2">
      <c r="A83" s="124">
        <v>9009141200</v>
      </c>
      <c r="B83" t="s">
        <v>944</v>
      </c>
    </row>
    <row r="84" spans="1:2" x14ac:dyDescent="0.2">
      <c r="A84" s="124">
        <v>9009141300</v>
      </c>
      <c r="B84" t="s">
        <v>944</v>
      </c>
    </row>
    <row r="85" spans="1:2" x14ac:dyDescent="0.2">
      <c r="A85" s="124">
        <v>9009141400</v>
      </c>
      <c r="B85" t="s">
        <v>944</v>
      </c>
    </row>
    <row r="86" spans="1:2" x14ac:dyDescent="0.2">
      <c r="A86" s="124">
        <v>9009141800</v>
      </c>
      <c r="B86" t="s">
        <v>944</v>
      </c>
    </row>
    <row r="87" spans="1:2" x14ac:dyDescent="0.2">
      <c r="A87" s="124">
        <v>9009141900</v>
      </c>
      <c r="B87" t="s">
        <v>944</v>
      </c>
    </row>
    <row r="88" spans="1:2" x14ac:dyDescent="0.2">
      <c r="A88" s="124">
        <v>9009142000</v>
      </c>
      <c r="B88" t="s">
        <v>944</v>
      </c>
    </row>
    <row r="89" spans="1:2" x14ac:dyDescent="0.2">
      <c r="A89" s="124">
        <v>9009142100</v>
      </c>
      <c r="B89" t="s">
        <v>944</v>
      </c>
    </row>
    <row r="90" spans="1:2" x14ac:dyDescent="0.2">
      <c r="A90" s="124">
        <v>9009142200</v>
      </c>
      <c r="B90" t="s">
        <v>944</v>
      </c>
    </row>
    <row r="91" spans="1:2" x14ac:dyDescent="0.2">
      <c r="A91" s="124">
        <v>9009142601</v>
      </c>
      <c r="B91" t="s">
        <v>944</v>
      </c>
    </row>
    <row r="92" spans="1:2" x14ac:dyDescent="0.2">
      <c r="A92" s="124">
        <v>9009142603</v>
      </c>
      <c r="B92" t="s">
        <v>944</v>
      </c>
    </row>
    <row r="93" spans="1:2" x14ac:dyDescent="0.2">
      <c r="A93" s="124">
        <v>9009142604</v>
      </c>
      <c r="B93" t="s">
        <v>944</v>
      </c>
    </row>
    <row r="94" spans="1:2" x14ac:dyDescent="0.2">
      <c r="A94" s="124">
        <v>9009142800</v>
      </c>
      <c r="B94" t="s">
        <v>944</v>
      </c>
    </row>
    <row r="95" spans="1:2" x14ac:dyDescent="0.2">
      <c r="A95" s="124">
        <v>9009150100</v>
      </c>
      <c r="B95" t="s">
        <v>944</v>
      </c>
    </row>
    <row r="96" spans="1:2" x14ac:dyDescent="0.2">
      <c r="A96" s="124">
        <v>9009150200</v>
      </c>
      <c r="B96" t="s">
        <v>944</v>
      </c>
    </row>
    <row r="97" spans="1:2" x14ac:dyDescent="0.2">
      <c r="A97" s="124">
        <v>9009150300</v>
      </c>
      <c r="B97" t="s">
        <v>944</v>
      </c>
    </row>
    <row r="98" spans="1:2" x14ac:dyDescent="0.2">
      <c r="A98" s="124">
        <v>9009150400</v>
      </c>
      <c r="B98" t="s">
        <v>944</v>
      </c>
    </row>
    <row r="99" spans="1:2" x14ac:dyDescent="0.2">
      <c r="A99" s="124">
        <v>9009150500</v>
      </c>
      <c r="B99" t="s">
        <v>944</v>
      </c>
    </row>
    <row r="100" spans="1:2" x14ac:dyDescent="0.2">
      <c r="A100" s="124">
        <v>9009150600</v>
      </c>
      <c r="B100" t="s">
        <v>944</v>
      </c>
    </row>
    <row r="101" spans="1:2" x14ac:dyDescent="0.2">
      <c r="A101" s="124">
        <v>9009150700</v>
      </c>
      <c r="B101" t="s">
        <v>944</v>
      </c>
    </row>
    <row r="102" spans="1:2" x14ac:dyDescent="0.2">
      <c r="A102" s="124">
        <v>9009150800</v>
      </c>
      <c r="B102" t="s">
        <v>944</v>
      </c>
    </row>
    <row r="103" spans="1:2" x14ac:dyDescent="0.2">
      <c r="A103" s="124">
        <v>9009150900</v>
      </c>
      <c r="B103" t="s">
        <v>944</v>
      </c>
    </row>
    <row r="104" spans="1:2" x14ac:dyDescent="0.2">
      <c r="A104" s="124">
        <v>9009151000</v>
      </c>
      <c r="B104" t="s">
        <v>944</v>
      </c>
    </row>
    <row r="105" spans="1:2" x14ac:dyDescent="0.2">
      <c r="A105" s="124">
        <v>9009151100</v>
      </c>
      <c r="B105" t="s">
        <v>944</v>
      </c>
    </row>
    <row r="106" spans="1:2" x14ac:dyDescent="0.2">
      <c r="A106" s="124">
        <v>9009151200</v>
      </c>
      <c r="B106" t="s">
        <v>944</v>
      </c>
    </row>
    <row r="107" spans="1:2" x14ac:dyDescent="0.2">
      <c r="A107" s="124">
        <v>9009154100</v>
      </c>
      <c r="B107" t="s">
        <v>944</v>
      </c>
    </row>
    <row r="108" spans="1:2" x14ac:dyDescent="0.2">
      <c r="A108" s="124">
        <v>9009154200</v>
      </c>
      <c r="B108" t="s">
        <v>944</v>
      </c>
    </row>
    <row r="109" spans="1:2" x14ac:dyDescent="0.2">
      <c r="A109" s="124">
        <v>9009154500</v>
      </c>
      <c r="B109" t="s">
        <v>944</v>
      </c>
    </row>
    <row r="110" spans="1:2" x14ac:dyDescent="0.2">
      <c r="A110" s="124">
        <v>9009154600</v>
      </c>
      <c r="B110" t="s">
        <v>944</v>
      </c>
    </row>
    <row r="111" spans="1:2" x14ac:dyDescent="0.2">
      <c r="A111" s="124">
        <v>9009154700</v>
      </c>
      <c r="B111" t="s">
        <v>944</v>
      </c>
    </row>
    <row r="112" spans="1:2" x14ac:dyDescent="0.2">
      <c r="A112" s="124">
        <v>9009154800</v>
      </c>
      <c r="B112" t="s">
        <v>944</v>
      </c>
    </row>
    <row r="113" spans="1:2" x14ac:dyDescent="0.2">
      <c r="A113" s="124">
        <v>9009154900</v>
      </c>
      <c r="B113" t="s">
        <v>944</v>
      </c>
    </row>
    <row r="114" spans="1:2" x14ac:dyDescent="0.2">
      <c r="A114" s="124">
        <v>9009155000</v>
      </c>
      <c r="B114" t="s">
        <v>944</v>
      </c>
    </row>
    <row r="115" spans="1:2" x14ac:dyDescent="0.2">
      <c r="A115" s="124">
        <v>9009155100</v>
      </c>
      <c r="B115" t="s">
        <v>944</v>
      </c>
    </row>
    <row r="116" spans="1:2" x14ac:dyDescent="0.2">
      <c r="A116" s="124">
        <v>9009157100</v>
      </c>
      <c r="B116" t="s">
        <v>944</v>
      </c>
    </row>
    <row r="117" spans="1:2" x14ac:dyDescent="0.2">
      <c r="A117" s="124">
        <v>9009157200</v>
      </c>
      <c r="B117" t="s">
        <v>944</v>
      </c>
    </row>
    <row r="118" spans="1:2" x14ac:dyDescent="0.2">
      <c r="A118" s="124">
        <v>9009157300</v>
      </c>
      <c r="B118" t="s">
        <v>944</v>
      </c>
    </row>
    <row r="119" spans="1:2" x14ac:dyDescent="0.2">
      <c r="A119" s="124">
        <v>9009157400</v>
      </c>
      <c r="B119" t="s">
        <v>944</v>
      </c>
    </row>
    <row r="120" spans="1:2" x14ac:dyDescent="0.2">
      <c r="A120" s="124">
        <v>9009160100</v>
      </c>
      <c r="B120" t="s">
        <v>944</v>
      </c>
    </row>
    <row r="121" spans="1:2" x14ac:dyDescent="0.2">
      <c r="A121" s="124">
        <v>9009160200</v>
      </c>
      <c r="B121" t="s">
        <v>944</v>
      </c>
    </row>
    <row r="122" spans="1:2" x14ac:dyDescent="0.2">
      <c r="A122" s="124">
        <v>9009165100</v>
      </c>
      <c r="B122" t="s">
        <v>944</v>
      </c>
    </row>
    <row r="123" spans="1:2" x14ac:dyDescent="0.2">
      <c r="A123" s="124">
        <v>9009165200</v>
      </c>
      <c r="B123" t="s">
        <v>944</v>
      </c>
    </row>
    <row r="124" spans="1:2" x14ac:dyDescent="0.2">
      <c r="A124" s="124">
        <v>9009165300</v>
      </c>
      <c r="B124" t="s">
        <v>944</v>
      </c>
    </row>
    <row r="125" spans="1:2" x14ac:dyDescent="0.2">
      <c r="A125" s="124">
        <v>9009165400</v>
      </c>
      <c r="B125" t="s">
        <v>944</v>
      </c>
    </row>
    <row r="126" spans="1:2" x14ac:dyDescent="0.2">
      <c r="A126" s="124">
        <v>9009165600</v>
      </c>
      <c r="B126" t="s">
        <v>944</v>
      </c>
    </row>
    <row r="127" spans="1:2" x14ac:dyDescent="0.2">
      <c r="A127" s="124">
        <v>9009165700</v>
      </c>
      <c r="B127" t="s">
        <v>944</v>
      </c>
    </row>
    <row r="128" spans="1:2" x14ac:dyDescent="0.2">
      <c r="A128" s="124">
        <v>9009165801</v>
      </c>
      <c r="B128" t="s">
        <v>944</v>
      </c>
    </row>
    <row r="129" spans="1:2" x14ac:dyDescent="0.2">
      <c r="A129" s="124">
        <v>9009165802</v>
      </c>
      <c r="B129" t="s">
        <v>944</v>
      </c>
    </row>
    <row r="130" spans="1:2" x14ac:dyDescent="0.2">
      <c r="A130" s="124">
        <v>9009165900</v>
      </c>
      <c r="B130" t="s">
        <v>944</v>
      </c>
    </row>
    <row r="131" spans="1:2" x14ac:dyDescent="0.2">
      <c r="A131" s="124">
        <v>9009166001</v>
      </c>
      <c r="B131" t="s">
        <v>944</v>
      </c>
    </row>
    <row r="132" spans="1:2" x14ac:dyDescent="0.2">
      <c r="A132" s="124">
        <v>9009166002</v>
      </c>
      <c r="B132" t="s">
        <v>944</v>
      </c>
    </row>
    <row r="133" spans="1:2" x14ac:dyDescent="0.2">
      <c r="A133" s="124">
        <v>9009167100</v>
      </c>
      <c r="B133" t="s">
        <v>944</v>
      </c>
    </row>
    <row r="134" spans="1:2" x14ac:dyDescent="0.2">
      <c r="A134" s="124">
        <v>9009167201</v>
      </c>
      <c r="B134" t="s">
        <v>944</v>
      </c>
    </row>
    <row r="135" spans="1:2" x14ac:dyDescent="0.2">
      <c r="A135" s="124">
        <v>9009167202</v>
      </c>
      <c r="B135" t="s">
        <v>944</v>
      </c>
    </row>
    <row r="136" spans="1:2" x14ac:dyDescent="0.2">
      <c r="A136" s="124">
        <v>9009167300</v>
      </c>
      <c r="B136" t="s">
        <v>944</v>
      </c>
    </row>
    <row r="137" spans="1:2" x14ac:dyDescent="0.2">
      <c r="A137" s="124">
        <v>9009180100</v>
      </c>
      <c r="B137" t="s">
        <v>944</v>
      </c>
    </row>
    <row r="138" spans="1:2" x14ac:dyDescent="0.2">
      <c r="A138" s="124">
        <v>9009180200</v>
      </c>
      <c r="B138" t="s">
        <v>944</v>
      </c>
    </row>
    <row r="139" spans="1:2" x14ac:dyDescent="0.2">
      <c r="A139" s="124">
        <v>9009180300</v>
      </c>
      <c r="B139" t="s">
        <v>944</v>
      </c>
    </row>
    <row r="140" spans="1:2" x14ac:dyDescent="0.2">
      <c r="A140" s="124">
        <v>9009180400</v>
      </c>
      <c r="B140" t="s">
        <v>944</v>
      </c>
    </row>
    <row r="141" spans="1:2" x14ac:dyDescent="0.2">
      <c r="A141" s="124">
        <v>9009180500</v>
      </c>
      <c r="B141" t="s">
        <v>944</v>
      </c>
    </row>
    <row r="142" spans="1:2" x14ac:dyDescent="0.2">
      <c r="A142" s="124">
        <v>9009180601</v>
      </c>
      <c r="B142" t="s">
        <v>944</v>
      </c>
    </row>
    <row r="143" spans="1:2" x14ac:dyDescent="0.2">
      <c r="A143" s="124">
        <v>9009180602</v>
      </c>
      <c r="B143" t="s">
        <v>944</v>
      </c>
    </row>
    <row r="144" spans="1:2" x14ac:dyDescent="0.2">
      <c r="A144" s="124">
        <v>9009184700</v>
      </c>
      <c r="B144" t="s">
        <v>944</v>
      </c>
    </row>
    <row r="145" spans="1:2" x14ac:dyDescent="0.2">
      <c r="A145" s="124">
        <v>9009186100</v>
      </c>
      <c r="B145" t="s">
        <v>944</v>
      </c>
    </row>
    <row r="146" spans="1:2" x14ac:dyDescent="0.2">
      <c r="A146" s="124">
        <v>9009186200</v>
      </c>
      <c r="B146" t="s">
        <v>944</v>
      </c>
    </row>
    <row r="147" spans="1:2" x14ac:dyDescent="0.2">
      <c r="A147" s="124">
        <v>9009190302</v>
      </c>
      <c r="B147" t="s">
        <v>944</v>
      </c>
    </row>
    <row r="148" spans="1:2" x14ac:dyDescent="0.2">
      <c r="A148" s="124">
        <v>9009361401</v>
      </c>
      <c r="B148" t="s">
        <v>944</v>
      </c>
    </row>
    <row r="149" spans="1:2" x14ac:dyDescent="0.2">
      <c r="A149" s="124">
        <v>9009361402</v>
      </c>
      <c r="B149" t="s">
        <v>944</v>
      </c>
    </row>
    <row r="150" spans="1:2" x14ac:dyDescent="0.2">
      <c r="A150" s="124">
        <v>9009361500</v>
      </c>
      <c r="B150" t="s">
        <v>944</v>
      </c>
    </row>
    <row r="151" spans="1:2" x14ac:dyDescent="0.2">
      <c r="A151" s="124">
        <v>9001070300</v>
      </c>
      <c r="B151" t="s">
        <v>936</v>
      </c>
    </row>
    <row r="152" spans="1:2" x14ac:dyDescent="0.2">
      <c r="A152" s="124">
        <v>9001070400</v>
      </c>
      <c r="B152" t="s">
        <v>936</v>
      </c>
    </row>
    <row r="153" spans="1:2" x14ac:dyDescent="0.2">
      <c r="A153" s="124">
        <v>9001070500</v>
      </c>
      <c r="B153" t="s">
        <v>936</v>
      </c>
    </row>
    <row r="154" spans="1:2" x14ac:dyDescent="0.2">
      <c r="A154" s="124">
        <v>9001070900</v>
      </c>
      <c r="B154" t="s">
        <v>936</v>
      </c>
    </row>
    <row r="155" spans="1:2" x14ac:dyDescent="0.2">
      <c r="A155" s="124">
        <v>9001071000</v>
      </c>
      <c r="B155" t="s">
        <v>936</v>
      </c>
    </row>
    <row r="156" spans="1:2" x14ac:dyDescent="0.2">
      <c r="A156" s="124">
        <v>9001071100</v>
      </c>
      <c r="B156" t="s">
        <v>936</v>
      </c>
    </row>
    <row r="157" spans="1:2" x14ac:dyDescent="0.2">
      <c r="A157" s="124">
        <v>9001071200</v>
      </c>
      <c r="B157" t="s">
        <v>936</v>
      </c>
    </row>
    <row r="158" spans="1:2" x14ac:dyDescent="0.2">
      <c r="A158" s="124">
        <v>9001071300</v>
      </c>
      <c r="B158" t="s">
        <v>936</v>
      </c>
    </row>
    <row r="159" spans="1:2" x14ac:dyDescent="0.2">
      <c r="A159" s="124">
        <v>9001071400</v>
      </c>
      <c r="B159" t="s">
        <v>936</v>
      </c>
    </row>
    <row r="160" spans="1:2" x14ac:dyDescent="0.2">
      <c r="A160" s="124">
        <v>9001071600</v>
      </c>
      <c r="B160" t="s">
        <v>936</v>
      </c>
    </row>
    <row r="161" spans="1:2" x14ac:dyDescent="0.2">
      <c r="A161" s="124">
        <v>9001071900</v>
      </c>
      <c r="B161" t="s">
        <v>936</v>
      </c>
    </row>
    <row r="162" spans="1:2" x14ac:dyDescent="0.2">
      <c r="A162" s="124">
        <v>9001073300</v>
      </c>
      <c r="B162" t="s">
        <v>936</v>
      </c>
    </row>
    <row r="163" spans="1:2" x14ac:dyDescent="0.2">
      <c r="A163" s="124">
        <v>9001073400</v>
      </c>
      <c r="B163" t="s">
        <v>936</v>
      </c>
    </row>
    <row r="164" spans="1:2" x14ac:dyDescent="0.2">
      <c r="A164" s="124">
        <v>9001073500</v>
      </c>
      <c r="B164" t="s">
        <v>936</v>
      </c>
    </row>
    <row r="165" spans="1:2" x14ac:dyDescent="0.2">
      <c r="A165" s="124">
        <v>9001073600</v>
      </c>
      <c r="B165" t="s">
        <v>936</v>
      </c>
    </row>
    <row r="166" spans="1:2" x14ac:dyDescent="0.2">
      <c r="A166" s="124">
        <v>9001073700</v>
      </c>
      <c r="B166" t="s">
        <v>936</v>
      </c>
    </row>
    <row r="167" spans="1:2" x14ac:dyDescent="0.2">
      <c r="A167" s="124">
        <v>9001073800</v>
      </c>
      <c r="B167" t="s">
        <v>936</v>
      </c>
    </row>
    <row r="168" spans="1:2" x14ac:dyDescent="0.2">
      <c r="A168" s="124">
        <v>9001073900</v>
      </c>
      <c r="B168" t="s">
        <v>936</v>
      </c>
    </row>
    <row r="169" spans="1:2" x14ac:dyDescent="0.2">
      <c r="A169" s="124">
        <v>9001074000</v>
      </c>
      <c r="B169" t="s">
        <v>936</v>
      </c>
    </row>
    <row r="170" spans="1:2" x14ac:dyDescent="0.2">
      <c r="A170" s="124">
        <v>9001074300</v>
      </c>
      <c r="B170" t="s">
        <v>936</v>
      </c>
    </row>
    <row r="171" spans="1:2" x14ac:dyDescent="0.2">
      <c r="A171" s="124">
        <v>9001074400</v>
      </c>
      <c r="B171" t="s">
        <v>936</v>
      </c>
    </row>
    <row r="172" spans="1:2" x14ac:dyDescent="0.2">
      <c r="A172" s="124">
        <v>9001257200</v>
      </c>
      <c r="B172" t="s">
        <v>936</v>
      </c>
    </row>
    <row r="173" spans="1:2" x14ac:dyDescent="0.2">
      <c r="A173" s="124">
        <v>9009120200</v>
      </c>
      <c r="B173" t="s">
        <v>936</v>
      </c>
    </row>
    <row r="174" spans="1:2" x14ac:dyDescent="0.2">
      <c r="A174" s="124">
        <v>9009140200</v>
      </c>
      <c r="B174" t="s">
        <v>936</v>
      </c>
    </row>
    <row r="175" spans="1:2" x14ac:dyDescent="0.2">
      <c r="A175" s="124">
        <v>9009140300</v>
      </c>
      <c r="B175" t="s">
        <v>936</v>
      </c>
    </row>
    <row r="176" spans="1:2" x14ac:dyDescent="0.2">
      <c r="A176" s="124">
        <v>9009140500</v>
      </c>
      <c r="B176" t="s">
        <v>936</v>
      </c>
    </row>
    <row r="177" spans="1:2" x14ac:dyDescent="0.2">
      <c r="A177" s="124">
        <v>9009140600</v>
      </c>
      <c r="B177" t="s">
        <v>936</v>
      </c>
    </row>
    <row r="178" spans="1:2" x14ac:dyDescent="0.2">
      <c r="A178" s="124">
        <v>9009141500</v>
      </c>
      <c r="B178" t="s">
        <v>936</v>
      </c>
    </row>
    <row r="179" spans="1:2" x14ac:dyDescent="0.2">
      <c r="A179" s="124">
        <v>9009141600</v>
      </c>
      <c r="B179" t="s">
        <v>936</v>
      </c>
    </row>
    <row r="180" spans="1:2" x14ac:dyDescent="0.2">
      <c r="A180" s="124">
        <v>9009142300</v>
      </c>
      <c r="B180" t="s">
        <v>936</v>
      </c>
    </row>
    <row r="181" spans="1:2" x14ac:dyDescent="0.2">
      <c r="A181" s="124">
        <v>9009142400</v>
      </c>
      <c r="B181" t="s">
        <v>936</v>
      </c>
    </row>
    <row r="182" spans="1:2" x14ac:dyDescent="0.2">
      <c r="A182" s="124">
        <v>9009142500</v>
      </c>
      <c r="B182" t="s">
        <v>936</v>
      </c>
    </row>
    <row r="183" spans="1:2" x14ac:dyDescent="0.2">
      <c r="A183" s="124">
        <v>9009142700</v>
      </c>
      <c r="B183" t="s">
        <v>936</v>
      </c>
    </row>
    <row r="184" spans="1:2" x14ac:dyDescent="0.2">
      <c r="A184" s="124">
        <v>9009165500</v>
      </c>
      <c r="B184" t="s">
        <v>936</v>
      </c>
    </row>
    <row r="186" spans="1:2" x14ac:dyDescent="0.2">
      <c r="A186">
        <v>9001010101</v>
      </c>
      <c r="B186" t="s">
        <v>944</v>
      </c>
    </row>
    <row r="187" spans="1:2" x14ac:dyDescent="0.2">
      <c r="A187">
        <v>9001100100</v>
      </c>
      <c r="B187" t="s">
        <v>944</v>
      </c>
    </row>
    <row r="188" spans="1:2" x14ac:dyDescent="0.2">
      <c r="A188">
        <v>9001100100</v>
      </c>
      <c r="B188" t="s">
        <v>944</v>
      </c>
    </row>
    <row r="189" spans="1:2" x14ac:dyDescent="0.2">
      <c r="A189">
        <v>9013528100</v>
      </c>
      <c r="B189" t="s">
        <v>944</v>
      </c>
    </row>
    <row r="190" spans="1:2" x14ac:dyDescent="0.2">
      <c r="A190">
        <v>9013528100</v>
      </c>
      <c r="B190" t="s">
        <v>944</v>
      </c>
    </row>
    <row r="191" spans="1:2" x14ac:dyDescent="0.2">
      <c r="A191">
        <v>9001100200</v>
      </c>
      <c r="B191" t="s">
        <v>944</v>
      </c>
    </row>
    <row r="192" spans="1:2" x14ac:dyDescent="0.2">
      <c r="A192">
        <v>9001010102</v>
      </c>
      <c r="B192" t="s">
        <v>944</v>
      </c>
    </row>
    <row r="193" spans="1:2" x14ac:dyDescent="0.2">
      <c r="A193">
        <v>9013529100</v>
      </c>
      <c r="B193" t="s">
        <v>944</v>
      </c>
    </row>
    <row r="194" spans="1:2" x14ac:dyDescent="0.2">
      <c r="A194">
        <v>9013529100</v>
      </c>
      <c r="B194" t="s">
        <v>944</v>
      </c>
    </row>
    <row r="195" spans="1:2" x14ac:dyDescent="0.2">
      <c r="A195">
        <v>9001010201</v>
      </c>
      <c r="B195" t="s">
        <v>944</v>
      </c>
    </row>
    <row r="196" spans="1:2" x14ac:dyDescent="0.2">
      <c r="A196">
        <v>9001010202</v>
      </c>
      <c r="B196" t="s">
        <v>944</v>
      </c>
    </row>
    <row r="197" spans="1:2" x14ac:dyDescent="0.2">
      <c r="A197">
        <v>9001010202</v>
      </c>
      <c r="B197" t="s">
        <v>944</v>
      </c>
    </row>
    <row r="198" spans="1:2" x14ac:dyDescent="0.2">
      <c r="A198">
        <v>9001010300</v>
      </c>
      <c r="B198" t="s">
        <v>944</v>
      </c>
    </row>
    <row r="199" spans="1:2" x14ac:dyDescent="0.2">
      <c r="A199">
        <v>9013850100</v>
      </c>
      <c r="B199" t="s">
        <v>944</v>
      </c>
    </row>
    <row r="200" spans="1:2" x14ac:dyDescent="0.2">
      <c r="A200">
        <v>9013850100</v>
      </c>
      <c r="B200" t="s">
        <v>944</v>
      </c>
    </row>
    <row r="201" spans="1:2" x14ac:dyDescent="0.2">
      <c r="A201">
        <v>9001105200</v>
      </c>
      <c r="B201" t="s">
        <v>944</v>
      </c>
    </row>
    <row r="202" spans="1:2" x14ac:dyDescent="0.2">
      <c r="A202">
        <v>9001010500</v>
      </c>
      <c r="B202" t="s">
        <v>944</v>
      </c>
    </row>
    <row r="203" spans="1:2" x14ac:dyDescent="0.2">
      <c r="A203">
        <v>9001010600</v>
      </c>
      <c r="B203" t="s">
        <v>944</v>
      </c>
    </row>
    <row r="204" spans="1:2" x14ac:dyDescent="0.2">
      <c r="A204">
        <v>9015830100</v>
      </c>
      <c r="B204" t="s">
        <v>944</v>
      </c>
    </row>
    <row r="205" spans="1:2" x14ac:dyDescent="0.2">
      <c r="A205">
        <v>9001010700</v>
      </c>
      <c r="B205" t="s">
        <v>944</v>
      </c>
    </row>
    <row r="206" spans="1:2" x14ac:dyDescent="0.2">
      <c r="A206">
        <v>9001010800</v>
      </c>
      <c r="B206" t="s">
        <v>944</v>
      </c>
    </row>
    <row r="207" spans="1:2" x14ac:dyDescent="0.2">
      <c r="A207">
        <v>9015902200</v>
      </c>
      <c r="B207" t="s">
        <v>944</v>
      </c>
    </row>
    <row r="208" spans="1:2" x14ac:dyDescent="0.2">
      <c r="A208">
        <v>9015902200</v>
      </c>
      <c r="B208" t="s">
        <v>944</v>
      </c>
    </row>
    <row r="209" spans="1:2" x14ac:dyDescent="0.2">
      <c r="A209">
        <v>9015902200</v>
      </c>
      <c r="B209" t="s">
        <v>944</v>
      </c>
    </row>
    <row r="210" spans="1:2" x14ac:dyDescent="0.2">
      <c r="A210">
        <v>9001010900</v>
      </c>
      <c r="B210" t="s">
        <v>944</v>
      </c>
    </row>
    <row r="211" spans="1:2" x14ac:dyDescent="0.2">
      <c r="A211">
        <v>9001010400</v>
      </c>
      <c r="B211" t="s">
        <v>944</v>
      </c>
    </row>
    <row r="212" spans="1:2" x14ac:dyDescent="0.2">
      <c r="A212">
        <v>9003460301</v>
      </c>
      <c r="B212" t="s">
        <v>944</v>
      </c>
    </row>
    <row r="213" spans="1:2" x14ac:dyDescent="0.2">
      <c r="A213">
        <v>9003460301</v>
      </c>
      <c r="B213" t="s">
        <v>944</v>
      </c>
    </row>
    <row r="214" spans="1:2" x14ac:dyDescent="0.2">
      <c r="A214">
        <v>9001110500</v>
      </c>
      <c r="B214" t="s">
        <v>944</v>
      </c>
    </row>
    <row r="215" spans="1:2" x14ac:dyDescent="0.2">
      <c r="A215">
        <v>9003460302</v>
      </c>
      <c r="B215" t="s">
        <v>944</v>
      </c>
    </row>
    <row r="216" spans="1:2" x14ac:dyDescent="0.2">
      <c r="A216">
        <v>9003460302</v>
      </c>
      <c r="B216" t="s">
        <v>944</v>
      </c>
    </row>
    <row r="217" spans="1:2" x14ac:dyDescent="0.2">
      <c r="A217">
        <v>9003460302</v>
      </c>
      <c r="B217" t="s">
        <v>944</v>
      </c>
    </row>
    <row r="218" spans="1:2" x14ac:dyDescent="0.2">
      <c r="A218">
        <v>9001011000</v>
      </c>
      <c r="B218" t="s">
        <v>944</v>
      </c>
    </row>
    <row r="219" spans="1:2" x14ac:dyDescent="0.2">
      <c r="A219">
        <v>9001011100</v>
      </c>
      <c r="B219" t="s">
        <v>944</v>
      </c>
    </row>
    <row r="220" spans="1:2" x14ac:dyDescent="0.2">
      <c r="A220">
        <v>9001011200</v>
      </c>
      <c r="B220" t="s">
        <v>944</v>
      </c>
    </row>
    <row r="221" spans="1:2" x14ac:dyDescent="0.2">
      <c r="A221">
        <v>9001011300</v>
      </c>
      <c r="B221" t="s">
        <v>944</v>
      </c>
    </row>
    <row r="222" spans="1:2" x14ac:dyDescent="0.2">
      <c r="A222">
        <v>9003462101</v>
      </c>
      <c r="B222" t="s">
        <v>944</v>
      </c>
    </row>
    <row r="223" spans="1:2" x14ac:dyDescent="0.2">
      <c r="A223">
        <v>9003462101</v>
      </c>
      <c r="B223" t="s">
        <v>944</v>
      </c>
    </row>
    <row r="224" spans="1:2" x14ac:dyDescent="0.2">
      <c r="A224">
        <v>9009120200</v>
      </c>
      <c r="B224" t="s">
        <v>936</v>
      </c>
    </row>
    <row r="225" spans="1:2" x14ac:dyDescent="0.2">
      <c r="A225">
        <v>9009130101</v>
      </c>
      <c r="B225" t="s">
        <v>944</v>
      </c>
    </row>
    <row r="226" spans="1:2" x14ac:dyDescent="0.2">
      <c r="A226">
        <v>9009130101</v>
      </c>
      <c r="B226" t="s">
        <v>944</v>
      </c>
    </row>
    <row r="227" spans="1:2" x14ac:dyDescent="0.2">
      <c r="A227">
        <v>9003462102</v>
      </c>
      <c r="B227" t="s">
        <v>944</v>
      </c>
    </row>
    <row r="228" spans="1:2" x14ac:dyDescent="0.2">
      <c r="A228">
        <v>9009130102</v>
      </c>
      <c r="B228" t="s">
        <v>944</v>
      </c>
    </row>
    <row r="229" spans="1:2" x14ac:dyDescent="0.2">
      <c r="A229">
        <v>9003462201</v>
      </c>
      <c r="B229" t="s">
        <v>944</v>
      </c>
    </row>
    <row r="230" spans="1:2" x14ac:dyDescent="0.2">
      <c r="A230">
        <v>9003462202</v>
      </c>
      <c r="B230" t="s">
        <v>944</v>
      </c>
    </row>
    <row r="231" spans="1:2" x14ac:dyDescent="0.2">
      <c r="A231">
        <v>9009166002</v>
      </c>
      <c r="B231" t="s">
        <v>944</v>
      </c>
    </row>
    <row r="232" spans="1:2" x14ac:dyDescent="0.2">
      <c r="A232">
        <v>9003330100</v>
      </c>
      <c r="B232" t="s">
        <v>944</v>
      </c>
    </row>
    <row r="233" spans="1:2" x14ac:dyDescent="0.2">
      <c r="A233">
        <v>9003330100</v>
      </c>
      <c r="B233" t="s">
        <v>944</v>
      </c>
    </row>
    <row r="234" spans="1:2" x14ac:dyDescent="0.2">
      <c r="A234">
        <v>9003330100</v>
      </c>
      <c r="B234" t="s">
        <v>944</v>
      </c>
    </row>
    <row r="235" spans="1:2" x14ac:dyDescent="0.2">
      <c r="A235">
        <v>9009170200</v>
      </c>
      <c r="B235" t="s">
        <v>944</v>
      </c>
    </row>
    <row r="236" spans="1:2" x14ac:dyDescent="0.2">
      <c r="A236">
        <v>9009170300</v>
      </c>
      <c r="B236" t="s">
        <v>944</v>
      </c>
    </row>
    <row r="237" spans="1:2" x14ac:dyDescent="0.2">
      <c r="A237">
        <v>9009170400</v>
      </c>
      <c r="B237" t="s">
        <v>944</v>
      </c>
    </row>
    <row r="238" spans="1:2" x14ac:dyDescent="0.2">
      <c r="A238">
        <v>9005290100</v>
      </c>
      <c r="B238" t="s">
        <v>944</v>
      </c>
    </row>
    <row r="239" spans="1:2" x14ac:dyDescent="0.2">
      <c r="A239">
        <v>9005290100</v>
      </c>
      <c r="B239" t="s">
        <v>944</v>
      </c>
    </row>
    <row r="240" spans="1:2" x14ac:dyDescent="0.2">
      <c r="A240">
        <v>9009175700</v>
      </c>
      <c r="B240" t="s">
        <v>944</v>
      </c>
    </row>
    <row r="241" spans="1:2" x14ac:dyDescent="0.2">
      <c r="A241">
        <v>9005320100</v>
      </c>
      <c r="B241" t="s">
        <v>944</v>
      </c>
    </row>
    <row r="242" spans="1:2" x14ac:dyDescent="0.2">
      <c r="A242">
        <v>9005320100</v>
      </c>
      <c r="B242" t="s">
        <v>944</v>
      </c>
    </row>
    <row r="243" spans="1:2" x14ac:dyDescent="0.2">
      <c r="A243">
        <v>9001020100</v>
      </c>
      <c r="B243" t="s">
        <v>944</v>
      </c>
    </row>
    <row r="244" spans="1:2" x14ac:dyDescent="0.2">
      <c r="A244">
        <v>9009341100</v>
      </c>
      <c r="B244" t="s">
        <v>944</v>
      </c>
    </row>
    <row r="245" spans="1:2" x14ac:dyDescent="0.2">
      <c r="A245">
        <v>9009184100</v>
      </c>
      <c r="B245" t="s">
        <v>944</v>
      </c>
    </row>
    <row r="246" spans="1:2" x14ac:dyDescent="0.2">
      <c r="A246">
        <v>9001020200</v>
      </c>
      <c r="B246" t="s">
        <v>944</v>
      </c>
    </row>
    <row r="247" spans="1:2" x14ac:dyDescent="0.2">
      <c r="A247">
        <v>9001020200</v>
      </c>
      <c r="B247" t="s">
        <v>944</v>
      </c>
    </row>
    <row r="248" spans="1:2" x14ac:dyDescent="0.2">
      <c r="A248">
        <v>9009184400</v>
      </c>
      <c r="B248" t="s">
        <v>944</v>
      </c>
    </row>
    <row r="249" spans="1:2" x14ac:dyDescent="0.2">
      <c r="A249">
        <v>9009184500</v>
      </c>
      <c r="B249" t="s">
        <v>944</v>
      </c>
    </row>
    <row r="250" spans="1:2" x14ac:dyDescent="0.2">
      <c r="A250">
        <v>9003400100</v>
      </c>
      <c r="B250" t="s">
        <v>944</v>
      </c>
    </row>
    <row r="251" spans="1:2" x14ac:dyDescent="0.2">
      <c r="A251">
        <v>9003400100</v>
      </c>
      <c r="B251" t="s">
        <v>944</v>
      </c>
    </row>
    <row r="252" spans="1:2" x14ac:dyDescent="0.2">
      <c r="A252">
        <v>9009184600</v>
      </c>
      <c r="B252" t="s">
        <v>944</v>
      </c>
    </row>
    <row r="253" spans="1:2" x14ac:dyDescent="0.2">
      <c r="A253">
        <v>9009184700</v>
      </c>
      <c r="B253" t="s">
        <v>944</v>
      </c>
    </row>
    <row r="254" spans="1:2" x14ac:dyDescent="0.2">
      <c r="A254">
        <v>9001020300</v>
      </c>
      <c r="B254" t="s">
        <v>944</v>
      </c>
    </row>
    <row r="255" spans="1:2" x14ac:dyDescent="0.2">
      <c r="A255">
        <v>9009190303</v>
      </c>
      <c r="B255" t="s">
        <v>944</v>
      </c>
    </row>
    <row r="256" spans="1:2" x14ac:dyDescent="0.2">
      <c r="A256">
        <v>9009190303</v>
      </c>
      <c r="B256" t="s">
        <v>944</v>
      </c>
    </row>
    <row r="257" spans="1:2" x14ac:dyDescent="0.2">
      <c r="A257">
        <v>9003400200</v>
      </c>
      <c r="B257" t="s">
        <v>944</v>
      </c>
    </row>
    <row r="258" spans="1:2" x14ac:dyDescent="0.2">
      <c r="A258">
        <v>9009194202</v>
      </c>
      <c r="B258" t="s">
        <v>944</v>
      </c>
    </row>
    <row r="259" spans="1:2" x14ac:dyDescent="0.2">
      <c r="A259">
        <v>9001020400</v>
      </c>
      <c r="B259" t="s">
        <v>944</v>
      </c>
    </row>
    <row r="260" spans="1:2" x14ac:dyDescent="0.2">
      <c r="A260">
        <v>9001200100</v>
      </c>
      <c r="B260" t="s">
        <v>944</v>
      </c>
    </row>
    <row r="261" spans="1:2" x14ac:dyDescent="0.2">
      <c r="A261">
        <v>9001200100</v>
      </c>
      <c r="B261" t="s">
        <v>944</v>
      </c>
    </row>
    <row r="262" spans="1:2" x14ac:dyDescent="0.2">
      <c r="A262">
        <v>9003400300</v>
      </c>
      <c r="B262" t="s">
        <v>944</v>
      </c>
    </row>
    <row r="263" spans="1:2" x14ac:dyDescent="0.2">
      <c r="A263">
        <v>9003400300</v>
      </c>
      <c r="B263" t="s">
        <v>944</v>
      </c>
    </row>
    <row r="264" spans="1:2" x14ac:dyDescent="0.2">
      <c r="A264">
        <v>9001200200</v>
      </c>
      <c r="B264" t="s">
        <v>944</v>
      </c>
    </row>
    <row r="265" spans="1:2" x14ac:dyDescent="0.2">
      <c r="A265">
        <v>9001200301</v>
      </c>
      <c r="B265" t="s">
        <v>944</v>
      </c>
    </row>
    <row r="266" spans="1:2" x14ac:dyDescent="0.2">
      <c r="A266">
        <v>9001200301</v>
      </c>
      <c r="B266" t="s">
        <v>944</v>
      </c>
    </row>
    <row r="267" spans="1:2" x14ac:dyDescent="0.2">
      <c r="A267">
        <v>9001020500</v>
      </c>
      <c r="B267" t="s">
        <v>944</v>
      </c>
    </row>
    <row r="268" spans="1:2" x14ac:dyDescent="0.2">
      <c r="A268">
        <v>9003490302</v>
      </c>
      <c r="B268" t="s">
        <v>944</v>
      </c>
    </row>
    <row r="269" spans="1:2" x14ac:dyDescent="0.2">
      <c r="A269">
        <v>9003490302</v>
      </c>
      <c r="B269" t="s">
        <v>944</v>
      </c>
    </row>
    <row r="270" spans="1:2" x14ac:dyDescent="0.2">
      <c r="A270">
        <v>9001020600</v>
      </c>
      <c r="B270" t="s">
        <v>944</v>
      </c>
    </row>
    <row r="271" spans="1:2" x14ac:dyDescent="0.2">
      <c r="A271">
        <v>9001205100</v>
      </c>
      <c r="B271" t="s">
        <v>944</v>
      </c>
    </row>
    <row r="272" spans="1:2" x14ac:dyDescent="0.2">
      <c r="A272">
        <v>9009171600</v>
      </c>
      <c r="B272" t="s">
        <v>944</v>
      </c>
    </row>
    <row r="273" spans="1:2" x14ac:dyDescent="0.2">
      <c r="A273">
        <v>9009171600</v>
      </c>
      <c r="B273" t="s">
        <v>944</v>
      </c>
    </row>
    <row r="274" spans="1:2" x14ac:dyDescent="0.2">
      <c r="A274">
        <v>9001205200</v>
      </c>
      <c r="B274" t="s">
        <v>944</v>
      </c>
    </row>
    <row r="275" spans="1:2" x14ac:dyDescent="0.2">
      <c r="A275">
        <v>9001205200</v>
      </c>
      <c r="B275" t="s">
        <v>944</v>
      </c>
    </row>
    <row r="276" spans="1:2" x14ac:dyDescent="0.2">
      <c r="A276">
        <v>9001205300</v>
      </c>
      <c r="B276" t="s">
        <v>944</v>
      </c>
    </row>
    <row r="277" spans="1:2" x14ac:dyDescent="0.2">
      <c r="A277">
        <v>9001205300</v>
      </c>
      <c r="B277" t="s">
        <v>944</v>
      </c>
    </row>
    <row r="278" spans="1:2" x14ac:dyDescent="0.2">
      <c r="A278">
        <v>9001205300</v>
      </c>
      <c r="B278" t="s">
        <v>944</v>
      </c>
    </row>
    <row r="279" spans="1:2" x14ac:dyDescent="0.2">
      <c r="A279">
        <v>9001020700</v>
      </c>
      <c r="B279" t="s">
        <v>944</v>
      </c>
    </row>
    <row r="280" spans="1:2" x14ac:dyDescent="0.2">
      <c r="A280">
        <v>9009161100</v>
      </c>
      <c r="B280" t="s">
        <v>944</v>
      </c>
    </row>
    <row r="281" spans="1:2" x14ac:dyDescent="0.2">
      <c r="A281">
        <v>9001020800</v>
      </c>
      <c r="B281" t="s">
        <v>944</v>
      </c>
    </row>
    <row r="282" spans="1:2" x14ac:dyDescent="0.2">
      <c r="A282">
        <v>9001020900</v>
      </c>
      <c r="B282" t="s">
        <v>944</v>
      </c>
    </row>
    <row r="283" spans="1:2" x14ac:dyDescent="0.2">
      <c r="A283">
        <v>9001210100</v>
      </c>
      <c r="B283" t="s">
        <v>944</v>
      </c>
    </row>
    <row r="284" spans="1:2" x14ac:dyDescent="0.2">
      <c r="A284">
        <v>9001210200</v>
      </c>
      <c r="B284" t="s">
        <v>936</v>
      </c>
    </row>
    <row r="285" spans="1:2" x14ac:dyDescent="0.2">
      <c r="A285">
        <v>9001210500</v>
      </c>
      <c r="B285" t="s">
        <v>944</v>
      </c>
    </row>
    <row r="286" spans="1:2" x14ac:dyDescent="0.2">
      <c r="A286">
        <v>9001210500</v>
      </c>
      <c r="B286" t="s">
        <v>944</v>
      </c>
    </row>
    <row r="287" spans="1:2" x14ac:dyDescent="0.2">
      <c r="A287">
        <v>9001210500</v>
      </c>
      <c r="B287" t="s">
        <v>944</v>
      </c>
    </row>
    <row r="288" spans="1:2" x14ac:dyDescent="0.2">
      <c r="A288">
        <v>9001021000</v>
      </c>
      <c r="B288" t="s">
        <v>944</v>
      </c>
    </row>
    <row r="289" spans="1:2" x14ac:dyDescent="0.2">
      <c r="A289">
        <v>9001210600</v>
      </c>
      <c r="B289" t="s">
        <v>944</v>
      </c>
    </row>
    <row r="290" spans="1:2" x14ac:dyDescent="0.2">
      <c r="A290">
        <v>9001210800</v>
      </c>
      <c r="B290" t="s">
        <v>944</v>
      </c>
    </row>
    <row r="291" spans="1:2" x14ac:dyDescent="0.2">
      <c r="A291">
        <v>9001210900</v>
      </c>
      <c r="B291" t="s">
        <v>944</v>
      </c>
    </row>
    <row r="292" spans="1:2" x14ac:dyDescent="0.2">
      <c r="A292">
        <v>9001210900</v>
      </c>
      <c r="B292" t="s">
        <v>944</v>
      </c>
    </row>
    <row r="293" spans="1:2" x14ac:dyDescent="0.2">
      <c r="A293">
        <v>9001021100</v>
      </c>
      <c r="B293" t="s">
        <v>944</v>
      </c>
    </row>
    <row r="294" spans="1:2" x14ac:dyDescent="0.2">
      <c r="A294">
        <v>9001200302</v>
      </c>
      <c r="B294" t="s">
        <v>944</v>
      </c>
    </row>
    <row r="295" spans="1:2" x14ac:dyDescent="0.2">
      <c r="A295">
        <v>9001200302</v>
      </c>
      <c r="B295" t="s">
        <v>944</v>
      </c>
    </row>
    <row r="296" spans="1:2" x14ac:dyDescent="0.2">
      <c r="A296">
        <v>9001211000</v>
      </c>
      <c r="B296" t="s">
        <v>944</v>
      </c>
    </row>
    <row r="297" spans="1:2" x14ac:dyDescent="0.2">
      <c r="A297">
        <v>9001211000</v>
      </c>
      <c r="B297" t="s">
        <v>944</v>
      </c>
    </row>
    <row r="298" spans="1:2" x14ac:dyDescent="0.2">
      <c r="A298">
        <v>9001211200</v>
      </c>
      <c r="B298" t="s">
        <v>944</v>
      </c>
    </row>
    <row r="299" spans="1:2" x14ac:dyDescent="0.2">
      <c r="A299">
        <v>9001021200</v>
      </c>
      <c r="B299" t="s">
        <v>944</v>
      </c>
    </row>
    <row r="300" spans="1:2" x14ac:dyDescent="0.2">
      <c r="A300">
        <v>9001021400</v>
      </c>
      <c r="B300" t="s">
        <v>944</v>
      </c>
    </row>
    <row r="301" spans="1:2" x14ac:dyDescent="0.2">
      <c r="A301">
        <v>9001021400</v>
      </c>
      <c r="B301" t="s">
        <v>944</v>
      </c>
    </row>
    <row r="302" spans="1:2" x14ac:dyDescent="0.2">
      <c r="A302">
        <v>9001220200</v>
      </c>
      <c r="B302" t="s">
        <v>944</v>
      </c>
    </row>
    <row r="303" spans="1:2" x14ac:dyDescent="0.2">
      <c r="A303">
        <v>9001220200</v>
      </c>
      <c r="B303" t="s">
        <v>944</v>
      </c>
    </row>
    <row r="304" spans="1:2" x14ac:dyDescent="0.2">
      <c r="A304">
        <v>9001220200</v>
      </c>
      <c r="B304" t="s">
        <v>944</v>
      </c>
    </row>
    <row r="305" spans="1:2" x14ac:dyDescent="0.2">
      <c r="A305">
        <v>9001230100</v>
      </c>
      <c r="B305" t="s">
        <v>944</v>
      </c>
    </row>
    <row r="306" spans="1:2" x14ac:dyDescent="0.2">
      <c r="A306">
        <v>9001021300</v>
      </c>
      <c r="B306" t="s">
        <v>944</v>
      </c>
    </row>
    <row r="307" spans="1:2" x14ac:dyDescent="0.2">
      <c r="A307">
        <v>9001230200</v>
      </c>
      <c r="B307" t="s">
        <v>944</v>
      </c>
    </row>
    <row r="308" spans="1:2" x14ac:dyDescent="0.2">
      <c r="A308">
        <v>9001210400</v>
      </c>
      <c r="B308" t="s">
        <v>944</v>
      </c>
    </row>
    <row r="309" spans="1:2" x14ac:dyDescent="0.2">
      <c r="A309">
        <v>9001210400</v>
      </c>
      <c r="B309" t="s">
        <v>944</v>
      </c>
    </row>
    <row r="310" spans="1:2" x14ac:dyDescent="0.2">
      <c r="A310">
        <v>9001230300</v>
      </c>
      <c r="B310" t="s">
        <v>944</v>
      </c>
    </row>
    <row r="311" spans="1:2" x14ac:dyDescent="0.2">
      <c r="A311">
        <v>9001230400</v>
      </c>
      <c r="B311" t="s">
        <v>944</v>
      </c>
    </row>
    <row r="312" spans="1:2" x14ac:dyDescent="0.2">
      <c r="A312">
        <v>9001230400</v>
      </c>
      <c r="B312" t="s">
        <v>944</v>
      </c>
    </row>
    <row r="313" spans="1:2" x14ac:dyDescent="0.2">
      <c r="A313">
        <v>9001230400</v>
      </c>
      <c r="B313" t="s">
        <v>944</v>
      </c>
    </row>
    <row r="314" spans="1:2" x14ac:dyDescent="0.2">
      <c r="A314">
        <v>9001230501</v>
      </c>
      <c r="B314" t="s">
        <v>944</v>
      </c>
    </row>
    <row r="315" spans="1:2" x14ac:dyDescent="0.2">
      <c r="A315">
        <v>9001230502</v>
      </c>
      <c r="B315" t="s">
        <v>944</v>
      </c>
    </row>
    <row r="316" spans="1:2" x14ac:dyDescent="0.2">
      <c r="A316">
        <v>9001240100</v>
      </c>
      <c r="B316" t="s">
        <v>944</v>
      </c>
    </row>
    <row r="317" spans="1:2" x14ac:dyDescent="0.2">
      <c r="A317">
        <v>9001240100</v>
      </c>
      <c r="B317" t="s">
        <v>944</v>
      </c>
    </row>
    <row r="318" spans="1:2" x14ac:dyDescent="0.2">
      <c r="A318">
        <v>9001240100</v>
      </c>
      <c r="B318" t="s">
        <v>944</v>
      </c>
    </row>
    <row r="319" spans="1:2" x14ac:dyDescent="0.2">
      <c r="A319">
        <v>9001240200</v>
      </c>
      <c r="B319" t="s">
        <v>944</v>
      </c>
    </row>
    <row r="320" spans="1:2" x14ac:dyDescent="0.2">
      <c r="A320">
        <v>9001245100</v>
      </c>
      <c r="B320" t="s">
        <v>944</v>
      </c>
    </row>
    <row r="321" spans="1:2" x14ac:dyDescent="0.2">
      <c r="A321">
        <v>9001021500</v>
      </c>
      <c r="B321" t="s">
        <v>944</v>
      </c>
    </row>
    <row r="322" spans="1:2" x14ac:dyDescent="0.2">
      <c r="A322">
        <v>9001245200</v>
      </c>
      <c r="B322" t="s">
        <v>944</v>
      </c>
    </row>
    <row r="323" spans="1:2" x14ac:dyDescent="0.2">
      <c r="A323">
        <v>9001245200</v>
      </c>
      <c r="B323" t="s">
        <v>944</v>
      </c>
    </row>
    <row r="324" spans="1:2" x14ac:dyDescent="0.2">
      <c r="A324">
        <v>9001245200</v>
      </c>
      <c r="B324" t="s">
        <v>944</v>
      </c>
    </row>
    <row r="325" spans="1:2" x14ac:dyDescent="0.2">
      <c r="A325">
        <v>9001245400</v>
      </c>
      <c r="B325" t="s">
        <v>944</v>
      </c>
    </row>
    <row r="326" spans="1:2" x14ac:dyDescent="0.2">
      <c r="A326">
        <v>9001245500</v>
      </c>
      <c r="B326" t="s">
        <v>944</v>
      </c>
    </row>
    <row r="327" spans="1:2" x14ac:dyDescent="0.2">
      <c r="A327">
        <v>9001245600</v>
      </c>
      <c r="B327" t="s">
        <v>944</v>
      </c>
    </row>
    <row r="328" spans="1:2" x14ac:dyDescent="0.2">
      <c r="A328">
        <v>9001245600</v>
      </c>
      <c r="B328" t="s">
        <v>944</v>
      </c>
    </row>
    <row r="329" spans="1:2" x14ac:dyDescent="0.2">
      <c r="A329">
        <v>9001021600</v>
      </c>
      <c r="B329" t="s">
        <v>944</v>
      </c>
    </row>
    <row r="330" spans="1:2" x14ac:dyDescent="0.2">
      <c r="A330">
        <v>9005253200</v>
      </c>
      <c r="B330" t="s">
        <v>944</v>
      </c>
    </row>
    <row r="331" spans="1:2" x14ac:dyDescent="0.2">
      <c r="A331">
        <v>9005303100</v>
      </c>
      <c r="B331" t="s">
        <v>944</v>
      </c>
    </row>
    <row r="332" spans="1:2" x14ac:dyDescent="0.2">
      <c r="A332">
        <v>9005303100</v>
      </c>
      <c r="B332" t="s">
        <v>944</v>
      </c>
    </row>
    <row r="333" spans="1:2" x14ac:dyDescent="0.2">
      <c r="A333">
        <v>9005303100</v>
      </c>
      <c r="B333" t="s">
        <v>944</v>
      </c>
    </row>
    <row r="334" spans="1:2" x14ac:dyDescent="0.2">
      <c r="A334">
        <v>9005253400</v>
      </c>
      <c r="B334" t="s">
        <v>944</v>
      </c>
    </row>
    <row r="335" spans="1:2" x14ac:dyDescent="0.2">
      <c r="A335">
        <v>9005253400</v>
      </c>
      <c r="B335" t="s">
        <v>944</v>
      </c>
    </row>
    <row r="336" spans="1:2" x14ac:dyDescent="0.2">
      <c r="A336">
        <v>9005253400</v>
      </c>
      <c r="B336" t="s">
        <v>944</v>
      </c>
    </row>
    <row r="337" spans="1:2" x14ac:dyDescent="0.2">
      <c r="A337">
        <v>9005253500</v>
      </c>
      <c r="B337" t="s">
        <v>944</v>
      </c>
    </row>
    <row r="338" spans="1:2" x14ac:dyDescent="0.2">
      <c r="A338">
        <v>9005253500</v>
      </c>
      <c r="B338" t="s">
        <v>944</v>
      </c>
    </row>
    <row r="339" spans="1:2" x14ac:dyDescent="0.2">
      <c r="A339">
        <v>9005253500</v>
      </c>
      <c r="B339" t="s">
        <v>944</v>
      </c>
    </row>
    <row r="340" spans="1:2" x14ac:dyDescent="0.2">
      <c r="A340">
        <v>9001257100</v>
      </c>
      <c r="B340" t="s">
        <v>944</v>
      </c>
    </row>
    <row r="341" spans="1:2" x14ac:dyDescent="0.2">
      <c r="A341">
        <v>9001257100</v>
      </c>
      <c r="B341" t="s">
        <v>944</v>
      </c>
    </row>
    <row r="342" spans="1:2" x14ac:dyDescent="0.2">
      <c r="A342">
        <v>9001021700</v>
      </c>
      <c r="B342" t="s">
        <v>944</v>
      </c>
    </row>
    <row r="343" spans="1:2" x14ac:dyDescent="0.2">
      <c r="A343">
        <v>9005261100</v>
      </c>
      <c r="B343" t="s">
        <v>944</v>
      </c>
    </row>
    <row r="344" spans="1:2" x14ac:dyDescent="0.2">
      <c r="A344">
        <v>9005261100</v>
      </c>
      <c r="B344" t="s">
        <v>944</v>
      </c>
    </row>
    <row r="345" spans="1:2" x14ac:dyDescent="0.2">
      <c r="A345">
        <v>9005342100</v>
      </c>
      <c r="B345" t="s">
        <v>944</v>
      </c>
    </row>
    <row r="346" spans="1:2" x14ac:dyDescent="0.2">
      <c r="A346">
        <v>9005342100</v>
      </c>
      <c r="B346" t="s">
        <v>944</v>
      </c>
    </row>
    <row r="347" spans="1:2" x14ac:dyDescent="0.2">
      <c r="A347">
        <v>9005263200</v>
      </c>
      <c r="B347" t="s">
        <v>944</v>
      </c>
    </row>
    <row r="348" spans="1:2" x14ac:dyDescent="0.2">
      <c r="A348">
        <v>9005263200</v>
      </c>
      <c r="B348" t="s">
        <v>944</v>
      </c>
    </row>
    <row r="349" spans="1:2" x14ac:dyDescent="0.2">
      <c r="A349">
        <v>9005263200</v>
      </c>
      <c r="B349" t="s">
        <v>944</v>
      </c>
    </row>
    <row r="350" spans="1:2" x14ac:dyDescent="0.2">
      <c r="A350">
        <v>9005296100</v>
      </c>
      <c r="B350" t="s">
        <v>944</v>
      </c>
    </row>
    <row r="351" spans="1:2" x14ac:dyDescent="0.2">
      <c r="A351">
        <v>9005296100</v>
      </c>
      <c r="B351" t="s">
        <v>944</v>
      </c>
    </row>
    <row r="352" spans="1:2" x14ac:dyDescent="0.2">
      <c r="A352">
        <v>9005296100</v>
      </c>
      <c r="B352" t="s">
        <v>944</v>
      </c>
    </row>
    <row r="353" spans="1:2" x14ac:dyDescent="0.2">
      <c r="A353">
        <v>9001021801</v>
      </c>
      <c r="B353" t="s">
        <v>944</v>
      </c>
    </row>
    <row r="354" spans="1:2" x14ac:dyDescent="0.2">
      <c r="A354">
        <v>9005300100</v>
      </c>
      <c r="B354" t="s">
        <v>944</v>
      </c>
    </row>
    <row r="355" spans="1:2" x14ac:dyDescent="0.2">
      <c r="A355">
        <v>9005300100</v>
      </c>
      <c r="B355" t="s">
        <v>944</v>
      </c>
    </row>
    <row r="356" spans="1:2" x14ac:dyDescent="0.2">
      <c r="A356">
        <v>9005362102</v>
      </c>
      <c r="B356" t="s">
        <v>944</v>
      </c>
    </row>
    <row r="357" spans="1:2" x14ac:dyDescent="0.2">
      <c r="A357">
        <v>9005362102</v>
      </c>
      <c r="B357" t="s">
        <v>944</v>
      </c>
    </row>
    <row r="358" spans="1:2" x14ac:dyDescent="0.2">
      <c r="A358">
        <v>9005362102</v>
      </c>
      <c r="B358" t="s">
        <v>944</v>
      </c>
    </row>
    <row r="359" spans="1:2" x14ac:dyDescent="0.2">
      <c r="A359">
        <v>9005300400</v>
      </c>
      <c r="B359" t="s">
        <v>944</v>
      </c>
    </row>
    <row r="360" spans="1:2" x14ac:dyDescent="0.2">
      <c r="A360">
        <v>9005300400</v>
      </c>
      <c r="B360" t="s">
        <v>944</v>
      </c>
    </row>
    <row r="361" spans="1:2" x14ac:dyDescent="0.2">
      <c r="A361">
        <v>9005300500</v>
      </c>
      <c r="B361" t="s">
        <v>944</v>
      </c>
    </row>
    <row r="362" spans="1:2" x14ac:dyDescent="0.2">
      <c r="A362">
        <v>9005300500</v>
      </c>
      <c r="B362" t="s">
        <v>944</v>
      </c>
    </row>
    <row r="363" spans="1:2" x14ac:dyDescent="0.2">
      <c r="A363">
        <v>9001030100</v>
      </c>
      <c r="B363" t="s">
        <v>944</v>
      </c>
    </row>
    <row r="364" spans="1:2" x14ac:dyDescent="0.2">
      <c r="A364">
        <v>9001021802</v>
      </c>
      <c r="B364" t="s">
        <v>944</v>
      </c>
    </row>
    <row r="365" spans="1:2" x14ac:dyDescent="0.2">
      <c r="A365">
        <v>9001030200</v>
      </c>
      <c r="B365" t="s">
        <v>944</v>
      </c>
    </row>
    <row r="366" spans="1:2" x14ac:dyDescent="0.2">
      <c r="A366">
        <v>9003471100</v>
      </c>
      <c r="B366" t="s">
        <v>944</v>
      </c>
    </row>
    <row r="367" spans="1:2" x14ac:dyDescent="0.2">
      <c r="A367">
        <v>9003471100</v>
      </c>
      <c r="B367" t="s">
        <v>944</v>
      </c>
    </row>
    <row r="368" spans="1:2" x14ac:dyDescent="0.2">
      <c r="A368">
        <v>9001030500</v>
      </c>
      <c r="B368" t="s">
        <v>944</v>
      </c>
    </row>
    <row r="369" spans="1:2" x14ac:dyDescent="0.2">
      <c r="A369">
        <v>9005306100</v>
      </c>
      <c r="B369" t="s">
        <v>944</v>
      </c>
    </row>
    <row r="370" spans="1:2" x14ac:dyDescent="0.2">
      <c r="A370">
        <v>9005306100</v>
      </c>
      <c r="B370" t="s">
        <v>944</v>
      </c>
    </row>
    <row r="371" spans="1:2" x14ac:dyDescent="0.2">
      <c r="A371">
        <v>9005306100</v>
      </c>
      <c r="B371" t="s">
        <v>944</v>
      </c>
    </row>
    <row r="372" spans="1:2" x14ac:dyDescent="0.2">
      <c r="A372">
        <v>9001021900</v>
      </c>
      <c r="B372" t="s">
        <v>944</v>
      </c>
    </row>
    <row r="373" spans="1:2" x14ac:dyDescent="0.2">
      <c r="A373">
        <v>9005310601</v>
      </c>
      <c r="B373" t="s">
        <v>944</v>
      </c>
    </row>
    <row r="374" spans="1:2" x14ac:dyDescent="0.2">
      <c r="A374">
        <v>9003471200</v>
      </c>
      <c r="B374" t="s">
        <v>944</v>
      </c>
    </row>
    <row r="375" spans="1:2" x14ac:dyDescent="0.2">
      <c r="A375">
        <v>9001022000</v>
      </c>
      <c r="B375" t="s">
        <v>944</v>
      </c>
    </row>
    <row r="376" spans="1:2" x14ac:dyDescent="0.2">
      <c r="A376">
        <v>9003471300</v>
      </c>
      <c r="B376" t="s">
        <v>944</v>
      </c>
    </row>
    <row r="377" spans="1:2" x14ac:dyDescent="0.2">
      <c r="A377">
        <v>9009343200</v>
      </c>
      <c r="B377" t="s">
        <v>944</v>
      </c>
    </row>
    <row r="378" spans="1:2" x14ac:dyDescent="0.2">
      <c r="A378">
        <v>9001022100</v>
      </c>
      <c r="B378" t="s">
        <v>944</v>
      </c>
    </row>
    <row r="379" spans="1:2" x14ac:dyDescent="0.2">
      <c r="A379">
        <v>9009346102</v>
      </c>
      <c r="B379" t="s">
        <v>944</v>
      </c>
    </row>
    <row r="380" spans="1:2" x14ac:dyDescent="0.2">
      <c r="A380">
        <v>9009346102</v>
      </c>
      <c r="B380" t="s">
        <v>944</v>
      </c>
    </row>
    <row r="381" spans="1:2" x14ac:dyDescent="0.2">
      <c r="A381">
        <v>9009346102</v>
      </c>
      <c r="B381" t="s">
        <v>944</v>
      </c>
    </row>
    <row r="382" spans="1:2" x14ac:dyDescent="0.2">
      <c r="A382">
        <v>9003471400</v>
      </c>
      <c r="B382" t="s">
        <v>944</v>
      </c>
    </row>
    <row r="383" spans="1:2" x14ac:dyDescent="0.2">
      <c r="A383">
        <v>9003471400</v>
      </c>
      <c r="B383" t="s">
        <v>944</v>
      </c>
    </row>
    <row r="384" spans="1:2" x14ac:dyDescent="0.2">
      <c r="A384">
        <v>9005349100</v>
      </c>
      <c r="B384" t="s">
        <v>944</v>
      </c>
    </row>
    <row r="385" spans="1:2" x14ac:dyDescent="0.2">
      <c r="A385">
        <v>9005349100</v>
      </c>
      <c r="B385" t="s">
        <v>944</v>
      </c>
    </row>
    <row r="386" spans="1:2" x14ac:dyDescent="0.2">
      <c r="A386">
        <v>9005349100</v>
      </c>
      <c r="B386" t="s">
        <v>944</v>
      </c>
    </row>
    <row r="387" spans="1:2" x14ac:dyDescent="0.2">
      <c r="A387">
        <v>9005349200</v>
      </c>
      <c r="B387" t="s">
        <v>944</v>
      </c>
    </row>
    <row r="388" spans="1:2" x14ac:dyDescent="0.2">
      <c r="A388">
        <v>9005349200</v>
      </c>
      <c r="B388" t="s">
        <v>944</v>
      </c>
    </row>
    <row r="389" spans="1:2" x14ac:dyDescent="0.2">
      <c r="A389">
        <v>9005349200</v>
      </c>
      <c r="B389" t="s">
        <v>944</v>
      </c>
    </row>
    <row r="390" spans="1:2" x14ac:dyDescent="0.2">
      <c r="A390">
        <v>9001022200</v>
      </c>
      <c r="B390" t="s">
        <v>944</v>
      </c>
    </row>
    <row r="391" spans="1:2" x14ac:dyDescent="0.2">
      <c r="A391">
        <v>9003471500</v>
      </c>
      <c r="B391" t="s">
        <v>944</v>
      </c>
    </row>
    <row r="392" spans="1:2" x14ac:dyDescent="0.2">
      <c r="A392">
        <v>9001022300</v>
      </c>
      <c r="B392" t="s">
        <v>944</v>
      </c>
    </row>
    <row r="393" spans="1:2" x14ac:dyDescent="0.2">
      <c r="A393">
        <v>9009350300</v>
      </c>
      <c r="B393" t="s">
        <v>936</v>
      </c>
    </row>
    <row r="394" spans="1:2" x14ac:dyDescent="0.2">
      <c r="A394">
        <v>9003473100</v>
      </c>
      <c r="B394" t="s">
        <v>944</v>
      </c>
    </row>
    <row r="395" spans="1:2" x14ac:dyDescent="0.2">
      <c r="A395">
        <v>9009350400</v>
      </c>
      <c r="B395" t="s">
        <v>936</v>
      </c>
    </row>
    <row r="396" spans="1:2" x14ac:dyDescent="0.2">
      <c r="A396">
        <v>9001022400</v>
      </c>
      <c r="B396" t="s">
        <v>944</v>
      </c>
    </row>
    <row r="397" spans="1:2" x14ac:dyDescent="0.2">
      <c r="A397">
        <v>9009350500</v>
      </c>
      <c r="B397" t="s">
        <v>936</v>
      </c>
    </row>
    <row r="398" spans="1:2" x14ac:dyDescent="0.2">
      <c r="A398">
        <v>9003473501</v>
      </c>
      <c r="B398" t="s">
        <v>944</v>
      </c>
    </row>
    <row r="399" spans="1:2" x14ac:dyDescent="0.2">
      <c r="A399">
        <v>9009350800</v>
      </c>
      <c r="B399" t="s">
        <v>936</v>
      </c>
    </row>
    <row r="400" spans="1:2" x14ac:dyDescent="0.2">
      <c r="A400">
        <v>9009350900</v>
      </c>
      <c r="B400" t="s">
        <v>944</v>
      </c>
    </row>
    <row r="401" spans="1:2" x14ac:dyDescent="0.2">
      <c r="A401">
        <v>9003503900</v>
      </c>
      <c r="B401" t="s">
        <v>944</v>
      </c>
    </row>
    <row r="402" spans="1:2" x14ac:dyDescent="0.2">
      <c r="A402">
        <v>9003503900</v>
      </c>
      <c r="B402" t="s">
        <v>944</v>
      </c>
    </row>
    <row r="403" spans="1:2" x14ac:dyDescent="0.2">
      <c r="A403">
        <v>9009351000</v>
      </c>
      <c r="B403" t="s">
        <v>944</v>
      </c>
    </row>
    <row r="404" spans="1:2" x14ac:dyDescent="0.2">
      <c r="A404">
        <v>9009351100</v>
      </c>
      <c r="B404" t="s">
        <v>936</v>
      </c>
    </row>
    <row r="405" spans="1:2" x14ac:dyDescent="0.2">
      <c r="A405">
        <v>9009351200</v>
      </c>
      <c r="B405" t="s">
        <v>936</v>
      </c>
    </row>
    <row r="406" spans="1:2" x14ac:dyDescent="0.2">
      <c r="A406">
        <v>9003514900</v>
      </c>
      <c r="B406" t="s">
        <v>944</v>
      </c>
    </row>
    <row r="407" spans="1:2" x14ac:dyDescent="0.2">
      <c r="A407">
        <v>9003514900</v>
      </c>
      <c r="B407" t="s">
        <v>944</v>
      </c>
    </row>
    <row r="408" spans="1:2" x14ac:dyDescent="0.2">
      <c r="A408">
        <v>9009351300</v>
      </c>
      <c r="B408" t="s">
        <v>936</v>
      </c>
    </row>
    <row r="409" spans="1:2" x14ac:dyDescent="0.2">
      <c r="A409">
        <v>9009351400</v>
      </c>
      <c r="B409" t="s">
        <v>936</v>
      </c>
    </row>
    <row r="410" spans="1:2" x14ac:dyDescent="0.2">
      <c r="A410">
        <v>9001030300</v>
      </c>
      <c r="B410" t="s">
        <v>944</v>
      </c>
    </row>
    <row r="411" spans="1:2" x14ac:dyDescent="0.2">
      <c r="A411">
        <v>9009351800</v>
      </c>
      <c r="B411" t="s">
        <v>944</v>
      </c>
    </row>
    <row r="412" spans="1:2" x14ac:dyDescent="0.2">
      <c r="A412">
        <v>9013526102</v>
      </c>
      <c r="B412" t="s">
        <v>944</v>
      </c>
    </row>
    <row r="413" spans="1:2" x14ac:dyDescent="0.2">
      <c r="A413">
        <v>9013526102</v>
      </c>
      <c r="B413" t="s">
        <v>944</v>
      </c>
    </row>
    <row r="414" spans="1:2" x14ac:dyDescent="0.2">
      <c r="A414">
        <v>9013526102</v>
      </c>
      <c r="B414" t="s">
        <v>944</v>
      </c>
    </row>
    <row r="415" spans="1:2" x14ac:dyDescent="0.2">
      <c r="A415">
        <v>9001035100</v>
      </c>
      <c r="B415" t="s">
        <v>944</v>
      </c>
    </row>
    <row r="416" spans="1:2" x14ac:dyDescent="0.2">
      <c r="A416">
        <v>9001035100</v>
      </c>
      <c r="B416" t="s">
        <v>944</v>
      </c>
    </row>
    <row r="417" spans="1:2" x14ac:dyDescent="0.2">
      <c r="A417">
        <v>9009352701</v>
      </c>
      <c r="B417" t="s">
        <v>936</v>
      </c>
    </row>
    <row r="418" spans="1:2" x14ac:dyDescent="0.2">
      <c r="A418">
        <v>9009352702</v>
      </c>
      <c r="B418" t="s">
        <v>944</v>
      </c>
    </row>
    <row r="419" spans="1:2" x14ac:dyDescent="0.2">
      <c r="A419">
        <v>9001030400</v>
      </c>
      <c r="B419" t="s">
        <v>944</v>
      </c>
    </row>
    <row r="420" spans="1:2" x14ac:dyDescent="0.2">
      <c r="A420">
        <v>9009352800</v>
      </c>
      <c r="B420" t="s">
        <v>944</v>
      </c>
    </row>
    <row r="421" spans="1:2" x14ac:dyDescent="0.2">
      <c r="A421">
        <v>9009352800</v>
      </c>
      <c r="B421" t="s">
        <v>944</v>
      </c>
    </row>
    <row r="422" spans="1:2" x14ac:dyDescent="0.2">
      <c r="A422">
        <v>9001035200</v>
      </c>
      <c r="B422" t="s">
        <v>944</v>
      </c>
    </row>
    <row r="423" spans="1:2" x14ac:dyDescent="0.2">
      <c r="A423">
        <v>9001035400</v>
      </c>
      <c r="B423" t="s">
        <v>944</v>
      </c>
    </row>
    <row r="424" spans="1:2" x14ac:dyDescent="0.2">
      <c r="A424">
        <v>9001035400</v>
      </c>
      <c r="B424" t="s">
        <v>944</v>
      </c>
    </row>
    <row r="425" spans="1:2" x14ac:dyDescent="0.2">
      <c r="A425">
        <v>9013530600</v>
      </c>
      <c r="B425" t="s">
        <v>944</v>
      </c>
    </row>
    <row r="426" spans="1:2" x14ac:dyDescent="0.2">
      <c r="A426">
        <v>9013530600</v>
      </c>
      <c r="B426" t="s">
        <v>944</v>
      </c>
    </row>
    <row r="427" spans="1:2" x14ac:dyDescent="0.2">
      <c r="A427">
        <v>9013530600</v>
      </c>
      <c r="B427" t="s">
        <v>944</v>
      </c>
    </row>
    <row r="428" spans="1:2" x14ac:dyDescent="0.2">
      <c r="A428">
        <v>9001042500</v>
      </c>
      <c r="B428" t="s">
        <v>944</v>
      </c>
    </row>
    <row r="429" spans="1:2" x14ac:dyDescent="0.2">
      <c r="A429">
        <v>9001042700</v>
      </c>
      <c r="B429" t="s">
        <v>944</v>
      </c>
    </row>
    <row r="430" spans="1:2" x14ac:dyDescent="0.2">
      <c r="A430">
        <v>9001042800</v>
      </c>
      <c r="B430" t="s">
        <v>944</v>
      </c>
    </row>
    <row r="431" spans="1:2" x14ac:dyDescent="0.2">
      <c r="A431">
        <v>9001043100</v>
      </c>
      <c r="B431" t="s">
        <v>944</v>
      </c>
    </row>
    <row r="432" spans="1:2" x14ac:dyDescent="0.2">
      <c r="A432">
        <v>9001043200</v>
      </c>
      <c r="B432" t="s">
        <v>944</v>
      </c>
    </row>
    <row r="433" spans="1:2" x14ac:dyDescent="0.2">
      <c r="A433">
        <v>9001035300</v>
      </c>
      <c r="B433" t="s">
        <v>944</v>
      </c>
    </row>
    <row r="434" spans="1:2" x14ac:dyDescent="0.2">
      <c r="A434">
        <v>9001035300</v>
      </c>
      <c r="B434" t="s">
        <v>944</v>
      </c>
    </row>
    <row r="435" spans="1:2" x14ac:dyDescent="0.2">
      <c r="A435">
        <v>9001043300</v>
      </c>
      <c r="B435" t="s">
        <v>944</v>
      </c>
    </row>
    <row r="436" spans="1:2" x14ac:dyDescent="0.2">
      <c r="A436">
        <v>9001045102</v>
      </c>
      <c r="B436" t="s">
        <v>944</v>
      </c>
    </row>
    <row r="437" spans="1:2" x14ac:dyDescent="0.2">
      <c r="A437">
        <v>9009184200</v>
      </c>
      <c r="B437" t="s">
        <v>944</v>
      </c>
    </row>
    <row r="438" spans="1:2" x14ac:dyDescent="0.2">
      <c r="A438">
        <v>9001045400</v>
      </c>
      <c r="B438" t="s">
        <v>944</v>
      </c>
    </row>
    <row r="439" spans="1:2" x14ac:dyDescent="0.2">
      <c r="A439">
        <v>9009184300</v>
      </c>
      <c r="B439" t="s">
        <v>944</v>
      </c>
    </row>
    <row r="440" spans="1:2" x14ac:dyDescent="0.2">
      <c r="A440">
        <v>9001055100</v>
      </c>
      <c r="B440" t="s">
        <v>944</v>
      </c>
    </row>
    <row r="441" spans="1:2" x14ac:dyDescent="0.2">
      <c r="A441">
        <v>9001042600</v>
      </c>
      <c r="B441" t="s">
        <v>944</v>
      </c>
    </row>
    <row r="442" spans="1:2" x14ac:dyDescent="0.2">
      <c r="A442">
        <v>9001042900</v>
      </c>
      <c r="B442" t="s">
        <v>944</v>
      </c>
    </row>
    <row r="443" spans="1:2" x14ac:dyDescent="0.2">
      <c r="A443">
        <v>9005250100</v>
      </c>
      <c r="B443" t="s">
        <v>944</v>
      </c>
    </row>
    <row r="444" spans="1:2" x14ac:dyDescent="0.2">
      <c r="A444">
        <v>9001043000</v>
      </c>
      <c r="B444" t="s">
        <v>944</v>
      </c>
    </row>
    <row r="445" spans="1:2" x14ac:dyDescent="0.2">
      <c r="A445">
        <v>9005268100</v>
      </c>
      <c r="B445" t="s">
        <v>944</v>
      </c>
    </row>
    <row r="446" spans="1:2" x14ac:dyDescent="0.2">
      <c r="A446">
        <v>9005268100</v>
      </c>
      <c r="B446" t="s">
        <v>944</v>
      </c>
    </row>
    <row r="447" spans="1:2" x14ac:dyDescent="0.2">
      <c r="A447">
        <v>9005268100</v>
      </c>
      <c r="B447" t="s">
        <v>944</v>
      </c>
    </row>
    <row r="448" spans="1:2" x14ac:dyDescent="0.2">
      <c r="A448">
        <v>9003405100</v>
      </c>
      <c r="B448" t="s">
        <v>944</v>
      </c>
    </row>
    <row r="449" spans="1:2" x14ac:dyDescent="0.2">
      <c r="A449">
        <v>9003405200</v>
      </c>
      <c r="B449" t="s">
        <v>944</v>
      </c>
    </row>
    <row r="450" spans="1:2" x14ac:dyDescent="0.2">
      <c r="A450">
        <v>9015900100</v>
      </c>
      <c r="B450" t="s">
        <v>944</v>
      </c>
    </row>
    <row r="451" spans="1:2" x14ac:dyDescent="0.2">
      <c r="A451">
        <v>9003405300</v>
      </c>
      <c r="B451" t="s">
        <v>944</v>
      </c>
    </row>
    <row r="452" spans="1:2" x14ac:dyDescent="0.2">
      <c r="A452">
        <v>9015901100</v>
      </c>
      <c r="B452" t="s">
        <v>944</v>
      </c>
    </row>
    <row r="453" spans="1:2" x14ac:dyDescent="0.2">
      <c r="A453">
        <v>9015901100</v>
      </c>
      <c r="B453" t="s">
        <v>944</v>
      </c>
    </row>
    <row r="454" spans="1:2" x14ac:dyDescent="0.2">
      <c r="A454">
        <v>9015901100</v>
      </c>
      <c r="B454" t="s">
        <v>944</v>
      </c>
    </row>
    <row r="455" spans="1:2" x14ac:dyDescent="0.2">
      <c r="A455">
        <v>9001043400</v>
      </c>
      <c r="B455" t="s">
        <v>944</v>
      </c>
    </row>
    <row r="456" spans="1:2" x14ac:dyDescent="0.2">
      <c r="A456">
        <v>9003405401</v>
      </c>
      <c r="B456" t="s">
        <v>944</v>
      </c>
    </row>
    <row r="457" spans="1:2" x14ac:dyDescent="0.2">
      <c r="A457">
        <v>9003405401</v>
      </c>
      <c r="B457" t="s">
        <v>944</v>
      </c>
    </row>
    <row r="458" spans="1:2" x14ac:dyDescent="0.2">
      <c r="A458">
        <v>9015902500</v>
      </c>
      <c r="B458" t="s">
        <v>944</v>
      </c>
    </row>
    <row r="459" spans="1:2" x14ac:dyDescent="0.2">
      <c r="A459">
        <v>9015902500</v>
      </c>
      <c r="B459" t="s">
        <v>944</v>
      </c>
    </row>
    <row r="460" spans="1:2" x14ac:dyDescent="0.2">
      <c r="A460">
        <v>9015902500</v>
      </c>
      <c r="B460" t="s">
        <v>944</v>
      </c>
    </row>
    <row r="461" spans="1:2" x14ac:dyDescent="0.2">
      <c r="A461">
        <v>9001043500</v>
      </c>
      <c r="B461" t="s">
        <v>944</v>
      </c>
    </row>
    <row r="462" spans="1:2" x14ac:dyDescent="0.2">
      <c r="A462">
        <v>9015903100</v>
      </c>
      <c r="B462" t="s">
        <v>944</v>
      </c>
    </row>
    <row r="463" spans="1:2" x14ac:dyDescent="0.2">
      <c r="A463">
        <v>9003405402</v>
      </c>
      <c r="B463" t="s">
        <v>944</v>
      </c>
    </row>
    <row r="464" spans="1:2" x14ac:dyDescent="0.2">
      <c r="A464">
        <v>9015904100</v>
      </c>
      <c r="B464" t="s">
        <v>944</v>
      </c>
    </row>
    <row r="465" spans="1:2" x14ac:dyDescent="0.2">
      <c r="A465">
        <v>9015904100</v>
      </c>
      <c r="B465" t="s">
        <v>944</v>
      </c>
    </row>
    <row r="466" spans="1:2" x14ac:dyDescent="0.2">
      <c r="A466">
        <v>9001043600</v>
      </c>
      <c r="B466" t="s">
        <v>944</v>
      </c>
    </row>
    <row r="467" spans="1:2" x14ac:dyDescent="0.2">
      <c r="A467">
        <v>9015904500</v>
      </c>
      <c r="B467" t="s">
        <v>944</v>
      </c>
    </row>
    <row r="468" spans="1:2" x14ac:dyDescent="0.2">
      <c r="A468">
        <v>9003405500</v>
      </c>
      <c r="B468" t="s">
        <v>944</v>
      </c>
    </row>
    <row r="469" spans="1:2" x14ac:dyDescent="0.2">
      <c r="A469">
        <v>9001043700</v>
      </c>
      <c r="B469" t="s">
        <v>944</v>
      </c>
    </row>
    <row r="470" spans="1:2" x14ac:dyDescent="0.2">
      <c r="A470">
        <v>9015905100</v>
      </c>
      <c r="B470" t="s">
        <v>944</v>
      </c>
    </row>
    <row r="471" spans="1:2" x14ac:dyDescent="0.2">
      <c r="A471">
        <v>9015905100</v>
      </c>
      <c r="B471" t="s">
        <v>944</v>
      </c>
    </row>
    <row r="472" spans="1:2" x14ac:dyDescent="0.2">
      <c r="A472">
        <v>9015905100</v>
      </c>
      <c r="B472" t="s">
        <v>944</v>
      </c>
    </row>
    <row r="473" spans="1:2" x14ac:dyDescent="0.2">
      <c r="A473">
        <v>9003405600</v>
      </c>
      <c r="B473" t="s">
        <v>944</v>
      </c>
    </row>
    <row r="474" spans="1:2" x14ac:dyDescent="0.2">
      <c r="A474">
        <v>9001043800</v>
      </c>
      <c r="B474" t="s">
        <v>944</v>
      </c>
    </row>
    <row r="475" spans="1:2" x14ac:dyDescent="0.2">
      <c r="A475">
        <v>9003405700</v>
      </c>
      <c r="B475" t="s">
        <v>936</v>
      </c>
    </row>
    <row r="476" spans="1:2" x14ac:dyDescent="0.2">
      <c r="A476">
        <v>9015907100</v>
      </c>
      <c r="B476" t="s">
        <v>944</v>
      </c>
    </row>
    <row r="477" spans="1:2" x14ac:dyDescent="0.2">
      <c r="A477">
        <v>9015907100</v>
      </c>
      <c r="B477" t="s">
        <v>944</v>
      </c>
    </row>
    <row r="478" spans="1:2" x14ac:dyDescent="0.2">
      <c r="A478">
        <v>9001043900</v>
      </c>
      <c r="B478" t="s">
        <v>944</v>
      </c>
    </row>
    <row r="479" spans="1:2" x14ac:dyDescent="0.2">
      <c r="A479">
        <v>9001100300</v>
      </c>
      <c r="B479" t="s">
        <v>944</v>
      </c>
    </row>
    <row r="480" spans="1:2" x14ac:dyDescent="0.2">
      <c r="A480">
        <v>9001100300</v>
      </c>
      <c r="B480" t="s">
        <v>944</v>
      </c>
    </row>
    <row r="481" spans="1:2" x14ac:dyDescent="0.2">
      <c r="A481">
        <v>9003405800</v>
      </c>
      <c r="B481" t="s">
        <v>944</v>
      </c>
    </row>
    <row r="482" spans="1:2" x14ac:dyDescent="0.2">
      <c r="A482">
        <v>9001044000</v>
      </c>
      <c r="B482" t="s">
        <v>944</v>
      </c>
    </row>
    <row r="483" spans="1:2" x14ac:dyDescent="0.2">
      <c r="A483">
        <v>9003405900</v>
      </c>
      <c r="B483" t="s">
        <v>944</v>
      </c>
    </row>
    <row r="484" spans="1:2" x14ac:dyDescent="0.2">
      <c r="A484">
        <v>9003406001</v>
      </c>
      <c r="B484" t="s">
        <v>944</v>
      </c>
    </row>
    <row r="485" spans="1:2" x14ac:dyDescent="0.2">
      <c r="A485">
        <v>9003406001</v>
      </c>
      <c r="B485" t="s">
        <v>944</v>
      </c>
    </row>
    <row r="486" spans="1:2" x14ac:dyDescent="0.2">
      <c r="A486">
        <v>9001044200</v>
      </c>
      <c r="B486" t="s">
        <v>944</v>
      </c>
    </row>
    <row r="487" spans="1:2" x14ac:dyDescent="0.2">
      <c r="A487">
        <v>9009125300</v>
      </c>
      <c r="B487" t="s">
        <v>944</v>
      </c>
    </row>
    <row r="488" spans="1:2" x14ac:dyDescent="0.2">
      <c r="A488">
        <v>9003406002</v>
      </c>
      <c r="B488" t="s">
        <v>944</v>
      </c>
    </row>
    <row r="489" spans="1:2" x14ac:dyDescent="0.2">
      <c r="A489">
        <v>9003406002</v>
      </c>
      <c r="B489" t="s">
        <v>944</v>
      </c>
    </row>
    <row r="490" spans="1:2" x14ac:dyDescent="0.2">
      <c r="A490">
        <v>9009125400</v>
      </c>
      <c r="B490" t="s">
        <v>944</v>
      </c>
    </row>
    <row r="491" spans="1:2" x14ac:dyDescent="0.2">
      <c r="A491">
        <v>9009130200</v>
      </c>
      <c r="B491" t="s">
        <v>944</v>
      </c>
    </row>
    <row r="492" spans="1:2" x14ac:dyDescent="0.2">
      <c r="A492">
        <v>9001044300</v>
      </c>
      <c r="B492" t="s">
        <v>944</v>
      </c>
    </row>
    <row r="493" spans="1:2" x14ac:dyDescent="0.2">
      <c r="A493">
        <v>9003406100</v>
      </c>
      <c r="B493" t="s">
        <v>944</v>
      </c>
    </row>
    <row r="494" spans="1:2" x14ac:dyDescent="0.2">
      <c r="A494">
        <v>9001044400</v>
      </c>
      <c r="B494" t="s">
        <v>944</v>
      </c>
    </row>
    <row r="495" spans="1:2" x14ac:dyDescent="0.2">
      <c r="A495">
        <v>9003410101</v>
      </c>
      <c r="B495" t="s">
        <v>944</v>
      </c>
    </row>
    <row r="496" spans="1:2" x14ac:dyDescent="0.2">
      <c r="A496">
        <v>9003410101</v>
      </c>
      <c r="B496" t="s">
        <v>944</v>
      </c>
    </row>
    <row r="497" spans="1:2" x14ac:dyDescent="0.2">
      <c r="A497">
        <v>9003410101</v>
      </c>
      <c r="B497" t="s">
        <v>944</v>
      </c>
    </row>
    <row r="498" spans="1:2" x14ac:dyDescent="0.2">
      <c r="A498">
        <v>9001044500</v>
      </c>
      <c r="B498" t="s">
        <v>944</v>
      </c>
    </row>
    <row r="499" spans="1:2" x14ac:dyDescent="0.2">
      <c r="A499">
        <v>9003420500</v>
      </c>
      <c r="B499" t="s">
        <v>944</v>
      </c>
    </row>
    <row r="500" spans="1:2" x14ac:dyDescent="0.2">
      <c r="A500">
        <v>9003420500</v>
      </c>
      <c r="B500" t="s">
        <v>944</v>
      </c>
    </row>
    <row r="501" spans="1:2" x14ac:dyDescent="0.2">
      <c r="A501">
        <v>9001044600</v>
      </c>
      <c r="B501" t="s">
        <v>944</v>
      </c>
    </row>
    <row r="502" spans="1:2" x14ac:dyDescent="0.2">
      <c r="A502">
        <v>9003430601</v>
      </c>
      <c r="B502" t="s">
        <v>944</v>
      </c>
    </row>
    <row r="503" spans="1:2" x14ac:dyDescent="0.2">
      <c r="A503">
        <v>9003430601</v>
      </c>
      <c r="B503" t="s">
        <v>944</v>
      </c>
    </row>
    <row r="504" spans="1:2" x14ac:dyDescent="0.2">
      <c r="A504">
        <v>9005425400</v>
      </c>
      <c r="B504" t="s">
        <v>944</v>
      </c>
    </row>
    <row r="505" spans="1:2" x14ac:dyDescent="0.2">
      <c r="A505">
        <v>9005425400</v>
      </c>
      <c r="B505" t="s">
        <v>944</v>
      </c>
    </row>
    <row r="506" spans="1:2" x14ac:dyDescent="0.2">
      <c r="A506">
        <v>9001045300</v>
      </c>
      <c r="B506" t="s">
        <v>944</v>
      </c>
    </row>
    <row r="507" spans="1:2" x14ac:dyDescent="0.2">
      <c r="A507">
        <v>9001211400</v>
      </c>
      <c r="B507" t="s">
        <v>944</v>
      </c>
    </row>
    <row r="508" spans="1:2" x14ac:dyDescent="0.2">
      <c r="A508">
        <v>9001211400</v>
      </c>
      <c r="B508" t="s">
        <v>944</v>
      </c>
    </row>
    <row r="509" spans="1:2" x14ac:dyDescent="0.2">
      <c r="A509">
        <v>9001050400</v>
      </c>
      <c r="B509" t="s">
        <v>944</v>
      </c>
    </row>
    <row r="510" spans="1:2" x14ac:dyDescent="0.2">
      <c r="A510">
        <v>9003410102</v>
      </c>
      <c r="B510" t="s">
        <v>944</v>
      </c>
    </row>
    <row r="511" spans="1:2" x14ac:dyDescent="0.2">
      <c r="A511">
        <v>9003410102</v>
      </c>
      <c r="B511" t="s">
        <v>944</v>
      </c>
    </row>
    <row r="512" spans="1:2" x14ac:dyDescent="0.2">
      <c r="A512">
        <v>9003410102</v>
      </c>
      <c r="B512" t="s">
        <v>944</v>
      </c>
    </row>
    <row r="513" spans="1:2" x14ac:dyDescent="0.2">
      <c r="A513">
        <v>9005260200</v>
      </c>
      <c r="B513" t="s">
        <v>944</v>
      </c>
    </row>
    <row r="514" spans="1:2" x14ac:dyDescent="0.2">
      <c r="A514">
        <v>9005260200</v>
      </c>
      <c r="B514" t="s">
        <v>944</v>
      </c>
    </row>
    <row r="515" spans="1:2" x14ac:dyDescent="0.2">
      <c r="A515">
        <v>9005425600</v>
      </c>
      <c r="B515" t="s">
        <v>944</v>
      </c>
    </row>
    <row r="516" spans="1:2" x14ac:dyDescent="0.2">
      <c r="A516">
        <v>9005425600</v>
      </c>
      <c r="B516" t="s">
        <v>944</v>
      </c>
    </row>
    <row r="517" spans="1:2" x14ac:dyDescent="0.2">
      <c r="A517">
        <v>9015825000</v>
      </c>
      <c r="B517" t="s">
        <v>944</v>
      </c>
    </row>
    <row r="518" spans="1:2" x14ac:dyDescent="0.2">
      <c r="A518">
        <v>9015825000</v>
      </c>
      <c r="B518" t="s">
        <v>944</v>
      </c>
    </row>
    <row r="519" spans="1:2" x14ac:dyDescent="0.2">
      <c r="A519">
        <v>9015825000</v>
      </c>
      <c r="B519" t="s">
        <v>944</v>
      </c>
    </row>
    <row r="520" spans="1:2" x14ac:dyDescent="0.2">
      <c r="A520">
        <v>9015906100</v>
      </c>
      <c r="B520" t="s">
        <v>944</v>
      </c>
    </row>
    <row r="521" spans="1:2" x14ac:dyDescent="0.2">
      <c r="A521">
        <v>9015906100</v>
      </c>
      <c r="B521" t="s">
        <v>944</v>
      </c>
    </row>
    <row r="522" spans="1:2" x14ac:dyDescent="0.2">
      <c r="A522">
        <v>9003464101</v>
      </c>
      <c r="B522" t="s">
        <v>944</v>
      </c>
    </row>
    <row r="523" spans="1:2" x14ac:dyDescent="0.2">
      <c r="A523">
        <v>9003464101</v>
      </c>
      <c r="B523" t="s">
        <v>944</v>
      </c>
    </row>
    <row r="524" spans="1:2" x14ac:dyDescent="0.2">
      <c r="A524">
        <v>9003464102</v>
      </c>
      <c r="B524" t="s">
        <v>944</v>
      </c>
    </row>
    <row r="525" spans="1:2" x14ac:dyDescent="0.2">
      <c r="A525">
        <v>9003466102</v>
      </c>
      <c r="B525" t="s">
        <v>944</v>
      </c>
    </row>
    <row r="526" spans="1:2" x14ac:dyDescent="0.2">
      <c r="A526">
        <v>9003466102</v>
      </c>
      <c r="B526" t="s">
        <v>944</v>
      </c>
    </row>
    <row r="527" spans="1:2" x14ac:dyDescent="0.2">
      <c r="A527">
        <v>9003466202</v>
      </c>
      <c r="B527" t="s">
        <v>944</v>
      </c>
    </row>
    <row r="528" spans="1:2" x14ac:dyDescent="0.2">
      <c r="A528">
        <v>9003466202</v>
      </c>
      <c r="B528" t="s">
        <v>944</v>
      </c>
    </row>
    <row r="529" spans="1:2" x14ac:dyDescent="0.2">
      <c r="A529">
        <v>9013881100</v>
      </c>
      <c r="B529" t="s">
        <v>944</v>
      </c>
    </row>
    <row r="530" spans="1:2" x14ac:dyDescent="0.2">
      <c r="A530">
        <v>9013881100</v>
      </c>
      <c r="B530" t="s">
        <v>944</v>
      </c>
    </row>
    <row r="531" spans="1:2" x14ac:dyDescent="0.2">
      <c r="A531">
        <v>9015815000</v>
      </c>
      <c r="B531" t="s">
        <v>944</v>
      </c>
    </row>
    <row r="532" spans="1:2" x14ac:dyDescent="0.2">
      <c r="A532">
        <v>9015815000</v>
      </c>
      <c r="B532" t="s">
        <v>944</v>
      </c>
    </row>
    <row r="533" spans="1:2" x14ac:dyDescent="0.2">
      <c r="A533">
        <v>9009343101</v>
      </c>
      <c r="B533" t="s">
        <v>944</v>
      </c>
    </row>
    <row r="534" spans="1:2" x14ac:dyDescent="0.2">
      <c r="A534">
        <v>9009343101</v>
      </c>
      <c r="B534" t="s">
        <v>944</v>
      </c>
    </row>
    <row r="535" spans="1:2" x14ac:dyDescent="0.2">
      <c r="A535">
        <v>9009343101</v>
      </c>
      <c r="B535" t="s">
        <v>944</v>
      </c>
    </row>
    <row r="536" spans="1:2" x14ac:dyDescent="0.2">
      <c r="A536">
        <v>9009343102</v>
      </c>
      <c r="B536" t="s">
        <v>944</v>
      </c>
    </row>
    <row r="537" spans="1:2" x14ac:dyDescent="0.2">
      <c r="A537">
        <v>9009343300</v>
      </c>
      <c r="B537" t="s">
        <v>944</v>
      </c>
    </row>
    <row r="538" spans="1:2" x14ac:dyDescent="0.2">
      <c r="A538">
        <v>9009343400</v>
      </c>
      <c r="B538" t="s">
        <v>944</v>
      </c>
    </row>
    <row r="539" spans="1:2" x14ac:dyDescent="0.2">
      <c r="A539">
        <v>9009170500</v>
      </c>
      <c r="B539" t="s">
        <v>944</v>
      </c>
    </row>
    <row r="540" spans="1:2" x14ac:dyDescent="0.2">
      <c r="A540">
        <v>9009347100</v>
      </c>
      <c r="B540" t="s">
        <v>944</v>
      </c>
    </row>
    <row r="541" spans="1:2" x14ac:dyDescent="0.2">
      <c r="A541">
        <v>9009347100</v>
      </c>
      <c r="B541" t="s">
        <v>944</v>
      </c>
    </row>
    <row r="542" spans="1:2" x14ac:dyDescent="0.2">
      <c r="A542">
        <v>9009347100</v>
      </c>
      <c r="B542" t="s">
        <v>944</v>
      </c>
    </row>
    <row r="543" spans="1:2" x14ac:dyDescent="0.2">
      <c r="A543">
        <v>9009170600</v>
      </c>
      <c r="B543" t="s">
        <v>944</v>
      </c>
    </row>
    <row r="544" spans="1:2" x14ac:dyDescent="0.2">
      <c r="A544">
        <v>9009170700</v>
      </c>
      <c r="B544" t="s">
        <v>944</v>
      </c>
    </row>
    <row r="545" spans="1:2" x14ac:dyDescent="0.2">
      <c r="A545">
        <v>9009170800</v>
      </c>
      <c r="B545" t="s">
        <v>944</v>
      </c>
    </row>
    <row r="546" spans="1:2" x14ac:dyDescent="0.2">
      <c r="A546">
        <v>9007600100</v>
      </c>
      <c r="B546" t="s">
        <v>944</v>
      </c>
    </row>
    <row r="547" spans="1:2" x14ac:dyDescent="0.2">
      <c r="A547">
        <v>9009170900</v>
      </c>
      <c r="B547" t="s">
        <v>944</v>
      </c>
    </row>
    <row r="548" spans="1:2" x14ac:dyDescent="0.2">
      <c r="A548">
        <v>9007610100</v>
      </c>
      <c r="B548" t="s">
        <v>944</v>
      </c>
    </row>
    <row r="549" spans="1:2" x14ac:dyDescent="0.2">
      <c r="A549">
        <v>9009171000</v>
      </c>
      <c r="B549" t="s">
        <v>944</v>
      </c>
    </row>
    <row r="550" spans="1:2" x14ac:dyDescent="0.2">
      <c r="A550">
        <v>9007610200</v>
      </c>
      <c r="B550" t="s">
        <v>944</v>
      </c>
    </row>
    <row r="551" spans="1:2" x14ac:dyDescent="0.2">
      <c r="A551">
        <v>9009171100</v>
      </c>
      <c r="B551" t="s">
        <v>944</v>
      </c>
    </row>
    <row r="552" spans="1:2" x14ac:dyDescent="0.2">
      <c r="A552">
        <v>9007610300</v>
      </c>
      <c r="B552" t="s">
        <v>944</v>
      </c>
    </row>
    <row r="553" spans="1:2" x14ac:dyDescent="0.2">
      <c r="A553">
        <v>9009171200</v>
      </c>
      <c r="B553" t="s">
        <v>944</v>
      </c>
    </row>
    <row r="554" spans="1:2" x14ac:dyDescent="0.2">
      <c r="A554">
        <v>9007610400</v>
      </c>
      <c r="B554" t="s">
        <v>944</v>
      </c>
    </row>
    <row r="555" spans="1:2" x14ac:dyDescent="0.2">
      <c r="A555">
        <v>9009171300</v>
      </c>
      <c r="B555" t="s">
        <v>944</v>
      </c>
    </row>
    <row r="556" spans="1:2" x14ac:dyDescent="0.2">
      <c r="A556">
        <v>9007550201</v>
      </c>
      <c r="B556" t="s">
        <v>944</v>
      </c>
    </row>
    <row r="557" spans="1:2" x14ac:dyDescent="0.2">
      <c r="A557">
        <v>9007550201</v>
      </c>
      <c r="B557" t="s">
        <v>944</v>
      </c>
    </row>
    <row r="558" spans="1:2" x14ac:dyDescent="0.2">
      <c r="A558">
        <v>9009171400</v>
      </c>
      <c r="B558" t="s">
        <v>944</v>
      </c>
    </row>
    <row r="559" spans="1:2" x14ac:dyDescent="0.2">
      <c r="A559">
        <v>9009171500</v>
      </c>
      <c r="B559" t="s">
        <v>944</v>
      </c>
    </row>
    <row r="560" spans="1:2" x14ac:dyDescent="0.2">
      <c r="A560">
        <v>9007595101</v>
      </c>
      <c r="B560" t="s">
        <v>944</v>
      </c>
    </row>
    <row r="561" spans="1:2" x14ac:dyDescent="0.2">
      <c r="A561">
        <v>9007595101</v>
      </c>
      <c r="B561" t="s">
        <v>944</v>
      </c>
    </row>
    <row r="562" spans="1:2" x14ac:dyDescent="0.2">
      <c r="A562">
        <v>9007595101</v>
      </c>
      <c r="B562" t="s">
        <v>944</v>
      </c>
    </row>
    <row r="563" spans="1:2" x14ac:dyDescent="0.2">
      <c r="A563">
        <v>9009171700</v>
      </c>
      <c r="B563" t="s">
        <v>944</v>
      </c>
    </row>
    <row r="564" spans="1:2" x14ac:dyDescent="0.2">
      <c r="A564">
        <v>9011714101</v>
      </c>
      <c r="B564" t="s">
        <v>944</v>
      </c>
    </row>
    <row r="565" spans="1:2" x14ac:dyDescent="0.2">
      <c r="A565">
        <v>9011714103</v>
      </c>
      <c r="B565" t="s">
        <v>944</v>
      </c>
    </row>
    <row r="566" spans="1:2" x14ac:dyDescent="0.2">
      <c r="A566">
        <v>9011714104</v>
      </c>
      <c r="B566" t="s">
        <v>944</v>
      </c>
    </row>
    <row r="567" spans="1:2" x14ac:dyDescent="0.2">
      <c r="A567">
        <v>9011714104</v>
      </c>
      <c r="B567" t="s">
        <v>944</v>
      </c>
    </row>
    <row r="568" spans="1:2" x14ac:dyDescent="0.2">
      <c r="A568">
        <v>9011714104</v>
      </c>
      <c r="B568" t="s">
        <v>944</v>
      </c>
    </row>
    <row r="569" spans="1:2" x14ac:dyDescent="0.2">
      <c r="A569">
        <v>9009175400</v>
      </c>
      <c r="B569" t="s">
        <v>944</v>
      </c>
    </row>
    <row r="570" spans="1:2" x14ac:dyDescent="0.2">
      <c r="A570">
        <v>9011715100</v>
      </c>
      <c r="B570" t="s">
        <v>944</v>
      </c>
    </row>
    <row r="571" spans="1:2" x14ac:dyDescent="0.2">
      <c r="A571">
        <v>9011715100</v>
      </c>
      <c r="B571" t="s">
        <v>944</v>
      </c>
    </row>
    <row r="572" spans="1:2" x14ac:dyDescent="0.2">
      <c r="A572">
        <v>9011715100</v>
      </c>
      <c r="B572" t="s">
        <v>944</v>
      </c>
    </row>
    <row r="573" spans="1:2" x14ac:dyDescent="0.2">
      <c r="A573">
        <v>9011870100</v>
      </c>
      <c r="B573" t="s">
        <v>944</v>
      </c>
    </row>
    <row r="574" spans="1:2" x14ac:dyDescent="0.2">
      <c r="A574">
        <v>9011870100</v>
      </c>
      <c r="B574" t="s">
        <v>944</v>
      </c>
    </row>
    <row r="575" spans="1:2" x14ac:dyDescent="0.2">
      <c r="A575">
        <v>9011870100</v>
      </c>
      <c r="B575" t="s">
        <v>944</v>
      </c>
    </row>
    <row r="576" spans="1:2" x14ac:dyDescent="0.2">
      <c r="A576">
        <v>9013526101</v>
      </c>
      <c r="B576" t="s">
        <v>944</v>
      </c>
    </row>
    <row r="577" spans="1:2" x14ac:dyDescent="0.2">
      <c r="A577">
        <v>9013526101</v>
      </c>
      <c r="B577" t="s">
        <v>944</v>
      </c>
    </row>
    <row r="578" spans="1:2" x14ac:dyDescent="0.2">
      <c r="A578">
        <v>9013526101</v>
      </c>
      <c r="B578" t="s">
        <v>944</v>
      </c>
    </row>
    <row r="579" spans="1:2" x14ac:dyDescent="0.2">
      <c r="A579">
        <v>9009190100</v>
      </c>
      <c r="B579" t="s">
        <v>944</v>
      </c>
    </row>
    <row r="580" spans="1:2" x14ac:dyDescent="0.2">
      <c r="A580">
        <v>9009190200</v>
      </c>
      <c r="B580" t="s">
        <v>944</v>
      </c>
    </row>
    <row r="581" spans="1:2" x14ac:dyDescent="0.2">
      <c r="A581">
        <v>9009190301</v>
      </c>
      <c r="B581" t="s">
        <v>944</v>
      </c>
    </row>
    <row r="582" spans="1:2" x14ac:dyDescent="0.2">
      <c r="A582">
        <v>9009190301</v>
      </c>
      <c r="B582" t="s">
        <v>944</v>
      </c>
    </row>
    <row r="583" spans="1:2" x14ac:dyDescent="0.2">
      <c r="A583">
        <v>9005293100</v>
      </c>
      <c r="B583" t="s">
        <v>944</v>
      </c>
    </row>
    <row r="584" spans="1:2" x14ac:dyDescent="0.2">
      <c r="A584">
        <v>9009190302</v>
      </c>
      <c r="B584" t="s">
        <v>944</v>
      </c>
    </row>
    <row r="585" spans="1:2" x14ac:dyDescent="0.2">
      <c r="A585">
        <v>9013850200</v>
      </c>
      <c r="B585" t="s">
        <v>944</v>
      </c>
    </row>
    <row r="586" spans="1:2" x14ac:dyDescent="0.2">
      <c r="A586">
        <v>9013850200</v>
      </c>
      <c r="B586" t="s">
        <v>944</v>
      </c>
    </row>
    <row r="587" spans="1:2" x14ac:dyDescent="0.2">
      <c r="A587">
        <v>9013850200</v>
      </c>
      <c r="B587" t="s">
        <v>944</v>
      </c>
    </row>
    <row r="588" spans="1:2" x14ac:dyDescent="0.2">
      <c r="A588">
        <v>9009194100</v>
      </c>
      <c r="B588" t="s">
        <v>944</v>
      </c>
    </row>
    <row r="589" spans="1:2" x14ac:dyDescent="0.2">
      <c r="A589">
        <v>9009194201</v>
      </c>
      <c r="B589" t="s">
        <v>944</v>
      </c>
    </row>
    <row r="590" spans="1:2" x14ac:dyDescent="0.2">
      <c r="A590">
        <v>9009194201</v>
      </c>
      <c r="B590" t="s">
        <v>944</v>
      </c>
    </row>
    <row r="591" spans="1:2" x14ac:dyDescent="0.2">
      <c r="A591">
        <v>9013860100</v>
      </c>
      <c r="B591" t="s">
        <v>944</v>
      </c>
    </row>
    <row r="592" spans="1:2" x14ac:dyDescent="0.2">
      <c r="A592">
        <v>9013860100</v>
      </c>
      <c r="B592" t="s">
        <v>944</v>
      </c>
    </row>
    <row r="593" spans="1:2" x14ac:dyDescent="0.2">
      <c r="A593">
        <v>9005262100</v>
      </c>
      <c r="B593" t="s">
        <v>944</v>
      </c>
    </row>
    <row r="594" spans="1:2" x14ac:dyDescent="0.2">
      <c r="A594">
        <v>9005262100</v>
      </c>
      <c r="B594" t="s">
        <v>944</v>
      </c>
    </row>
    <row r="595" spans="1:2" x14ac:dyDescent="0.2">
      <c r="A595">
        <v>9005262100</v>
      </c>
      <c r="B595" t="s">
        <v>944</v>
      </c>
    </row>
    <row r="596" spans="1:2" x14ac:dyDescent="0.2">
      <c r="A596">
        <v>9001210300</v>
      </c>
      <c r="B596" t="s">
        <v>944</v>
      </c>
    </row>
    <row r="597" spans="1:2" x14ac:dyDescent="0.2">
      <c r="A597">
        <v>9001210701</v>
      </c>
      <c r="B597" t="s">
        <v>944</v>
      </c>
    </row>
    <row r="598" spans="1:2" x14ac:dyDescent="0.2">
      <c r="A598">
        <v>9005265100</v>
      </c>
      <c r="B598" t="s">
        <v>944</v>
      </c>
    </row>
    <row r="599" spans="1:2" x14ac:dyDescent="0.2">
      <c r="A599">
        <v>9005265100</v>
      </c>
      <c r="B599" t="s">
        <v>944</v>
      </c>
    </row>
    <row r="600" spans="1:2" x14ac:dyDescent="0.2">
      <c r="A600">
        <v>9005265100</v>
      </c>
      <c r="B600" t="s">
        <v>944</v>
      </c>
    </row>
    <row r="601" spans="1:2" x14ac:dyDescent="0.2">
      <c r="A601">
        <v>9005265100</v>
      </c>
      <c r="B601" t="s">
        <v>944</v>
      </c>
    </row>
    <row r="602" spans="1:2" x14ac:dyDescent="0.2">
      <c r="A602">
        <v>9001210702</v>
      </c>
      <c r="B602" t="s">
        <v>944</v>
      </c>
    </row>
    <row r="603" spans="1:2" x14ac:dyDescent="0.2">
      <c r="A603">
        <v>9001211300</v>
      </c>
      <c r="B603" t="s">
        <v>944</v>
      </c>
    </row>
    <row r="604" spans="1:2" x14ac:dyDescent="0.2">
      <c r="A604">
        <v>9005266100</v>
      </c>
      <c r="B604" t="s">
        <v>944</v>
      </c>
    </row>
    <row r="605" spans="1:2" x14ac:dyDescent="0.2">
      <c r="A605">
        <v>9005266100</v>
      </c>
      <c r="B605" t="s">
        <v>944</v>
      </c>
    </row>
    <row r="606" spans="1:2" x14ac:dyDescent="0.2">
      <c r="A606">
        <v>9005266100</v>
      </c>
      <c r="B606" t="s">
        <v>944</v>
      </c>
    </row>
    <row r="607" spans="1:2" x14ac:dyDescent="0.2">
      <c r="A607">
        <v>9005266100</v>
      </c>
      <c r="B607" t="s">
        <v>944</v>
      </c>
    </row>
    <row r="608" spans="1:2" x14ac:dyDescent="0.2">
      <c r="A608">
        <v>9005266100</v>
      </c>
      <c r="B608" t="s">
        <v>944</v>
      </c>
    </row>
    <row r="609" spans="1:2" x14ac:dyDescent="0.2">
      <c r="A609">
        <v>9007570100</v>
      </c>
      <c r="B609" t="s">
        <v>944</v>
      </c>
    </row>
    <row r="610" spans="1:2" x14ac:dyDescent="0.2">
      <c r="A610">
        <v>9007570200</v>
      </c>
      <c r="B610" t="s">
        <v>944</v>
      </c>
    </row>
    <row r="611" spans="1:2" x14ac:dyDescent="0.2">
      <c r="A611">
        <v>9001220100</v>
      </c>
      <c r="B611" t="s">
        <v>944</v>
      </c>
    </row>
    <row r="612" spans="1:2" x14ac:dyDescent="0.2">
      <c r="A612">
        <v>9007570300</v>
      </c>
      <c r="B612" t="s">
        <v>944</v>
      </c>
    </row>
    <row r="613" spans="1:2" x14ac:dyDescent="0.2">
      <c r="A613">
        <v>9001220300</v>
      </c>
      <c r="B613" t="s">
        <v>944</v>
      </c>
    </row>
    <row r="614" spans="1:2" x14ac:dyDescent="0.2">
      <c r="A614">
        <v>9001220300</v>
      </c>
      <c r="B614" t="s">
        <v>944</v>
      </c>
    </row>
    <row r="615" spans="1:2" x14ac:dyDescent="0.2">
      <c r="A615">
        <v>9001220300</v>
      </c>
      <c r="B615" t="s">
        <v>944</v>
      </c>
    </row>
    <row r="616" spans="1:2" x14ac:dyDescent="0.2">
      <c r="A616">
        <v>9001245300</v>
      </c>
      <c r="B616" t="s">
        <v>944</v>
      </c>
    </row>
    <row r="617" spans="1:2" x14ac:dyDescent="0.2">
      <c r="A617">
        <v>9005253100</v>
      </c>
      <c r="B617" t="s">
        <v>944</v>
      </c>
    </row>
    <row r="618" spans="1:2" x14ac:dyDescent="0.2">
      <c r="A618">
        <v>9005253300</v>
      </c>
      <c r="B618" t="s">
        <v>944</v>
      </c>
    </row>
    <row r="619" spans="1:2" x14ac:dyDescent="0.2">
      <c r="A619">
        <v>9005253600</v>
      </c>
      <c r="B619" t="s">
        <v>944</v>
      </c>
    </row>
    <row r="620" spans="1:2" x14ac:dyDescent="0.2">
      <c r="A620">
        <v>9005267100</v>
      </c>
      <c r="B620" t="s">
        <v>944</v>
      </c>
    </row>
    <row r="621" spans="1:2" x14ac:dyDescent="0.2">
      <c r="A621">
        <v>9005267100</v>
      </c>
      <c r="B621" t="s">
        <v>944</v>
      </c>
    </row>
    <row r="622" spans="1:2" x14ac:dyDescent="0.2">
      <c r="A622">
        <v>9005267100</v>
      </c>
      <c r="B622" t="s">
        <v>944</v>
      </c>
    </row>
    <row r="623" spans="1:2" x14ac:dyDescent="0.2">
      <c r="A623">
        <v>9005298300</v>
      </c>
      <c r="B623" t="s">
        <v>944</v>
      </c>
    </row>
    <row r="624" spans="1:2" x14ac:dyDescent="0.2">
      <c r="A624">
        <v>9005298400</v>
      </c>
      <c r="B624" t="s">
        <v>944</v>
      </c>
    </row>
    <row r="625" spans="1:2" x14ac:dyDescent="0.2">
      <c r="A625">
        <v>9005310100</v>
      </c>
      <c r="B625" t="s">
        <v>944</v>
      </c>
    </row>
    <row r="626" spans="1:2" x14ac:dyDescent="0.2">
      <c r="A626">
        <v>9005310200</v>
      </c>
      <c r="B626" t="s">
        <v>944</v>
      </c>
    </row>
    <row r="627" spans="1:2" x14ac:dyDescent="0.2">
      <c r="A627">
        <v>9005310300</v>
      </c>
      <c r="B627" t="s">
        <v>936</v>
      </c>
    </row>
    <row r="628" spans="1:2" x14ac:dyDescent="0.2">
      <c r="A628">
        <v>9005310400</v>
      </c>
      <c r="B628" t="s">
        <v>944</v>
      </c>
    </row>
    <row r="629" spans="1:2" x14ac:dyDescent="0.2">
      <c r="A629">
        <v>9005310400</v>
      </c>
      <c r="B629" t="s">
        <v>944</v>
      </c>
    </row>
    <row r="630" spans="1:2" x14ac:dyDescent="0.2">
      <c r="A630">
        <v>9005310500</v>
      </c>
      <c r="B630" t="s">
        <v>944</v>
      </c>
    </row>
    <row r="631" spans="1:2" x14ac:dyDescent="0.2">
      <c r="A631">
        <v>9005310602</v>
      </c>
      <c r="B631" t="s">
        <v>944</v>
      </c>
    </row>
    <row r="632" spans="1:2" x14ac:dyDescent="0.2">
      <c r="A632">
        <v>9005310700</v>
      </c>
      <c r="B632" t="s">
        <v>944</v>
      </c>
    </row>
    <row r="633" spans="1:2" x14ac:dyDescent="0.2">
      <c r="A633">
        <v>9007620100</v>
      </c>
      <c r="B633" t="s">
        <v>944</v>
      </c>
    </row>
    <row r="634" spans="1:2" x14ac:dyDescent="0.2">
      <c r="A634">
        <v>9005310801</v>
      </c>
      <c r="B634" t="s">
        <v>944</v>
      </c>
    </row>
    <row r="635" spans="1:2" x14ac:dyDescent="0.2">
      <c r="A635">
        <v>9005310803</v>
      </c>
      <c r="B635" t="s">
        <v>936</v>
      </c>
    </row>
    <row r="636" spans="1:2" x14ac:dyDescent="0.2">
      <c r="A636">
        <v>9005310804</v>
      </c>
      <c r="B636" t="s">
        <v>944</v>
      </c>
    </row>
    <row r="637" spans="1:2" x14ac:dyDescent="0.2">
      <c r="A637">
        <v>9007585100</v>
      </c>
      <c r="B637" t="s">
        <v>944</v>
      </c>
    </row>
    <row r="638" spans="1:2" x14ac:dyDescent="0.2">
      <c r="A638">
        <v>9007585100</v>
      </c>
      <c r="B638" t="s">
        <v>944</v>
      </c>
    </row>
    <row r="639" spans="1:2" x14ac:dyDescent="0.2">
      <c r="A639">
        <v>9005320200</v>
      </c>
      <c r="B639" t="s">
        <v>944</v>
      </c>
    </row>
    <row r="640" spans="1:2" x14ac:dyDescent="0.2">
      <c r="A640">
        <v>9003470100</v>
      </c>
      <c r="B640" t="s">
        <v>944</v>
      </c>
    </row>
    <row r="641" spans="1:2" x14ac:dyDescent="0.2">
      <c r="A641">
        <v>9003470100</v>
      </c>
      <c r="B641" t="s">
        <v>944</v>
      </c>
    </row>
    <row r="642" spans="1:2" x14ac:dyDescent="0.2">
      <c r="A642">
        <v>9003470100</v>
      </c>
      <c r="B642" t="s">
        <v>944</v>
      </c>
    </row>
    <row r="643" spans="1:2" x14ac:dyDescent="0.2">
      <c r="A643">
        <v>9009344100</v>
      </c>
      <c r="B643" t="s">
        <v>944</v>
      </c>
    </row>
    <row r="644" spans="1:2" x14ac:dyDescent="0.2">
      <c r="A644">
        <v>9009344100</v>
      </c>
      <c r="B644" t="s">
        <v>944</v>
      </c>
    </row>
    <row r="645" spans="1:2" x14ac:dyDescent="0.2">
      <c r="A645">
        <v>9009344200</v>
      </c>
      <c r="B645" t="s">
        <v>944</v>
      </c>
    </row>
    <row r="646" spans="1:2" x14ac:dyDescent="0.2">
      <c r="A646">
        <v>9009344200</v>
      </c>
      <c r="B646" t="s">
        <v>944</v>
      </c>
    </row>
    <row r="647" spans="1:2" x14ac:dyDescent="0.2">
      <c r="A647">
        <v>9009345100</v>
      </c>
      <c r="B647" t="s">
        <v>944</v>
      </c>
    </row>
    <row r="648" spans="1:2" x14ac:dyDescent="0.2">
      <c r="A648">
        <v>9009345100</v>
      </c>
      <c r="B648" t="s">
        <v>944</v>
      </c>
    </row>
    <row r="649" spans="1:2" x14ac:dyDescent="0.2">
      <c r="A649">
        <v>9003477101</v>
      </c>
      <c r="B649" t="s">
        <v>944</v>
      </c>
    </row>
    <row r="650" spans="1:2" x14ac:dyDescent="0.2">
      <c r="A650">
        <v>9003477101</v>
      </c>
      <c r="B650" t="s">
        <v>944</v>
      </c>
    </row>
    <row r="651" spans="1:2" x14ac:dyDescent="0.2">
      <c r="A651">
        <v>9009345201</v>
      </c>
      <c r="B651" t="s">
        <v>944</v>
      </c>
    </row>
    <row r="652" spans="1:2" x14ac:dyDescent="0.2">
      <c r="A652">
        <v>9009345202</v>
      </c>
      <c r="B652" t="s">
        <v>944</v>
      </c>
    </row>
    <row r="653" spans="1:2" x14ac:dyDescent="0.2">
      <c r="A653">
        <v>9009345300</v>
      </c>
      <c r="B653" t="s">
        <v>944</v>
      </c>
    </row>
    <row r="654" spans="1:2" x14ac:dyDescent="0.2">
      <c r="A654">
        <v>9009345300</v>
      </c>
      <c r="B654" t="s">
        <v>944</v>
      </c>
    </row>
    <row r="655" spans="1:2" x14ac:dyDescent="0.2">
      <c r="A655">
        <v>9003477200</v>
      </c>
      <c r="B655" t="s">
        <v>944</v>
      </c>
    </row>
    <row r="656" spans="1:2" x14ac:dyDescent="0.2">
      <c r="A656">
        <v>9003477200</v>
      </c>
      <c r="B656" t="s">
        <v>944</v>
      </c>
    </row>
    <row r="657" spans="1:2" x14ac:dyDescent="0.2">
      <c r="A657">
        <v>9009345400</v>
      </c>
      <c r="B657" t="s">
        <v>944</v>
      </c>
    </row>
    <row r="658" spans="1:2" x14ac:dyDescent="0.2">
      <c r="A658">
        <v>9009345400</v>
      </c>
      <c r="B658" t="s">
        <v>944</v>
      </c>
    </row>
    <row r="659" spans="1:2" x14ac:dyDescent="0.2">
      <c r="A659">
        <v>9009346101</v>
      </c>
      <c r="B659" t="s">
        <v>944</v>
      </c>
    </row>
    <row r="660" spans="1:2" x14ac:dyDescent="0.2">
      <c r="A660">
        <v>9007595102</v>
      </c>
      <c r="B660" t="s">
        <v>944</v>
      </c>
    </row>
    <row r="661" spans="1:2" x14ac:dyDescent="0.2">
      <c r="A661">
        <v>9007550100</v>
      </c>
      <c r="B661" t="s">
        <v>944</v>
      </c>
    </row>
    <row r="662" spans="1:2" x14ac:dyDescent="0.2">
      <c r="A662">
        <v>9009347200</v>
      </c>
      <c r="B662" t="s">
        <v>944</v>
      </c>
    </row>
    <row r="663" spans="1:2" x14ac:dyDescent="0.2">
      <c r="A663">
        <v>9009347200</v>
      </c>
      <c r="B663" t="s">
        <v>944</v>
      </c>
    </row>
    <row r="664" spans="1:2" x14ac:dyDescent="0.2">
      <c r="A664">
        <v>9007550202</v>
      </c>
      <c r="B664" t="s">
        <v>944</v>
      </c>
    </row>
    <row r="665" spans="1:2" x14ac:dyDescent="0.2">
      <c r="A665">
        <v>9009348111</v>
      </c>
      <c r="B665" t="s">
        <v>944</v>
      </c>
    </row>
    <row r="666" spans="1:2" x14ac:dyDescent="0.2">
      <c r="A666">
        <v>9007590100</v>
      </c>
      <c r="B666" t="s">
        <v>944</v>
      </c>
    </row>
    <row r="667" spans="1:2" x14ac:dyDescent="0.2">
      <c r="A667">
        <v>9007590100</v>
      </c>
      <c r="B667" t="s">
        <v>944</v>
      </c>
    </row>
    <row r="668" spans="1:2" x14ac:dyDescent="0.2">
      <c r="A668">
        <v>9007590100</v>
      </c>
      <c r="B668" t="s">
        <v>944</v>
      </c>
    </row>
    <row r="669" spans="1:2" x14ac:dyDescent="0.2">
      <c r="A669">
        <v>9007590100</v>
      </c>
      <c r="B669" t="s">
        <v>944</v>
      </c>
    </row>
    <row r="670" spans="1:2" x14ac:dyDescent="0.2">
      <c r="A670">
        <v>9009348122</v>
      </c>
      <c r="B670" t="s">
        <v>944</v>
      </c>
    </row>
    <row r="671" spans="1:2" x14ac:dyDescent="0.2">
      <c r="A671">
        <v>9009348123</v>
      </c>
      <c r="B671" t="s">
        <v>944</v>
      </c>
    </row>
    <row r="672" spans="1:2" x14ac:dyDescent="0.2">
      <c r="A672">
        <v>9009348124</v>
      </c>
      <c r="B672" t="s">
        <v>944</v>
      </c>
    </row>
    <row r="673" spans="1:2" x14ac:dyDescent="0.2">
      <c r="A673">
        <v>9009348125</v>
      </c>
      <c r="B673" t="s">
        <v>944</v>
      </c>
    </row>
    <row r="674" spans="1:2" x14ac:dyDescent="0.2">
      <c r="A674">
        <v>9009351602</v>
      </c>
      <c r="B674" t="s">
        <v>944</v>
      </c>
    </row>
    <row r="675" spans="1:2" x14ac:dyDescent="0.2">
      <c r="A675">
        <v>9003496900</v>
      </c>
      <c r="B675" t="s">
        <v>944</v>
      </c>
    </row>
    <row r="676" spans="1:2" x14ac:dyDescent="0.2">
      <c r="A676">
        <v>9003496900</v>
      </c>
      <c r="B676" t="s">
        <v>944</v>
      </c>
    </row>
    <row r="677" spans="1:2" x14ac:dyDescent="0.2">
      <c r="A677">
        <v>9003496900</v>
      </c>
      <c r="B677" t="s">
        <v>944</v>
      </c>
    </row>
    <row r="678" spans="1:2" x14ac:dyDescent="0.2">
      <c r="A678">
        <v>9009351700</v>
      </c>
      <c r="B678" t="s">
        <v>936</v>
      </c>
    </row>
    <row r="679" spans="1:2" x14ac:dyDescent="0.2">
      <c r="A679">
        <v>9009351900</v>
      </c>
      <c r="B679" t="s">
        <v>944</v>
      </c>
    </row>
    <row r="680" spans="1:2" x14ac:dyDescent="0.2">
      <c r="A680">
        <v>9009351900</v>
      </c>
      <c r="B680" t="s">
        <v>944</v>
      </c>
    </row>
    <row r="681" spans="1:2" x14ac:dyDescent="0.2">
      <c r="A681">
        <v>9003510100</v>
      </c>
      <c r="B681" t="s">
        <v>944</v>
      </c>
    </row>
    <row r="682" spans="1:2" x14ac:dyDescent="0.2">
      <c r="A682">
        <v>9009352000</v>
      </c>
      <c r="B682" t="s">
        <v>944</v>
      </c>
    </row>
    <row r="683" spans="1:2" x14ac:dyDescent="0.2">
      <c r="A683">
        <v>9003510200</v>
      </c>
      <c r="B683" t="s">
        <v>944</v>
      </c>
    </row>
    <row r="684" spans="1:2" x14ac:dyDescent="0.2">
      <c r="A684">
        <v>9009352100</v>
      </c>
      <c r="B684" t="s">
        <v>944</v>
      </c>
    </row>
    <row r="685" spans="1:2" x14ac:dyDescent="0.2">
      <c r="A685">
        <v>9009352100</v>
      </c>
      <c r="B685" t="s">
        <v>944</v>
      </c>
    </row>
    <row r="686" spans="1:2" x14ac:dyDescent="0.2">
      <c r="A686">
        <v>9003510300</v>
      </c>
      <c r="B686" t="s">
        <v>944</v>
      </c>
    </row>
    <row r="687" spans="1:2" x14ac:dyDescent="0.2">
      <c r="A687">
        <v>9009352200</v>
      </c>
      <c r="B687" t="s">
        <v>936</v>
      </c>
    </row>
    <row r="688" spans="1:2" x14ac:dyDescent="0.2">
      <c r="A688">
        <v>9003510400</v>
      </c>
      <c r="B688" t="s">
        <v>944</v>
      </c>
    </row>
    <row r="689" spans="1:2" x14ac:dyDescent="0.2">
      <c r="A689">
        <v>9009352300</v>
      </c>
      <c r="B689" t="s">
        <v>936</v>
      </c>
    </row>
    <row r="690" spans="1:2" x14ac:dyDescent="0.2">
      <c r="A690">
        <v>9003510500</v>
      </c>
      <c r="B690" t="s">
        <v>944</v>
      </c>
    </row>
    <row r="691" spans="1:2" x14ac:dyDescent="0.2">
      <c r="A691">
        <v>9009352400</v>
      </c>
      <c r="B691" t="s">
        <v>936</v>
      </c>
    </row>
    <row r="692" spans="1:2" x14ac:dyDescent="0.2">
      <c r="A692">
        <v>9003510600</v>
      </c>
      <c r="B692" t="s">
        <v>944</v>
      </c>
    </row>
    <row r="693" spans="1:2" x14ac:dyDescent="0.2">
      <c r="A693">
        <v>9009352500</v>
      </c>
      <c r="B693" t="s">
        <v>944</v>
      </c>
    </row>
    <row r="694" spans="1:2" x14ac:dyDescent="0.2">
      <c r="A694">
        <v>9003510700</v>
      </c>
      <c r="B694" t="s">
        <v>944</v>
      </c>
    </row>
    <row r="695" spans="1:2" x14ac:dyDescent="0.2">
      <c r="A695">
        <v>9003510700</v>
      </c>
      <c r="B695" t="s">
        <v>944</v>
      </c>
    </row>
    <row r="696" spans="1:2" x14ac:dyDescent="0.2">
      <c r="A696">
        <v>9009352600</v>
      </c>
      <c r="B696" t="s">
        <v>936</v>
      </c>
    </row>
    <row r="697" spans="1:2" x14ac:dyDescent="0.2">
      <c r="A697">
        <v>9005360200</v>
      </c>
      <c r="B697" t="s">
        <v>944</v>
      </c>
    </row>
    <row r="698" spans="1:2" x14ac:dyDescent="0.2">
      <c r="A698">
        <v>9003510800</v>
      </c>
      <c r="B698" t="s">
        <v>944</v>
      </c>
    </row>
    <row r="699" spans="1:2" x14ac:dyDescent="0.2">
      <c r="A699">
        <v>9005360300</v>
      </c>
      <c r="B699" t="s">
        <v>944</v>
      </c>
    </row>
    <row r="700" spans="1:2" x14ac:dyDescent="0.2">
      <c r="A700">
        <v>9003510900</v>
      </c>
      <c r="B700" t="s">
        <v>944</v>
      </c>
    </row>
    <row r="701" spans="1:2" x14ac:dyDescent="0.2">
      <c r="A701">
        <v>9005360400</v>
      </c>
      <c r="B701" t="s">
        <v>944</v>
      </c>
    </row>
    <row r="702" spans="1:2" x14ac:dyDescent="0.2">
      <c r="A702">
        <v>9003511000</v>
      </c>
      <c r="B702" t="s">
        <v>944</v>
      </c>
    </row>
    <row r="703" spans="1:2" x14ac:dyDescent="0.2">
      <c r="A703">
        <v>9009361100</v>
      </c>
      <c r="B703" t="s">
        <v>944</v>
      </c>
    </row>
    <row r="704" spans="1:2" x14ac:dyDescent="0.2">
      <c r="A704">
        <v>9003511100</v>
      </c>
      <c r="B704" t="s">
        <v>944</v>
      </c>
    </row>
    <row r="705" spans="1:2" x14ac:dyDescent="0.2">
      <c r="A705">
        <v>9003511200</v>
      </c>
      <c r="B705" t="s">
        <v>944</v>
      </c>
    </row>
    <row r="706" spans="1:2" x14ac:dyDescent="0.2">
      <c r="A706">
        <v>9003511300</v>
      </c>
      <c r="B706" t="s">
        <v>944</v>
      </c>
    </row>
    <row r="707" spans="1:2" x14ac:dyDescent="0.2">
      <c r="A707">
        <v>9003511400</v>
      </c>
      <c r="B707" t="s">
        <v>944</v>
      </c>
    </row>
    <row r="708" spans="1:2" x14ac:dyDescent="0.2">
      <c r="A708">
        <v>9003514102</v>
      </c>
      <c r="B708" t="s">
        <v>944</v>
      </c>
    </row>
    <row r="709" spans="1:2" x14ac:dyDescent="0.2">
      <c r="A709">
        <v>9003514102</v>
      </c>
      <c r="B709" t="s">
        <v>944</v>
      </c>
    </row>
    <row r="710" spans="1:2" x14ac:dyDescent="0.2">
      <c r="A710">
        <v>9003514102</v>
      </c>
      <c r="B710" t="s">
        <v>944</v>
      </c>
    </row>
    <row r="711" spans="1:2" x14ac:dyDescent="0.2">
      <c r="A711">
        <v>9011695202</v>
      </c>
      <c r="B711" t="s">
        <v>944</v>
      </c>
    </row>
    <row r="712" spans="1:2" x14ac:dyDescent="0.2">
      <c r="A712">
        <v>9011695202</v>
      </c>
      <c r="B712" t="s">
        <v>944</v>
      </c>
    </row>
    <row r="713" spans="1:2" x14ac:dyDescent="0.2">
      <c r="A713">
        <v>9011716101</v>
      </c>
      <c r="B713" t="s">
        <v>944</v>
      </c>
    </row>
    <row r="714" spans="1:2" x14ac:dyDescent="0.2">
      <c r="A714">
        <v>9011716102</v>
      </c>
      <c r="B714" t="s">
        <v>944</v>
      </c>
    </row>
    <row r="715" spans="1:2" x14ac:dyDescent="0.2">
      <c r="A715">
        <v>9011716102</v>
      </c>
      <c r="B715" t="s">
        <v>944</v>
      </c>
    </row>
    <row r="716" spans="1:2" x14ac:dyDescent="0.2">
      <c r="A716">
        <v>9011716102</v>
      </c>
      <c r="B716" t="s">
        <v>944</v>
      </c>
    </row>
    <row r="717" spans="1:2" x14ac:dyDescent="0.2">
      <c r="A717">
        <v>9011870701</v>
      </c>
      <c r="B717" t="s">
        <v>944</v>
      </c>
    </row>
    <row r="718" spans="1:2" x14ac:dyDescent="0.2">
      <c r="A718">
        <v>9003415400</v>
      </c>
      <c r="B718" t="s">
        <v>936</v>
      </c>
    </row>
    <row r="719" spans="1:2" x14ac:dyDescent="0.2">
      <c r="A719">
        <v>9011870703</v>
      </c>
      <c r="B719" t="s">
        <v>944</v>
      </c>
    </row>
    <row r="720" spans="1:2" x14ac:dyDescent="0.2">
      <c r="A720">
        <v>9003416500</v>
      </c>
      <c r="B720" t="s">
        <v>944</v>
      </c>
    </row>
    <row r="721" spans="1:2" x14ac:dyDescent="0.2">
      <c r="A721">
        <v>9011870704</v>
      </c>
      <c r="B721" t="s">
        <v>944</v>
      </c>
    </row>
    <row r="722" spans="1:2" x14ac:dyDescent="0.2">
      <c r="A722">
        <v>9003420600</v>
      </c>
      <c r="B722" t="s">
        <v>944</v>
      </c>
    </row>
    <row r="723" spans="1:2" x14ac:dyDescent="0.2">
      <c r="A723">
        <v>9003420600</v>
      </c>
      <c r="B723" t="s">
        <v>944</v>
      </c>
    </row>
    <row r="724" spans="1:2" x14ac:dyDescent="0.2">
      <c r="A724">
        <v>9003484100</v>
      </c>
      <c r="B724" t="s">
        <v>944</v>
      </c>
    </row>
    <row r="725" spans="1:2" x14ac:dyDescent="0.2">
      <c r="A725">
        <v>9003420700</v>
      </c>
      <c r="B725" t="s">
        <v>944</v>
      </c>
    </row>
    <row r="726" spans="1:2" x14ac:dyDescent="0.2">
      <c r="A726">
        <v>9003484200</v>
      </c>
      <c r="B726" t="s">
        <v>944</v>
      </c>
    </row>
    <row r="727" spans="1:2" x14ac:dyDescent="0.2">
      <c r="A727">
        <v>9003484200</v>
      </c>
      <c r="B727" t="s">
        <v>944</v>
      </c>
    </row>
    <row r="728" spans="1:2" x14ac:dyDescent="0.2">
      <c r="A728">
        <v>9003484200</v>
      </c>
      <c r="B728" t="s">
        <v>944</v>
      </c>
    </row>
    <row r="729" spans="1:2" x14ac:dyDescent="0.2">
      <c r="A729">
        <v>9005425500</v>
      </c>
      <c r="B729" t="s">
        <v>944</v>
      </c>
    </row>
    <row r="730" spans="1:2" x14ac:dyDescent="0.2">
      <c r="A730">
        <v>9003487100</v>
      </c>
      <c r="B730" t="s">
        <v>944</v>
      </c>
    </row>
    <row r="731" spans="1:2" x14ac:dyDescent="0.2">
      <c r="A731">
        <v>9003487100</v>
      </c>
      <c r="B731" t="s">
        <v>944</v>
      </c>
    </row>
    <row r="732" spans="1:2" x14ac:dyDescent="0.2">
      <c r="A732">
        <v>9003430100</v>
      </c>
      <c r="B732" t="s">
        <v>944</v>
      </c>
    </row>
    <row r="733" spans="1:2" x14ac:dyDescent="0.2">
      <c r="A733">
        <v>9003430202</v>
      </c>
      <c r="B733" t="s">
        <v>944</v>
      </c>
    </row>
    <row r="734" spans="1:2" x14ac:dyDescent="0.2">
      <c r="A734">
        <v>9013530100</v>
      </c>
      <c r="B734" t="s">
        <v>944</v>
      </c>
    </row>
    <row r="735" spans="1:2" x14ac:dyDescent="0.2">
      <c r="A735">
        <v>9013530100</v>
      </c>
      <c r="B735" t="s">
        <v>944</v>
      </c>
    </row>
    <row r="736" spans="1:2" x14ac:dyDescent="0.2">
      <c r="A736">
        <v>9003430301</v>
      </c>
      <c r="B736" t="s">
        <v>944</v>
      </c>
    </row>
    <row r="737" spans="1:2" x14ac:dyDescent="0.2">
      <c r="A737">
        <v>9003430301</v>
      </c>
      <c r="B737" t="s">
        <v>944</v>
      </c>
    </row>
    <row r="738" spans="1:2" x14ac:dyDescent="0.2">
      <c r="A738">
        <v>9003430400</v>
      </c>
      <c r="B738" t="s">
        <v>944</v>
      </c>
    </row>
    <row r="739" spans="1:2" x14ac:dyDescent="0.2">
      <c r="A739">
        <v>9003430500</v>
      </c>
      <c r="B739" t="s">
        <v>944</v>
      </c>
    </row>
    <row r="740" spans="1:2" x14ac:dyDescent="0.2">
      <c r="A740">
        <v>9013535100</v>
      </c>
      <c r="B740" t="s">
        <v>944</v>
      </c>
    </row>
    <row r="741" spans="1:2" x14ac:dyDescent="0.2">
      <c r="A741">
        <v>9013535100</v>
      </c>
      <c r="B741" t="s">
        <v>944</v>
      </c>
    </row>
    <row r="742" spans="1:2" x14ac:dyDescent="0.2">
      <c r="A742">
        <v>9013535200</v>
      </c>
      <c r="B742" t="s">
        <v>944</v>
      </c>
    </row>
    <row r="743" spans="1:2" x14ac:dyDescent="0.2">
      <c r="A743">
        <v>9013535200</v>
      </c>
      <c r="B743" t="s">
        <v>944</v>
      </c>
    </row>
    <row r="744" spans="1:2" x14ac:dyDescent="0.2">
      <c r="A744">
        <v>9013535200</v>
      </c>
      <c r="B744" t="s">
        <v>944</v>
      </c>
    </row>
    <row r="745" spans="1:2" x14ac:dyDescent="0.2">
      <c r="A745">
        <v>9013538201</v>
      </c>
      <c r="B745" t="s">
        <v>944</v>
      </c>
    </row>
    <row r="746" spans="1:2" x14ac:dyDescent="0.2">
      <c r="A746">
        <v>9013538201</v>
      </c>
      <c r="B746" t="s">
        <v>944</v>
      </c>
    </row>
    <row r="747" spans="1:2" x14ac:dyDescent="0.2">
      <c r="A747">
        <v>9013538202</v>
      </c>
      <c r="B747" t="s">
        <v>944</v>
      </c>
    </row>
    <row r="748" spans="1:2" x14ac:dyDescent="0.2">
      <c r="A748">
        <v>9013538202</v>
      </c>
      <c r="B748" t="s">
        <v>944</v>
      </c>
    </row>
    <row r="749" spans="1:2" x14ac:dyDescent="0.2">
      <c r="A749">
        <v>9003480300</v>
      </c>
      <c r="B749" t="s">
        <v>944</v>
      </c>
    </row>
    <row r="750" spans="1:2" x14ac:dyDescent="0.2">
      <c r="A750">
        <v>9003480400</v>
      </c>
      <c r="B750" t="s">
        <v>944</v>
      </c>
    </row>
    <row r="751" spans="1:2" x14ac:dyDescent="0.2">
      <c r="A751">
        <v>9003480500</v>
      </c>
      <c r="B751" t="s">
        <v>944</v>
      </c>
    </row>
    <row r="752" spans="1:2" x14ac:dyDescent="0.2">
      <c r="A752">
        <v>9003460202</v>
      </c>
      <c r="B752" t="s">
        <v>944</v>
      </c>
    </row>
    <row r="753" spans="1:2" x14ac:dyDescent="0.2">
      <c r="A753">
        <v>9003460202</v>
      </c>
      <c r="B753" t="s">
        <v>944</v>
      </c>
    </row>
    <row r="754" spans="1:2" x14ac:dyDescent="0.2">
      <c r="A754">
        <v>9003480600</v>
      </c>
      <c r="B754" t="s">
        <v>944</v>
      </c>
    </row>
    <row r="755" spans="1:2" x14ac:dyDescent="0.2">
      <c r="A755">
        <v>9003460204</v>
      </c>
      <c r="B755" t="s">
        <v>944</v>
      </c>
    </row>
    <row r="756" spans="1:2" x14ac:dyDescent="0.2">
      <c r="A756">
        <v>9003480700</v>
      </c>
      <c r="B756" t="s">
        <v>944</v>
      </c>
    </row>
    <row r="757" spans="1:2" x14ac:dyDescent="0.2">
      <c r="A757">
        <v>9003480800</v>
      </c>
      <c r="B757" t="s">
        <v>944</v>
      </c>
    </row>
    <row r="758" spans="1:2" x14ac:dyDescent="0.2">
      <c r="A758">
        <v>9003480900</v>
      </c>
      <c r="B758" t="s">
        <v>944</v>
      </c>
    </row>
    <row r="759" spans="1:2" x14ac:dyDescent="0.2">
      <c r="A759">
        <v>9003481000</v>
      </c>
      <c r="B759" t="s">
        <v>944</v>
      </c>
    </row>
    <row r="760" spans="1:2" x14ac:dyDescent="0.2">
      <c r="A760">
        <v>9003466300</v>
      </c>
      <c r="B760" t="s">
        <v>944</v>
      </c>
    </row>
    <row r="761" spans="1:2" x14ac:dyDescent="0.2">
      <c r="A761">
        <v>9003481100</v>
      </c>
      <c r="B761" t="s">
        <v>944</v>
      </c>
    </row>
    <row r="762" spans="1:2" x14ac:dyDescent="0.2">
      <c r="A762">
        <v>9003468101</v>
      </c>
      <c r="B762" t="s">
        <v>944</v>
      </c>
    </row>
    <row r="763" spans="1:2" x14ac:dyDescent="0.2">
      <c r="A763">
        <v>9003468101</v>
      </c>
      <c r="B763" t="s">
        <v>944</v>
      </c>
    </row>
    <row r="764" spans="1:2" x14ac:dyDescent="0.2">
      <c r="A764">
        <v>9003468102</v>
      </c>
      <c r="B764" t="s">
        <v>944</v>
      </c>
    </row>
    <row r="765" spans="1:2" x14ac:dyDescent="0.2">
      <c r="A765">
        <v>9003481200</v>
      </c>
      <c r="B765" t="s">
        <v>944</v>
      </c>
    </row>
    <row r="766" spans="1:2" x14ac:dyDescent="0.2">
      <c r="A766">
        <v>9003481300</v>
      </c>
      <c r="B766" t="s">
        <v>944</v>
      </c>
    </row>
    <row r="767" spans="1:2" x14ac:dyDescent="0.2">
      <c r="A767">
        <v>9003524300</v>
      </c>
      <c r="B767" t="s">
        <v>944</v>
      </c>
    </row>
    <row r="768" spans="1:2" x14ac:dyDescent="0.2">
      <c r="A768">
        <v>9007630100</v>
      </c>
      <c r="B768" t="s">
        <v>944</v>
      </c>
    </row>
    <row r="769" spans="1:2" x14ac:dyDescent="0.2">
      <c r="A769">
        <v>9007670100</v>
      </c>
      <c r="B769" t="s">
        <v>944</v>
      </c>
    </row>
    <row r="770" spans="1:2" x14ac:dyDescent="0.2">
      <c r="A770">
        <v>9007670100</v>
      </c>
      <c r="B770" t="s">
        <v>944</v>
      </c>
    </row>
    <row r="771" spans="1:2" x14ac:dyDescent="0.2">
      <c r="A771">
        <v>9003460100</v>
      </c>
      <c r="B771" t="s">
        <v>944</v>
      </c>
    </row>
    <row r="772" spans="1:2" x14ac:dyDescent="0.2">
      <c r="A772">
        <v>9003460100</v>
      </c>
      <c r="B772" t="s">
        <v>944</v>
      </c>
    </row>
    <row r="773" spans="1:2" x14ac:dyDescent="0.2">
      <c r="A773">
        <v>9003460100</v>
      </c>
      <c r="B773" t="s">
        <v>944</v>
      </c>
    </row>
    <row r="774" spans="1:2" x14ac:dyDescent="0.2">
      <c r="A774">
        <v>9003487400</v>
      </c>
      <c r="B774" t="s">
        <v>944</v>
      </c>
    </row>
    <row r="775" spans="1:2" x14ac:dyDescent="0.2">
      <c r="A775">
        <v>9003496400</v>
      </c>
      <c r="B775" t="s">
        <v>944</v>
      </c>
    </row>
    <row r="776" spans="1:2" x14ac:dyDescent="0.2">
      <c r="A776">
        <v>9003496500</v>
      </c>
      <c r="B776" t="s">
        <v>944</v>
      </c>
    </row>
    <row r="777" spans="1:2" x14ac:dyDescent="0.2">
      <c r="A777">
        <v>9003460203</v>
      </c>
      <c r="B777" t="s">
        <v>944</v>
      </c>
    </row>
    <row r="778" spans="1:2" x14ac:dyDescent="0.2">
      <c r="A778">
        <v>9003496600</v>
      </c>
      <c r="B778" t="s">
        <v>944</v>
      </c>
    </row>
    <row r="779" spans="1:2" x14ac:dyDescent="0.2">
      <c r="A779">
        <v>9003496700</v>
      </c>
      <c r="B779" t="s">
        <v>944</v>
      </c>
    </row>
    <row r="780" spans="1:2" x14ac:dyDescent="0.2">
      <c r="A780">
        <v>9003496700</v>
      </c>
      <c r="B780" t="s">
        <v>944</v>
      </c>
    </row>
    <row r="781" spans="1:2" x14ac:dyDescent="0.2">
      <c r="A781">
        <v>9003496200</v>
      </c>
      <c r="B781" t="s">
        <v>944</v>
      </c>
    </row>
    <row r="782" spans="1:2" x14ac:dyDescent="0.2">
      <c r="A782">
        <v>9003496200</v>
      </c>
      <c r="B782" t="s">
        <v>944</v>
      </c>
    </row>
    <row r="783" spans="1:2" x14ac:dyDescent="0.2">
      <c r="A783">
        <v>9003496200</v>
      </c>
      <c r="B783" t="s">
        <v>944</v>
      </c>
    </row>
    <row r="784" spans="1:2" x14ac:dyDescent="0.2">
      <c r="A784">
        <v>9003496200</v>
      </c>
      <c r="B784" t="s">
        <v>944</v>
      </c>
    </row>
    <row r="785" spans="1:2" x14ac:dyDescent="0.2">
      <c r="A785">
        <v>9003496200</v>
      </c>
      <c r="B785" t="s">
        <v>944</v>
      </c>
    </row>
    <row r="786" spans="1:2" x14ac:dyDescent="0.2">
      <c r="A786">
        <v>9003496800</v>
      </c>
      <c r="B786" t="s">
        <v>944</v>
      </c>
    </row>
    <row r="787" spans="1:2" x14ac:dyDescent="0.2">
      <c r="A787">
        <v>9003496800</v>
      </c>
      <c r="B787" t="s">
        <v>944</v>
      </c>
    </row>
    <row r="788" spans="1:2" x14ac:dyDescent="0.2">
      <c r="A788">
        <v>9003497000</v>
      </c>
      <c r="B788" t="s">
        <v>944</v>
      </c>
    </row>
    <row r="789" spans="1:2" x14ac:dyDescent="0.2">
      <c r="A789">
        <v>9003497100</v>
      </c>
      <c r="B789" t="s">
        <v>944</v>
      </c>
    </row>
    <row r="790" spans="1:2" x14ac:dyDescent="0.2">
      <c r="A790">
        <v>9003497100</v>
      </c>
      <c r="B790" t="s">
        <v>944</v>
      </c>
    </row>
    <row r="791" spans="1:2" x14ac:dyDescent="0.2">
      <c r="A791">
        <v>9011712100</v>
      </c>
      <c r="B791" t="s">
        <v>944</v>
      </c>
    </row>
    <row r="792" spans="1:2" x14ac:dyDescent="0.2">
      <c r="A792">
        <v>9011712100</v>
      </c>
      <c r="B792" t="s">
        <v>944</v>
      </c>
    </row>
    <row r="793" spans="1:2" x14ac:dyDescent="0.2">
      <c r="A793">
        <v>9003415300</v>
      </c>
      <c r="B793" t="s">
        <v>936</v>
      </c>
    </row>
    <row r="794" spans="1:2" x14ac:dyDescent="0.2">
      <c r="A794">
        <v>9003520100</v>
      </c>
      <c r="B794" t="s">
        <v>944</v>
      </c>
    </row>
    <row r="795" spans="1:2" x14ac:dyDescent="0.2">
      <c r="A795">
        <v>9003520100</v>
      </c>
      <c r="B795" t="s">
        <v>944</v>
      </c>
    </row>
    <row r="796" spans="1:2" x14ac:dyDescent="0.2">
      <c r="A796">
        <v>9003500100</v>
      </c>
      <c r="B796" t="s">
        <v>936</v>
      </c>
    </row>
    <row r="797" spans="1:2" x14ac:dyDescent="0.2">
      <c r="A797">
        <v>9003520201</v>
      </c>
      <c r="B797" t="s">
        <v>944</v>
      </c>
    </row>
    <row r="798" spans="1:2" x14ac:dyDescent="0.2">
      <c r="A798">
        <v>9003520201</v>
      </c>
      <c r="B798" t="s">
        <v>944</v>
      </c>
    </row>
    <row r="799" spans="1:2" x14ac:dyDescent="0.2">
      <c r="A799">
        <v>9003500500</v>
      </c>
      <c r="B799" t="s">
        <v>944</v>
      </c>
    </row>
    <row r="800" spans="1:2" x14ac:dyDescent="0.2">
      <c r="A800">
        <v>9003501400</v>
      </c>
      <c r="B800" t="s">
        <v>936</v>
      </c>
    </row>
    <row r="801" spans="1:2" x14ac:dyDescent="0.2">
      <c r="A801">
        <v>9003415500</v>
      </c>
      <c r="B801" t="s">
        <v>936</v>
      </c>
    </row>
    <row r="802" spans="1:2" x14ac:dyDescent="0.2">
      <c r="A802">
        <v>9003520202</v>
      </c>
      <c r="B802" t="s">
        <v>944</v>
      </c>
    </row>
    <row r="803" spans="1:2" x14ac:dyDescent="0.2">
      <c r="A803">
        <v>9003502100</v>
      </c>
      <c r="B803" t="s">
        <v>944</v>
      </c>
    </row>
    <row r="804" spans="1:2" x14ac:dyDescent="0.2">
      <c r="A804">
        <v>9003415600</v>
      </c>
      <c r="B804" t="s">
        <v>944</v>
      </c>
    </row>
    <row r="805" spans="1:2" x14ac:dyDescent="0.2">
      <c r="A805">
        <v>9003502500</v>
      </c>
      <c r="B805" t="s">
        <v>936</v>
      </c>
    </row>
    <row r="806" spans="1:2" x14ac:dyDescent="0.2">
      <c r="A806">
        <v>9003520301</v>
      </c>
      <c r="B806" t="s">
        <v>944</v>
      </c>
    </row>
    <row r="807" spans="1:2" x14ac:dyDescent="0.2">
      <c r="A807">
        <v>9003502600</v>
      </c>
      <c r="B807" t="s">
        <v>936</v>
      </c>
    </row>
    <row r="808" spans="1:2" x14ac:dyDescent="0.2">
      <c r="A808">
        <v>9003415700</v>
      </c>
      <c r="B808" t="s">
        <v>944</v>
      </c>
    </row>
    <row r="809" spans="1:2" x14ac:dyDescent="0.2">
      <c r="A809">
        <v>9003502700</v>
      </c>
      <c r="B809" t="s">
        <v>936</v>
      </c>
    </row>
    <row r="810" spans="1:2" x14ac:dyDescent="0.2">
      <c r="A810">
        <v>9003520302</v>
      </c>
      <c r="B810" t="s">
        <v>944</v>
      </c>
    </row>
    <row r="811" spans="1:2" x14ac:dyDescent="0.2">
      <c r="A811">
        <v>9003415800</v>
      </c>
      <c r="B811" t="s">
        <v>944</v>
      </c>
    </row>
    <row r="812" spans="1:2" x14ac:dyDescent="0.2">
      <c r="A812">
        <v>9003502900</v>
      </c>
      <c r="B812" t="s">
        <v>944</v>
      </c>
    </row>
    <row r="813" spans="1:2" x14ac:dyDescent="0.2">
      <c r="A813">
        <v>9003520400</v>
      </c>
      <c r="B813" t="s">
        <v>944</v>
      </c>
    </row>
    <row r="814" spans="1:2" x14ac:dyDescent="0.2">
      <c r="A814">
        <v>9003520501</v>
      </c>
      <c r="B814" t="s">
        <v>944</v>
      </c>
    </row>
    <row r="815" spans="1:2" x14ac:dyDescent="0.2">
      <c r="A815">
        <v>9003503100</v>
      </c>
      <c r="B815" t="s">
        <v>944</v>
      </c>
    </row>
    <row r="816" spans="1:2" x14ac:dyDescent="0.2">
      <c r="A816">
        <v>9003416000</v>
      </c>
      <c r="B816" t="s">
        <v>936</v>
      </c>
    </row>
    <row r="817" spans="1:2" x14ac:dyDescent="0.2">
      <c r="A817">
        <v>9003503700</v>
      </c>
      <c r="B817" t="s">
        <v>936</v>
      </c>
    </row>
    <row r="818" spans="1:2" x14ac:dyDescent="0.2">
      <c r="A818">
        <v>9007560100</v>
      </c>
      <c r="B818" t="s">
        <v>944</v>
      </c>
    </row>
    <row r="819" spans="1:2" x14ac:dyDescent="0.2">
      <c r="A819">
        <v>9007560100</v>
      </c>
      <c r="B819" t="s">
        <v>944</v>
      </c>
    </row>
    <row r="820" spans="1:2" x14ac:dyDescent="0.2">
      <c r="A820">
        <v>9003503800</v>
      </c>
      <c r="B820" t="s">
        <v>936</v>
      </c>
    </row>
    <row r="821" spans="1:2" x14ac:dyDescent="0.2">
      <c r="A821">
        <v>9003416100</v>
      </c>
      <c r="B821" t="s">
        <v>936</v>
      </c>
    </row>
    <row r="822" spans="1:2" x14ac:dyDescent="0.2">
      <c r="A822">
        <v>9003514400</v>
      </c>
      <c r="B822" t="s">
        <v>944</v>
      </c>
    </row>
    <row r="823" spans="1:2" x14ac:dyDescent="0.2">
      <c r="A823">
        <v>9003416200</v>
      </c>
      <c r="B823" t="s">
        <v>936</v>
      </c>
    </row>
    <row r="824" spans="1:2" x14ac:dyDescent="0.2">
      <c r="A824">
        <v>9003514500</v>
      </c>
      <c r="B824" t="s">
        <v>944</v>
      </c>
    </row>
    <row r="825" spans="1:2" x14ac:dyDescent="0.2">
      <c r="A825">
        <v>9003416300</v>
      </c>
      <c r="B825" t="s">
        <v>936</v>
      </c>
    </row>
    <row r="826" spans="1:2" x14ac:dyDescent="0.2">
      <c r="A826">
        <v>9003416300</v>
      </c>
      <c r="B826" t="s">
        <v>936</v>
      </c>
    </row>
    <row r="827" spans="1:2" x14ac:dyDescent="0.2">
      <c r="A827">
        <v>9003514600</v>
      </c>
      <c r="B827" t="s">
        <v>944</v>
      </c>
    </row>
    <row r="828" spans="1:2" x14ac:dyDescent="0.2">
      <c r="A828">
        <v>9003514700</v>
      </c>
      <c r="B828" t="s">
        <v>944</v>
      </c>
    </row>
    <row r="829" spans="1:2" x14ac:dyDescent="0.2">
      <c r="A829">
        <v>9003514800</v>
      </c>
      <c r="B829" t="s">
        <v>936</v>
      </c>
    </row>
    <row r="830" spans="1:2" x14ac:dyDescent="0.2">
      <c r="A830">
        <v>9003416400</v>
      </c>
      <c r="B830" t="s">
        <v>944</v>
      </c>
    </row>
    <row r="831" spans="1:2" x14ac:dyDescent="0.2">
      <c r="A831">
        <v>9003515000</v>
      </c>
      <c r="B831" t="s">
        <v>944</v>
      </c>
    </row>
    <row r="832" spans="1:2" x14ac:dyDescent="0.2">
      <c r="A832">
        <v>9003515102</v>
      </c>
      <c r="B832" t="s">
        <v>944</v>
      </c>
    </row>
    <row r="833" spans="1:2" x14ac:dyDescent="0.2">
      <c r="A833">
        <v>9003515200</v>
      </c>
      <c r="B833" t="s">
        <v>944</v>
      </c>
    </row>
    <row r="834" spans="1:2" x14ac:dyDescent="0.2">
      <c r="A834">
        <v>9003416600</v>
      </c>
      <c r="B834" t="s">
        <v>936</v>
      </c>
    </row>
    <row r="835" spans="1:2" x14ac:dyDescent="0.2">
      <c r="A835">
        <v>9003416700</v>
      </c>
      <c r="B835" t="s">
        <v>944</v>
      </c>
    </row>
    <row r="836" spans="1:2" x14ac:dyDescent="0.2">
      <c r="A836">
        <v>9003416800</v>
      </c>
      <c r="B836" t="s">
        <v>944</v>
      </c>
    </row>
    <row r="837" spans="1:2" x14ac:dyDescent="0.2">
      <c r="A837">
        <v>9003524501</v>
      </c>
      <c r="B837" t="s">
        <v>944</v>
      </c>
    </row>
    <row r="838" spans="1:2" x14ac:dyDescent="0.2">
      <c r="A838">
        <v>9003417400</v>
      </c>
      <c r="B838" t="s">
        <v>944</v>
      </c>
    </row>
    <row r="839" spans="1:2" x14ac:dyDescent="0.2">
      <c r="A839">
        <v>9003417500</v>
      </c>
      <c r="B839" t="s">
        <v>944</v>
      </c>
    </row>
    <row r="840" spans="1:2" x14ac:dyDescent="0.2">
      <c r="A840">
        <v>9003420400</v>
      </c>
      <c r="B840" t="s">
        <v>944</v>
      </c>
    </row>
    <row r="841" spans="1:2" x14ac:dyDescent="0.2">
      <c r="A841">
        <v>9007580100</v>
      </c>
      <c r="B841" t="s">
        <v>944</v>
      </c>
    </row>
    <row r="842" spans="1:2" x14ac:dyDescent="0.2">
      <c r="A842">
        <v>9007580100</v>
      </c>
      <c r="B842" t="s">
        <v>944</v>
      </c>
    </row>
    <row r="843" spans="1:2" x14ac:dyDescent="0.2">
      <c r="A843">
        <v>9003430201</v>
      </c>
      <c r="B843" t="s">
        <v>944</v>
      </c>
    </row>
    <row r="844" spans="1:2" x14ac:dyDescent="0.2">
      <c r="A844">
        <v>9003430203</v>
      </c>
      <c r="B844" t="s">
        <v>944</v>
      </c>
    </row>
    <row r="845" spans="1:2" x14ac:dyDescent="0.2">
      <c r="A845">
        <v>9003430302</v>
      </c>
      <c r="B845" t="s">
        <v>944</v>
      </c>
    </row>
    <row r="846" spans="1:2" x14ac:dyDescent="0.2">
      <c r="A846">
        <v>9015820000</v>
      </c>
      <c r="B846" t="s">
        <v>944</v>
      </c>
    </row>
    <row r="847" spans="1:2" x14ac:dyDescent="0.2">
      <c r="A847">
        <v>9011709100</v>
      </c>
      <c r="B847" t="s">
        <v>944</v>
      </c>
    </row>
    <row r="848" spans="1:2" x14ac:dyDescent="0.2">
      <c r="A848">
        <v>9011709100</v>
      </c>
      <c r="B848" t="s">
        <v>944</v>
      </c>
    </row>
    <row r="849" spans="1:2" x14ac:dyDescent="0.2">
      <c r="A849">
        <v>9011709100</v>
      </c>
      <c r="B849" t="s">
        <v>944</v>
      </c>
    </row>
    <row r="850" spans="1:2" x14ac:dyDescent="0.2">
      <c r="A850">
        <v>9011709100</v>
      </c>
      <c r="B850" t="s">
        <v>944</v>
      </c>
    </row>
    <row r="851" spans="1:2" x14ac:dyDescent="0.2">
      <c r="A851">
        <v>9013840100</v>
      </c>
      <c r="B851" t="s">
        <v>944</v>
      </c>
    </row>
    <row r="852" spans="1:2" x14ac:dyDescent="0.2">
      <c r="A852">
        <v>9013840100</v>
      </c>
      <c r="B852" t="s">
        <v>944</v>
      </c>
    </row>
    <row r="853" spans="1:2" x14ac:dyDescent="0.2">
      <c r="A853">
        <v>9013881200</v>
      </c>
      <c r="B853" t="s">
        <v>944</v>
      </c>
    </row>
    <row r="854" spans="1:2" x14ac:dyDescent="0.2">
      <c r="A854">
        <v>9013881300</v>
      </c>
      <c r="B854" t="s">
        <v>944</v>
      </c>
    </row>
    <row r="855" spans="1:2" x14ac:dyDescent="0.2">
      <c r="A855">
        <v>9011709200</v>
      </c>
      <c r="B855" t="s">
        <v>944</v>
      </c>
    </row>
    <row r="856" spans="1:2" x14ac:dyDescent="0.2">
      <c r="A856">
        <v>9011709200</v>
      </c>
      <c r="B856" t="s">
        <v>944</v>
      </c>
    </row>
    <row r="857" spans="1:2" x14ac:dyDescent="0.2">
      <c r="A857">
        <v>9011710100</v>
      </c>
      <c r="B857" t="s">
        <v>944</v>
      </c>
    </row>
    <row r="858" spans="1:2" x14ac:dyDescent="0.2">
      <c r="A858">
        <v>9011710100</v>
      </c>
      <c r="B858" t="s">
        <v>944</v>
      </c>
    </row>
    <row r="859" spans="1:2" x14ac:dyDescent="0.2">
      <c r="A859">
        <v>9003430602</v>
      </c>
      <c r="B859" t="s">
        <v>944</v>
      </c>
    </row>
    <row r="860" spans="1:2" x14ac:dyDescent="0.2">
      <c r="A860">
        <v>9011702100</v>
      </c>
      <c r="B860" t="s">
        <v>944</v>
      </c>
    </row>
    <row r="861" spans="1:2" x14ac:dyDescent="0.2">
      <c r="A861">
        <v>9011702100</v>
      </c>
      <c r="B861" t="s">
        <v>944</v>
      </c>
    </row>
    <row r="862" spans="1:2" x14ac:dyDescent="0.2">
      <c r="A862">
        <v>9009351500</v>
      </c>
      <c r="B862" t="s">
        <v>944</v>
      </c>
    </row>
    <row r="863" spans="1:2" x14ac:dyDescent="0.2">
      <c r="A863">
        <v>9011702400</v>
      </c>
      <c r="B863" t="s">
        <v>944</v>
      </c>
    </row>
    <row r="864" spans="1:2" x14ac:dyDescent="0.2">
      <c r="A864">
        <v>9009351601</v>
      </c>
      <c r="B864" t="s">
        <v>936</v>
      </c>
    </row>
    <row r="865" spans="1:2" x14ac:dyDescent="0.2">
      <c r="A865">
        <v>9011702600</v>
      </c>
      <c r="B865" t="s">
        <v>944</v>
      </c>
    </row>
    <row r="866" spans="1:2" x14ac:dyDescent="0.2">
      <c r="A866">
        <v>9011702700</v>
      </c>
      <c r="B866" t="s">
        <v>944</v>
      </c>
    </row>
    <row r="867" spans="1:2" x14ac:dyDescent="0.2">
      <c r="A867">
        <v>9005360100</v>
      </c>
      <c r="B867" t="s">
        <v>944</v>
      </c>
    </row>
    <row r="868" spans="1:2" x14ac:dyDescent="0.2">
      <c r="A868">
        <v>9011702800</v>
      </c>
      <c r="B868" t="s">
        <v>944</v>
      </c>
    </row>
    <row r="869" spans="1:2" x14ac:dyDescent="0.2">
      <c r="A869">
        <v>9011702800</v>
      </c>
      <c r="B869" t="s">
        <v>944</v>
      </c>
    </row>
    <row r="870" spans="1:2" x14ac:dyDescent="0.2">
      <c r="A870">
        <v>9011702900</v>
      </c>
      <c r="B870" t="s">
        <v>944</v>
      </c>
    </row>
    <row r="871" spans="1:2" x14ac:dyDescent="0.2">
      <c r="A871">
        <v>9011702900</v>
      </c>
      <c r="B871" t="s">
        <v>944</v>
      </c>
    </row>
    <row r="872" spans="1:2" x14ac:dyDescent="0.2">
      <c r="A872">
        <v>9011703000</v>
      </c>
      <c r="B872" t="s">
        <v>944</v>
      </c>
    </row>
    <row r="873" spans="1:2" x14ac:dyDescent="0.2">
      <c r="A873">
        <v>9011703000</v>
      </c>
      <c r="B873" t="s">
        <v>944</v>
      </c>
    </row>
    <row r="874" spans="1:2" x14ac:dyDescent="0.2">
      <c r="A874">
        <v>9003466101</v>
      </c>
      <c r="B874" t="s">
        <v>944</v>
      </c>
    </row>
    <row r="875" spans="1:2" x14ac:dyDescent="0.2">
      <c r="A875">
        <v>9003466201</v>
      </c>
      <c r="B875" t="s">
        <v>944</v>
      </c>
    </row>
    <row r="876" spans="1:2" x14ac:dyDescent="0.2">
      <c r="A876">
        <v>9003466400</v>
      </c>
      <c r="B876" t="s">
        <v>944</v>
      </c>
    </row>
    <row r="877" spans="1:2" x14ac:dyDescent="0.2">
      <c r="A877">
        <v>9003500200</v>
      </c>
      <c r="B877" t="s">
        <v>936</v>
      </c>
    </row>
    <row r="878" spans="1:2" x14ac:dyDescent="0.2">
      <c r="A878">
        <v>9003500400</v>
      </c>
      <c r="B878" t="s">
        <v>936</v>
      </c>
    </row>
    <row r="879" spans="1:2" x14ac:dyDescent="0.2">
      <c r="A879">
        <v>9003500900</v>
      </c>
      <c r="B879" t="s">
        <v>936</v>
      </c>
    </row>
    <row r="880" spans="1:2" x14ac:dyDescent="0.2">
      <c r="A880">
        <v>9003501200</v>
      </c>
      <c r="B880" t="s">
        <v>936</v>
      </c>
    </row>
    <row r="881" spans="1:2" x14ac:dyDescent="0.2">
      <c r="A881">
        <v>9003501300</v>
      </c>
      <c r="B881" t="s">
        <v>936</v>
      </c>
    </row>
    <row r="882" spans="1:2" x14ac:dyDescent="0.2">
      <c r="A882">
        <v>9003501500</v>
      </c>
      <c r="B882" t="s">
        <v>936</v>
      </c>
    </row>
    <row r="883" spans="1:2" x14ac:dyDescent="0.2">
      <c r="A883">
        <v>9003501700</v>
      </c>
      <c r="B883" t="s">
        <v>936</v>
      </c>
    </row>
    <row r="884" spans="1:2" x14ac:dyDescent="0.2">
      <c r="A884">
        <v>9003502300</v>
      </c>
      <c r="B884" t="s">
        <v>944</v>
      </c>
    </row>
    <row r="885" spans="1:2" x14ac:dyDescent="0.2">
      <c r="A885">
        <v>9005425300</v>
      </c>
      <c r="B885" t="s">
        <v>944</v>
      </c>
    </row>
    <row r="886" spans="1:2" x14ac:dyDescent="0.2">
      <c r="A886">
        <v>9005425300</v>
      </c>
      <c r="B886" t="s">
        <v>944</v>
      </c>
    </row>
    <row r="887" spans="1:2" x14ac:dyDescent="0.2">
      <c r="A887">
        <v>9005425300</v>
      </c>
      <c r="B887" t="s">
        <v>944</v>
      </c>
    </row>
    <row r="888" spans="1:2" x14ac:dyDescent="0.2">
      <c r="A888">
        <v>9003502400</v>
      </c>
      <c r="B888" t="s">
        <v>936</v>
      </c>
    </row>
    <row r="889" spans="1:2" x14ac:dyDescent="0.2">
      <c r="A889">
        <v>9003503300</v>
      </c>
      <c r="B889" t="s">
        <v>936</v>
      </c>
    </row>
    <row r="890" spans="1:2" x14ac:dyDescent="0.2">
      <c r="A890">
        <v>9003477102</v>
      </c>
      <c r="B890" t="s">
        <v>944</v>
      </c>
    </row>
    <row r="891" spans="1:2" x14ac:dyDescent="0.2">
      <c r="A891">
        <v>9003503500</v>
      </c>
      <c r="B891" t="s">
        <v>936</v>
      </c>
    </row>
    <row r="892" spans="1:2" x14ac:dyDescent="0.2">
      <c r="A892">
        <v>9003504000</v>
      </c>
      <c r="B892" t="s">
        <v>936</v>
      </c>
    </row>
    <row r="893" spans="1:2" x14ac:dyDescent="0.2">
      <c r="A893">
        <v>9003504100</v>
      </c>
      <c r="B893" t="s">
        <v>936</v>
      </c>
    </row>
    <row r="894" spans="1:2" x14ac:dyDescent="0.2">
      <c r="A894">
        <v>9003504200</v>
      </c>
      <c r="B894" t="s">
        <v>944</v>
      </c>
    </row>
    <row r="895" spans="1:2" x14ac:dyDescent="0.2">
      <c r="A895">
        <v>9003504300</v>
      </c>
      <c r="B895" t="s">
        <v>936</v>
      </c>
    </row>
    <row r="896" spans="1:2" x14ac:dyDescent="0.2">
      <c r="A896">
        <v>9003504500</v>
      </c>
      <c r="B896" t="s">
        <v>936</v>
      </c>
    </row>
    <row r="897" spans="1:2" x14ac:dyDescent="0.2">
      <c r="A897">
        <v>9003504800</v>
      </c>
      <c r="B897" t="s">
        <v>936</v>
      </c>
    </row>
    <row r="898" spans="1:2" x14ac:dyDescent="0.2">
      <c r="A898">
        <v>9003504900</v>
      </c>
      <c r="B898" t="s">
        <v>936</v>
      </c>
    </row>
    <row r="899" spans="1:2" x14ac:dyDescent="0.2">
      <c r="A899">
        <v>9003524400</v>
      </c>
      <c r="B899" t="s">
        <v>936</v>
      </c>
    </row>
    <row r="900" spans="1:2" x14ac:dyDescent="0.2">
      <c r="A900">
        <v>9003524502</v>
      </c>
      <c r="B900" t="s">
        <v>944</v>
      </c>
    </row>
    <row r="901" spans="1:2" x14ac:dyDescent="0.2">
      <c r="A901">
        <v>9003524600</v>
      </c>
      <c r="B901" t="s">
        <v>944</v>
      </c>
    </row>
    <row r="902" spans="1:2" x14ac:dyDescent="0.2">
      <c r="A902">
        <v>9003524700</v>
      </c>
      <c r="B902" t="s">
        <v>944</v>
      </c>
    </row>
    <row r="903" spans="1:2" x14ac:dyDescent="0.2">
      <c r="A903">
        <v>9003487201</v>
      </c>
      <c r="B903" t="s">
        <v>944</v>
      </c>
    </row>
    <row r="904" spans="1:2" x14ac:dyDescent="0.2">
      <c r="A904">
        <v>9003487201</v>
      </c>
      <c r="B904" t="s">
        <v>944</v>
      </c>
    </row>
    <row r="905" spans="1:2" x14ac:dyDescent="0.2">
      <c r="A905">
        <v>9003487202</v>
      </c>
      <c r="B905" t="s">
        <v>944</v>
      </c>
    </row>
    <row r="906" spans="1:2" x14ac:dyDescent="0.2">
      <c r="A906">
        <v>9003487202</v>
      </c>
      <c r="B906" t="s">
        <v>944</v>
      </c>
    </row>
    <row r="907" spans="1:2" x14ac:dyDescent="0.2">
      <c r="A907">
        <v>9003487300</v>
      </c>
      <c r="B907" t="s">
        <v>944</v>
      </c>
    </row>
    <row r="908" spans="1:2" x14ac:dyDescent="0.2">
      <c r="A908">
        <v>9003487500</v>
      </c>
      <c r="B908" t="s">
        <v>944</v>
      </c>
    </row>
    <row r="909" spans="1:2" x14ac:dyDescent="0.2">
      <c r="A909">
        <v>9003487500</v>
      </c>
      <c r="B909" t="s">
        <v>944</v>
      </c>
    </row>
    <row r="910" spans="1:2" x14ac:dyDescent="0.2">
      <c r="A910">
        <v>9003490100</v>
      </c>
      <c r="B910" t="s">
        <v>944</v>
      </c>
    </row>
    <row r="911" spans="1:2" x14ac:dyDescent="0.2">
      <c r="A911">
        <v>9003492600</v>
      </c>
      <c r="B911" t="s">
        <v>944</v>
      </c>
    </row>
    <row r="912" spans="1:2" x14ac:dyDescent="0.2">
      <c r="A912">
        <v>9003492600</v>
      </c>
      <c r="B912" t="s">
        <v>944</v>
      </c>
    </row>
    <row r="913" spans="1:2" x14ac:dyDescent="0.2">
      <c r="A913">
        <v>9003494100</v>
      </c>
      <c r="B913" t="s">
        <v>944</v>
      </c>
    </row>
    <row r="914" spans="1:2" x14ac:dyDescent="0.2">
      <c r="A914">
        <v>9003494201</v>
      </c>
      <c r="B914" t="s">
        <v>944</v>
      </c>
    </row>
    <row r="915" spans="1:2" x14ac:dyDescent="0.2">
      <c r="A915">
        <v>9003494202</v>
      </c>
      <c r="B915" t="s">
        <v>944</v>
      </c>
    </row>
    <row r="916" spans="1:2" x14ac:dyDescent="0.2">
      <c r="A916">
        <v>9003494300</v>
      </c>
      <c r="B916" t="s">
        <v>944</v>
      </c>
    </row>
    <row r="917" spans="1:2" x14ac:dyDescent="0.2">
      <c r="A917">
        <v>9003494300</v>
      </c>
      <c r="B917" t="s">
        <v>944</v>
      </c>
    </row>
    <row r="918" spans="1:2" x14ac:dyDescent="0.2">
      <c r="A918">
        <v>9003494400</v>
      </c>
      <c r="B918" t="s">
        <v>944</v>
      </c>
    </row>
    <row r="919" spans="1:2" x14ac:dyDescent="0.2">
      <c r="A919">
        <v>9003494500</v>
      </c>
      <c r="B919" t="s">
        <v>944</v>
      </c>
    </row>
    <row r="920" spans="1:2" x14ac:dyDescent="0.2">
      <c r="A920">
        <v>9003494600</v>
      </c>
      <c r="B920" t="s">
        <v>944</v>
      </c>
    </row>
    <row r="921" spans="1:2" x14ac:dyDescent="0.2">
      <c r="A921">
        <v>9015904400</v>
      </c>
      <c r="B921" t="s">
        <v>944</v>
      </c>
    </row>
    <row r="922" spans="1:2" x14ac:dyDescent="0.2">
      <c r="A922">
        <v>9003496100</v>
      </c>
      <c r="B922" t="s">
        <v>944</v>
      </c>
    </row>
    <row r="923" spans="1:2" x14ac:dyDescent="0.2">
      <c r="A923">
        <v>9003496300</v>
      </c>
      <c r="B923" t="s">
        <v>944</v>
      </c>
    </row>
    <row r="924" spans="1:2" x14ac:dyDescent="0.2">
      <c r="A924">
        <v>9015907200</v>
      </c>
      <c r="B924" t="s">
        <v>944</v>
      </c>
    </row>
    <row r="925" spans="1:2" x14ac:dyDescent="0.2">
      <c r="A925">
        <v>9015907200</v>
      </c>
      <c r="B925" t="s">
        <v>944</v>
      </c>
    </row>
    <row r="926" spans="1:2" x14ac:dyDescent="0.2">
      <c r="A926">
        <v>9015907200</v>
      </c>
      <c r="B926" t="s">
        <v>944</v>
      </c>
    </row>
    <row r="927" spans="1:2" x14ac:dyDescent="0.2">
      <c r="A927">
        <v>9007640100</v>
      </c>
      <c r="B927" t="s">
        <v>944</v>
      </c>
    </row>
    <row r="928" spans="1:2" x14ac:dyDescent="0.2">
      <c r="A928">
        <v>9011701100</v>
      </c>
      <c r="B928" t="s">
        <v>944</v>
      </c>
    </row>
    <row r="929" spans="1:2" x14ac:dyDescent="0.2">
      <c r="A929">
        <v>9011701200</v>
      </c>
      <c r="B929" t="s">
        <v>944</v>
      </c>
    </row>
    <row r="930" spans="1:2" x14ac:dyDescent="0.2">
      <c r="A930">
        <v>9011693400</v>
      </c>
      <c r="B930" t="s">
        <v>944</v>
      </c>
    </row>
    <row r="931" spans="1:2" x14ac:dyDescent="0.2">
      <c r="A931">
        <v>9011693400</v>
      </c>
      <c r="B931" t="s">
        <v>944</v>
      </c>
    </row>
    <row r="932" spans="1:2" x14ac:dyDescent="0.2">
      <c r="A932">
        <v>9011693400</v>
      </c>
      <c r="B932" t="s">
        <v>944</v>
      </c>
    </row>
    <row r="933" spans="1:2" x14ac:dyDescent="0.2">
      <c r="A933">
        <v>9011650100</v>
      </c>
      <c r="B933" t="s">
        <v>944</v>
      </c>
    </row>
    <row r="934" spans="1:2" x14ac:dyDescent="0.2">
      <c r="A934">
        <v>9011650100</v>
      </c>
      <c r="B934" t="s">
        <v>944</v>
      </c>
    </row>
    <row r="935" spans="1:2" x14ac:dyDescent="0.2">
      <c r="A935">
        <v>9003514101</v>
      </c>
      <c r="B935" t="s">
        <v>944</v>
      </c>
    </row>
    <row r="936" spans="1:2" x14ac:dyDescent="0.2">
      <c r="A936">
        <v>9003514101</v>
      </c>
      <c r="B936" t="s">
        <v>944</v>
      </c>
    </row>
    <row r="937" spans="1:2" x14ac:dyDescent="0.2">
      <c r="A937">
        <v>9003514200</v>
      </c>
      <c r="B937" t="s">
        <v>944</v>
      </c>
    </row>
    <row r="938" spans="1:2" x14ac:dyDescent="0.2">
      <c r="A938">
        <v>9003514300</v>
      </c>
      <c r="B938" t="s">
        <v>944</v>
      </c>
    </row>
    <row r="939" spans="1:2" x14ac:dyDescent="0.2">
      <c r="A939">
        <v>9003515101</v>
      </c>
      <c r="B939" t="s">
        <v>944</v>
      </c>
    </row>
    <row r="940" spans="1:2" x14ac:dyDescent="0.2">
      <c r="A940">
        <v>9013530500</v>
      </c>
      <c r="B940" t="s">
        <v>944</v>
      </c>
    </row>
    <row r="941" spans="1:2" x14ac:dyDescent="0.2">
      <c r="A941">
        <v>9013530500</v>
      </c>
      <c r="B941" t="s">
        <v>944</v>
      </c>
    </row>
    <row r="942" spans="1:2" x14ac:dyDescent="0.2">
      <c r="A942">
        <v>9013881500</v>
      </c>
      <c r="B942" t="s">
        <v>944</v>
      </c>
    </row>
    <row r="943" spans="1:2" x14ac:dyDescent="0.2">
      <c r="A943">
        <v>9003524100</v>
      </c>
      <c r="B943" t="s">
        <v>944</v>
      </c>
    </row>
    <row r="944" spans="1:2" x14ac:dyDescent="0.2">
      <c r="A944">
        <v>9003524200</v>
      </c>
      <c r="B944" t="s">
        <v>944</v>
      </c>
    </row>
    <row r="945" spans="1:2" x14ac:dyDescent="0.2">
      <c r="A945">
        <v>9013530200</v>
      </c>
      <c r="B945" t="s">
        <v>944</v>
      </c>
    </row>
    <row r="946" spans="1:2" x14ac:dyDescent="0.2">
      <c r="A946">
        <v>9013530301</v>
      </c>
      <c r="B946" t="s">
        <v>944</v>
      </c>
    </row>
    <row r="947" spans="1:2" x14ac:dyDescent="0.2">
      <c r="A947">
        <v>9013530301</v>
      </c>
      <c r="B947" t="s">
        <v>944</v>
      </c>
    </row>
    <row r="948" spans="1:2" x14ac:dyDescent="0.2">
      <c r="A948">
        <v>9013530302</v>
      </c>
      <c r="B948" t="s">
        <v>944</v>
      </c>
    </row>
    <row r="949" spans="1:2" x14ac:dyDescent="0.2">
      <c r="A949">
        <v>9013530302</v>
      </c>
      <c r="B949" t="s">
        <v>944</v>
      </c>
    </row>
    <row r="950" spans="1:2" x14ac:dyDescent="0.2">
      <c r="A950">
        <v>9013530400</v>
      </c>
      <c r="B950" t="s">
        <v>944</v>
      </c>
    </row>
    <row r="951" spans="1:2" x14ac:dyDescent="0.2">
      <c r="A951">
        <v>9013533101</v>
      </c>
      <c r="B951" t="s">
        <v>944</v>
      </c>
    </row>
    <row r="952" spans="1:2" x14ac:dyDescent="0.2">
      <c r="A952">
        <v>9013533102</v>
      </c>
      <c r="B952" t="s">
        <v>944</v>
      </c>
    </row>
    <row r="953" spans="1:2" x14ac:dyDescent="0.2">
      <c r="A953">
        <v>9007541100</v>
      </c>
      <c r="B953" t="s">
        <v>936</v>
      </c>
    </row>
    <row r="954" spans="1:2" x14ac:dyDescent="0.2">
      <c r="A954">
        <v>9007541200</v>
      </c>
      <c r="B954" t="s">
        <v>944</v>
      </c>
    </row>
    <row r="955" spans="1:2" x14ac:dyDescent="0.2">
      <c r="A955">
        <v>9007541300</v>
      </c>
      <c r="B955" t="s">
        <v>944</v>
      </c>
    </row>
    <row r="956" spans="1:2" x14ac:dyDescent="0.2">
      <c r="A956">
        <v>9007541401</v>
      </c>
      <c r="B956" t="s">
        <v>944</v>
      </c>
    </row>
    <row r="957" spans="1:2" x14ac:dyDescent="0.2">
      <c r="A957">
        <v>9007541402</v>
      </c>
      <c r="B957" t="s">
        <v>944</v>
      </c>
    </row>
    <row r="958" spans="1:2" x14ac:dyDescent="0.2">
      <c r="A958">
        <v>9007541500</v>
      </c>
      <c r="B958" t="s">
        <v>944</v>
      </c>
    </row>
    <row r="959" spans="1:2" x14ac:dyDescent="0.2">
      <c r="A959">
        <v>9007541600</v>
      </c>
      <c r="B959" t="s">
        <v>936</v>
      </c>
    </row>
    <row r="960" spans="1:2" x14ac:dyDescent="0.2">
      <c r="A960">
        <v>9007541700</v>
      </c>
      <c r="B960" t="s">
        <v>936</v>
      </c>
    </row>
    <row r="961" spans="1:2" x14ac:dyDescent="0.2">
      <c r="A961">
        <v>9007542000</v>
      </c>
      <c r="B961" t="s">
        <v>944</v>
      </c>
    </row>
    <row r="962" spans="1:2" x14ac:dyDescent="0.2">
      <c r="A962">
        <v>9007542100</v>
      </c>
      <c r="B962" t="s">
        <v>944</v>
      </c>
    </row>
    <row r="963" spans="1:2" x14ac:dyDescent="0.2">
      <c r="A963">
        <v>9007542200</v>
      </c>
      <c r="B963" t="s">
        <v>944</v>
      </c>
    </row>
    <row r="964" spans="1:2" x14ac:dyDescent="0.2">
      <c r="A964">
        <v>9007560200</v>
      </c>
      <c r="B964" t="s">
        <v>944</v>
      </c>
    </row>
    <row r="965" spans="1:2" x14ac:dyDescent="0.2">
      <c r="A965">
        <v>9007680200</v>
      </c>
      <c r="B965" t="s">
        <v>944</v>
      </c>
    </row>
    <row r="966" spans="1:2" x14ac:dyDescent="0.2">
      <c r="A966">
        <v>9011693600</v>
      </c>
      <c r="B966" t="s">
        <v>944</v>
      </c>
    </row>
    <row r="967" spans="1:2" x14ac:dyDescent="0.2">
      <c r="A967">
        <v>9011693600</v>
      </c>
      <c r="B967" t="s">
        <v>944</v>
      </c>
    </row>
    <row r="968" spans="1:2" x14ac:dyDescent="0.2">
      <c r="A968">
        <v>9011693600</v>
      </c>
      <c r="B968" t="s">
        <v>944</v>
      </c>
    </row>
    <row r="969" spans="1:2" x14ac:dyDescent="0.2">
      <c r="A969">
        <v>9011695201</v>
      </c>
      <c r="B969" t="s">
        <v>944</v>
      </c>
    </row>
    <row r="970" spans="1:2" x14ac:dyDescent="0.2">
      <c r="A970">
        <v>9011695201</v>
      </c>
      <c r="B970" t="s">
        <v>944</v>
      </c>
    </row>
    <row r="971" spans="1:2" x14ac:dyDescent="0.2">
      <c r="A971">
        <v>9011870501</v>
      </c>
      <c r="B971" t="s">
        <v>944</v>
      </c>
    </row>
    <row r="972" spans="1:2" x14ac:dyDescent="0.2">
      <c r="A972">
        <v>9011870502</v>
      </c>
      <c r="B972" t="s">
        <v>944</v>
      </c>
    </row>
    <row r="973" spans="1:2" x14ac:dyDescent="0.2">
      <c r="A973">
        <v>9011870502</v>
      </c>
      <c r="B973" t="s">
        <v>944</v>
      </c>
    </row>
    <row r="974" spans="1:2" x14ac:dyDescent="0.2">
      <c r="A974">
        <v>9011660101</v>
      </c>
      <c r="B974" t="s">
        <v>944</v>
      </c>
    </row>
    <row r="975" spans="1:2" x14ac:dyDescent="0.2">
      <c r="A975">
        <v>9011660102</v>
      </c>
      <c r="B975" t="s">
        <v>944</v>
      </c>
    </row>
    <row r="976" spans="1:2" x14ac:dyDescent="0.2">
      <c r="A976">
        <v>9007670200</v>
      </c>
      <c r="B976" t="s">
        <v>944</v>
      </c>
    </row>
    <row r="977" spans="1:2" x14ac:dyDescent="0.2">
      <c r="A977">
        <v>9011690300</v>
      </c>
      <c r="B977" t="s">
        <v>944</v>
      </c>
    </row>
    <row r="978" spans="1:2" x14ac:dyDescent="0.2">
      <c r="A978">
        <v>9011690300</v>
      </c>
      <c r="B978" t="s">
        <v>944</v>
      </c>
    </row>
    <row r="979" spans="1:2" x14ac:dyDescent="0.2">
      <c r="A979">
        <v>9011690400</v>
      </c>
      <c r="B979" t="s">
        <v>944</v>
      </c>
    </row>
    <row r="980" spans="1:2" x14ac:dyDescent="0.2">
      <c r="A980">
        <v>9011690500</v>
      </c>
      <c r="B980" t="s">
        <v>944</v>
      </c>
    </row>
    <row r="981" spans="1:2" x14ac:dyDescent="0.2">
      <c r="A981">
        <v>9011690700</v>
      </c>
      <c r="B981" t="s">
        <v>944</v>
      </c>
    </row>
    <row r="982" spans="1:2" x14ac:dyDescent="0.2">
      <c r="A982">
        <v>9011690800</v>
      </c>
      <c r="B982" t="s">
        <v>936</v>
      </c>
    </row>
    <row r="983" spans="1:2" x14ac:dyDescent="0.2">
      <c r="A983">
        <v>9011690900</v>
      </c>
      <c r="B983" t="s">
        <v>944</v>
      </c>
    </row>
    <row r="984" spans="1:2" x14ac:dyDescent="0.2">
      <c r="A984">
        <v>9011693300</v>
      </c>
      <c r="B984" t="s">
        <v>944</v>
      </c>
    </row>
    <row r="985" spans="1:2" x14ac:dyDescent="0.2">
      <c r="A985">
        <v>9011693500</v>
      </c>
      <c r="B985" t="s">
        <v>944</v>
      </c>
    </row>
    <row r="986" spans="1:2" x14ac:dyDescent="0.2">
      <c r="A986">
        <v>9011693700</v>
      </c>
      <c r="B986" t="s">
        <v>944</v>
      </c>
    </row>
    <row r="987" spans="1:2" x14ac:dyDescent="0.2">
      <c r="A987">
        <v>9011697000</v>
      </c>
      <c r="B987" t="s">
        <v>936</v>
      </c>
    </row>
    <row r="988" spans="1:2" x14ac:dyDescent="0.2">
      <c r="A988">
        <v>9011700100</v>
      </c>
      <c r="B988" t="s">
        <v>944</v>
      </c>
    </row>
    <row r="989" spans="1:2" x14ac:dyDescent="0.2">
      <c r="A989">
        <v>9011870300</v>
      </c>
      <c r="B989" t="s">
        <v>944</v>
      </c>
    </row>
    <row r="990" spans="1:2" x14ac:dyDescent="0.2">
      <c r="A990">
        <v>9011870300</v>
      </c>
      <c r="B990" t="s">
        <v>944</v>
      </c>
    </row>
    <row r="991" spans="1:2" x14ac:dyDescent="0.2">
      <c r="A991">
        <v>9011707100</v>
      </c>
      <c r="B991" t="s">
        <v>944</v>
      </c>
    </row>
    <row r="992" spans="1:2" x14ac:dyDescent="0.2">
      <c r="A992">
        <v>9011707100</v>
      </c>
      <c r="B992" t="s">
        <v>944</v>
      </c>
    </row>
    <row r="993" spans="1:2" x14ac:dyDescent="0.2">
      <c r="A993">
        <v>9011705101</v>
      </c>
      <c r="B993" t="s">
        <v>944</v>
      </c>
    </row>
    <row r="994" spans="1:2" x14ac:dyDescent="0.2">
      <c r="A994">
        <v>9011708100</v>
      </c>
      <c r="B994" t="s">
        <v>944</v>
      </c>
    </row>
    <row r="995" spans="1:2" x14ac:dyDescent="0.2">
      <c r="A995">
        <v>9011708100</v>
      </c>
      <c r="B995" t="s">
        <v>944</v>
      </c>
    </row>
    <row r="996" spans="1:2" x14ac:dyDescent="0.2">
      <c r="A996">
        <v>9011705102</v>
      </c>
      <c r="B996" t="s">
        <v>944</v>
      </c>
    </row>
    <row r="997" spans="1:2" x14ac:dyDescent="0.2">
      <c r="A997">
        <v>9011705200</v>
      </c>
      <c r="B997" t="s">
        <v>944</v>
      </c>
    </row>
    <row r="998" spans="1:2" x14ac:dyDescent="0.2">
      <c r="A998">
        <v>9011705300</v>
      </c>
      <c r="B998" t="s">
        <v>944</v>
      </c>
    </row>
    <row r="999" spans="1:2" x14ac:dyDescent="0.2">
      <c r="A999">
        <v>9011705400</v>
      </c>
      <c r="B999" t="s">
        <v>944</v>
      </c>
    </row>
    <row r="1000" spans="1:2" x14ac:dyDescent="0.2">
      <c r="A1000">
        <v>9015907300</v>
      </c>
      <c r="B1000" t="s">
        <v>944</v>
      </c>
    </row>
    <row r="1001" spans="1:2" x14ac:dyDescent="0.2">
      <c r="A1001">
        <v>9011711100</v>
      </c>
      <c r="B1001" t="s">
        <v>944</v>
      </c>
    </row>
    <row r="1002" spans="1:2" x14ac:dyDescent="0.2">
      <c r="A1002">
        <v>9015903200</v>
      </c>
      <c r="B1002" t="s">
        <v>944</v>
      </c>
    </row>
    <row r="1003" spans="1:2" x14ac:dyDescent="0.2">
      <c r="A1003">
        <v>9015903200</v>
      </c>
      <c r="B1003" t="s">
        <v>944</v>
      </c>
    </row>
    <row r="1004" spans="1:2" x14ac:dyDescent="0.2">
      <c r="A1004">
        <v>9013890202</v>
      </c>
      <c r="B1004" t="s">
        <v>944</v>
      </c>
    </row>
    <row r="1005" spans="1:2" x14ac:dyDescent="0.2">
      <c r="A1005">
        <v>9013890202</v>
      </c>
      <c r="B1005" t="s">
        <v>944</v>
      </c>
    </row>
    <row r="1006" spans="1:2" x14ac:dyDescent="0.2">
      <c r="A1006">
        <v>9013890202</v>
      </c>
      <c r="B1006" t="s">
        <v>944</v>
      </c>
    </row>
    <row r="1007" spans="1:2" x14ac:dyDescent="0.2">
      <c r="A1007">
        <v>9013890100</v>
      </c>
      <c r="B1007" t="s">
        <v>944</v>
      </c>
    </row>
    <row r="1008" spans="1:2" x14ac:dyDescent="0.2">
      <c r="A1008">
        <v>9013890100</v>
      </c>
      <c r="B1008" t="s">
        <v>944</v>
      </c>
    </row>
    <row r="1009" spans="1:2" x14ac:dyDescent="0.2">
      <c r="A1009">
        <v>9013890201</v>
      </c>
      <c r="B1009" t="s">
        <v>944</v>
      </c>
    </row>
    <row r="1010" spans="1:2" x14ac:dyDescent="0.2">
      <c r="A1010">
        <v>9013890201</v>
      </c>
      <c r="B1010" t="s">
        <v>944</v>
      </c>
    </row>
    <row r="1011" spans="1:2" x14ac:dyDescent="0.2">
      <c r="A1011">
        <v>9015900200</v>
      </c>
      <c r="B1011" t="s">
        <v>944</v>
      </c>
    </row>
    <row r="1012" spans="1:2" x14ac:dyDescent="0.2">
      <c r="A1012">
        <v>9003497200</v>
      </c>
      <c r="B1012" t="s">
        <v>944</v>
      </c>
    </row>
    <row r="1013" spans="1:2" x14ac:dyDescent="0.2">
      <c r="A1013">
        <v>9003497300</v>
      </c>
      <c r="B1013" t="s">
        <v>944</v>
      </c>
    </row>
    <row r="1014" spans="1:2" x14ac:dyDescent="0.2">
      <c r="A1014">
        <v>9003497400</v>
      </c>
      <c r="B1014" t="s">
        <v>944</v>
      </c>
    </row>
    <row r="1015" spans="1:2" x14ac:dyDescent="0.2">
      <c r="A1015">
        <v>9003497500</v>
      </c>
      <c r="B1015" t="s">
        <v>944</v>
      </c>
    </row>
    <row r="1016" spans="1:2" x14ac:dyDescent="0.2">
      <c r="A1016">
        <v>9003497600</v>
      </c>
      <c r="B1016" t="s">
        <v>944</v>
      </c>
    </row>
    <row r="1017" spans="1:2" x14ac:dyDescent="0.2">
      <c r="A1017">
        <v>9003497700</v>
      </c>
      <c r="B1017" t="s">
        <v>944</v>
      </c>
    </row>
    <row r="1018" spans="1:2" x14ac:dyDescent="0.2">
      <c r="A1018">
        <v>9007620100</v>
      </c>
      <c r="B1018" t="s">
        <v>944</v>
      </c>
    </row>
    <row r="1019" spans="1:2" x14ac:dyDescent="0.2">
      <c r="A1019">
        <v>9007680100</v>
      </c>
      <c r="B1019" t="s">
        <v>944</v>
      </c>
    </row>
    <row r="1020" spans="1:2" x14ac:dyDescent="0.2">
      <c r="A1020">
        <v>9001050100</v>
      </c>
      <c r="B1020" t="s">
        <v>944</v>
      </c>
    </row>
    <row r="1021" spans="1:2" x14ac:dyDescent="0.2">
      <c r="A1021">
        <v>9001050300</v>
      </c>
      <c r="B1021" t="s">
        <v>944</v>
      </c>
    </row>
    <row r="1022" spans="1:2" x14ac:dyDescent="0.2">
      <c r="A1022">
        <v>9001055100</v>
      </c>
      <c r="B1022" t="s">
        <v>944</v>
      </c>
    </row>
    <row r="1023" spans="1:2" x14ac:dyDescent="0.2">
      <c r="A1023">
        <v>9001055200</v>
      </c>
      <c r="B1023" t="s">
        <v>944</v>
      </c>
    </row>
    <row r="1024" spans="1:2" x14ac:dyDescent="0.2">
      <c r="A1024">
        <v>9001105100</v>
      </c>
      <c r="B1024" t="s">
        <v>944</v>
      </c>
    </row>
    <row r="1025" spans="1:2" x14ac:dyDescent="0.2">
      <c r="A1025">
        <v>9001042500</v>
      </c>
      <c r="B1025" t="s">
        <v>944</v>
      </c>
    </row>
    <row r="1026" spans="1:2" x14ac:dyDescent="0.2">
      <c r="A1026">
        <v>9001042600</v>
      </c>
      <c r="B1026" t="s">
        <v>944</v>
      </c>
    </row>
    <row r="1027" spans="1:2" x14ac:dyDescent="0.2">
      <c r="A1027">
        <v>9001043500</v>
      </c>
      <c r="B1027" t="s">
        <v>944</v>
      </c>
    </row>
    <row r="1028" spans="1:2" x14ac:dyDescent="0.2">
      <c r="A1028">
        <v>9001044300</v>
      </c>
      <c r="B1028" t="s">
        <v>944</v>
      </c>
    </row>
    <row r="1029" spans="1:2" x14ac:dyDescent="0.2">
      <c r="A1029">
        <v>9001045400</v>
      </c>
      <c r="B1029" t="s">
        <v>944</v>
      </c>
    </row>
    <row r="1030" spans="1:2" x14ac:dyDescent="0.2">
      <c r="A1030">
        <v>9001050100</v>
      </c>
      <c r="B1030" t="s">
        <v>944</v>
      </c>
    </row>
    <row r="1031" spans="1:2" x14ac:dyDescent="0.2">
      <c r="A1031">
        <v>9001050200</v>
      </c>
      <c r="B1031" t="s">
        <v>944</v>
      </c>
    </row>
    <row r="1032" spans="1:2" x14ac:dyDescent="0.2">
      <c r="A1032">
        <v>9001050300</v>
      </c>
      <c r="B1032" t="s">
        <v>944</v>
      </c>
    </row>
    <row r="1033" spans="1:2" x14ac:dyDescent="0.2">
      <c r="A1033">
        <v>9001050400</v>
      </c>
      <c r="B1033" t="s">
        <v>944</v>
      </c>
    </row>
    <row r="1034" spans="1:2" x14ac:dyDescent="0.2">
      <c r="A1034">
        <v>9001050500</v>
      </c>
      <c r="B1034" t="s">
        <v>944</v>
      </c>
    </row>
    <row r="1035" spans="1:2" x14ac:dyDescent="0.2">
      <c r="A1035">
        <v>9001050600</v>
      </c>
      <c r="B1035" t="s">
        <v>944</v>
      </c>
    </row>
    <row r="1036" spans="1:2" x14ac:dyDescent="0.2">
      <c r="A1036">
        <v>9001055200</v>
      </c>
      <c r="B1036" t="s">
        <v>944</v>
      </c>
    </row>
    <row r="1037" spans="1:2" x14ac:dyDescent="0.2">
      <c r="A1037">
        <v>9001060400</v>
      </c>
      <c r="B1037" t="s">
        <v>944</v>
      </c>
    </row>
    <row r="1038" spans="1:2" x14ac:dyDescent="0.2">
      <c r="A1038">
        <v>9003492100</v>
      </c>
      <c r="B1038" t="s">
        <v>944</v>
      </c>
    </row>
    <row r="1039" spans="1:2" x14ac:dyDescent="0.2">
      <c r="A1039">
        <v>9003492200</v>
      </c>
      <c r="B1039" t="s">
        <v>944</v>
      </c>
    </row>
    <row r="1040" spans="1:2" x14ac:dyDescent="0.2">
      <c r="A1040">
        <v>9003492300</v>
      </c>
      <c r="B1040" t="s">
        <v>944</v>
      </c>
    </row>
    <row r="1041" spans="1:2" x14ac:dyDescent="0.2">
      <c r="A1041">
        <v>9003492400</v>
      </c>
      <c r="B1041" t="s">
        <v>944</v>
      </c>
    </row>
    <row r="1042" spans="1:2" x14ac:dyDescent="0.2">
      <c r="A1042">
        <v>9003492500</v>
      </c>
      <c r="B1042" t="s">
        <v>944</v>
      </c>
    </row>
    <row r="1043" spans="1:2" x14ac:dyDescent="0.2">
      <c r="A1043">
        <v>9003492600</v>
      </c>
      <c r="B1043" t="s">
        <v>944</v>
      </c>
    </row>
    <row r="1044" spans="1:2" x14ac:dyDescent="0.2">
      <c r="A1044">
        <v>9003494100</v>
      </c>
      <c r="B1044" t="s">
        <v>944</v>
      </c>
    </row>
    <row r="1045" spans="1:2" x14ac:dyDescent="0.2">
      <c r="A1045">
        <v>9013840100</v>
      </c>
      <c r="B1045" t="s">
        <v>944</v>
      </c>
    </row>
    <row r="1046" spans="1:2" x14ac:dyDescent="0.2">
      <c r="A1046">
        <v>9013890201</v>
      </c>
      <c r="B1046" t="s">
        <v>944</v>
      </c>
    </row>
    <row r="1047" spans="1:2" x14ac:dyDescent="0.2">
      <c r="A1047">
        <v>9015830100</v>
      </c>
      <c r="B1047" t="s">
        <v>944</v>
      </c>
    </row>
    <row r="1048" spans="1:2" x14ac:dyDescent="0.2">
      <c r="A1048">
        <v>9001035400</v>
      </c>
      <c r="B1048" t="s">
        <v>944</v>
      </c>
    </row>
    <row r="1049" spans="1:2" x14ac:dyDescent="0.2">
      <c r="A1049">
        <v>9001042900</v>
      </c>
      <c r="B1049" t="s">
        <v>944</v>
      </c>
    </row>
    <row r="1050" spans="1:2" x14ac:dyDescent="0.2">
      <c r="A1050">
        <v>9001045101</v>
      </c>
      <c r="B1050" t="s">
        <v>944</v>
      </c>
    </row>
    <row r="1051" spans="1:2" x14ac:dyDescent="0.2">
      <c r="A1051">
        <v>9001045102</v>
      </c>
      <c r="B1051" t="s">
        <v>944</v>
      </c>
    </row>
    <row r="1052" spans="1:2" x14ac:dyDescent="0.2">
      <c r="A1052">
        <v>9001045200</v>
      </c>
      <c r="B1052" t="s">
        <v>944</v>
      </c>
    </row>
    <row r="1053" spans="1:2" x14ac:dyDescent="0.2">
      <c r="A1053">
        <v>9001045300</v>
      </c>
      <c r="B1053" t="s">
        <v>944</v>
      </c>
    </row>
    <row r="1054" spans="1:2" x14ac:dyDescent="0.2">
      <c r="A1054">
        <v>9001045400</v>
      </c>
      <c r="B1054" t="s">
        <v>944</v>
      </c>
    </row>
    <row r="1055" spans="1:2" x14ac:dyDescent="0.2">
      <c r="A1055">
        <v>9001055100</v>
      </c>
      <c r="B1055" t="s">
        <v>944</v>
      </c>
    </row>
    <row r="1056" spans="1:2" x14ac:dyDescent="0.2">
      <c r="A1056">
        <v>9001240100</v>
      </c>
      <c r="B1056" t="s">
        <v>944</v>
      </c>
    </row>
    <row r="1057" spans="1:2" x14ac:dyDescent="0.2">
      <c r="A1057">
        <v>9001245400</v>
      </c>
      <c r="B1057" t="s">
        <v>944</v>
      </c>
    </row>
    <row r="1058" spans="1:2" x14ac:dyDescent="0.2">
      <c r="A1058">
        <v>9005290100</v>
      </c>
      <c r="B1058" t="s">
        <v>944</v>
      </c>
    </row>
    <row r="1059" spans="1:2" x14ac:dyDescent="0.2">
      <c r="A1059">
        <v>9005293100</v>
      </c>
      <c r="B1059" t="s">
        <v>944</v>
      </c>
    </row>
    <row r="1060" spans="1:2" x14ac:dyDescent="0.2">
      <c r="A1060">
        <v>9005310700</v>
      </c>
      <c r="B1060" t="s">
        <v>944</v>
      </c>
    </row>
    <row r="1061" spans="1:2" x14ac:dyDescent="0.2">
      <c r="A1061">
        <v>9005320100</v>
      </c>
      <c r="B1061" t="s">
        <v>944</v>
      </c>
    </row>
    <row r="1062" spans="1:2" x14ac:dyDescent="0.2">
      <c r="A1062">
        <v>9005320200</v>
      </c>
      <c r="B1062" t="s">
        <v>944</v>
      </c>
    </row>
    <row r="1063" spans="1:2" x14ac:dyDescent="0.2">
      <c r="A1063">
        <v>9013881500</v>
      </c>
      <c r="B1063" t="s">
        <v>944</v>
      </c>
    </row>
    <row r="1064" spans="1:2" x14ac:dyDescent="0.2">
      <c r="A1064">
        <v>9015800300</v>
      </c>
      <c r="B1064" t="s">
        <v>936</v>
      </c>
    </row>
    <row r="1065" spans="1:2" x14ac:dyDescent="0.2">
      <c r="A1065">
        <v>9015800400</v>
      </c>
      <c r="B1065" t="s">
        <v>944</v>
      </c>
    </row>
    <row r="1066" spans="1:2" x14ac:dyDescent="0.2">
      <c r="A1066">
        <v>9015800500</v>
      </c>
      <c r="B1066" t="s">
        <v>944</v>
      </c>
    </row>
    <row r="1067" spans="1:2" x14ac:dyDescent="0.2">
      <c r="A1067">
        <v>9015800600</v>
      </c>
      <c r="B1067" t="s">
        <v>936</v>
      </c>
    </row>
    <row r="1068" spans="1:2" x14ac:dyDescent="0.2">
      <c r="A1068">
        <v>9015800700</v>
      </c>
      <c r="B1068" t="s">
        <v>936</v>
      </c>
    </row>
    <row r="1069" spans="1:2" x14ac:dyDescent="0.2">
      <c r="A1069">
        <v>9015815000</v>
      </c>
      <c r="B1069" t="s">
        <v>944</v>
      </c>
    </row>
    <row r="1070" spans="1:2" x14ac:dyDescent="0.2">
      <c r="A1070">
        <v>9015825000</v>
      </c>
      <c r="B1070" t="s">
        <v>944</v>
      </c>
    </row>
    <row r="1071" spans="1:2" x14ac:dyDescent="0.2">
      <c r="A1071">
        <v>9003470100</v>
      </c>
      <c r="B1071" t="s">
        <v>944</v>
      </c>
    </row>
    <row r="1072" spans="1:2" x14ac:dyDescent="0.2">
      <c r="A1072">
        <v>9003471400</v>
      </c>
      <c r="B1072" t="s">
        <v>944</v>
      </c>
    </row>
    <row r="1073" spans="1:2" x14ac:dyDescent="0.2">
      <c r="A1073">
        <v>9003473100</v>
      </c>
      <c r="B1073" t="s">
        <v>944</v>
      </c>
    </row>
    <row r="1074" spans="1:2" x14ac:dyDescent="0.2">
      <c r="A1074">
        <v>9003473400</v>
      </c>
      <c r="B1074" t="s">
        <v>944</v>
      </c>
    </row>
    <row r="1075" spans="1:2" x14ac:dyDescent="0.2">
      <c r="A1075">
        <v>9003473501</v>
      </c>
      <c r="B1075" t="s">
        <v>944</v>
      </c>
    </row>
    <row r="1076" spans="1:2" x14ac:dyDescent="0.2">
      <c r="A1076">
        <v>9003473502</v>
      </c>
      <c r="B1076" t="s">
        <v>944</v>
      </c>
    </row>
    <row r="1077" spans="1:2" x14ac:dyDescent="0.2">
      <c r="A1077">
        <v>9003473601</v>
      </c>
      <c r="B1077" t="s">
        <v>944</v>
      </c>
    </row>
    <row r="1078" spans="1:2" x14ac:dyDescent="0.2">
      <c r="A1078">
        <v>9003473602</v>
      </c>
      <c r="B1078" t="s">
        <v>944</v>
      </c>
    </row>
    <row r="1079" spans="1:2" x14ac:dyDescent="0.2">
      <c r="A1079">
        <v>9003473700</v>
      </c>
      <c r="B1079" t="s">
        <v>944</v>
      </c>
    </row>
    <row r="1080" spans="1:2" x14ac:dyDescent="0.2">
      <c r="A1080">
        <v>9003473800</v>
      </c>
      <c r="B1080" t="s">
        <v>944</v>
      </c>
    </row>
    <row r="1081" spans="1:2" x14ac:dyDescent="0.2">
      <c r="A1081">
        <v>9003524400</v>
      </c>
      <c r="B1081" t="s">
        <v>936</v>
      </c>
    </row>
    <row r="1082" spans="1:2" x14ac:dyDescent="0.2">
      <c r="A1082">
        <v>9003476100</v>
      </c>
      <c r="B1082" t="s">
        <v>944</v>
      </c>
    </row>
    <row r="1083" spans="1:2" x14ac:dyDescent="0.2">
      <c r="A1083">
        <v>9003476200</v>
      </c>
      <c r="B1083" t="s">
        <v>944</v>
      </c>
    </row>
    <row r="1084" spans="1:2" x14ac:dyDescent="0.2">
      <c r="A1084">
        <v>9003476300</v>
      </c>
      <c r="B1084" t="s">
        <v>944</v>
      </c>
    </row>
    <row r="1085" spans="1:2" x14ac:dyDescent="0.2">
      <c r="A1085">
        <v>9009352600</v>
      </c>
      <c r="B1085" t="s">
        <v>936</v>
      </c>
    </row>
    <row r="1086" spans="1:2" x14ac:dyDescent="0.2">
      <c r="A1086">
        <v>9009352701</v>
      </c>
      <c r="B1086" t="s">
        <v>936</v>
      </c>
    </row>
    <row r="1087" spans="1:2" x14ac:dyDescent="0.2">
      <c r="A1087">
        <v>9009352800</v>
      </c>
      <c r="B1087" t="s">
        <v>944</v>
      </c>
    </row>
    <row r="1088" spans="1:2" x14ac:dyDescent="0.2">
      <c r="A1088">
        <v>9009361100</v>
      </c>
      <c r="B1088" t="s">
        <v>944</v>
      </c>
    </row>
    <row r="1089" spans="1:2" x14ac:dyDescent="0.2">
      <c r="A1089">
        <v>9009361200</v>
      </c>
      <c r="B1089" t="s">
        <v>944</v>
      </c>
    </row>
    <row r="1090" spans="1:2" x14ac:dyDescent="0.2">
      <c r="A1090">
        <v>9009361300</v>
      </c>
      <c r="B1090" t="s">
        <v>944</v>
      </c>
    </row>
    <row r="1091" spans="1:2" x14ac:dyDescent="0.2">
      <c r="A1091">
        <v>9005342100</v>
      </c>
      <c r="B1091" t="s">
        <v>944</v>
      </c>
    </row>
    <row r="1092" spans="1:2" x14ac:dyDescent="0.2">
      <c r="A1092">
        <v>9005360200</v>
      </c>
      <c r="B1092" t="s">
        <v>944</v>
      </c>
    </row>
    <row r="1093" spans="1:2" x14ac:dyDescent="0.2">
      <c r="A1093">
        <v>9005362101</v>
      </c>
      <c r="B1093" t="s">
        <v>944</v>
      </c>
    </row>
    <row r="1094" spans="1:2" x14ac:dyDescent="0.2">
      <c r="A1094">
        <v>9005362102</v>
      </c>
      <c r="B1094" t="s">
        <v>944</v>
      </c>
    </row>
    <row r="1095" spans="1:2" x14ac:dyDescent="0.2">
      <c r="A1095">
        <v>9015900200</v>
      </c>
      <c r="B1095" t="s">
        <v>944</v>
      </c>
    </row>
    <row r="1096" spans="1:2" x14ac:dyDescent="0.2">
      <c r="A1096">
        <v>9015901100</v>
      </c>
      <c r="B1096" t="s">
        <v>944</v>
      </c>
    </row>
    <row r="1097" spans="1:2" x14ac:dyDescent="0.2">
      <c r="A1097">
        <v>9015902200</v>
      </c>
      <c r="B1097" t="s">
        <v>944</v>
      </c>
    </row>
    <row r="1098" spans="1:2" x14ac:dyDescent="0.2">
      <c r="A1098">
        <v>9015902500</v>
      </c>
      <c r="B1098" t="s">
        <v>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42A9-F400-431F-8D8A-48F4899BD524}">
  <sheetPr>
    <tabColor theme="7" tint="0.59999389629810485"/>
  </sheetPr>
  <dimension ref="A1:R423"/>
  <sheetViews>
    <sheetView zoomScale="85" zoomScaleNormal="85" workbookViewId="0">
      <selection activeCell="F324" sqref="F6:F324"/>
    </sheetView>
  </sheetViews>
  <sheetFormatPr baseColWidth="10" defaultColWidth="8.83203125" defaultRowHeight="15" x14ac:dyDescent="0.2"/>
  <cols>
    <col min="1" max="1" width="15.6640625" style="99" customWidth="1"/>
    <col min="2" max="2" width="20.5" customWidth="1"/>
    <col min="3" max="3" width="20" customWidth="1"/>
    <col min="4" max="4" width="22.6640625" style="51" customWidth="1"/>
    <col min="5" max="5" width="27.33203125" style="34" customWidth="1"/>
    <col min="6" max="6" width="25" style="51" customWidth="1"/>
    <col min="7" max="7" width="34.5" style="210" customWidth="1"/>
    <col min="8" max="8" width="33" bestFit="1" customWidth="1"/>
    <col min="9" max="9" width="43.5" bestFit="1" customWidth="1"/>
    <col min="10" max="10" width="38.5" customWidth="1"/>
    <col min="11" max="11" width="49.33203125" customWidth="1"/>
    <col min="12" max="12" width="22.6640625" customWidth="1"/>
    <col min="13" max="13" width="32.6640625" customWidth="1"/>
    <col min="14" max="14" width="31.33203125" customWidth="1"/>
    <col min="15" max="15" width="41.33203125" customWidth="1"/>
    <col min="16" max="16" width="32.83203125" customWidth="1"/>
    <col min="17" max="17" width="30.83203125" customWidth="1"/>
    <col min="18" max="18" width="41.33203125" customWidth="1"/>
    <col min="19" max="19" width="14.1640625" customWidth="1"/>
  </cols>
  <sheetData>
    <row r="1" spans="1:18" x14ac:dyDescent="0.2">
      <c r="A1" s="329" t="s">
        <v>2711</v>
      </c>
      <c r="B1" s="285"/>
      <c r="C1" s="285"/>
      <c r="D1" s="285"/>
      <c r="E1" s="285"/>
      <c r="F1" s="285"/>
      <c r="G1" s="285"/>
      <c r="H1" s="285"/>
      <c r="I1" s="285"/>
      <c r="J1" s="285"/>
      <c r="K1" s="285"/>
      <c r="L1" s="285"/>
      <c r="M1" s="285"/>
      <c r="N1" s="285"/>
      <c r="O1" s="285"/>
      <c r="P1" s="285"/>
      <c r="Q1" s="285"/>
      <c r="R1" s="286"/>
    </row>
    <row r="2" spans="1:18" ht="16" thickBot="1" x14ac:dyDescent="0.25">
      <c r="A2" s="330"/>
      <c r="B2" s="288"/>
      <c r="C2" s="288"/>
      <c r="D2" s="288"/>
      <c r="E2" s="288"/>
      <c r="F2" s="288"/>
      <c r="G2" s="288"/>
      <c r="H2" s="288"/>
      <c r="I2" s="288"/>
      <c r="J2" s="288"/>
      <c r="K2" s="288"/>
      <c r="L2" s="288"/>
      <c r="M2" s="288"/>
      <c r="N2" s="288"/>
      <c r="O2" s="288"/>
      <c r="P2" s="288"/>
      <c r="Q2" s="288"/>
      <c r="R2" s="289"/>
    </row>
    <row r="3" spans="1:18" ht="17" thickBot="1" x14ac:dyDescent="0.25">
      <c r="A3" s="331" t="s">
        <v>923</v>
      </c>
      <c r="B3" s="300"/>
      <c r="C3" s="300"/>
      <c r="D3" s="281" t="s">
        <v>2698</v>
      </c>
      <c r="E3" s="282"/>
      <c r="F3" s="282"/>
      <c r="G3" s="282"/>
      <c r="H3" s="282"/>
      <c r="I3" s="282"/>
      <c r="J3" s="282"/>
      <c r="K3" s="282"/>
      <c r="L3" s="282"/>
      <c r="M3" s="282"/>
      <c r="N3" s="282"/>
      <c r="O3" s="282"/>
      <c r="P3" s="282"/>
      <c r="Q3" s="282"/>
      <c r="R3" s="283"/>
    </row>
    <row r="4" spans="1:18" ht="16" thickBot="1" x14ac:dyDescent="0.25">
      <c r="A4" s="332"/>
      <c r="B4" s="316"/>
      <c r="C4" s="333"/>
      <c r="D4" s="334" t="s">
        <v>2700</v>
      </c>
      <c r="E4" s="335"/>
      <c r="F4" s="335"/>
      <c r="G4" s="335"/>
      <c r="H4" s="336" t="s">
        <v>2701</v>
      </c>
      <c r="I4" s="337"/>
      <c r="J4" s="337"/>
      <c r="K4" s="337"/>
      <c r="L4" s="338" t="s">
        <v>2702</v>
      </c>
      <c r="M4" s="319"/>
      <c r="N4" s="319"/>
      <c r="O4" s="320"/>
      <c r="P4" s="211"/>
      <c r="Q4" s="211"/>
      <c r="R4" s="212"/>
    </row>
    <row r="5" spans="1:18" ht="21" thickBot="1" x14ac:dyDescent="0.25">
      <c r="A5" s="213" t="s">
        <v>2712</v>
      </c>
      <c r="B5" s="77" t="s">
        <v>2713</v>
      </c>
      <c r="C5" s="82" t="s">
        <v>2714</v>
      </c>
      <c r="D5" s="83" t="s">
        <v>2715</v>
      </c>
      <c r="E5" s="84" t="s">
        <v>2716</v>
      </c>
      <c r="F5" s="85" t="s">
        <v>2717</v>
      </c>
      <c r="G5" s="193" t="s">
        <v>2718</v>
      </c>
      <c r="H5" s="73" t="s">
        <v>2719</v>
      </c>
      <c r="I5" s="194" t="s">
        <v>2720</v>
      </c>
      <c r="J5" s="194" t="s">
        <v>2721</v>
      </c>
      <c r="K5" s="194" t="s">
        <v>2722</v>
      </c>
      <c r="L5" s="73" t="s">
        <v>2723</v>
      </c>
      <c r="M5" s="194" t="s">
        <v>2724</v>
      </c>
      <c r="N5" s="194" t="s">
        <v>2725</v>
      </c>
      <c r="O5" s="70" t="s">
        <v>2726</v>
      </c>
      <c r="P5" s="95" t="s">
        <v>2982</v>
      </c>
      <c r="Q5" s="123" t="s">
        <v>2729</v>
      </c>
      <c r="R5" s="123" t="s">
        <v>2728</v>
      </c>
    </row>
    <row r="6" spans="1:18" ht="15.75" customHeight="1" x14ac:dyDescent="0.2">
      <c r="A6" s="195">
        <v>9001071900</v>
      </c>
      <c r="B6" s="195" t="s">
        <v>2988</v>
      </c>
      <c r="C6" s="195" t="s">
        <v>936</v>
      </c>
      <c r="D6" s="90">
        <f>[2]!Table3[[#This Row],[Residential CLM $ Collected]]+[2]!Table3[[#This Row],[C&amp;I CLM $ Collected]]</f>
        <v>0</v>
      </c>
      <c r="E6" s="91">
        <f>[2]!Table3[[#This Row],[CLM $ Collected ]]/'[2]1.) CLM Reference'!$B$4</f>
        <v>0</v>
      </c>
      <c r="F6" s="92">
        <f>[2]!Table3[[#This Row],[Residential Incentive Disbursements]]+[2]!Table3[[#This Row],[C&amp;I Incentive Disbursements]]</f>
        <v>377.41483207616631</v>
      </c>
      <c r="G6" s="196">
        <f>[2]!Table3[[#This Row],[Incentive Disbursements]]/'[2]1.) CLM Reference'!$B$5</f>
        <v>2.2463847527900245E-5</v>
      </c>
      <c r="H6" s="90">
        <v>0</v>
      </c>
      <c r="I6" s="91">
        <f>[2]!Table3[[#This Row],[Residential CLM $ Collected]]/'[2]1.) CLM Reference'!$B$4</f>
        <v>0</v>
      </c>
      <c r="J6" s="92">
        <v>377.41483207616631</v>
      </c>
      <c r="K6" s="196">
        <f>[2]!Table3[[#This Row],[Residential Incentive Disbursements]]/'[2]1.) CLM Reference'!$B$5</f>
        <v>2.2463847527900245E-5</v>
      </c>
      <c r="L6" s="90">
        <v>0</v>
      </c>
      <c r="M6" s="91">
        <f>[2]!Table3[[#This Row],[C&amp;I CLM $ Collected]]/'[2]1.) CLM Reference'!$B$4</f>
        <v>0</v>
      </c>
      <c r="N6" s="92">
        <v>0</v>
      </c>
      <c r="O6" s="196">
        <f>[2]!Table3[[#This Row],[C&amp;I Incentive Disbursements]]/'[2]1.) CLM Reference'!$B$5</f>
        <v>0</v>
      </c>
      <c r="P6" t="str">
        <f t="shared" ref="P6:P69" si="0">IF(ROUND(M6,5)&lt;0.00001,"N/A",IF(ROUND(M6,5)&lt;=ROUND(O6,5),"YES","NO"))</f>
        <v>N/A</v>
      </c>
      <c r="Q6" t="str">
        <f>VLOOKUP(Table8[[#This Row],[Census Tract]],'UI EnergyBurden'!$A$2:$B$184,2,FALSE)</f>
        <v>Yes</v>
      </c>
      <c r="R6">
        <f>VLOOKUP(Table8[[#This Row],[Census Tract]],'Population and Diversity Data'!$B$2:$K$823,10,FALSE)</f>
        <v>5</v>
      </c>
    </row>
    <row r="7" spans="1:18" ht="15.75" hidden="1" customHeight="1" x14ac:dyDescent="0.2">
      <c r="A7" s="195">
        <v>9009120100</v>
      </c>
      <c r="B7" s="195" t="s">
        <v>2991</v>
      </c>
      <c r="C7" s="195" t="s">
        <v>944</v>
      </c>
      <c r="D7" s="88">
        <f>[2]!Table3[[#This Row],[Residential CLM $ Collected]]+[2]!Table3[[#This Row],[C&amp;I CLM $ Collected]]</f>
        <v>735.65949999999998</v>
      </c>
      <c r="E7" s="197">
        <f>[2]!Table3[[#This Row],[CLM $ Collected ]]/'[2]1.) CLM Reference'!$B$4</f>
        <v>2.527986301018446E-5</v>
      </c>
      <c r="F7" s="89">
        <f>[2]!Table3[[#This Row],[Residential Incentive Disbursements]]+[2]!Table3[[#This Row],[C&amp;I Incentive Disbursements]]</f>
        <v>0</v>
      </c>
      <c r="G7" s="198">
        <f>[2]!Table3[[#This Row],[Incentive Disbursements]]/'[2]1.) CLM Reference'!$B$5</f>
        <v>0</v>
      </c>
      <c r="H7" s="88">
        <v>185.57749999999999</v>
      </c>
      <c r="I7" s="197">
        <f>[2]!Table3[[#This Row],[Residential CLM $ Collected]]/'[2]1.) CLM Reference'!$B$4</f>
        <v>6.3770994295220906E-6</v>
      </c>
      <c r="J7" s="89">
        <v>0</v>
      </c>
      <c r="K7" s="198">
        <f>[2]!Table3[[#This Row],[Residential Incentive Disbursements]]/'[2]1.) CLM Reference'!$B$5</f>
        <v>0</v>
      </c>
      <c r="L7" s="88">
        <v>550.08199999999999</v>
      </c>
      <c r="M7" s="197">
        <f>[2]!Table3[[#This Row],[C&amp;I CLM $ Collected]]/'[2]1.) CLM Reference'!$B$4</f>
        <v>1.890276358066237E-5</v>
      </c>
      <c r="N7" s="89">
        <v>0</v>
      </c>
      <c r="O7" s="198">
        <f>[2]!Table3[[#This Row],[C&amp;I Incentive Disbursements]]/'[2]1.) CLM Reference'!$B$5</f>
        <v>0</v>
      </c>
      <c r="P7" t="str">
        <f t="shared" si="0"/>
        <v>NO</v>
      </c>
      <c r="Q7" t="str">
        <f>VLOOKUP(Table8[[#This Row],[Census Tract]],'UI EnergyBurden'!$A$2:$B$184,2,FALSE)</f>
        <v>No</v>
      </c>
      <c r="R7">
        <f>VLOOKUP(Table8[[#This Row],[Census Tract]],'Population and Diversity Data'!$B$2:$K$823,10,FALSE)</f>
        <v>2</v>
      </c>
    </row>
    <row r="8" spans="1:18" ht="15.75" hidden="1" customHeight="1" x14ac:dyDescent="0.2">
      <c r="A8" s="195">
        <v>9009120200</v>
      </c>
      <c r="B8" s="195" t="s">
        <v>2991</v>
      </c>
      <c r="C8" s="195" t="s">
        <v>944</v>
      </c>
      <c r="D8" s="88">
        <f>[2]!Table3[[#This Row],[Residential CLM $ Collected]]+[2]!Table3[[#This Row],[C&amp;I CLM $ Collected]]</f>
        <v>53.532299999999999</v>
      </c>
      <c r="E8" s="197">
        <f>[2]!Table3[[#This Row],[CLM $ Collected ]]/'[2]1.) CLM Reference'!$B$4</f>
        <v>1.8395592126793681E-6</v>
      </c>
      <c r="F8" s="89">
        <f>[2]!Table3[[#This Row],[Residential Incentive Disbursements]]+[2]!Table3[[#This Row],[C&amp;I Incentive Disbursements]]</f>
        <v>157.10302618683548</v>
      </c>
      <c r="G8" s="198">
        <f>[2]!Table3[[#This Row],[Incentive Disbursements]]/'[2]1.) CLM Reference'!$B$5</f>
        <v>9.3508207057442145E-6</v>
      </c>
      <c r="H8" s="88">
        <v>53.532299999999999</v>
      </c>
      <c r="I8" s="197">
        <f>[2]!Table3[[#This Row],[Residential CLM $ Collected]]/'[2]1.) CLM Reference'!$B$4</f>
        <v>1.8395592126793681E-6</v>
      </c>
      <c r="J8" s="89">
        <v>157.10302618683548</v>
      </c>
      <c r="K8" s="198">
        <f>[2]!Table3[[#This Row],[Residential Incentive Disbursements]]/'[2]1.) CLM Reference'!$B$5</f>
        <v>9.3508207057442145E-6</v>
      </c>
      <c r="L8" s="88">
        <v>0</v>
      </c>
      <c r="M8" s="197">
        <f>[2]!Table3[[#This Row],[C&amp;I CLM $ Collected]]/'[2]1.) CLM Reference'!$B$4</f>
        <v>0</v>
      </c>
      <c r="N8" s="89">
        <v>0</v>
      </c>
      <c r="O8" s="198">
        <f>[2]!Table3[[#This Row],[C&amp;I Incentive Disbursements]]/'[2]1.) CLM Reference'!$B$5</f>
        <v>0</v>
      </c>
      <c r="P8" t="str">
        <f t="shared" si="0"/>
        <v>N/A</v>
      </c>
      <c r="Q8" t="str">
        <f>VLOOKUP(Table8[[#This Row],[Census Tract]],'UI EnergyBurden'!$A$2:$B$184,2,FALSE)</f>
        <v>Yes</v>
      </c>
      <c r="R8">
        <f>VLOOKUP(Table8[[#This Row],[Census Tract]],'Population and Diversity Data'!$B$2:$K$823,10,FALSE)</f>
        <v>4</v>
      </c>
    </row>
    <row r="9" spans="1:18" ht="15.75" hidden="1" customHeight="1" x14ac:dyDescent="0.2">
      <c r="A9" s="195">
        <v>9009125100</v>
      </c>
      <c r="B9" s="195" t="s">
        <v>2991</v>
      </c>
      <c r="C9" s="195" t="s">
        <v>944</v>
      </c>
      <c r="D9" s="88">
        <f>[2]!Table3[[#This Row],[Residential CLM $ Collected]]+[2]!Table3[[#This Row],[C&amp;I CLM $ Collected]]</f>
        <v>77782.796199999997</v>
      </c>
      <c r="E9" s="197">
        <f>[2]!Table3[[#This Row],[CLM $ Collected ]]/'[2]1.) CLM Reference'!$B$4</f>
        <v>2.6728920546599294E-3</v>
      </c>
      <c r="F9" s="89">
        <f>[2]!Table3[[#This Row],[Residential Incentive Disbursements]]+[2]!Table3[[#This Row],[C&amp;I Incentive Disbursements]]</f>
        <v>61060.649343701472</v>
      </c>
      <c r="G9" s="198">
        <f>[2]!Table3[[#This Row],[Incentive Disbursements]]/'[2]1.) CLM Reference'!$B$5</f>
        <v>3.6343487331061677E-3</v>
      </c>
      <c r="H9" s="88">
        <v>74097.026599999997</v>
      </c>
      <c r="I9" s="197">
        <f>[2]!Table3[[#This Row],[Residential CLM $ Collected]]/'[2]1.) CLM Reference'!$B$4</f>
        <v>2.5462359718184759E-3</v>
      </c>
      <c r="J9" s="89">
        <v>61060.649343701472</v>
      </c>
      <c r="K9" s="198">
        <f>[2]!Table3[[#This Row],[Residential Incentive Disbursements]]/'[2]1.) CLM Reference'!$B$5</f>
        <v>3.6343487331061677E-3</v>
      </c>
      <c r="L9" s="88">
        <v>3685.7696000000001</v>
      </c>
      <c r="M9" s="197">
        <f>[2]!Table3[[#This Row],[C&amp;I CLM $ Collected]]/'[2]1.) CLM Reference'!$B$4</f>
        <v>1.2665608284145367E-4</v>
      </c>
      <c r="N9" s="89">
        <v>0</v>
      </c>
      <c r="O9" s="198">
        <f>[2]!Table3[[#This Row],[C&amp;I Incentive Disbursements]]/'[2]1.) CLM Reference'!$B$5</f>
        <v>0</v>
      </c>
      <c r="P9" t="str">
        <f t="shared" si="0"/>
        <v>NO</v>
      </c>
      <c r="Q9" t="str">
        <f>VLOOKUP(Table8[[#This Row],[Census Tract]],'UI EnergyBurden'!$A$2:$B$184,2,FALSE)</f>
        <v>No</v>
      </c>
      <c r="R9">
        <f>VLOOKUP(Table8[[#This Row],[Census Tract]],'Population and Diversity Data'!$B$2:$K$823,10,FALSE)</f>
        <v>1</v>
      </c>
    </row>
    <row r="10" spans="1:18" ht="15.75" hidden="1" customHeight="1" x14ac:dyDescent="0.2">
      <c r="A10" s="195">
        <v>9009125200</v>
      </c>
      <c r="B10" s="195" t="s">
        <v>2991</v>
      </c>
      <c r="C10" s="195" t="s">
        <v>944</v>
      </c>
      <c r="D10" s="88">
        <f>[2]!Table3[[#This Row],[Residential CLM $ Collected]]+[2]!Table3[[#This Row],[C&amp;I CLM $ Collected]]</f>
        <v>130296.8024</v>
      </c>
      <c r="E10" s="197">
        <f>[2]!Table3[[#This Row],[CLM $ Collected ]]/'[2]1.) CLM Reference'!$B$4</f>
        <v>4.4774590898874738E-3</v>
      </c>
      <c r="F10" s="89">
        <f>[2]!Table3[[#This Row],[Residential Incentive Disbursements]]+[2]!Table3[[#This Row],[C&amp;I Incentive Disbursements]]</f>
        <v>42910.046139093654</v>
      </c>
      <c r="G10" s="198">
        <f>[2]!Table3[[#This Row],[Incentive Disbursements]]/'[2]1.) CLM Reference'!$B$5</f>
        <v>2.5540192169480882E-3</v>
      </c>
      <c r="H10" s="88">
        <v>85166.804499999998</v>
      </c>
      <c r="I10" s="197">
        <f>[2]!Table3[[#This Row],[Residential CLM $ Collected]]/'[2]1.) CLM Reference'!$B$4</f>
        <v>2.9266327027315784E-3</v>
      </c>
      <c r="J10" s="89">
        <v>36715.046139093654</v>
      </c>
      <c r="K10" s="198">
        <f>[2]!Table3[[#This Row],[Residential Incentive Disbursements]]/'[2]1.) CLM Reference'!$B$5</f>
        <v>2.185290901026319E-3</v>
      </c>
      <c r="L10" s="88">
        <v>45129.997900000002</v>
      </c>
      <c r="M10" s="197">
        <f>[2]!Table3[[#This Row],[C&amp;I CLM $ Collected]]/'[2]1.) CLM Reference'!$B$4</f>
        <v>1.5508263871558954E-3</v>
      </c>
      <c r="N10" s="89">
        <v>6195</v>
      </c>
      <c r="O10" s="198">
        <f>[2]!Table3[[#This Row],[C&amp;I Incentive Disbursements]]/'[2]1.) CLM Reference'!$B$5</f>
        <v>3.6872831592176891E-4</v>
      </c>
      <c r="P10" t="str">
        <f t="shared" si="0"/>
        <v>NO</v>
      </c>
      <c r="Q10" t="str">
        <f>VLOOKUP(Table8[[#This Row],[Census Tract]],'UI EnergyBurden'!$A$2:$B$184,2,FALSE)</f>
        <v>No</v>
      </c>
      <c r="R10">
        <f>VLOOKUP(Table8[[#This Row],[Census Tract]],'Population and Diversity Data'!$B$2:$K$823,10,FALSE)</f>
        <v>3</v>
      </c>
    </row>
    <row r="11" spans="1:18" ht="15.75" customHeight="1" x14ac:dyDescent="0.2">
      <c r="A11" s="195">
        <v>9009125300</v>
      </c>
      <c r="B11" s="195" t="s">
        <v>2991</v>
      </c>
      <c r="C11" s="195" t="s">
        <v>936</v>
      </c>
      <c r="D11" s="88">
        <f>[2]!Table3[[#This Row],[Residential CLM $ Collected]]+[2]!Table3[[#This Row],[C&amp;I CLM $ Collected]]</f>
        <v>109179.47779999999</v>
      </c>
      <c r="E11" s="197">
        <f>[2]!Table3[[#This Row],[CLM $ Collected ]]/'[2]1.) CLM Reference'!$B$4</f>
        <v>3.7517931085066874E-3</v>
      </c>
      <c r="F11" s="89">
        <f>[2]!Table3[[#This Row],[Residential Incentive Disbursements]]+[2]!Table3[[#This Row],[C&amp;I Incentive Disbursements]]</f>
        <v>36715.489381320585</v>
      </c>
      <c r="G11" s="198">
        <f>[2]!Table3[[#This Row],[Incentive Disbursements]]/'[2]1.) CLM Reference'!$B$5</f>
        <v>2.1853172829407472E-3</v>
      </c>
      <c r="H11" s="88">
        <v>72329.1342</v>
      </c>
      <c r="I11" s="197">
        <f>[2]!Table3[[#This Row],[Residential CLM $ Collected]]/'[2]1.) CLM Reference'!$B$4</f>
        <v>2.4854849345672119E-3</v>
      </c>
      <c r="J11" s="89">
        <v>31286.639381320583</v>
      </c>
      <c r="K11" s="198">
        <f>[2]!Table3[[#This Row],[Residential Incentive Disbursements]]/'[2]1.) CLM Reference'!$B$5</f>
        <v>1.8621904519654613E-3</v>
      </c>
      <c r="L11" s="88">
        <v>36850.3436</v>
      </c>
      <c r="M11" s="197">
        <f>[2]!Table3[[#This Row],[C&amp;I CLM $ Collected]]/'[2]1.) CLM Reference'!$B$4</f>
        <v>1.2663081739394757E-3</v>
      </c>
      <c r="N11" s="89">
        <v>5428.85</v>
      </c>
      <c r="O11" s="198">
        <f>[2]!Table3[[#This Row],[C&amp;I Incentive Disbursements]]/'[2]1.) CLM Reference'!$B$5</f>
        <v>3.2312683097528578E-4</v>
      </c>
      <c r="P11" t="str">
        <f t="shared" si="0"/>
        <v>NO</v>
      </c>
      <c r="Q11" t="str">
        <f>VLOOKUP(Table8[[#This Row],[Census Tract]],'UI EnergyBurden'!$A$2:$B$184,2,FALSE)</f>
        <v>No</v>
      </c>
      <c r="R11">
        <f>VLOOKUP(Table8[[#This Row],[Census Tract]],'Population and Diversity Data'!$B$2:$K$823,10,FALSE)</f>
        <v>5</v>
      </c>
    </row>
    <row r="12" spans="1:18" ht="15.75" hidden="1" customHeight="1" x14ac:dyDescent="0.2">
      <c r="A12" s="195">
        <v>9009125400</v>
      </c>
      <c r="B12" s="195" t="s">
        <v>2991</v>
      </c>
      <c r="C12" s="195" t="s">
        <v>944</v>
      </c>
      <c r="D12" s="88">
        <f>[2]!Table3[[#This Row],[Residential CLM $ Collected]]+[2]!Table3[[#This Row],[C&amp;I CLM $ Collected]]</f>
        <v>56573.526800000102</v>
      </c>
      <c r="E12" s="197">
        <f>[2]!Table3[[#This Row],[CLM $ Collected ]]/'[2]1.) CLM Reference'!$B$4</f>
        <v>1.9440665246720824E-3</v>
      </c>
      <c r="F12" s="89">
        <f>[2]!Table3[[#This Row],[Residential Incentive Disbursements]]+[2]!Table3[[#This Row],[C&amp;I Incentive Disbursements]]</f>
        <v>31893.363206699189</v>
      </c>
      <c r="G12" s="198">
        <f>[2]!Table3[[#This Row],[Incentive Disbursements]]/'[2]1.) CLM Reference'!$B$5</f>
        <v>1.8983028416928974E-3</v>
      </c>
      <c r="H12" s="88">
        <v>50934.988800000101</v>
      </c>
      <c r="I12" s="197">
        <f>[2]!Table3[[#This Row],[Residential CLM $ Collected]]/'[2]1.) CLM Reference'!$B$4</f>
        <v>1.7503064111715847E-3</v>
      </c>
      <c r="J12" s="89">
        <v>31475.363206699189</v>
      </c>
      <c r="K12" s="198">
        <f>[2]!Table3[[#This Row],[Residential Incentive Disbursements]]/'[2]1.) CLM Reference'!$B$5</f>
        <v>1.8734233524184342E-3</v>
      </c>
      <c r="L12" s="88">
        <v>5638.5379999999996</v>
      </c>
      <c r="M12" s="197">
        <f>[2]!Table3[[#This Row],[C&amp;I CLM $ Collected]]/'[2]1.) CLM Reference'!$B$4</f>
        <v>1.9376011350049781E-4</v>
      </c>
      <c r="N12" s="89">
        <v>418</v>
      </c>
      <c r="O12" s="198">
        <f>[2]!Table3[[#This Row],[C&amp;I Incentive Disbursements]]/'[2]1.) CLM Reference'!$B$5</f>
        <v>2.4879489274463182E-5</v>
      </c>
      <c r="P12" t="str">
        <f t="shared" si="0"/>
        <v>NO</v>
      </c>
      <c r="Q12" t="str">
        <f>VLOOKUP(Table8[[#This Row],[Census Tract]],'UI EnergyBurden'!$A$2:$B$184,2,FALSE)</f>
        <v>No</v>
      </c>
      <c r="R12">
        <f>VLOOKUP(Table8[[#This Row],[Census Tract]],'Population and Diversity Data'!$B$2:$K$823,10,FALSE)</f>
        <v>3</v>
      </c>
    </row>
    <row r="13" spans="1:18" ht="15.75" hidden="1" customHeight="1" x14ac:dyDescent="0.2">
      <c r="A13" s="195">
        <v>9009130102</v>
      </c>
      <c r="B13" s="195" t="s">
        <v>2991</v>
      </c>
      <c r="C13" s="195" t="s">
        <v>944</v>
      </c>
      <c r="D13" s="88">
        <f>[2]!Table3[[#This Row],[Residential CLM $ Collected]]+[2]!Table3[[#This Row],[C&amp;I CLM $ Collected]]</f>
        <v>151.18</v>
      </c>
      <c r="E13" s="197">
        <f>[2]!Table3[[#This Row],[CLM $ Collected ]]/'[2]1.) CLM Reference'!$B$4</f>
        <v>5.1950796392620322E-6</v>
      </c>
      <c r="F13" s="89">
        <f>[2]!Table3[[#This Row],[Residential Incentive Disbursements]]+[2]!Table3[[#This Row],[C&amp;I Incentive Disbursements]]</f>
        <v>0</v>
      </c>
      <c r="G13" s="198">
        <f>[2]!Table3[[#This Row],[Incentive Disbursements]]/'[2]1.) CLM Reference'!$B$5</f>
        <v>0</v>
      </c>
      <c r="H13" s="88">
        <v>151.18</v>
      </c>
      <c r="I13" s="197">
        <f>[2]!Table3[[#This Row],[Residential CLM $ Collected]]/'[2]1.) CLM Reference'!$B$4</f>
        <v>5.1950796392620322E-6</v>
      </c>
      <c r="J13" s="89">
        <v>0</v>
      </c>
      <c r="K13" s="198">
        <f>[2]!Table3[[#This Row],[Residential Incentive Disbursements]]/'[2]1.) CLM Reference'!$B$5</f>
        <v>0</v>
      </c>
      <c r="L13" s="88">
        <v>0</v>
      </c>
      <c r="M13" s="197">
        <f>[2]!Table3[[#This Row],[C&amp;I CLM $ Collected]]/'[2]1.) CLM Reference'!$B$4</f>
        <v>0</v>
      </c>
      <c r="N13" s="89">
        <v>0</v>
      </c>
      <c r="O13" s="198">
        <f>[2]!Table3[[#This Row],[C&amp;I Incentive Disbursements]]/'[2]1.) CLM Reference'!$B$5</f>
        <v>0</v>
      </c>
      <c r="P13" t="str">
        <f t="shared" si="0"/>
        <v>N/A</v>
      </c>
      <c r="Q13" t="str">
        <f>VLOOKUP(Table8[[#This Row],[Census Tract]],'UI EnergyBurden'!$A$2:$B$184,2,FALSE)</f>
        <v>No</v>
      </c>
      <c r="R13">
        <f>VLOOKUP(Table8[[#This Row],[Census Tract]],'Population and Diversity Data'!$B$2:$K$823,10,FALSE)</f>
        <v>2</v>
      </c>
    </row>
    <row r="14" spans="1:18" ht="15.75" hidden="1" customHeight="1" x14ac:dyDescent="0.2">
      <c r="A14" s="195">
        <v>9009130200</v>
      </c>
      <c r="B14" s="195" t="s">
        <v>2991</v>
      </c>
      <c r="C14" s="195" t="s">
        <v>944</v>
      </c>
      <c r="D14" s="88">
        <f>[2]!Table3[[#This Row],[Residential CLM $ Collected]]+[2]!Table3[[#This Row],[C&amp;I CLM $ Collected]]</f>
        <v>622.11829999999998</v>
      </c>
      <c r="E14" s="197">
        <f>[2]!Table3[[#This Row],[CLM $ Collected ]]/'[2]1.) CLM Reference'!$B$4</f>
        <v>2.1378185696139097E-5</v>
      </c>
      <c r="F14" s="89">
        <f>[2]!Table3[[#This Row],[Residential Incentive Disbursements]]+[2]!Table3[[#This Row],[C&amp;I Incentive Disbursements]]</f>
        <v>0</v>
      </c>
      <c r="G14" s="198">
        <f>[2]!Table3[[#This Row],[Incentive Disbursements]]/'[2]1.) CLM Reference'!$B$5</f>
        <v>0</v>
      </c>
      <c r="H14" s="88">
        <v>65.553799999999995</v>
      </c>
      <c r="I14" s="197">
        <f>[2]!Table3[[#This Row],[Residential CLM $ Collected]]/'[2]1.) CLM Reference'!$B$4</f>
        <v>2.2526604819172864E-6</v>
      </c>
      <c r="J14" s="89">
        <v>0</v>
      </c>
      <c r="K14" s="198">
        <f>[2]!Table3[[#This Row],[Residential Incentive Disbursements]]/'[2]1.) CLM Reference'!$B$5</f>
        <v>0</v>
      </c>
      <c r="L14" s="88">
        <v>556.56449999999995</v>
      </c>
      <c r="M14" s="197">
        <f>[2]!Table3[[#This Row],[C&amp;I CLM $ Collected]]/'[2]1.) CLM Reference'!$B$4</f>
        <v>1.9125525214221809E-5</v>
      </c>
      <c r="N14" s="89">
        <v>0</v>
      </c>
      <c r="O14" s="198">
        <f>[2]!Table3[[#This Row],[C&amp;I Incentive Disbursements]]/'[2]1.) CLM Reference'!$B$5</f>
        <v>0</v>
      </c>
      <c r="P14" t="str">
        <f t="shared" si="0"/>
        <v>NO</v>
      </c>
      <c r="Q14" t="str">
        <f>VLOOKUP(Table8[[#This Row],[Census Tract]],'UI EnergyBurden'!$A$2:$B$184,2,FALSE)</f>
        <v>No</v>
      </c>
      <c r="R14">
        <f>VLOOKUP(Table8[[#This Row],[Census Tract]],'Population and Diversity Data'!$B$2:$K$823,10,FALSE)</f>
        <v>3</v>
      </c>
    </row>
    <row r="15" spans="1:18" ht="15.75" hidden="1" customHeight="1" x14ac:dyDescent="0.2">
      <c r="A15" s="195">
        <v>9009160100</v>
      </c>
      <c r="B15" s="195" t="s">
        <v>2991</v>
      </c>
      <c r="C15" s="195" t="s">
        <v>944</v>
      </c>
      <c r="D15" s="88">
        <f>[2]!Table3[[#This Row],[Residential CLM $ Collected]]+[2]!Table3[[#This Row],[C&amp;I CLM $ Collected]]</f>
        <v>364.3947</v>
      </c>
      <c r="E15" s="197">
        <f>[2]!Table3[[#This Row],[CLM $ Collected ]]/'[2]1.) CLM Reference'!$B$4</f>
        <v>1.2521891034693719E-5</v>
      </c>
      <c r="F15" s="89">
        <f>[2]!Table3[[#This Row],[Residential Incentive Disbursements]]+[2]!Table3[[#This Row],[C&amp;I Incentive Disbursements]]</f>
        <v>0</v>
      </c>
      <c r="G15" s="198">
        <f>[2]!Table3[[#This Row],[Incentive Disbursements]]/'[2]1.) CLM Reference'!$B$5</f>
        <v>0</v>
      </c>
      <c r="H15" s="88">
        <v>364.3947</v>
      </c>
      <c r="I15" s="197">
        <f>[2]!Table3[[#This Row],[Residential CLM $ Collected]]/'[2]1.) CLM Reference'!$B$4</f>
        <v>1.2521891034693719E-5</v>
      </c>
      <c r="J15" s="89">
        <v>0</v>
      </c>
      <c r="K15" s="198">
        <f>[2]!Table3[[#This Row],[Residential Incentive Disbursements]]/'[2]1.) CLM Reference'!$B$5</f>
        <v>0</v>
      </c>
      <c r="L15" s="88">
        <v>0</v>
      </c>
      <c r="M15" s="197">
        <f>[2]!Table3[[#This Row],[C&amp;I CLM $ Collected]]/'[2]1.) CLM Reference'!$B$4</f>
        <v>0</v>
      </c>
      <c r="N15" s="89">
        <v>0</v>
      </c>
      <c r="O15" s="198">
        <f>[2]!Table3[[#This Row],[C&amp;I Incentive Disbursements]]/'[2]1.) CLM Reference'!$B$5</f>
        <v>0</v>
      </c>
      <c r="P15" t="str">
        <f t="shared" si="0"/>
        <v>N/A</v>
      </c>
      <c r="Q15" t="str">
        <f>VLOOKUP(Table8[[#This Row],[Census Tract]],'UI EnergyBurden'!$A$2:$B$184,2,FALSE)</f>
        <v>No</v>
      </c>
      <c r="R15">
        <f>VLOOKUP(Table8[[#This Row],[Census Tract]],'Population and Diversity Data'!$B$2:$K$823,10,FALSE)</f>
        <v>5</v>
      </c>
    </row>
    <row r="16" spans="1:18" ht="15.75" hidden="1" customHeight="1" x14ac:dyDescent="0.2">
      <c r="A16" s="195">
        <v>9001060100</v>
      </c>
      <c r="B16" s="195" t="s">
        <v>934</v>
      </c>
      <c r="C16" s="195" t="s">
        <v>944</v>
      </c>
      <c r="D16" s="88">
        <f>[2]!Table3[[#This Row],[Residential CLM $ Collected]]+[2]!Table3[[#This Row],[C&amp;I CLM $ Collected]]</f>
        <v>0.90290000000000004</v>
      </c>
      <c r="E16" s="197">
        <f>[2]!Table3[[#This Row],[CLM $ Collected ]]/'[2]1.) CLM Reference'!$B$4</f>
        <v>3.1026838247715896E-8</v>
      </c>
      <c r="F16" s="89">
        <f>[2]!Table3[[#This Row],[Residential Incentive Disbursements]]+[2]!Table3[[#This Row],[C&amp;I Incentive Disbursements]]</f>
        <v>0</v>
      </c>
      <c r="G16" s="198">
        <f>[2]!Table3[[#This Row],[Incentive Disbursements]]/'[2]1.) CLM Reference'!$B$5</f>
        <v>0</v>
      </c>
      <c r="H16" s="88">
        <v>0</v>
      </c>
      <c r="I16" s="197">
        <f>[2]!Table3[[#This Row],[Residential CLM $ Collected]]/'[2]1.) CLM Reference'!$B$4</f>
        <v>0</v>
      </c>
      <c r="J16" s="89">
        <v>0</v>
      </c>
      <c r="K16" s="198">
        <f>[2]!Table3[[#This Row],[Residential Incentive Disbursements]]/'[2]1.) CLM Reference'!$B$5</f>
        <v>0</v>
      </c>
      <c r="L16" s="88">
        <v>0.90290000000000004</v>
      </c>
      <c r="M16" s="197">
        <f>[2]!Table3[[#This Row],[C&amp;I CLM $ Collected]]/'[2]1.) CLM Reference'!$B$4</f>
        <v>3.1026838247715896E-8</v>
      </c>
      <c r="N16" s="89">
        <v>0</v>
      </c>
      <c r="O16" s="198">
        <f>[2]!Table3[[#This Row],[C&amp;I Incentive Disbursements]]/'[2]1.) CLM Reference'!$B$5</f>
        <v>0</v>
      </c>
      <c r="P16" t="str">
        <f t="shared" si="0"/>
        <v>N/A</v>
      </c>
      <c r="Q16" t="str">
        <f>VLOOKUP(Table8[[#This Row],[Census Tract]],'UI EnergyBurden'!$A$2:$B$184,2,FALSE)</f>
        <v>No</v>
      </c>
      <c r="R16">
        <f>VLOOKUP(Table8[[#This Row],[Census Tract]],'Population and Diversity Data'!$B$2:$K$823,10,FALSE)</f>
        <v>2</v>
      </c>
    </row>
    <row r="17" spans="1:18" ht="15.75" hidden="1" customHeight="1" x14ac:dyDescent="0.2">
      <c r="A17" s="195">
        <v>9001061500</v>
      </c>
      <c r="B17" s="195" t="s">
        <v>934</v>
      </c>
      <c r="C17" s="195" t="s">
        <v>944</v>
      </c>
      <c r="D17" s="88">
        <f>[2]!Table3[[#This Row],[Residential CLM $ Collected]]+[2]!Table3[[#This Row],[C&amp;I CLM $ Collected]]</f>
        <v>539.35699999999997</v>
      </c>
      <c r="E17" s="197">
        <f>[2]!Table3[[#This Row],[CLM $ Collected ]]/'[2]1.) CLM Reference'!$B$4</f>
        <v>1.8534214638136338E-5</v>
      </c>
      <c r="F17" s="89">
        <f>[2]!Table3[[#This Row],[Residential Incentive Disbursements]]+[2]!Table3[[#This Row],[C&amp;I Incentive Disbursements]]</f>
        <v>0</v>
      </c>
      <c r="G17" s="198">
        <f>[2]!Table3[[#This Row],[Incentive Disbursements]]/'[2]1.) CLM Reference'!$B$5</f>
        <v>0</v>
      </c>
      <c r="H17" s="88">
        <v>0</v>
      </c>
      <c r="I17" s="197">
        <f>[2]!Table3[[#This Row],[Residential CLM $ Collected]]/'[2]1.) CLM Reference'!$B$4</f>
        <v>0</v>
      </c>
      <c r="J17" s="89">
        <v>0</v>
      </c>
      <c r="K17" s="198">
        <f>[2]!Table3[[#This Row],[Residential Incentive Disbursements]]/'[2]1.) CLM Reference'!$B$5</f>
        <v>0</v>
      </c>
      <c r="L17" s="88">
        <v>539.35699999999997</v>
      </c>
      <c r="M17" s="197">
        <f>[2]!Table3[[#This Row],[C&amp;I CLM $ Collected]]/'[2]1.) CLM Reference'!$B$4</f>
        <v>1.8534214638136338E-5</v>
      </c>
      <c r="N17" s="89">
        <v>0</v>
      </c>
      <c r="O17" s="198">
        <f>[2]!Table3[[#This Row],[C&amp;I Incentive Disbursements]]/'[2]1.) CLM Reference'!$B$5</f>
        <v>0</v>
      </c>
      <c r="P17" t="str">
        <f t="shared" si="0"/>
        <v>NO</v>
      </c>
      <c r="Q17" t="str">
        <f>VLOOKUP(Table8[[#This Row],[Census Tract]],'UI EnergyBurden'!$A$2:$B$184,2,FALSE)</f>
        <v>No</v>
      </c>
      <c r="R17">
        <f>VLOOKUP(Table8[[#This Row],[Census Tract]],'Population and Diversity Data'!$B$2:$K$823,10,FALSE)</f>
        <v>4</v>
      </c>
    </row>
    <row r="18" spans="1:18" ht="15.75" customHeight="1" x14ac:dyDescent="0.2">
      <c r="A18" s="195">
        <v>9001070100</v>
      </c>
      <c r="B18" s="195" t="s">
        <v>934</v>
      </c>
      <c r="C18" s="195" t="s">
        <v>936</v>
      </c>
      <c r="D18" s="88">
        <f>[2]!Table3[[#This Row],[Residential CLM $ Collected]]+[2]!Table3[[#This Row],[C&amp;I CLM $ Collected]]</f>
        <v>118414.09310000039</v>
      </c>
      <c r="E18" s="197">
        <f>[2]!Table3[[#This Row],[CLM $ Collected ]]/'[2]1.) CLM Reference'!$B$4</f>
        <v>4.0691271601104029E-3</v>
      </c>
      <c r="F18" s="89">
        <f>[2]!Table3[[#This Row],[Residential Incentive Disbursements]]+[2]!Table3[[#This Row],[C&amp;I Incentive Disbursements]]</f>
        <v>19975.79247168724</v>
      </c>
      <c r="G18" s="198">
        <f>[2]!Table3[[#This Row],[Incentive Disbursements]]/'[2]1.) CLM Reference'!$B$5</f>
        <v>1.1889653458091987E-3</v>
      </c>
      <c r="H18" s="88">
        <v>87876.710500000394</v>
      </c>
      <c r="I18" s="197">
        <f>[2]!Table3[[#This Row],[Residential CLM $ Collected]]/'[2]1.) CLM Reference'!$B$4</f>
        <v>3.0197546599012837E-3</v>
      </c>
      <c r="J18" s="89">
        <v>19354.242950006465</v>
      </c>
      <c r="K18" s="198">
        <f>[2]!Table3[[#This Row],[Residential Incentive Disbursements]]/'[2]1.) CLM Reference'!$B$5</f>
        <v>1.1519705260527285E-3</v>
      </c>
      <c r="L18" s="88">
        <v>30537.382600000001</v>
      </c>
      <c r="M18" s="197">
        <f>[2]!Table3[[#This Row],[C&amp;I CLM $ Collected]]/'[2]1.) CLM Reference'!$B$4</f>
        <v>1.0493725002091194E-3</v>
      </c>
      <c r="N18" s="89">
        <v>621.54952168077637</v>
      </c>
      <c r="O18" s="198">
        <f>[2]!Table3[[#This Row],[C&amp;I Incentive Disbursements]]/'[2]1.) CLM Reference'!$B$5</f>
        <v>3.6994819756470325E-5</v>
      </c>
      <c r="P18" t="str">
        <f t="shared" si="0"/>
        <v>NO</v>
      </c>
      <c r="Q18" t="str">
        <f>VLOOKUP(Table8[[#This Row],[Census Tract]],'UI EnergyBurden'!$A$2:$B$184,2,FALSE)</f>
        <v>No</v>
      </c>
      <c r="R18">
        <f>VLOOKUP(Table8[[#This Row],[Census Tract]],'Population and Diversity Data'!$B$2:$K$823,10,FALSE)</f>
        <v>4</v>
      </c>
    </row>
    <row r="19" spans="1:18" ht="15.75" customHeight="1" x14ac:dyDescent="0.2">
      <c r="A19" s="195">
        <v>9001070200</v>
      </c>
      <c r="B19" s="195" t="s">
        <v>934</v>
      </c>
      <c r="C19" s="195" t="s">
        <v>936</v>
      </c>
      <c r="D19" s="88">
        <f>[2]!Table3[[#This Row],[Residential CLM $ Collected]]+[2]!Table3[[#This Row],[C&amp;I CLM $ Collected]]</f>
        <v>67503.344800000006</v>
      </c>
      <c r="E19" s="197">
        <f>[2]!Table3[[#This Row],[CLM $ Collected ]]/'[2]1.) CLM Reference'!$B$4</f>
        <v>2.3196537382759929E-3</v>
      </c>
      <c r="F19" s="89">
        <f>[2]!Table3[[#This Row],[Residential Incentive Disbursements]]+[2]!Table3[[#This Row],[C&amp;I Incentive Disbursements]]</f>
        <v>11930.030455749671</v>
      </c>
      <c r="G19" s="198">
        <f>[2]!Table3[[#This Row],[Incentive Disbursements]]/'[2]1.) CLM Reference'!$B$5</f>
        <v>7.1007910231541402E-4</v>
      </c>
      <c r="H19" s="199">
        <v>45704.852400000003</v>
      </c>
      <c r="I19" s="200">
        <f>[2]!Table3[[#This Row],[Residential CLM $ Collected]]/'[2]1.) CLM Reference'!$B$4</f>
        <v>1.570580421475833E-3</v>
      </c>
      <c r="J19" s="201">
        <v>3888.8271258603008</v>
      </c>
      <c r="K19" s="202">
        <f>[2]!Table3[[#This Row],[Residential Incentive Disbursements]]/'[2]1.) CLM Reference'!$B$5</f>
        <v>2.3146419322507856E-4</v>
      </c>
      <c r="L19" s="199">
        <v>21798.492399999999</v>
      </c>
      <c r="M19" s="200">
        <f>[2]!Table3[[#This Row],[C&amp;I CLM $ Collected]]/'[2]1.) CLM Reference'!$B$4</f>
        <v>7.4907331680015973E-4</v>
      </c>
      <c r="N19" s="201">
        <v>8041.2033298893703</v>
      </c>
      <c r="O19" s="202">
        <f>[2]!Table3[[#This Row],[C&amp;I Incentive Disbursements]]/'[2]1.) CLM Reference'!$B$5</f>
        <v>4.7861490909033544E-4</v>
      </c>
      <c r="P19" t="str">
        <f t="shared" si="0"/>
        <v>NO</v>
      </c>
      <c r="Q19" t="str">
        <f>VLOOKUP(Table8[[#This Row],[Census Tract]],'UI EnergyBurden'!$A$2:$B$184,2,FALSE)</f>
        <v>No</v>
      </c>
      <c r="R19">
        <f>VLOOKUP(Table8[[#This Row],[Census Tract]],'Population and Diversity Data'!$B$2:$K$823,10,FALSE)</f>
        <v>4</v>
      </c>
    </row>
    <row r="20" spans="1:18" ht="15.75" customHeight="1" x14ac:dyDescent="0.2">
      <c r="A20" s="195">
        <v>9001070300</v>
      </c>
      <c r="B20" s="195" t="s">
        <v>934</v>
      </c>
      <c r="C20" s="195" t="s">
        <v>936</v>
      </c>
      <c r="D20" s="88">
        <f>[2]!Table3[[#This Row],[Residential CLM $ Collected]]+[2]!Table3[[#This Row],[C&amp;I CLM $ Collected]]</f>
        <v>52641.309099999999</v>
      </c>
      <c r="E20" s="197">
        <f>[2]!Table3[[#This Row],[CLM $ Collected ]]/'[2]1.) CLM Reference'!$B$4</f>
        <v>1.8089416132392453E-3</v>
      </c>
      <c r="F20" s="89">
        <f>[2]!Table3[[#This Row],[Residential Incentive Disbursements]]+[2]!Table3[[#This Row],[C&amp;I Incentive Disbursements]]</f>
        <v>367281.89751212852</v>
      </c>
      <c r="G20" s="198">
        <f>[2]!Table3[[#This Row],[Incentive Disbursements]]/'[2]1.) CLM Reference'!$B$5</f>
        <v>2.1860732128845664E-2</v>
      </c>
      <c r="H20" s="199">
        <v>16956.723999999998</v>
      </c>
      <c r="I20" s="200">
        <f>[2]!Table3[[#This Row],[Residential CLM $ Collected]]/'[2]1.) CLM Reference'!$B$4</f>
        <v>5.8269302553899877E-4</v>
      </c>
      <c r="J20" s="201">
        <v>353697.67061659927</v>
      </c>
      <c r="K20" s="202">
        <f>[2]!Table3[[#This Row],[Residential Incentive Disbursements]]/'[2]1.) CLM Reference'!$B$5</f>
        <v>2.1052194742842804E-2</v>
      </c>
      <c r="L20" s="199">
        <v>35684.585099999997</v>
      </c>
      <c r="M20" s="200">
        <f>[2]!Table3[[#This Row],[C&amp;I CLM $ Collected]]/'[2]1.) CLM Reference'!$B$4</f>
        <v>1.2262485877002464E-3</v>
      </c>
      <c r="N20" s="201">
        <v>13584.226895529257</v>
      </c>
      <c r="O20" s="202">
        <f>[2]!Table3[[#This Row],[C&amp;I Incentive Disbursements]]/'[2]1.) CLM Reference'!$B$5</f>
        <v>8.085373860028574E-4</v>
      </c>
      <c r="P20" t="str">
        <f t="shared" si="0"/>
        <v>NO</v>
      </c>
      <c r="Q20" t="str">
        <f>VLOOKUP(Table8[[#This Row],[Census Tract]],'UI EnergyBurden'!$A$2:$B$184,2,FALSE)</f>
        <v>Yes</v>
      </c>
      <c r="R20">
        <f>VLOOKUP(Table8[[#This Row],[Census Tract]],'Population and Diversity Data'!$B$2:$K$823,10,FALSE)</f>
        <v>4</v>
      </c>
    </row>
    <row r="21" spans="1:18" ht="15.75" customHeight="1" x14ac:dyDescent="0.2">
      <c r="A21" s="195">
        <v>9001070400</v>
      </c>
      <c r="B21" s="195" t="s">
        <v>934</v>
      </c>
      <c r="C21" s="195" t="s">
        <v>936</v>
      </c>
      <c r="D21" s="88">
        <f>[2]!Table3[[#This Row],[Residential CLM $ Collected]]+[2]!Table3[[#This Row],[C&amp;I CLM $ Collected]]</f>
        <v>23919.493000000002</v>
      </c>
      <c r="E21" s="197">
        <f>[2]!Table3[[#This Row],[CLM $ Collected ]]/'[2]1.) CLM Reference'!$B$4</f>
        <v>8.2195840101713662E-4</v>
      </c>
      <c r="F21" s="89">
        <f>[2]!Table3[[#This Row],[Residential Incentive Disbursements]]+[2]!Table3[[#This Row],[C&amp;I Incentive Disbursements]]</f>
        <v>3636.719942971617</v>
      </c>
      <c r="G21" s="198">
        <f>[2]!Table3[[#This Row],[Incentive Disbursements]]/'[2]1.) CLM Reference'!$B$5</f>
        <v>2.1645869573059498E-4</v>
      </c>
      <c r="H21" s="199">
        <v>17866.1715</v>
      </c>
      <c r="I21" s="200">
        <f>[2]!Table3[[#This Row],[Residential CLM $ Collected]]/'[2]1.) CLM Reference'!$B$4</f>
        <v>6.139448590502289E-4</v>
      </c>
      <c r="J21" s="201">
        <v>1797.0332061092386</v>
      </c>
      <c r="K21" s="202">
        <f>[2]!Table3[[#This Row],[Residential Incentive Disbursements]]/'[2]1.) CLM Reference'!$B$5</f>
        <v>1.0695997219437556E-4</v>
      </c>
      <c r="L21" s="199">
        <v>6053.3215</v>
      </c>
      <c r="M21" s="200">
        <f>[2]!Table3[[#This Row],[C&amp;I CLM $ Collected]]/'[2]1.) CLM Reference'!$B$4</f>
        <v>2.0801354196690769E-4</v>
      </c>
      <c r="N21" s="201">
        <v>1839.6867368623784</v>
      </c>
      <c r="O21" s="202">
        <f>[2]!Table3[[#This Row],[C&amp;I Incentive Disbursements]]/'[2]1.) CLM Reference'!$B$5</f>
        <v>1.0949872353621941E-4</v>
      </c>
      <c r="P21" t="str">
        <f t="shared" si="0"/>
        <v>NO</v>
      </c>
      <c r="Q21" t="str">
        <f>VLOOKUP(Table8[[#This Row],[Census Tract]],'UI EnergyBurden'!$A$2:$B$184,2,FALSE)</f>
        <v>Yes</v>
      </c>
      <c r="R21">
        <f>VLOOKUP(Table8[[#This Row],[Census Tract]],'Population and Diversity Data'!$B$2:$K$823,10,FALSE)</f>
        <v>5</v>
      </c>
    </row>
    <row r="22" spans="1:18" ht="15.75" customHeight="1" x14ac:dyDescent="0.2">
      <c r="A22" s="195">
        <v>9001070500</v>
      </c>
      <c r="B22" s="195" t="s">
        <v>934</v>
      </c>
      <c r="C22" s="195" t="s">
        <v>936</v>
      </c>
      <c r="D22" s="88">
        <f>[2]!Table3[[#This Row],[Residential CLM $ Collected]]+[2]!Table3[[#This Row],[C&amp;I CLM $ Collected]]</f>
        <v>29086.940599999998</v>
      </c>
      <c r="E22" s="197">
        <f>[2]!Table3[[#This Row],[CLM $ Collected ]]/'[2]1.) CLM Reference'!$B$4</f>
        <v>9.9953018176666313E-4</v>
      </c>
      <c r="F22" s="89">
        <f>[2]!Table3[[#This Row],[Residential Incentive Disbursements]]+[2]!Table3[[#This Row],[C&amp;I Incentive Disbursements]]</f>
        <v>20893.499388207802</v>
      </c>
      <c r="G22" s="198">
        <f>[2]!Table3[[#This Row],[Incentive Disbursements]]/'[2]1.) CLM Reference'!$B$5</f>
        <v>1.2435875452988495E-3</v>
      </c>
      <c r="H22" s="199">
        <v>23101.568599999999</v>
      </c>
      <c r="I22" s="200">
        <f>[2]!Table3[[#This Row],[Residential CLM $ Collected]]/'[2]1.) CLM Reference'!$B$4</f>
        <v>7.9385162500909563E-4</v>
      </c>
      <c r="J22" s="201">
        <v>627.93963837653951</v>
      </c>
      <c r="K22" s="202">
        <f>[2]!Table3[[#This Row],[Residential Incentive Disbursements]]/'[2]1.) CLM Reference'!$B$5</f>
        <v>3.7375161478467473E-5</v>
      </c>
      <c r="L22" s="199">
        <v>5985.3720000000003</v>
      </c>
      <c r="M22" s="200">
        <f>[2]!Table3[[#This Row],[C&amp;I CLM $ Collected]]/'[2]1.) CLM Reference'!$B$4</f>
        <v>2.0567855675756759E-4</v>
      </c>
      <c r="N22" s="201">
        <v>20265.559749831264</v>
      </c>
      <c r="O22" s="202">
        <f>[2]!Table3[[#This Row],[C&amp;I Incentive Disbursements]]/'[2]1.) CLM Reference'!$B$5</f>
        <v>1.2062123838203821E-3</v>
      </c>
      <c r="P22" t="str">
        <f t="shared" si="0"/>
        <v>YES</v>
      </c>
      <c r="Q22" t="str">
        <f>VLOOKUP(Table8[[#This Row],[Census Tract]],'UI EnergyBurden'!$A$2:$B$184,2,FALSE)</f>
        <v>Yes</v>
      </c>
      <c r="R22">
        <f>VLOOKUP(Table8[[#This Row],[Census Tract]],'Population and Diversity Data'!$B$2:$K$823,10,FALSE)</f>
        <v>5</v>
      </c>
    </row>
    <row r="23" spans="1:18" ht="15.75" customHeight="1" x14ac:dyDescent="0.2">
      <c r="A23" s="195">
        <v>9001070600</v>
      </c>
      <c r="B23" s="195" t="s">
        <v>934</v>
      </c>
      <c r="C23" s="195" t="s">
        <v>936</v>
      </c>
      <c r="D23" s="88">
        <f>[2]!Table3[[#This Row],[Residential CLM $ Collected]]+[2]!Table3[[#This Row],[C&amp;I CLM $ Collected]]</f>
        <v>144313.22889999999</v>
      </c>
      <c r="E23" s="197">
        <f>[2]!Table3[[#This Row],[CLM $ Collected ]]/'[2]1.) CLM Reference'!$B$4</f>
        <v>4.9591130912458722E-3</v>
      </c>
      <c r="F23" s="89">
        <f>[2]!Table3[[#This Row],[Residential Incentive Disbursements]]+[2]!Table3[[#This Row],[C&amp;I Incentive Disbursements]]</f>
        <v>186213.5147942765</v>
      </c>
      <c r="G23" s="198">
        <f>[2]!Table3[[#This Row],[Incentive Disbursements]]/'[2]1.) CLM Reference'!$B$5</f>
        <v>1.108348599063228E-2</v>
      </c>
      <c r="H23" s="199">
        <v>35967.757299999997</v>
      </c>
      <c r="I23" s="200">
        <f>[2]!Table3[[#This Row],[Residential CLM $ Collected]]/'[2]1.) CLM Reference'!$B$4</f>
        <v>1.2359793862888498E-3</v>
      </c>
      <c r="J23" s="201">
        <v>168919.14897179071</v>
      </c>
      <c r="K23" s="202">
        <f>[2]!Table3[[#This Row],[Residential Incentive Disbursements]]/'[2]1.) CLM Reference'!$B$5</f>
        <v>1.0054119988265825E-2</v>
      </c>
      <c r="L23" s="199">
        <v>108345.4716</v>
      </c>
      <c r="M23" s="200">
        <f>[2]!Table3[[#This Row],[C&amp;I CLM $ Collected]]/'[2]1.) CLM Reference'!$B$4</f>
        <v>3.7231337049570233E-3</v>
      </c>
      <c r="N23" s="201">
        <v>17294.365822485805</v>
      </c>
      <c r="O23" s="202">
        <f>[2]!Table3[[#This Row],[C&amp;I Incentive Disbursements]]/'[2]1.) CLM Reference'!$B$5</f>
        <v>1.029366002366455E-3</v>
      </c>
      <c r="P23" t="str">
        <f t="shared" si="0"/>
        <v>NO</v>
      </c>
      <c r="Q23" t="str">
        <f>VLOOKUP(Table8[[#This Row],[Census Tract]],'UI EnergyBurden'!$A$2:$B$184,2,FALSE)</f>
        <v>No</v>
      </c>
      <c r="R23">
        <f>VLOOKUP(Table8[[#This Row],[Census Tract]],'Population and Diversity Data'!$B$2:$K$823,10,FALSE)</f>
        <v>4</v>
      </c>
    </row>
    <row r="24" spans="1:18" ht="15.75" customHeight="1" x14ac:dyDescent="0.2">
      <c r="A24" s="195">
        <v>9001070900</v>
      </c>
      <c r="B24" s="195" t="s">
        <v>934</v>
      </c>
      <c r="C24" s="195" t="s">
        <v>936</v>
      </c>
      <c r="D24" s="88">
        <f>[2]!Table3[[#This Row],[Residential CLM $ Collected]]+[2]!Table3[[#This Row],[C&amp;I CLM $ Collected]]</f>
        <v>40068.741500000004</v>
      </c>
      <c r="E24" s="197">
        <f>[2]!Table3[[#This Row],[CLM $ Collected ]]/'[2]1.) CLM Reference'!$B$4</f>
        <v>1.3769037117178438E-3</v>
      </c>
      <c r="F24" s="89">
        <f>[2]!Table3[[#This Row],[Residential Incentive Disbursements]]+[2]!Table3[[#This Row],[C&amp;I Incentive Disbursements]]</f>
        <v>39925.033229558889</v>
      </c>
      <c r="G24" s="198">
        <f>[2]!Table3[[#This Row],[Incentive Disbursements]]/'[2]1.) CLM Reference'!$B$5</f>
        <v>2.3763503254004702E-3</v>
      </c>
      <c r="H24" s="199">
        <v>29174.958600000002</v>
      </c>
      <c r="I24" s="200">
        <f>[2]!Table3[[#This Row],[Residential CLM $ Collected]]/'[2]1.) CLM Reference'!$B$4</f>
        <v>1.0025547916336335E-3</v>
      </c>
      <c r="J24" s="201">
        <v>7278.7062444101557</v>
      </c>
      <c r="K24" s="202">
        <f>[2]!Table3[[#This Row],[Residential Incentive Disbursements]]/'[2]1.) CLM Reference'!$B$5</f>
        <v>4.3323084674586282E-4</v>
      </c>
      <c r="L24" s="199">
        <v>10893.7829</v>
      </c>
      <c r="M24" s="200">
        <f>[2]!Table3[[#This Row],[C&amp;I CLM $ Collected]]/'[2]1.) CLM Reference'!$B$4</f>
        <v>3.743489200842102E-4</v>
      </c>
      <c r="N24" s="201">
        <v>32646.326985148731</v>
      </c>
      <c r="O24" s="202">
        <f>[2]!Table3[[#This Row],[C&amp;I Incentive Disbursements]]/'[2]1.) CLM Reference'!$B$5</f>
        <v>1.9431194786546071E-3</v>
      </c>
      <c r="P24" t="str">
        <f t="shared" si="0"/>
        <v>YES</v>
      </c>
      <c r="Q24" t="str">
        <f>VLOOKUP(Table8[[#This Row],[Census Tract]],'UI EnergyBurden'!$A$2:$B$184,2,FALSE)</f>
        <v>Yes</v>
      </c>
      <c r="R24">
        <f>VLOOKUP(Table8[[#This Row],[Census Tract]],'Population and Diversity Data'!$B$2:$K$823,10,FALSE)</f>
        <v>5</v>
      </c>
    </row>
    <row r="25" spans="1:18" ht="15.75" customHeight="1" x14ac:dyDescent="0.2">
      <c r="A25" s="195">
        <v>9001071000</v>
      </c>
      <c r="B25" s="195" t="s">
        <v>934</v>
      </c>
      <c r="C25" s="195" t="s">
        <v>936</v>
      </c>
      <c r="D25" s="88">
        <f>[2]!Table3[[#This Row],[Residential CLM $ Collected]]+[2]!Table3[[#This Row],[C&amp;I CLM $ Collected]]</f>
        <v>63545.393400000001</v>
      </c>
      <c r="E25" s="197">
        <f>[2]!Table3[[#This Row],[CLM $ Collected ]]/'[2]1.) CLM Reference'!$B$4</f>
        <v>2.1836445258713844E-3</v>
      </c>
      <c r="F25" s="89">
        <f>[2]!Table3[[#This Row],[Residential Incentive Disbursements]]+[2]!Table3[[#This Row],[C&amp;I Incentive Disbursements]]</f>
        <v>28581.432932522039</v>
      </c>
      <c r="G25" s="198">
        <f>[2]!Table3[[#This Row],[Incentive Disbursements]]/'[2]1.) CLM Reference'!$B$5</f>
        <v>1.7011757274963417E-3</v>
      </c>
      <c r="H25" s="199">
        <v>37249.348899999997</v>
      </c>
      <c r="I25" s="200">
        <f>[2]!Table3[[#This Row],[Residential CLM $ Collected]]/'[2]1.) CLM Reference'!$B$4</f>
        <v>1.280019407634327E-3</v>
      </c>
      <c r="J25" s="201">
        <v>25099.257901418896</v>
      </c>
      <c r="K25" s="202">
        <f>[2]!Table3[[#This Row],[Residential Incentive Disbursements]]/'[2]1.) CLM Reference'!$B$5</f>
        <v>1.4939155927161164E-3</v>
      </c>
      <c r="L25" s="199">
        <v>26296.0445</v>
      </c>
      <c r="M25" s="200">
        <f>[2]!Table3[[#This Row],[C&amp;I CLM $ Collected]]/'[2]1.) CLM Reference'!$B$4</f>
        <v>9.0362511823705743E-4</v>
      </c>
      <c r="N25" s="201">
        <v>3482.1750311031446</v>
      </c>
      <c r="O25" s="202">
        <f>[2]!Table3[[#This Row],[C&amp;I Incentive Disbursements]]/'[2]1.) CLM Reference'!$B$5</f>
        <v>2.0726013478022533E-4</v>
      </c>
      <c r="P25" t="str">
        <f t="shared" si="0"/>
        <v>NO</v>
      </c>
      <c r="Q25" t="str">
        <f>VLOOKUP(Table8[[#This Row],[Census Tract]],'UI EnergyBurden'!$A$2:$B$184,2,FALSE)</f>
        <v>Yes</v>
      </c>
      <c r="R25">
        <f>VLOOKUP(Table8[[#This Row],[Census Tract]],'Population and Diversity Data'!$B$2:$K$823,10,FALSE)</f>
        <v>5</v>
      </c>
    </row>
    <row r="26" spans="1:18" ht="15.75" hidden="1" customHeight="1" x14ac:dyDescent="0.2">
      <c r="A26" s="195">
        <v>9001071100</v>
      </c>
      <c r="B26" s="195" t="s">
        <v>934</v>
      </c>
      <c r="C26" s="195" t="s">
        <v>944</v>
      </c>
      <c r="D26" s="88">
        <f>[2]!Table3[[#This Row],[Residential CLM $ Collected]]+[2]!Table3[[#This Row],[C&amp;I CLM $ Collected]]</f>
        <v>66899.110799999995</v>
      </c>
      <c r="E26" s="197">
        <f>[2]!Table3[[#This Row],[CLM $ Collected ]]/'[2]1.) CLM Reference'!$B$4</f>
        <v>2.2988901203982982E-3</v>
      </c>
      <c r="F26" s="89">
        <f>[2]!Table3[[#This Row],[Residential Incentive Disbursements]]+[2]!Table3[[#This Row],[C&amp;I Incentive Disbursements]]</f>
        <v>47895.250877518163</v>
      </c>
      <c r="G26" s="198">
        <f>[2]!Table3[[#This Row],[Incentive Disbursements]]/'[2]1.) CLM Reference'!$B$5</f>
        <v>2.8507401447486519E-3</v>
      </c>
      <c r="H26" s="199">
        <v>51783.790099999998</v>
      </c>
      <c r="I26" s="200">
        <f>[2]!Table3[[#This Row],[Residential CLM $ Collected]]/'[2]1.) CLM Reference'!$B$4</f>
        <v>1.7794742266988278E-3</v>
      </c>
      <c r="J26" s="201">
        <v>37395.057853621838</v>
      </c>
      <c r="K26" s="202">
        <f>[2]!Table3[[#This Row],[Residential Incentive Disbursements]]/'[2]1.) CLM Reference'!$B$5</f>
        <v>2.2257654085816141E-3</v>
      </c>
      <c r="L26" s="199">
        <v>15115.3207</v>
      </c>
      <c r="M26" s="200">
        <f>[2]!Table3[[#This Row],[C&amp;I CLM $ Collected]]/'[2]1.) CLM Reference'!$B$4</f>
        <v>5.194158936994704E-4</v>
      </c>
      <c r="N26" s="201">
        <v>10500.193023896329</v>
      </c>
      <c r="O26" s="202">
        <f>[2]!Table3[[#This Row],[C&amp;I Incentive Disbursements]]/'[2]1.) CLM Reference'!$B$5</f>
        <v>6.2497473616703785E-4</v>
      </c>
      <c r="P26" t="str">
        <f t="shared" si="0"/>
        <v>YES</v>
      </c>
      <c r="Q26" t="str">
        <f>VLOOKUP(Table8[[#This Row],[Census Tract]],'UI EnergyBurden'!$A$2:$B$184,2,FALSE)</f>
        <v>Yes</v>
      </c>
      <c r="R26">
        <f>VLOOKUP(Table8[[#This Row],[Census Tract]],'Population and Diversity Data'!$B$2:$K$823,10,FALSE)</f>
        <v>5</v>
      </c>
    </row>
    <row r="27" spans="1:18" ht="15.75" customHeight="1" x14ac:dyDescent="0.2">
      <c r="A27" s="195">
        <v>9001071200</v>
      </c>
      <c r="B27" s="195" t="s">
        <v>934</v>
      </c>
      <c r="C27" s="195" t="s">
        <v>936</v>
      </c>
      <c r="D27" s="88">
        <f>[2]!Table3[[#This Row],[Residential CLM $ Collected]]+[2]!Table3[[#This Row],[C&amp;I CLM $ Collected]]</f>
        <v>65667.876300000004</v>
      </c>
      <c r="E27" s="197">
        <f>[2]!Table3[[#This Row],[CLM $ Collected ]]/'[2]1.) CLM Reference'!$B$4</f>
        <v>2.2565805471603901E-3</v>
      </c>
      <c r="F27" s="89">
        <f>[2]!Table3[[#This Row],[Residential Incentive Disbursements]]+[2]!Table3[[#This Row],[C&amp;I Incentive Disbursements]]</f>
        <v>27377.677567413841</v>
      </c>
      <c r="G27" s="198">
        <f>[2]!Table3[[#This Row],[Incentive Disbursements]]/'[2]1.) CLM Reference'!$B$5</f>
        <v>1.6295278358808226E-3</v>
      </c>
      <c r="H27" s="199">
        <v>45169.658199999998</v>
      </c>
      <c r="I27" s="200">
        <f>[2]!Table3[[#This Row],[Residential CLM $ Collected]]/'[2]1.) CLM Reference'!$B$4</f>
        <v>1.5521892553727033E-3</v>
      </c>
      <c r="J27" s="201">
        <v>8018.5317224529517</v>
      </c>
      <c r="K27" s="202">
        <f>[2]!Table3[[#This Row],[Residential Incentive Disbursements]]/'[2]1.) CLM Reference'!$B$5</f>
        <v>4.7726548800409329E-4</v>
      </c>
      <c r="L27" s="199">
        <v>20498.218099999998</v>
      </c>
      <c r="M27" s="200">
        <f>[2]!Table3[[#This Row],[C&amp;I CLM $ Collected]]/'[2]1.) CLM Reference'!$B$4</f>
        <v>7.0439129178768653E-4</v>
      </c>
      <c r="N27" s="201">
        <v>19359.145844960887</v>
      </c>
      <c r="O27" s="202">
        <f>[2]!Table3[[#This Row],[C&amp;I Incentive Disbursements]]/'[2]1.) CLM Reference'!$B$5</f>
        <v>1.1522623478767294E-3</v>
      </c>
      <c r="P27" t="str">
        <f t="shared" si="0"/>
        <v>YES</v>
      </c>
      <c r="Q27" t="str">
        <f>VLOOKUP(Table8[[#This Row],[Census Tract]],'UI EnergyBurden'!$A$2:$B$184,2,FALSE)</f>
        <v>Yes</v>
      </c>
      <c r="R27">
        <f>VLOOKUP(Table8[[#This Row],[Census Tract]],'Population and Diversity Data'!$B$2:$K$823,10,FALSE)</f>
        <v>5</v>
      </c>
    </row>
    <row r="28" spans="1:18" ht="16" x14ac:dyDescent="0.2">
      <c r="A28" s="214">
        <v>9001071300</v>
      </c>
      <c r="B28" s="195" t="s">
        <v>934</v>
      </c>
      <c r="C28" s="195" t="s">
        <v>936</v>
      </c>
      <c r="D28" s="88">
        <f>[2]!Table3[[#This Row],[Residential CLM $ Collected]]+[2]!Table3[[#This Row],[C&amp;I CLM $ Collected]]</f>
        <v>54252.862399999998</v>
      </c>
      <c r="E28" s="197">
        <f>[2]!Table3[[#This Row],[CLM $ Collected ]]/'[2]1.) CLM Reference'!$B$4</f>
        <v>1.8643202859235657E-3</v>
      </c>
      <c r="F28" s="89">
        <f>[2]!Table3[[#This Row],[Residential Incentive Disbursements]]+[2]!Table3[[#This Row],[C&amp;I Incentive Disbursements]]</f>
        <v>4242.1768268976784</v>
      </c>
      <c r="G28" s="198">
        <f>[2]!Table3[[#This Row],[Incentive Disbursements]]/'[2]1.) CLM Reference'!$B$5</f>
        <v>2.5249567671094985E-4</v>
      </c>
      <c r="H28" s="199">
        <v>34389.4211</v>
      </c>
      <c r="I28" s="200">
        <f>[2]!Table3[[#This Row],[Residential CLM $ Collected]]/'[2]1.) CLM Reference'!$B$4</f>
        <v>1.1817421706748121E-3</v>
      </c>
      <c r="J28" s="201">
        <v>2744.4671361006267</v>
      </c>
      <c r="K28" s="202">
        <f>[2]!Table3[[#This Row],[Residential Incentive Disbursements]]/'[2]1.) CLM Reference'!$B$5</f>
        <v>1.6335153271945508E-4</v>
      </c>
      <c r="L28" s="199">
        <v>19863.441299999999</v>
      </c>
      <c r="M28" s="200">
        <f>[2]!Table3[[#This Row],[C&amp;I CLM $ Collected]]/'[2]1.) CLM Reference'!$B$4</f>
        <v>6.8257811524875345E-4</v>
      </c>
      <c r="N28" s="201">
        <v>1497.7096907970515</v>
      </c>
      <c r="O28" s="202">
        <f>[2]!Table3[[#This Row],[C&amp;I Incentive Disbursements]]/'[2]1.) CLM Reference'!$B$5</f>
        <v>8.9144143991494766E-5</v>
      </c>
      <c r="P28" t="str">
        <f t="shared" si="0"/>
        <v>NO</v>
      </c>
      <c r="Q28" t="str">
        <f>VLOOKUP(Table8[[#This Row],[Census Tract]],'UI EnergyBurden'!$A$2:$B$184,2,FALSE)</f>
        <v>Yes</v>
      </c>
      <c r="R28">
        <f>VLOOKUP(Table8[[#This Row],[Census Tract]],'Population and Diversity Data'!B2:K823,10,FALSE)</f>
        <v>5</v>
      </c>
    </row>
    <row r="29" spans="1:18" ht="15.75" hidden="1" customHeight="1" x14ac:dyDescent="0.2">
      <c r="A29" s="195">
        <v>9001071400</v>
      </c>
      <c r="B29" s="195" t="s">
        <v>934</v>
      </c>
      <c r="C29" s="195" t="s">
        <v>944</v>
      </c>
      <c r="D29" s="88">
        <f>[2]!Table3[[#This Row],[Residential CLM $ Collected]]+[2]!Table3[[#This Row],[C&amp;I CLM $ Collected]]</f>
        <v>68350.4467</v>
      </c>
      <c r="E29" s="197">
        <f>[2]!Table3[[#This Row],[CLM $ Collected ]]/'[2]1.) CLM Reference'!$B$4</f>
        <v>2.3487631564071622E-3</v>
      </c>
      <c r="F29" s="89">
        <f>[2]!Table3[[#This Row],[Residential Incentive Disbursements]]+[2]!Table3[[#This Row],[C&amp;I Incentive Disbursements]]</f>
        <v>14434.590827765465</v>
      </c>
      <c r="G29" s="198">
        <f>[2]!Table3[[#This Row],[Incentive Disbursements]]/'[2]1.) CLM Reference'!$B$5</f>
        <v>8.5915131024080261E-4</v>
      </c>
      <c r="H29" s="199">
        <v>38432.275500000003</v>
      </c>
      <c r="I29" s="200">
        <f>[2]!Table3[[#This Row],[Residential CLM $ Collected]]/'[2]1.) CLM Reference'!$B$4</f>
        <v>1.3206689505262537E-3</v>
      </c>
      <c r="J29" s="201">
        <v>5807.5209095785594</v>
      </c>
      <c r="K29" s="202">
        <f>[2]!Table3[[#This Row],[Residential Incentive Disbursements]]/'[2]1.) CLM Reference'!$B$5</f>
        <v>3.4566544062459431E-4</v>
      </c>
      <c r="L29" s="199">
        <v>29918.171200000001</v>
      </c>
      <c r="M29" s="200">
        <f>[2]!Table3[[#This Row],[C&amp;I CLM $ Collected]]/'[2]1.) CLM Reference'!$B$4</f>
        <v>1.0280942058809083E-3</v>
      </c>
      <c r="N29" s="201">
        <v>8627.0699181869059</v>
      </c>
      <c r="O29" s="202">
        <f>[2]!Table3[[#This Row],[C&amp;I Incentive Disbursements]]/'[2]1.) CLM Reference'!$B$5</f>
        <v>5.134858696162083E-4</v>
      </c>
      <c r="P29" t="str">
        <f t="shared" si="0"/>
        <v>NO</v>
      </c>
      <c r="Q29" t="str">
        <f>VLOOKUP(Table8[[#This Row],[Census Tract]],'UI EnergyBurden'!$A$2:$B$184,2,FALSE)</f>
        <v>Yes</v>
      </c>
      <c r="R29">
        <f>VLOOKUP(Table8[[#This Row],[Census Tract]],'Population and Diversity Data'!$B$2:$K$823,10,FALSE)</f>
        <v>5</v>
      </c>
    </row>
    <row r="30" spans="1:18" ht="16" x14ac:dyDescent="0.2">
      <c r="A30" s="195">
        <v>9001071600</v>
      </c>
      <c r="B30" s="195" t="s">
        <v>934</v>
      </c>
      <c r="C30" s="195" t="s">
        <v>936</v>
      </c>
      <c r="D30" s="88">
        <f>[2]!Table3[[#This Row],[Residential CLM $ Collected]]+[2]!Table3[[#This Row],[C&amp;I CLM $ Collected]]</f>
        <v>31813.543699999998</v>
      </c>
      <c r="E30" s="197">
        <f>[2]!Table3[[#This Row],[CLM $ Collected ]]/'[2]1.) CLM Reference'!$B$4</f>
        <v>1.0932259103627654E-3</v>
      </c>
      <c r="F30" s="89">
        <f>[2]!Table3[[#This Row],[Residential Incentive Disbursements]]+[2]!Table3[[#This Row],[C&amp;I Incentive Disbursements]]</f>
        <v>2322.983926986567</v>
      </c>
      <c r="G30" s="198">
        <f>[2]!Table3[[#This Row],[Incentive Disbursements]]/'[2]1.) CLM Reference'!$B$5</f>
        <v>1.3826472176127429E-4</v>
      </c>
      <c r="H30" s="199">
        <v>24529.813099999999</v>
      </c>
      <c r="I30" s="200">
        <f>[2]!Table3[[#This Row],[Residential CLM $ Collected]]/'[2]1.) CLM Reference'!$B$4</f>
        <v>8.4293115882202053E-4</v>
      </c>
      <c r="J30" s="201">
        <v>2322.983926986567</v>
      </c>
      <c r="K30" s="202">
        <f>[2]!Table3[[#This Row],[Residential Incentive Disbursements]]/'[2]1.) CLM Reference'!$B$5</f>
        <v>1.3826472176127429E-4</v>
      </c>
      <c r="L30" s="199">
        <v>7283.7305999999999</v>
      </c>
      <c r="M30" s="200">
        <f>[2]!Table3[[#This Row],[C&amp;I CLM $ Collected]]/'[2]1.) CLM Reference'!$B$4</f>
        <v>2.5029475154074497E-4</v>
      </c>
      <c r="N30" s="201">
        <v>0</v>
      </c>
      <c r="O30" s="202">
        <f>[2]!Table3[[#This Row],[C&amp;I Incentive Disbursements]]/'[2]1.) CLM Reference'!$B$5</f>
        <v>0</v>
      </c>
      <c r="P30" t="str">
        <f t="shared" si="0"/>
        <v>NO</v>
      </c>
      <c r="Q30" t="str">
        <f>VLOOKUP(Table8[[#This Row],[Census Tract]],'UI EnergyBurden'!$A$2:$B$184,2,FALSE)</f>
        <v>Yes</v>
      </c>
      <c r="R30">
        <f>VLOOKUP(Table8[[#This Row],[Census Tract]],'Population and Diversity Data'!$B$2:$K$823,10,FALSE)</f>
        <v>4</v>
      </c>
    </row>
    <row r="31" spans="1:18" ht="15.75" customHeight="1" x14ac:dyDescent="0.2">
      <c r="A31" s="195">
        <v>9001071900</v>
      </c>
      <c r="B31" s="195" t="s">
        <v>934</v>
      </c>
      <c r="C31" s="195" t="s">
        <v>936</v>
      </c>
      <c r="D31" s="88">
        <f>[2]!Table3[[#This Row],[Residential CLM $ Collected]]+[2]!Table3[[#This Row],[C&amp;I CLM $ Collected]]</f>
        <v>64668.711600000104</v>
      </c>
      <c r="E31" s="197">
        <f>[2]!Table3[[#This Row],[CLM $ Collected ]]/'[2]1.) CLM Reference'!$B$4</f>
        <v>2.2222457132588234E-3</v>
      </c>
      <c r="F31" s="89">
        <f>[2]!Table3[[#This Row],[Residential Incentive Disbursements]]+[2]!Table3[[#This Row],[C&amp;I Incentive Disbursements]]</f>
        <v>12120.448465579444</v>
      </c>
      <c r="G31" s="198">
        <f>[2]!Table3[[#This Row],[Incentive Disbursements]]/'[2]1.) CLM Reference'!$B$5</f>
        <v>7.2141284115087914E-4</v>
      </c>
      <c r="H31" s="199">
        <v>46534.635900000103</v>
      </c>
      <c r="I31" s="200">
        <f>[2]!Table3[[#This Row],[Residential CLM $ Collected]]/'[2]1.) CLM Reference'!$B$4</f>
        <v>1.5990947181145822E-3</v>
      </c>
      <c r="J31" s="201">
        <v>5917.6088956589165</v>
      </c>
      <c r="K31" s="202">
        <f>[2]!Table3[[#This Row],[Residential Incentive Disbursements]]/'[2]1.) CLM Reference'!$B$5</f>
        <v>3.522179116029041E-4</v>
      </c>
      <c r="L31" s="199">
        <v>18134.075700000001</v>
      </c>
      <c r="M31" s="200">
        <f>[2]!Table3[[#This Row],[C&amp;I CLM $ Collected]]/'[2]1.) CLM Reference'!$B$4</f>
        <v>6.2315099514424126E-4</v>
      </c>
      <c r="N31" s="201">
        <v>6202.8395699205284</v>
      </c>
      <c r="O31" s="202">
        <f>[2]!Table3[[#This Row],[C&amp;I Incentive Disbursements]]/'[2]1.) CLM Reference'!$B$5</f>
        <v>3.6919492954797509E-4</v>
      </c>
      <c r="P31" t="str">
        <f t="shared" si="0"/>
        <v>NO</v>
      </c>
      <c r="Q31" t="str">
        <f>VLOOKUP(Table8[[#This Row],[Census Tract]],'UI EnergyBurden'!$A$2:$B$184,2,FALSE)</f>
        <v>Yes</v>
      </c>
      <c r="R31">
        <f>VLOOKUP(Table8[[#This Row],[Census Tract]],'Population and Diversity Data'!$B$2:$K$823,10,FALSE)</f>
        <v>5</v>
      </c>
    </row>
    <row r="32" spans="1:18" ht="15.75" customHeight="1" x14ac:dyDescent="0.2">
      <c r="A32" s="195">
        <v>9001072000</v>
      </c>
      <c r="B32" s="195" t="s">
        <v>934</v>
      </c>
      <c r="C32" s="195" t="s">
        <v>936</v>
      </c>
      <c r="D32" s="88">
        <f>[2]!Table3[[#This Row],[Residential CLM $ Collected]]+[2]!Table3[[#This Row],[C&amp;I CLM $ Collected]]</f>
        <v>52439.411500000002</v>
      </c>
      <c r="E32" s="197">
        <f>[2]!Table3[[#This Row],[CLM $ Collected ]]/'[2]1.) CLM Reference'!$B$4</f>
        <v>1.8020036974370503E-3</v>
      </c>
      <c r="F32" s="89">
        <f>[2]!Table3[[#This Row],[Residential Incentive Disbursements]]+[2]!Table3[[#This Row],[C&amp;I Incentive Disbursements]]</f>
        <v>33310.47895749969</v>
      </c>
      <c r="G32" s="198">
        <f>[2]!Table3[[#This Row],[Incentive Disbursements]]/'[2]1.) CLM Reference'!$B$5</f>
        <v>1.982650009450586E-3</v>
      </c>
      <c r="H32" s="199">
        <v>43927.019899999999</v>
      </c>
      <c r="I32" s="200">
        <f>[2]!Table3[[#This Row],[Residential CLM $ Collected]]/'[2]1.) CLM Reference'!$B$4</f>
        <v>1.5094878072228343E-3</v>
      </c>
      <c r="J32" s="201">
        <v>33220.616376051868</v>
      </c>
      <c r="K32" s="202">
        <f>[2]!Table3[[#This Row],[Residential Incentive Disbursements]]/'[2]1.) CLM Reference'!$B$5</f>
        <v>1.9773013608110966E-3</v>
      </c>
      <c r="L32" s="199">
        <v>8512.3916000000008</v>
      </c>
      <c r="M32" s="200">
        <f>[2]!Table3[[#This Row],[C&amp;I CLM $ Collected]]/'[2]1.) CLM Reference'!$B$4</f>
        <v>2.925158902142159E-4</v>
      </c>
      <c r="N32" s="201">
        <v>89.862581447823089</v>
      </c>
      <c r="O32" s="202">
        <f>[2]!Table3[[#This Row],[C&amp;I Incentive Disbursements]]/'[2]1.) CLM Reference'!$B$5</f>
        <v>5.3486486394896857E-6</v>
      </c>
      <c r="P32" t="str">
        <f t="shared" si="0"/>
        <v>NO</v>
      </c>
      <c r="Q32" t="str">
        <f>VLOOKUP(Table8[[#This Row],[Census Tract]],'UI EnergyBurden'!$A$2:$B$184,2,FALSE)</f>
        <v>No</v>
      </c>
      <c r="R32">
        <f>VLOOKUP(Table8[[#This Row],[Census Tract]],'Population and Diversity Data'!$B$2:$K$823,10,FALSE)</f>
        <v>5</v>
      </c>
    </row>
    <row r="33" spans="1:18" ht="16" hidden="1" x14ac:dyDescent="0.2">
      <c r="A33" s="195">
        <v>9001072100</v>
      </c>
      <c r="B33" s="195" t="s">
        <v>934</v>
      </c>
      <c r="C33" s="195" t="s">
        <v>944</v>
      </c>
      <c r="D33" s="88">
        <f>[2]!Table3[[#This Row],[Residential CLM $ Collected]]+[2]!Table3[[#This Row],[C&amp;I CLM $ Collected]]</f>
        <v>147726.3769</v>
      </c>
      <c r="E33" s="197">
        <f>[2]!Table3[[#This Row],[CLM $ Collected ]]/'[2]1.) CLM Reference'!$B$4</f>
        <v>5.0764009314402635E-3</v>
      </c>
      <c r="F33" s="89">
        <f>[2]!Table3[[#This Row],[Residential Incentive Disbursements]]+[2]!Table3[[#This Row],[C&amp;I Incentive Disbursements]]</f>
        <v>80494.295052798232</v>
      </c>
      <c r="G33" s="198">
        <f>[2]!Table3[[#This Row],[Incentive Disbursements]]/'[2]1.) CLM Reference'!$B$5</f>
        <v>4.7910453359367661E-3</v>
      </c>
      <c r="H33" s="199">
        <v>119833.8798</v>
      </c>
      <c r="I33" s="200">
        <f>[2]!Table3[[#This Row],[Residential CLM $ Collected]]/'[2]1.) CLM Reference'!$B$4</f>
        <v>4.1179160539936083E-3</v>
      </c>
      <c r="J33" s="201">
        <v>77884.535916584369</v>
      </c>
      <c r="K33" s="202">
        <f>[2]!Table3[[#This Row],[Residential Incentive Disbursements]]/'[2]1.) CLM Reference'!$B$5</f>
        <v>4.6357116650315869E-3</v>
      </c>
      <c r="L33" s="199">
        <v>27892.497100000001</v>
      </c>
      <c r="M33" s="200">
        <f>[2]!Table3[[#This Row],[C&amp;I CLM $ Collected]]/'[2]1.) CLM Reference'!$B$4</f>
        <v>9.5848487744665484E-4</v>
      </c>
      <c r="N33" s="201">
        <v>2609.7591362138623</v>
      </c>
      <c r="O33" s="202">
        <f>[2]!Table3[[#This Row],[C&amp;I Incentive Disbursements]]/'[2]1.) CLM Reference'!$B$5</f>
        <v>1.5533367090517962E-4</v>
      </c>
      <c r="P33" t="str">
        <f t="shared" si="0"/>
        <v>NO</v>
      </c>
      <c r="Q33" t="str">
        <f>VLOOKUP(Table8[[#This Row],[Census Tract]],'UI EnergyBurden'!$A$2:$B$184,2,FALSE)</f>
        <v>No</v>
      </c>
      <c r="R33">
        <f>VLOOKUP(Table8[[#This Row],[Census Tract]],'Population and Diversity Data'!$B$2:$K$823,10,FALSE)</f>
        <v>5</v>
      </c>
    </row>
    <row r="34" spans="1:18" ht="15.75" customHeight="1" x14ac:dyDescent="0.2">
      <c r="A34" s="195">
        <v>9001072200</v>
      </c>
      <c r="B34" s="195" t="s">
        <v>934</v>
      </c>
      <c r="C34" s="195" t="s">
        <v>936</v>
      </c>
      <c r="D34" s="88">
        <f>[2]!Table3[[#This Row],[Residential CLM $ Collected]]+[2]!Table3[[#This Row],[C&amp;I CLM $ Collected]]</f>
        <v>48370.034999999996</v>
      </c>
      <c r="E34" s="197">
        <f>[2]!Table3[[#This Row],[CLM $ Collected ]]/'[2]1.) CLM Reference'!$B$4</f>
        <v>1.6621655244006604E-3</v>
      </c>
      <c r="F34" s="89">
        <f>[2]!Table3[[#This Row],[Residential Incentive Disbursements]]+[2]!Table3[[#This Row],[C&amp;I Incentive Disbursements]]</f>
        <v>104112.46145435565</v>
      </c>
      <c r="G34" s="198">
        <f>[2]!Table3[[#This Row],[Incentive Disbursements]]/'[2]1.) CLM Reference'!$B$5</f>
        <v>6.1968059045253657E-3</v>
      </c>
      <c r="H34" s="199">
        <v>41166.362699999998</v>
      </c>
      <c r="I34" s="200">
        <f>[2]!Table3[[#This Row],[Residential CLM $ Collected]]/'[2]1.) CLM Reference'!$B$4</f>
        <v>1.4146218592753404E-3</v>
      </c>
      <c r="J34" s="201">
        <v>40282.271073465155</v>
      </c>
      <c r="K34" s="202">
        <f>[2]!Table3[[#This Row],[Residential Incentive Disbursements]]/'[2]1.) CLM Reference'!$B$5</f>
        <v>2.3976132323523798E-3</v>
      </c>
      <c r="L34" s="199">
        <v>7203.6723000000002</v>
      </c>
      <c r="M34" s="200">
        <f>[2]!Table3[[#This Row],[C&amp;I CLM $ Collected]]/'[2]1.) CLM Reference'!$B$4</f>
        <v>2.4754366512532008E-4</v>
      </c>
      <c r="N34" s="201">
        <v>63830.190380890497</v>
      </c>
      <c r="O34" s="202">
        <f>[2]!Table3[[#This Row],[C&amp;I Incentive Disbursements]]/'[2]1.) CLM Reference'!$B$5</f>
        <v>3.799192672172986E-3</v>
      </c>
      <c r="P34" t="str">
        <f t="shared" si="0"/>
        <v>YES</v>
      </c>
      <c r="Q34" t="str">
        <f>VLOOKUP(Table8[[#This Row],[Census Tract]],'UI EnergyBurden'!$A$2:$B$184,2,FALSE)</f>
        <v>No</v>
      </c>
      <c r="R34">
        <f>VLOOKUP(Table8[[#This Row],[Census Tract]],'Population and Diversity Data'!$B$2:$K$823,10,FALSE)</f>
        <v>4</v>
      </c>
    </row>
    <row r="35" spans="1:18" ht="16" hidden="1" x14ac:dyDescent="0.2">
      <c r="A35" s="195">
        <v>9001072300</v>
      </c>
      <c r="B35" s="195" t="s">
        <v>934</v>
      </c>
      <c r="C35" s="195" t="s">
        <v>944</v>
      </c>
      <c r="D35" s="88">
        <f>[2]!Table3[[#This Row],[Residential CLM $ Collected]]+[2]!Table3[[#This Row],[C&amp;I CLM $ Collected]]</f>
        <v>71996.736900000105</v>
      </c>
      <c r="E35" s="197">
        <f>[2]!Table3[[#This Row],[CLM $ Collected ]]/'[2]1.) CLM Reference'!$B$4</f>
        <v>2.474062587395793E-3</v>
      </c>
      <c r="F35" s="89">
        <f>[2]!Table3[[#This Row],[Residential Incentive Disbursements]]+[2]!Table3[[#This Row],[C&amp;I Incentive Disbursements]]</f>
        <v>31064.480442344604</v>
      </c>
      <c r="G35" s="198">
        <f>[2]!Table3[[#This Row],[Incentive Disbursements]]/'[2]1.) CLM Reference'!$B$5</f>
        <v>1.8489674832107268E-3</v>
      </c>
      <c r="H35" s="199">
        <v>62912.309300000103</v>
      </c>
      <c r="I35" s="200">
        <f>[2]!Table3[[#This Row],[Residential CLM $ Collected]]/'[2]1.) CLM Reference'!$B$4</f>
        <v>2.1618895164928291E-3</v>
      </c>
      <c r="J35" s="201">
        <v>26888.366587838827</v>
      </c>
      <c r="K35" s="202">
        <f>[2]!Table3[[#This Row],[Residential Incentive Disbursements]]/'[2]1.) CLM Reference'!$B$5</f>
        <v>1.6004038950477757E-3</v>
      </c>
      <c r="L35" s="199">
        <v>9084.4276000000009</v>
      </c>
      <c r="M35" s="200">
        <f>[2]!Table3[[#This Row],[C&amp;I CLM $ Collected]]/'[2]1.) CLM Reference'!$B$4</f>
        <v>3.1217307090296368E-4</v>
      </c>
      <c r="N35" s="201">
        <v>4176.1138545057784</v>
      </c>
      <c r="O35" s="202">
        <f>[2]!Table3[[#This Row],[C&amp;I Incentive Disbursements]]/'[2]1.) CLM Reference'!$B$5</f>
        <v>2.4856358816295122E-4</v>
      </c>
      <c r="P35" t="str">
        <f t="shared" si="0"/>
        <v>NO</v>
      </c>
      <c r="Q35" t="str">
        <f>VLOOKUP(Table8[[#This Row],[Census Tract]],'UI EnergyBurden'!$A$2:$B$184,2,FALSE)</f>
        <v>No</v>
      </c>
      <c r="R35">
        <f>VLOOKUP(Table8[[#This Row],[Census Tract]],'Population and Diversity Data'!$B$2:$K$823,10,FALSE)</f>
        <v>5</v>
      </c>
    </row>
    <row r="36" spans="1:18" ht="16" hidden="1" x14ac:dyDescent="0.2">
      <c r="A36" s="195">
        <v>9001072400</v>
      </c>
      <c r="B36" s="195" t="s">
        <v>934</v>
      </c>
      <c r="C36" s="195" t="s">
        <v>944</v>
      </c>
      <c r="D36" s="88">
        <f>[2]!Table3[[#This Row],[Residential CLM $ Collected]]+[2]!Table3[[#This Row],[C&amp;I CLM $ Collected]]</f>
        <v>46883.466399999998</v>
      </c>
      <c r="E36" s="197">
        <f>[2]!Table3[[#This Row],[CLM $ Collected ]]/'[2]1.) CLM Reference'!$B$4</f>
        <v>1.6110817681747956E-3</v>
      </c>
      <c r="F36" s="89">
        <f>[2]!Table3[[#This Row],[Residential Incentive Disbursements]]+[2]!Table3[[#This Row],[C&amp;I Incentive Disbursements]]</f>
        <v>55822.239400927836</v>
      </c>
      <c r="G36" s="198">
        <f>[2]!Table3[[#This Row],[Incentive Disbursements]]/'[2]1.) CLM Reference'!$B$5</f>
        <v>3.3225569532342107E-3</v>
      </c>
      <c r="H36" s="199">
        <v>38727.082199999997</v>
      </c>
      <c r="I36" s="200">
        <f>[2]!Table3[[#This Row],[Residential CLM $ Collected]]/'[2]1.) CLM Reference'!$B$4</f>
        <v>1.3307995516949798E-3</v>
      </c>
      <c r="J36" s="201">
        <v>51045.79357869424</v>
      </c>
      <c r="K36" s="202">
        <f>[2]!Table3[[#This Row],[Residential Incentive Disbursements]]/'[2]1.) CLM Reference'!$B$5</f>
        <v>3.0382614206880022E-3</v>
      </c>
      <c r="L36" s="199">
        <v>8156.3842000000004</v>
      </c>
      <c r="M36" s="200">
        <f>[2]!Table3[[#This Row],[C&amp;I CLM $ Collected]]/'[2]1.) CLM Reference'!$B$4</f>
        <v>2.8028221647981571E-4</v>
      </c>
      <c r="N36" s="201">
        <v>4776.445822233597</v>
      </c>
      <c r="O36" s="202">
        <f>[2]!Table3[[#This Row],[C&amp;I Incentive Disbursements]]/'[2]1.) CLM Reference'!$B$5</f>
        <v>2.8429553254620874E-4</v>
      </c>
      <c r="P36" t="str">
        <f t="shared" si="0"/>
        <v>YES</v>
      </c>
      <c r="Q36" t="str">
        <f>VLOOKUP(Table8[[#This Row],[Census Tract]],'UI EnergyBurden'!$A$2:$B$184,2,FALSE)</f>
        <v>No</v>
      </c>
      <c r="R36">
        <f>VLOOKUP(Table8[[#This Row],[Census Tract]],'Population and Diversity Data'!$B$2:$K$823,10,FALSE)</f>
        <v>5</v>
      </c>
    </row>
    <row r="37" spans="1:18" ht="15.75" hidden="1" customHeight="1" x14ac:dyDescent="0.2">
      <c r="A37" s="195">
        <v>9001072500</v>
      </c>
      <c r="B37" s="195" t="s">
        <v>934</v>
      </c>
      <c r="C37" s="195" t="s">
        <v>944</v>
      </c>
      <c r="D37" s="88">
        <f>[2]!Table3[[#This Row],[Residential CLM $ Collected]]+[2]!Table3[[#This Row],[C&amp;I CLM $ Collected]]</f>
        <v>93619.371000000305</v>
      </c>
      <c r="E37" s="197">
        <f>[2]!Table3[[#This Row],[CLM $ Collected ]]/'[2]1.) CLM Reference'!$B$4</f>
        <v>3.2170927908626796E-3</v>
      </c>
      <c r="F37" s="89">
        <f>[2]!Table3[[#This Row],[Residential Incentive Disbursements]]+[2]!Table3[[#This Row],[C&amp;I Incentive Disbursements]]</f>
        <v>34047.580624286231</v>
      </c>
      <c r="G37" s="198">
        <f>[2]!Table3[[#This Row],[Incentive Disbursements]]/'[2]1.) CLM Reference'!$B$5</f>
        <v>2.0265225286204541E-3</v>
      </c>
      <c r="H37" s="199">
        <v>78001.035200000304</v>
      </c>
      <c r="I37" s="200">
        <f>[2]!Table3[[#This Row],[Residential CLM $ Collected]]/'[2]1.) CLM Reference'!$B$4</f>
        <v>2.6803915187781626E-3</v>
      </c>
      <c r="J37" s="201">
        <v>32669.687708752946</v>
      </c>
      <c r="K37" s="202">
        <f>[2]!Table3[[#This Row],[Residential Incentive Disbursements]]/'[2]1.) CLM Reference'!$B$5</f>
        <v>1.9445099161482788E-3</v>
      </c>
      <c r="L37" s="199">
        <v>15618.335800000001</v>
      </c>
      <c r="M37" s="200">
        <f>[2]!Table3[[#This Row],[C&amp;I CLM $ Collected]]/'[2]1.) CLM Reference'!$B$4</f>
        <v>5.3670127208451702E-4</v>
      </c>
      <c r="N37" s="201">
        <v>1377.8929155332874</v>
      </c>
      <c r="O37" s="202">
        <f>[2]!Table3[[#This Row],[C&amp;I Incentive Disbursements]]/'[2]1.) CLM Reference'!$B$5</f>
        <v>8.2012612472175177E-5</v>
      </c>
      <c r="P37" t="str">
        <f t="shared" si="0"/>
        <v>NO</v>
      </c>
      <c r="Q37" t="str">
        <f>VLOOKUP(Table8[[#This Row],[Census Tract]],'UI EnergyBurden'!$A$2:$B$184,2,FALSE)</f>
        <v>No</v>
      </c>
      <c r="R37">
        <f>VLOOKUP(Table8[[#This Row],[Census Tract]],'Population and Diversity Data'!$B$2:$K$823,10,FALSE)</f>
        <v>4</v>
      </c>
    </row>
    <row r="38" spans="1:18" ht="16" hidden="1" x14ac:dyDescent="0.2">
      <c r="A38" s="195">
        <v>9001072600</v>
      </c>
      <c r="B38" s="195" t="s">
        <v>934</v>
      </c>
      <c r="C38" s="195" t="s">
        <v>944</v>
      </c>
      <c r="D38" s="88">
        <f>[2]!Table3[[#This Row],[Residential CLM $ Collected]]+[2]!Table3[[#This Row],[C&amp;I CLM $ Collected]]</f>
        <v>150867.26629999999</v>
      </c>
      <c r="E38" s="197">
        <f>[2]!Table3[[#This Row],[CLM $ Collected ]]/'[2]1.) CLM Reference'!$B$4</f>
        <v>5.1843330029517987E-3</v>
      </c>
      <c r="F38" s="89">
        <f>[2]!Table3[[#This Row],[Residential Incentive Disbursements]]+[2]!Table3[[#This Row],[C&amp;I Incentive Disbursements]]</f>
        <v>85820.56015460167</v>
      </c>
      <c r="G38" s="198">
        <f>[2]!Table3[[#This Row],[Incentive Disbursements]]/'[2]1.) CLM Reference'!$B$5</f>
        <v>5.1080662820450588E-3</v>
      </c>
      <c r="H38" s="199">
        <v>118351.0931</v>
      </c>
      <c r="I38" s="200">
        <f>[2]!Table3[[#This Row],[Residential CLM $ Collected]]/'[2]1.) CLM Reference'!$B$4</f>
        <v>4.0669622572312158E-3</v>
      </c>
      <c r="J38" s="201">
        <v>75183.601274107394</v>
      </c>
      <c r="K38" s="202">
        <f>[2]!Table3[[#This Row],[Residential Incentive Disbursements]]/'[2]1.) CLM Reference'!$B$5</f>
        <v>4.4749511997958643E-3</v>
      </c>
      <c r="L38" s="199">
        <v>32516.173200000001</v>
      </c>
      <c r="M38" s="200">
        <f>[2]!Table3[[#This Row],[C&amp;I CLM $ Collected]]/'[2]1.) CLM Reference'!$B$4</f>
        <v>1.1173707457205831E-3</v>
      </c>
      <c r="N38" s="201">
        <v>10636.95888049428</v>
      </c>
      <c r="O38" s="202">
        <f>[2]!Table3[[#This Row],[C&amp;I Incentive Disbursements]]/'[2]1.) CLM Reference'!$B$5</f>
        <v>6.331150822491945E-4</v>
      </c>
      <c r="P38" t="str">
        <f t="shared" si="0"/>
        <v>NO</v>
      </c>
      <c r="Q38" t="str">
        <f>VLOOKUP(Table8[[#This Row],[Census Tract]],'UI EnergyBurden'!$A$2:$B$184,2,FALSE)</f>
        <v>No</v>
      </c>
      <c r="R38">
        <f>VLOOKUP(Table8[[#This Row],[Census Tract]],'Population and Diversity Data'!$B$2:$K$823,10,FALSE)</f>
        <v>3</v>
      </c>
    </row>
    <row r="39" spans="1:18" ht="15.75" hidden="1" customHeight="1" x14ac:dyDescent="0.2">
      <c r="A39" s="195">
        <v>9001072700</v>
      </c>
      <c r="B39" s="195" t="s">
        <v>934</v>
      </c>
      <c r="C39" s="195" t="s">
        <v>944</v>
      </c>
      <c r="D39" s="88">
        <f>[2]!Table3[[#This Row],[Residential CLM $ Collected]]+[2]!Table3[[#This Row],[C&amp;I CLM $ Collected]]</f>
        <v>78752.083299999998</v>
      </c>
      <c r="E39" s="197">
        <f>[2]!Table3[[#This Row],[CLM $ Collected ]]/'[2]1.) CLM Reference'!$B$4</f>
        <v>2.706200188525582E-3</v>
      </c>
      <c r="F39" s="89">
        <f>[2]!Table3[[#This Row],[Residential Incentive Disbursements]]+[2]!Table3[[#This Row],[C&amp;I Incentive Disbursements]]</f>
        <v>90244.796419236096</v>
      </c>
      <c r="G39" s="198">
        <f>[2]!Table3[[#This Row],[Incentive Disbursements]]/'[2]1.) CLM Reference'!$B$5</f>
        <v>5.3713981927954492E-3</v>
      </c>
      <c r="H39" s="199">
        <v>59967.633300000001</v>
      </c>
      <c r="I39" s="200">
        <f>[2]!Table3[[#This Row],[Residential CLM $ Collected]]/'[2]1.) CLM Reference'!$B$4</f>
        <v>2.0607000315621235E-3</v>
      </c>
      <c r="J39" s="201">
        <v>82640.050655073166</v>
      </c>
      <c r="K39" s="202">
        <f>[2]!Table3[[#This Row],[Residential Incentive Disbursements]]/'[2]1.) CLM Reference'!$B$5</f>
        <v>4.9187613729999684E-3</v>
      </c>
      <c r="L39" s="199">
        <v>18784.45</v>
      </c>
      <c r="M39" s="200">
        <f>[2]!Table3[[#This Row],[C&amp;I CLM $ Collected]]/'[2]1.) CLM Reference'!$B$4</f>
        <v>6.4550015696345864E-4</v>
      </c>
      <c r="N39" s="201">
        <v>7604.7457641629298</v>
      </c>
      <c r="O39" s="202">
        <f>[2]!Table3[[#This Row],[C&amp;I Incentive Disbursements]]/'[2]1.) CLM Reference'!$B$5</f>
        <v>4.5263681979548065E-4</v>
      </c>
      <c r="P39" t="str">
        <f t="shared" si="0"/>
        <v>NO</v>
      </c>
      <c r="Q39" t="str">
        <f>VLOOKUP(Table8[[#This Row],[Census Tract]],'UI EnergyBurden'!$A$2:$B$184,2,FALSE)</f>
        <v>No</v>
      </c>
      <c r="R39">
        <f>VLOOKUP(Table8[[#This Row],[Census Tract]],'Population and Diversity Data'!$B$2:$K$823,10,FALSE)</f>
        <v>4</v>
      </c>
    </row>
    <row r="40" spans="1:18" ht="16" hidden="1" x14ac:dyDescent="0.2">
      <c r="A40" s="195">
        <v>9001072800</v>
      </c>
      <c r="B40" s="195" t="s">
        <v>934</v>
      </c>
      <c r="C40" s="195" t="s">
        <v>944</v>
      </c>
      <c r="D40" s="88">
        <f>[2]!Table3[[#This Row],[Residential CLM $ Collected]]+[2]!Table3[[#This Row],[C&amp;I CLM $ Collected]]</f>
        <v>77117.696200000093</v>
      </c>
      <c r="E40" s="197">
        <f>[2]!Table3[[#This Row],[CLM $ Collected ]]/'[2]1.) CLM Reference'!$B$4</f>
        <v>2.650036865692654E-3</v>
      </c>
      <c r="F40" s="89">
        <f>[2]!Table3[[#This Row],[Residential Incentive Disbursements]]+[2]!Table3[[#This Row],[C&amp;I Incentive Disbursements]]</f>
        <v>418730.78254849138</v>
      </c>
      <c r="G40" s="198">
        <f>[2]!Table3[[#This Row],[Incentive Disbursements]]/'[2]1.) CLM Reference'!$B$5</f>
        <v>2.4922985677757813E-2</v>
      </c>
      <c r="H40" s="199">
        <v>67221.614200000098</v>
      </c>
      <c r="I40" s="200">
        <f>[2]!Table3[[#This Row],[Residential CLM $ Collected]]/'[2]1.) CLM Reference'!$B$4</f>
        <v>2.3099724781634342E-3</v>
      </c>
      <c r="J40" s="201">
        <v>418730.78254849138</v>
      </c>
      <c r="K40" s="202">
        <f>[2]!Table3[[#This Row],[Residential Incentive Disbursements]]/'[2]1.) CLM Reference'!$B$5</f>
        <v>2.4922985677757813E-2</v>
      </c>
      <c r="L40" s="199">
        <v>9896.0820000000003</v>
      </c>
      <c r="M40" s="200">
        <f>[2]!Table3[[#This Row],[C&amp;I CLM $ Collected]]/'[2]1.) CLM Reference'!$B$4</f>
        <v>3.4006438752922009E-4</v>
      </c>
      <c r="N40" s="201">
        <v>0</v>
      </c>
      <c r="O40" s="202">
        <f>[2]!Table3[[#This Row],[C&amp;I Incentive Disbursements]]/'[2]1.) CLM Reference'!$B$5</f>
        <v>0</v>
      </c>
      <c r="P40" t="str">
        <f t="shared" si="0"/>
        <v>NO</v>
      </c>
      <c r="Q40" t="str">
        <f>VLOOKUP(Table8[[#This Row],[Census Tract]],'UI EnergyBurden'!$A$2:$B$184,2,FALSE)</f>
        <v>No</v>
      </c>
      <c r="R40">
        <f>VLOOKUP(Table8[[#This Row],[Census Tract]],'Population and Diversity Data'!$B$2:$K$823,10,FALSE)</f>
        <v>5</v>
      </c>
    </row>
    <row r="41" spans="1:18" ht="15.75" hidden="1" customHeight="1" x14ac:dyDescent="0.2">
      <c r="A41" s="195">
        <v>9001072900</v>
      </c>
      <c r="B41" s="195" t="s">
        <v>934</v>
      </c>
      <c r="C41" s="195" t="s">
        <v>944</v>
      </c>
      <c r="D41" s="88">
        <f>[2]!Table3[[#This Row],[Residential CLM $ Collected]]+[2]!Table3[[#This Row],[C&amp;I CLM $ Collected]]</f>
        <v>78484.064900000099</v>
      </c>
      <c r="E41" s="197">
        <f>[2]!Table3[[#This Row],[CLM $ Collected ]]/'[2]1.) CLM Reference'!$B$4</f>
        <v>2.6969901281155605E-3</v>
      </c>
      <c r="F41" s="89">
        <f>[2]!Table3[[#This Row],[Residential Incentive Disbursements]]+[2]!Table3[[#This Row],[C&amp;I Incentive Disbursements]]</f>
        <v>110834.15785441252</v>
      </c>
      <c r="G41" s="198">
        <f>[2]!Table3[[#This Row],[Incentive Disbursements]]/'[2]1.) CLM Reference'!$B$5</f>
        <v>6.5968833530694153E-3</v>
      </c>
      <c r="H41" s="199">
        <v>67436.167800000097</v>
      </c>
      <c r="I41" s="200">
        <f>[2]!Table3[[#This Row],[Residential CLM $ Collected]]/'[2]1.) CLM Reference'!$B$4</f>
        <v>2.3173452988995793E-3</v>
      </c>
      <c r="J41" s="201">
        <v>93920.360064358247</v>
      </c>
      <c r="K41" s="202">
        <f>[2]!Table3[[#This Row],[Residential Incentive Disbursements]]/'[2]1.) CLM Reference'!$B$5</f>
        <v>5.5901688776911988E-3</v>
      </c>
      <c r="L41" s="199">
        <v>11047.8971</v>
      </c>
      <c r="M41" s="200">
        <f>[2]!Table3[[#This Row],[C&amp;I CLM $ Collected]]/'[2]1.) CLM Reference'!$B$4</f>
        <v>3.7964482921598131E-4</v>
      </c>
      <c r="N41" s="201">
        <v>16913.797790054272</v>
      </c>
      <c r="O41" s="202">
        <f>[2]!Table3[[#This Row],[C&amp;I Incentive Disbursements]]/'[2]1.) CLM Reference'!$B$5</f>
        <v>1.0067144753782161E-3</v>
      </c>
      <c r="P41" t="str">
        <f t="shared" si="0"/>
        <v>YES</v>
      </c>
      <c r="Q41" t="str">
        <f>VLOOKUP(Table8[[#This Row],[Census Tract]],'UI EnergyBurden'!$A$2:$B$184,2,FALSE)</f>
        <v>No</v>
      </c>
      <c r="R41">
        <f>VLOOKUP(Table8[[#This Row],[Census Tract]],'Population and Diversity Data'!$B$2:$K$823,10,FALSE)</f>
        <v>4</v>
      </c>
    </row>
    <row r="42" spans="1:18" ht="16" hidden="1" x14ac:dyDescent="0.2">
      <c r="A42" s="195">
        <v>9001073000</v>
      </c>
      <c r="B42" s="195" t="s">
        <v>934</v>
      </c>
      <c r="C42" s="195" t="s">
        <v>944</v>
      </c>
      <c r="D42" s="88">
        <f>[2]!Table3[[#This Row],[Residential CLM $ Collected]]+[2]!Table3[[#This Row],[C&amp;I CLM $ Collected]]</f>
        <v>44439.523699999998</v>
      </c>
      <c r="E42" s="197">
        <f>[2]!Table3[[#This Row],[CLM $ Collected ]]/'[2]1.) CLM Reference'!$B$4</f>
        <v>1.5270992509086685E-3</v>
      </c>
      <c r="F42" s="89">
        <f>[2]!Table3[[#This Row],[Residential Incentive Disbursements]]+[2]!Table3[[#This Row],[C&amp;I Incentive Disbursements]]</f>
        <v>31382.103513062619</v>
      </c>
      <c r="G42" s="198">
        <f>[2]!Table3[[#This Row],[Incentive Disbursements]]/'[2]1.) CLM Reference'!$B$5</f>
        <v>1.8678725066108488E-3</v>
      </c>
      <c r="H42" s="199">
        <v>27045.101699999999</v>
      </c>
      <c r="I42" s="200">
        <f>[2]!Table3[[#This Row],[Residential CLM $ Collected]]/'[2]1.) CLM Reference'!$B$4</f>
        <v>9.2936537361715146E-4</v>
      </c>
      <c r="J42" s="201">
        <v>30857.905121283649</v>
      </c>
      <c r="K42" s="202">
        <f>[2]!Table3[[#This Row],[Residential Incentive Disbursements]]/'[2]1.) CLM Reference'!$B$5</f>
        <v>1.8366720562138254E-3</v>
      </c>
      <c r="L42" s="199">
        <v>17394.421999999999</v>
      </c>
      <c r="M42" s="200">
        <f>[2]!Table3[[#This Row],[C&amp;I CLM $ Collected]]/'[2]1.) CLM Reference'!$B$4</f>
        <v>5.9773387729151702E-4</v>
      </c>
      <c r="N42" s="201">
        <v>524.19839177896802</v>
      </c>
      <c r="O42" s="202">
        <f>[2]!Table3[[#This Row],[C&amp;I Incentive Disbursements]]/'[2]1.) CLM Reference'!$B$5</f>
        <v>3.1200450397023164E-5</v>
      </c>
      <c r="P42" t="str">
        <f t="shared" si="0"/>
        <v>NO</v>
      </c>
      <c r="Q42" t="str">
        <f>VLOOKUP(Table8[[#This Row],[Census Tract]],'UI EnergyBurden'!$A$2:$B$184,2,FALSE)</f>
        <v>No</v>
      </c>
      <c r="R42">
        <f>VLOOKUP(Table8[[#This Row],[Census Tract]],'Population and Diversity Data'!$B$2:$K$823,10,FALSE)</f>
        <v>4</v>
      </c>
    </row>
    <row r="43" spans="1:18" ht="15.75" customHeight="1" x14ac:dyDescent="0.2">
      <c r="A43" s="195">
        <v>9001073100</v>
      </c>
      <c r="B43" s="195" t="s">
        <v>934</v>
      </c>
      <c r="C43" s="195" t="s">
        <v>936</v>
      </c>
      <c r="D43" s="88">
        <f>[2]!Table3[[#This Row],[Residential CLM $ Collected]]+[2]!Table3[[#This Row],[C&amp;I CLM $ Collected]]</f>
        <v>94334.927800000005</v>
      </c>
      <c r="E43" s="197">
        <f>[2]!Table3[[#This Row],[CLM $ Collected ]]/'[2]1.) CLM Reference'!$B$4</f>
        <v>3.2416818539822323E-3</v>
      </c>
      <c r="F43" s="89">
        <f>[2]!Table3[[#This Row],[Residential Incentive Disbursements]]+[2]!Table3[[#This Row],[C&amp;I Incentive Disbursements]]</f>
        <v>83303.046404719658</v>
      </c>
      <c r="G43" s="198">
        <f>[2]!Table3[[#This Row],[Incentive Disbursements]]/'[2]1.) CLM Reference'!$B$5</f>
        <v>4.9582230850629934E-3</v>
      </c>
      <c r="H43" s="199">
        <v>69620.792000000001</v>
      </c>
      <c r="I43" s="200">
        <f>[2]!Table3[[#This Row],[Residential CLM $ Collected]]/'[2]1.) CLM Reference'!$B$4</f>
        <v>2.3924167150978764E-3</v>
      </c>
      <c r="J43" s="201">
        <v>61012.13384002354</v>
      </c>
      <c r="K43" s="202">
        <f>[2]!Table3[[#This Row],[Residential Incentive Disbursements]]/'[2]1.) CLM Reference'!$B$5</f>
        <v>3.6314610753229132E-3</v>
      </c>
      <c r="L43" s="199">
        <v>24714.1358</v>
      </c>
      <c r="M43" s="200">
        <f>[2]!Table3[[#This Row],[C&amp;I CLM $ Collected]]/'[2]1.) CLM Reference'!$B$4</f>
        <v>8.4926513888435549E-4</v>
      </c>
      <c r="N43" s="201">
        <v>22290.912564696118</v>
      </c>
      <c r="O43" s="202">
        <f>[2]!Table3[[#This Row],[C&amp;I Incentive Disbursements]]/'[2]1.) CLM Reference'!$B$5</f>
        <v>1.3267620097400805E-3</v>
      </c>
      <c r="P43" t="str">
        <f t="shared" si="0"/>
        <v>YES</v>
      </c>
      <c r="Q43" t="str">
        <f>VLOOKUP(Table8[[#This Row],[Census Tract]],'UI EnergyBurden'!$A$2:$B$184,2,FALSE)</f>
        <v>No</v>
      </c>
      <c r="R43">
        <f>VLOOKUP(Table8[[#This Row],[Census Tract]],'Population and Diversity Data'!$B$2:$K$823,10,FALSE)</f>
        <v>5</v>
      </c>
    </row>
    <row r="44" spans="1:18" ht="16" hidden="1" x14ac:dyDescent="0.2">
      <c r="A44" s="195">
        <v>9001073200</v>
      </c>
      <c r="B44" s="195" t="s">
        <v>934</v>
      </c>
      <c r="C44" s="195" t="s">
        <v>944</v>
      </c>
      <c r="D44" s="88">
        <f>[2]!Table3[[#This Row],[Residential CLM $ Collected]]+[2]!Table3[[#This Row],[C&amp;I CLM $ Collected]]</f>
        <v>26440.300999999999</v>
      </c>
      <c r="E44" s="197">
        <f>[2]!Table3[[#This Row],[CLM $ Collected ]]/'[2]1.) CLM Reference'!$B$4</f>
        <v>9.0858228192260582E-4</v>
      </c>
      <c r="F44" s="89">
        <f>[2]!Table3[[#This Row],[Residential Incentive Disbursements]]+[2]!Table3[[#This Row],[C&amp;I Incentive Disbursements]]</f>
        <v>5329.0300323911779</v>
      </c>
      <c r="G44" s="198">
        <f>[2]!Table3[[#This Row],[Incentive Disbursements]]/'[2]1.) CLM Reference'!$B$5</f>
        <v>3.1718551563198204E-4</v>
      </c>
      <c r="H44" s="199">
        <v>24172.335500000001</v>
      </c>
      <c r="I44" s="200">
        <f>[2]!Table3[[#This Row],[Residential CLM $ Collected]]/'[2]1.) CLM Reference'!$B$4</f>
        <v>8.3064696381439883E-4</v>
      </c>
      <c r="J44" s="201">
        <v>5329.0300323911779</v>
      </c>
      <c r="K44" s="202">
        <f>[2]!Table3[[#This Row],[Residential Incentive Disbursements]]/'[2]1.) CLM Reference'!$B$5</f>
        <v>3.1718551563198204E-4</v>
      </c>
      <c r="L44" s="199">
        <v>2267.9654999999998</v>
      </c>
      <c r="M44" s="200">
        <f>[2]!Table3[[#This Row],[C&amp;I CLM $ Collected]]/'[2]1.) CLM Reference'!$B$4</f>
        <v>7.793531810820699E-5</v>
      </c>
      <c r="N44" s="201">
        <v>0</v>
      </c>
      <c r="O44" s="202">
        <f>[2]!Table3[[#This Row],[C&amp;I Incentive Disbursements]]/'[2]1.) CLM Reference'!$B$5</f>
        <v>0</v>
      </c>
      <c r="P44" t="str">
        <f t="shared" si="0"/>
        <v>NO</v>
      </c>
      <c r="Q44" t="str">
        <f>VLOOKUP(Table8[[#This Row],[Census Tract]],'UI EnergyBurden'!$A$2:$B$184,2,FALSE)</f>
        <v>No</v>
      </c>
      <c r="R44">
        <f>VLOOKUP(Table8[[#This Row],[Census Tract]],'Population and Diversity Data'!$B$2:$K$823,10,FALSE)</f>
        <v>5</v>
      </c>
    </row>
    <row r="45" spans="1:18" ht="15.75" customHeight="1" x14ac:dyDescent="0.2">
      <c r="A45" s="195">
        <v>9001073300</v>
      </c>
      <c r="B45" s="195" t="s">
        <v>934</v>
      </c>
      <c r="C45" s="195" t="s">
        <v>936</v>
      </c>
      <c r="D45" s="88">
        <f>[2]!Table3[[#This Row],[Residential CLM $ Collected]]+[2]!Table3[[#This Row],[C&amp;I CLM $ Collected]]</f>
        <v>72877.155399999901</v>
      </c>
      <c r="E45" s="197">
        <f>[2]!Table3[[#This Row],[CLM $ Collected ]]/'[2]1.) CLM Reference'!$B$4</f>
        <v>2.5043168817692456E-3</v>
      </c>
      <c r="F45" s="89">
        <f>[2]!Table3[[#This Row],[Residential Incentive Disbursements]]+[2]!Table3[[#This Row],[C&amp;I Incentive Disbursements]]</f>
        <v>40336.52270243744</v>
      </c>
      <c r="G45" s="198">
        <f>[2]!Table3[[#This Row],[Incentive Disbursements]]/'[2]1.) CLM Reference'!$B$5</f>
        <v>2.4008423060871602E-3</v>
      </c>
      <c r="H45" s="199">
        <v>49786.050399999898</v>
      </c>
      <c r="I45" s="200">
        <f>[2]!Table3[[#This Row],[Residential CLM $ Collected]]/'[2]1.) CLM Reference'!$B$4</f>
        <v>1.7108248230739041E-3</v>
      </c>
      <c r="J45" s="201">
        <v>37368.56133184128</v>
      </c>
      <c r="K45" s="202">
        <f>[2]!Table3[[#This Row],[Residential Incentive Disbursements]]/'[2]1.) CLM Reference'!$B$5</f>
        <v>2.2241883274106812E-3</v>
      </c>
      <c r="L45" s="199">
        <v>23091.105</v>
      </c>
      <c r="M45" s="200">
        <f>[2]!Table3[[#This Row],[C&amp;I CLM $ Collected]]/'[2]1.) CLM Reference'!$B$4</f>
        <v>7.9349205869534136E-4</v>
      </c>
      <c r="N45" s="201">
        <v>2967.9613705961574</v>
      </c>
      <c r="O45" s="202">
        <f>[2]!Table3[[#This Row],[C&amp;I Incentive Disbursements]]/'[2]1.) CLM Reference'!$B$5</f>
        <v>1.7665397867647881E-4</v>
      </c>
      <c r="P45" t="str">
        <f t="shared" si="0"/>
        <v>NO</v>
      </c>
      <c r="Q45" t="str">
        <f>VLOOKUP(Table8[[#This Row],[Census Tract]],'UI EnergyBurden'!$A$2:$B$184,2,FALSE)</f>
        <v>Yes</v>
      </c>
      <c r="R45">
        <f>VLOOKUP(Table8[[#This Row],[Census Tract]],'Population and Diversity Data'!$B$2:$K$823,10,FALSE)</f>
        <v>5</v>
      </c>
    </row>
    <row r="46" spans="1:18" ht="15.75" customHeight="1" x14ac:dyDescent="0.2">
      <c r="A46" s="195">
        <v>9001073400</v>
      </c>
      <c r="B46" s="195" t="s">
        <v>934</v>
      </c>
      <c r="C46" s="195" t="s">
        <v>936</v>
      </c>
      <c r="D46" s="88">
        <f>[2]!Table3[[#This Row],[Residential CLM $ Collected]]+[2]!Table3[[#This Row],[C&amp;I CLM $ Collected]]</f>
        <v>79920.725000000006</v>
      </c>
      <c r="E46" s="197">
        <f>[2]!Table3[[#This Row],[CLM $ Collected ]]/'[2]1.) CLM Reference'!$B$4</f>
        <v>2.7463588517168945E-3</v>
      </c>
      <c r="F46" s="89">
        <f>[2]!Table3[[#This Row],[Residential Incentive Disbursements]]+[2]!Table3[[#This Row],[C&amp;I Incentive Disbursements]]</f>
        <v>94122.460520517969</v>
      </c>
      <c r="G46" s="198">
        <f>[2]!Table3[[#This Row],[Incentive Disbursements]]/'[2]1.) CLM Reference'!$B$5</f>
        <v>5.6021979593452419E-3</v>
      </c>
      <c r="H46" s="199">
        <v>53978.008699999998</v>
      </c>
      <c r="I46" s="200">
        <f>[2]!Table3[[#This Row],[Residential CLM $ Collected]]/'[2]1.) CLM Reference'!$B$4</f>
        <v>1.8548753404238577E-3</v>
      </c>
      <c r="J46" s="201">
        <v>84524.637585326869</v>
      </c>
      <c r="K46" s="202">
        <f>[2]!Table3[[#This Row],[Residential Incentive Disbursements]]/'[2]1.) CLM Reference'!$B$5</f>
        <v>5.03093256993308E-3</v>
      </c>
      <c r="L46" s="199">
        <v>25942.7163</v>
      </c>
      <c r="M46" s="200">
        <f>[2]!Table3[[#This Row],[C&amp;I CLM $ Collected]]/'[2]1.) CLM Reference'!$B$4</f>
        <v>8.9148351129303633E-4</v>
      </c>
      <c r="N46" s="201">
        <v>9597.822935191105</v>
      </c>
      <c r="O46" s="202">
        <f>[2]!Table3[[#This Row],[C&amp;I Incentive Disbursements]]/'[2]1.) CLM Reference'!$B$5</f>
        <v>5.7126538941216229E-4</v>
      </c>
      <c r="P46" t="str">
        <f t="shared" si="0"/>
        <v>NO</v>
      </c>
      <c r="Q46" t="str">
        <f>VLOOKUP(Table8[[#This Row],[Census Tract]],'UI EnergyBurden'!$A$2:$B$184,2,FALSE)</f>
        <v>Yes</v>
      </c>
      <c r="R46">
        <f>VLOOKUP(Table8[[#This Row],[Census Tract]],'Population and Diversity Data'!$B$2:$K$823,10,FALSE)</f>
        <v>5</v>
      </c>
    </row>
    <row r="47" spans="1:18" ht="16" x14ac:dyDescent="0.2">
      <c r="A47" s="195">
        <v>9001073500</v>
      </c>
      <c r="B47" s="195" t="s">
        <v>934</v>
      </c>
      <c r="C47" s="195" t="s">
        <v>936</v>
      </c>
      <c r="D47" s="88">
        <f>[2]!Table3[[#This Row],[Residential CLM $ Collected]]+[2]!Table3[[#This Row],[C&amp;I CLM $ Collected]]</f>
        <v>48863.655799999993</v>
      </c>
      <c r="E47" s="197">
        <f>[2]!Table3[[#This Row],[CLM $ Collected ]]/'[2]1.) CLM Reference'!$B$4</f>
        <v>1.6791280814028844E-3</v>
      </c>
      <c r="F47" s="89">
        <f>[2]!Table3[[#This Row],[Residential Incentive Disbursements]]+[2]!Table3[[#This Row],[C&amp;I Incentive Disbursements]]</f>
        <v>13933.606298603105</v>
      </c>
      <c r="G47" s="198">
        <f>[2]!Table3[[#This Row],[Incentive Disbursements]]/'[2]1.) CLM Reference'!$B$5</f>
        <v>8.2933255612604919E-4</v>
      </c>
      <c r="H47" s="199">
        <v>38030.339099999997</v>
      </c>
      <c r="I47" s="200">
        <f>[2]!Table3[[#This Row],[Residential CLM $ Collected]]/'[2]1.) CLM Reference'!$B$4</f>
        <v>1.3068569938658602E-3</v>
      </c>
      <c r="J47" s="201">
        <v>12529.503463480869</v>
      </c>
      <c r="K47" s="202">
        <f>[2]!Table3[[#This Row],[Residential Incentive Disbursements]]/'[2]1.) CLM Reference'!$B$5</f>
        <v>7.4575992113402293E-4</v>
      </c>
      <c r="L47" s="199">
        <v>10833.316699999999</v>
      </c>
      <c r="M47" s="200">
        <f>[2]!Table3[[#This Row],[C&amp;I CLM $ Collected]]/'[2]1.) CLM Reference'!$B$4</f>
        <v>3.7227108753702437E-4</v>
      </c>
      <c r="N47" s="201">
        <v>1404.1028351222358</v>
      </c>
      <c r="O47" s="202">
        <f>[2]!Table3[[#This Row],[C&amp;I Incentive Disbursements]]/'[2]1.) CLM Reference'!$B$5</f>
        <v>8.3572634992026333E-5</v>
      </c>
      <c r="P47" t="str">
        <f t="shared" si="0"/>
        <v>NO</v>
      </c>
      <c r="Q47" t="str">
        <f>VLOOKUP(Table8[[#This Row],[Census Tract]],'UI EnergyBurden'!$A$2:$B$184,2,FALSE)</f>
        <v>Yes</v>
      </c>
      <c r="R47">
        <f>VLOOKUP(Table8[[#This Row],[Census Tract]],'Population and Diversity Data'!$B$2:$K$823,10,FALSE)</f>
        <v>5</v>
      </c>
    </row>
    <row r="48" spans="1:18" ht="15.75" customHeight="1" x14ac:dyDescent="0.2">
      <c r="A48" s="195">
        <v>9001073600</v>
      </c>
      <c r="B48" s="195" t="s">
        <v>934</v>
      </c>
      <c r="C48" s="195" t="s">
        <v>936</v>
      </c>
      <c r="D48" s="88">
        <f>[2]!Table3[[#This Row],[Residential CLM $ Collected]]+[2]!Table3[[#This Row],[C&amp;I CLM $ Collected]]</f>
        <v>31308.570500000002</v>
      </c>
      <c r="E48" s="197">
        <f>[2]!Table3[[#This Row],[CLM $ Collected ]]/'[2]1.) CLM Reference'!$B$4</f>
        <v>1.0758732447344219E-3</v>
      </c>
      <c r="F48" s="89">
        <f>[2]!Table3[[#This Row],[Residential Incentive Disbursements]]+[2]!Table3[[#This Row],[C&amp;I Incentive Disbursements]]</f>
        <v>3121.0658414739519</v>
      </c>
      <c r="G48" s="198">
        <f>[2]!Table3[[#This Row],[Incentive Disbursements]]/'[2]1.) CLM Reference'!$B$5</f>
        <v>1.8576680413359949E-4</v>
      </c>
      <c r="H48" s="199">
        <v>24351.613000000001</v>
      </c>
      <c r="I48" s="200">
        <f>[2]!Table3[[#This Row],[Residential CLM $ Collected]]/'[2]1.) CLM Reference'!$B$4</f>
        <v>8.3680757295600356E-4</v>
      </c>
      <c r="J48" s="201">
        <v>1477.329455824188</v>
      </c>
      <c r="K48" s="202">
        <f>[2]!Table3[[#This Row],[Residential Incentive Disbursements]]/'[2]1.) CLM Reference'!$B$5</f>
        <v>8.7931106102934011E-5</v>
      </c>
      <c r="L48" s="199">
        <v>6956.9575000000004</v>
      </c>
      <c r="M48" s="200">
        <f>[2]!Table3[[#This Row],[C&amp;I CLM $ Collected]]/'[2]1.) CLM Reference'!$B$4</f>
        <v>2.3906567177841838E-4</v>
      </c>
      <c r="N48" s="201">
        <v>1643.7363856497641</v>
      </c>
      <c r="O48" s="202">
        <f>[2]!Table3[[#This Row],[C&amp;I Incentive Disbursements]]/'[2]1.) CLM Reference'!$B$5</f>
        <v>9.783569803066551E-5</v>
      </c>
      <c r="P48" t="str">
        <f t="shared" si="0"/>
        <v>NO</v>
      </c>
      <c r="Q48" t="str">
        <f>VLOOKUP(Table8[[#This Row],[Census Tract]],'UI EnergyBurden'!$A$2:$B$184,2,FALSE)</f>
        <v>Yes</v>
      </c>
      <c r="R48">
        <f>VLOOKUP(Table8[[#This Row],[Census Tract]],'Population and Diversity Data'!$B$2:$K$823,10,FALSE)</f>
        <v>5</v>
      </c>
    </row>
    <row r="49" spans="1:18" ht="16" x14ac:dyDescent="0.2">
      <c r="A49" s="195">
        <v>9001073700</v>
      </c>
      <c r="B49" s="195" t="s">
        <v>934</v>
      </c>
      <c r="C49" s="195" t="s">
        <v>936</v>
      </c>
      <c r="D49" s="88">
        <f>[2]!Table3[[#This Row],[Residential CLM $ Collected]]+[2]!Table3[[#This Row],[C&amp;I CLM $ Collected]]</f>
        <v>87517.255000000092</v>
      </c>
      <c r="E49" s="197">
        <f>[2]!Table3[[#This Row],[CLM $ Collected ]]/'[2]1.) CLM Reference'!$B$4</f>
        <v>3.0074024972523068E-3</v>
      </c>
      <c r="F49" s="89">
        <f>[2]!Table3[[#This Row],[Residential Incentive Disbursements]]+[2]!Table3[[#This Row],[C&amp;I Incentive Disbursements]]</f>
        <v>50119.898352504766</v>
      </c>
      <c r="G49" s="198">
        <f>[2]!Table3[[#This Row],[Incentive Disbursements]]/'[2]1.) CLM Reference'!$B$5</f>
        <v>2.9831518504744672E-3</v>
      </c>
      <c r="H49" s="199">
        <v>64008.1363000001</v>
      </c>
      <c r="I49" s="200">
        <f>[2]!Table3[[#This Row],[Residential CLM $ Collected]]/'[2]1.) CLM Reference'!$B$4</f>
        <v>2.1995460089908685E-3</v>
      </c>
      <c r="J49" s="201">
        <v>42797.346055916183</v>
      </c>
      <c r="K49" s="202">
        <f>[2]!Table3[[#This Row],[Residential Incentive Disbursements]]/'[2]1.) CLM Reference'!$B$5</f>
        <v>2.5473112731427172E-3</v>
      </c>
      <c r="L49" s="199">
        <v>23509.118699999999</v>
      </c>
      <c r="M49" s="200">
        <f>[2]!Table3[[#This Row],[C&amp;I CLM $ Collected]]/'[2]1.) CLM Reference'!$B$4</f>
        <v>8.0785648826143858E-4</v>
      </c>
      <c r="N49" s="201">
        <v>7322.5522965885848</v>
      </c>
      <c r="O49" s="202">
        <f>[2]!Table3[[#This Row],[C&amp;I Incentive Disbursements]]/'[2]1.) CLM Reference'!$B$5</f>
        <v>4.3584057733174985E-4</v>
      </c>
      <c r="P49" t="str">
        <f t="shared" si="0"/>
        <v>NO</v>
      </c>
      <c r="Q49" t="str">
        <f>VLOOKUP(Table8[[#This Row],[Census Tract]],'UI EnergyBurden'!$A$2:$B$184,2,FALSE)</f>
        <v>Yes</v>
      </c>
      <c r="R49">
        <f>VLOOKUP(Table8[[#This Row],[Census Tract]],'Population and Diversity Data'!$B$2:$K$823,10,FALSE)</f>
        <v>5</v>
      </c>
    </row>
    <row r="50" spans="1:18" ht="15.75" customHeight="1" x14ac:dyDescent="0.2">
      <c r="A50" s="195">
        <v>9001073800</v>
      </c>
      <c r="B50" s="195" t="s">
        <v>934</v>
      </c>
      <c r="C50" s="195" t="s">
        <v>936</v>
      </c>
      <c r="D50" s="88">
        <f>[2]!Table3[[#This Row],[Residential CLM $ Collected]]+[2]!Table3[[#This Row],[C&amp;I CLM $ Collected]]</f>
        <v>44125.629799999995</v>
      </c>
      <c r="E50" s="197">
        <f>[2]!Table3[[#This Row],[CLM $ Collected ]]/'[2]1.) CLM Reference'!$B$4</f>
        <v>1.5163127460219206E-3</v>
      </c>
      <c r="F50" s="89">
        <f>[2]!Table3[[#This Row],[Residential Incentive Disbursements]]+[2]!Table3[[#This Row],[C&amp;I Incentive Disbursements]]</f>
        <v>7720.0745995238431</v>
      </c>
      <c r="G50" s="198">
        <f>[2]!Table3[[#This Row],[Incentive Disbursements]]/'[2]1.) CLM Reference'!$B$5</f>
        <v>4.5950122774380165E-4</v>
      </c>
      <c r="H50" s="199">
        <v>25510.301599999999</v>
      </c>
      <c r="I50" s="200">
        <f>[2]!Table3[[#This Row],[Residential CLM $ Collected]]/'[2]1.) CLM Reference'!$B$4</f>
        <v>8.7662421241959006E-4</v>
      </c>
      <c r="J50" s="201">
        <v>4385.1743546824082</v>
      </c>
      <c r="K50" s="202">
        <f>[2]!Table3[[#This Row],[Residential Incentive Disbursements]]/'[2]1.) CLM Reference'!$B$5</f>
        <v>2.6100693378940663E-4</v>
      </c>
      <c r="L50" s="199">
        <v>18615.3282</v>
      </c>
      <c r="M50" s="200">
        <f>[2]!Table3[[#This Row],[C&amp;I CLM $ Collected]]/'[2]1.) CLM Reference'!$B$4</f>
        <v>6.3968853360233053E-4</v>
      </c>
      <c r="N50" s="201">
        <v>3334.9002448414349</v>
      </c>
      <c r="O50" s="202">
        <f>[2]!Table3[[#This Row],[C&amp;I Incentive Disbursements]]/'[2]1.) CLM Reference'!$B$5</f>
        <v>1.9849429395439502E-4</v>
      </c>
      <c r="P50" t="str">
        <f t="shared" si="0"/>
        <v>NO</v>
      </c>
      <c r="Q50" t="str">
        <f>VLOOKUP(Table8[[#This Row],[Census Tract]],'UI EnergyBurden'!$A$2:$B$184,2,FALSE)</f>
        <v>Yes</v>
      </c>
      <c r="R50">
        <f>VLOOKUP(Table8[[#This Row],[Census Tract]],'Population and Diversity Data'!$B$2:$K$823,10,FALSE)</f>
        <v>5</v>
      </c>
    </row>
    <row r="51" spans="1:18" ht="15.75" customHeight="1" x14ac:dyDescent="0.2">
      <c r="A51" s="195">
        <v>9001073900</v>
      </c>
      <c r="B51" s="195" t="s">
        <v>934</v>
      </c>
      <c r="C51" s="195" t="s">
        <v>936</v>
      </c>
      <c r="D51" s="88">
        <f>[2]!Table3[[#This Row],[Residential CLM $ Collected]]+[2]!Table3[[#This Row],[C&amp;I CLM $ Collected]]</f>
        <v>51179.499300000003</v>
      </c>
      <c r="E51" s="197">
        <f>[2]!Table3[[#This Row],[CLM $ Collected ]]/'[2]1.) CLM Reference'!$B$4</f>
        <v>1.7587086569721883E-3</v>
      </c>
      <c r="F51" s="89">
        <f>[2]!Table3[[#This Row],[Residential Incentive Disbursements]]+[2]!Table3[[#This Row],[C&amp;I Incentive Disbursements]]</f>
        <v>191991.1341989566</v>
      </c>
      <c r="G51" s="198">
        <f>[2]!Table3[[#This Row],[Incentive Disbursements]]/'[2]1.) CLM Reference'!$B$5</f>
        <v>1.1427371684437708E-2</v>
      </c>
      <c r="H51" s="199">
        <v>35070.078800000003</v>
      </c>
      <c r="I51" s="200">
        <f>[2]!Table3[[#This Row],[Residential CLM $ Collected]]/'[2]1.) CLM Reference'!$B$4</f>
        <v>1.2051319772535722E-3</v>
      </c>
      <c r="J51" s="201">
        <v>186375.69636976667</v>
      </c>
      <c r="K51" s="202">
        <f>[2]!Table3[[#This Row],[Residential Incentive Disbursements]]/'[2]1.) CLM Reference'!$B$5</f>
        <v>1.1093139088163197E-2</v>
      </c>
      <c r="L51" s="199">
        <v>16109.4205</v>
      </c>
      <c r="M51" s="200">
        <f>[2]!Table3[[#This Row],[C&amp;I CLM $ Collected]]/'[2]1.) CLM Reference'!$B$4</f>
        <v>5.535766797186161E-4</v>
      </c>
      <c r="N51" s="201">
        <v>5615.4378291899257</v>
      </c>
      <c r="O51" s="202">
        <f>[2]!Table3[[#This Row],[C&amp;I Incentive Disbursements]]/'[2]1.) CLM Reference'!$B$5</f>
        <v>3.3423259627451089E-4</v>
      </c>
      <c r="P51" t="str">
        <f t="shared" si="0"/>
        <v>NO</v>
      </c>
      <c r="Q51" t="str">
        <f>VLOOKUP(Table8[[#This Row],[Census Tract]],'UI EnergyBurden'!$A$2:$B$184,2,FALSE)</f>
        <v>Yes</v>
      </c>
      <c r="R51">
        <f>VLOOKUP(Table8[[#This Row],[Census Tract]],'Population and Diversity Data'!$B$2:$K$823,10,FALSE)</f>
        <v>5</v>
      </c>
    </row>
    <row r="52" spans="1:18" ht="16" x14ac:dyDescent="0.2">
      <c r="A52" s="195">
        <v>9001074000</v>
      </c>
      <c r="B52" s="195" t="s">
        <v>934</v>
      </c>
      <c r="C52" s="195" t="s">
        <v>936</v>
      </c>
      <c r="D52" s="88">
        <f>[2]!Table3[[#This Row],[Residential CLM $ Collected]]+[2]!Table3[[#This Row],[C&amp;I CLM $ Collected]]</f>
        <v>45335.883000000002</v>
      </c>
      <c r="E52" s="197">
        <f>[2]!Table3[[#This Row],[CLM $ Collected ]]/'[2]1.) CLM Reference'!$B$4</f>
        <v>1.5579013275649272E-3</v>
      </c>
      <c r="F52" s="89">
        <f>[2]!Table3[[#This Row],[Residential Incentive Disbursements]]+[2]!Table3[[#This Row],[C&amp;I Incentive Disbursements]]</f>
        <v>25813.675462079656</v>
      </c>
      <c r="G52" s="198">
        <f>[2]!Table3[[#This Row],[Incentive Disbursements]]/'[2]1.) CLM Reference'!$B$5</f>
        <v>1.5364379468738856E-3</v>
      </c>
      <c r="H52" s="199">
        <v>26942.261399999999</v>
      </c>
      <c r="I52" s="200">
        <f>[2]!Table3[[#This Row],[Residential CLM $ Collected]]/'[2]1.) CLM Reference'!$B$4</f>
        <v>9.2583141708437204E-4</v>
      </c>
      <c r="J52" s="201">
        <v>23412.347591168382</v>
      </c>
      <c r="K52" s="202">
        <f>[2]!Table3[[#This Row],[Residential Incentive Disbursements]]/'[2]1.) CLM Reference'!$B$5</f>
        <v>1.3935101693408557E-3</v>
      </c>
      <c r="L52" s="199">
        <v>18393.621599999999</v>
      </c>
      <c r="M52" s="200">
        <f>[2]!Table3[[#This Row],[C&amp;I CLM $ Collected]]/'[2]1.) CLM Reference'!$B$4</f>
        <v>6.3206991048055507E-4</v>
      </c>
      <c r="N52" s="201">
        <v>2401.3278709112728</v>
      </c>
      <c r="O52" s="202">
        <f>[2]!Table3[[#This Row],[C&amp;I Incentive Disbursements]]/'[2]1.) CLM Reference'!$B$5</f>
        <v>1.4292777753302995E-4</v>
      </c>
      <c r="P52" t="str">
        <f t="shared" si="0"/>
        <v>NO</v>
      </c>
      <c r="Q52" t="str">
        <f>VLOOKUP(Table8[[#This Row],[Census Tract]],'UI EnergyBurden'!$A$2:$B$184,2,FALSE)</f>
        <v>Yes</v>
      </c>
      <c r="R52">
        <f>VLOOKUP(Table8[[#This Row],[Census Tract]],'Population and Diversity Data'!$B$2:$K$823,10,FALSE)</f>
        <v>5</v>
      </c>
    </row>
    <row r="53" spans="1:18" ht="15.75" customHeight="1" x14ac:dyDescent="0.2">
      <c r="A53" s="195">
        <v>9001074300</v>
      </c>
      <c r="B53" s="195" t="s">
        <v>934</v>
      </c>
      <c r="C53" s="195" t="s">
        <v>936</v>
      </c>
      <c r="D53" s="88">
        <f>[2]!Table3[[#This Row],[Residential CLM $ Collected]]+[2]!Table3[[#This Row],[C&amp;I CLM $ Collected]]</f>
        <v>99612.751599999901</v>
      </c>
      <c r="E53" s="197">
        <f>[2]!Table3[[#This Row],[CLM $ Collected ]]/'[2]1.) CLM Reference'!$B$4</f>
        <v>3.4230465514487754E-3</v>
      </c>
      <c r="F53" s="89">
        <f>[2]!Table3[[#This Row],[Residential Incentive Disbursements]]+[2]!Table3[[#This Row],[C&amp;I Incentive Disbursements]]</f>
        <v>28297.306390956983</v>
      </c>
      <c r="G53" s="198">
        <f>[2]!Table3[[#This Row],[Incentive Disbursements]]/'[2]1.) CLM Reference'!$B$5</f>
        <v>1.6842644278708438E-3</v>
      </c>
      <c r="H53" s="199">
        <v>51549.295899999903</v>
      </c>
      <c r="I53" s="200">
        <f>[2]!Table3[[#This Row],[Residential CLM $ Collected]]/'[2]1.) CLM Reference'!$B$4</f>
        <v>1.7714161764015295E-3</v>
      </c>
      <c r="J53" s="201">
        <v>14469.701670673205</v>
      </c>
      <c r="K53" s="202">
        <f>[2]!Table3[[#This Row],[Residential Incentive Disbursements]]/'[2]1.) CLM Reference'!$B$5</f>
        <v>8.6124111846936832E-4</v>
      </c>
      <c r="L53" s="199">
        <v>48063.455699999999</v>
      </c>
      <c r="M53" s="200">
        <f>[2]!Table3[[#This Row],[C&amp;I CLM $ Collected]]/'[2]1.) CLM Reference'!$B$4</f>
        <v>1.6516303750472459E-3</v>
      </c>
      <c r="N53" s="201">
        <v>13827.60472028378</v>
      </c>
      <c r="O53" s="202">
        <f>[2]!Table3[[#This Row],[C&amp;I Incentive Disbursements]]/'[2]1.) CLM Reference'!$B$5</f>
        <v>8.2302330940147545E-4</v>
      </c>
      <c r="P53" t="str">
        <f t="shared" si="0"/>
        <v>NO</v>
      </c>
      <c r="Q53" t="str">
        <f>VLOOKUP(Table8[[#This Row],[Census Tract]],'UI EnergyBurden'!$A$2:$B$184,2,FALSE)</f>
        <v>Yes</v>
      </c>
      <c r="R53">
        <f>VLOOKUP(Table8[[#This Row],[Census Tract]],'Population and Diversity Data'!$B$2:$K$823,10,FALSE)</f>
        <v>5</v>
      </c>
    </row>
    <row r="54" spans="1:18" ht="15.75" customHeight="1" x14ac:dyDescent="0.2">
      <c r="A54" s="195">
        <v>9001074400</v>
      </c>
      <c r="B54" s="195" t="s">
        <v>934</v>
      </c>
      <c r="C54" s="195" t="s">
        <v>936</v>
      </c>
      <c r="D54" s="88">
        <f>[2]!Table3[[#This Row],[Residential CLM $ Collected]]+[2]!Table3[[#This Row],[C&amp;I CLM $ Collected]]</f>
        <v>89778.143799999903</v>
      </c>
      <c r="E54" s="197">
        <f>[2]!Table3[[#This Row],[CLM $ Collected ]]/'[2]1.) CLM Reference'!$B$4</f>
        <v>3.0850946349128081E-3</v>
      </c>
      <c r="F54" s="89">
        <f>[2]!Table3[[#This Row],[Residential Incentive Disbursements]]+[2]!Table3[[#This Row],[C&amp;I Incentive Disbursements]]</f>
        <v>69159.333071067551</v>
      </c>
      <c r="G54" s="198">
        <f>[2]!Table3[[#This Row],[Incentive Disbursements]]/'[2]1.) CLM Reference'!$B$5</f>
        <v>4.1163848932312249E-3</v>
      </c>
      <c r="H54" s="199">
        <v>54299.358399999903</v>
      </c>
      <c r="I54" s="200">
        <f>[2]!Table3[[#This Row],[Residential CLM $ Collected]]/'[2]1.) CLM Reference'!$B$4</f>
        <v>1.8659180529754682E-3</v>
      </c>
      <c r="J54" s="201">
        <v>35142.539314269074</v>
      </c>
      <c r="K54" s="202">
        <f>[2]!Table3[[#This Row],[Residential Incentive Disbursements]]/'[2]1.) CLM Reference'!$B$5</f>
        <v>2.0916948084850674E-3</v>
      </c>
      <c r="L54" s="199">
        <v>35478.785400000001</v>
      </c>
      <c r="M54" s="200">
        <f>[2]!Table3[[#This Row],[C&amp;I CLM $ Collected]]/'[2]1.) CLM Reference'!$B$4</f>
        <v>1.2191765819373399E-3</v>
      </c>
      <c r="N54" s="201">
        <v>34016.793756798485</v>
      </c>
      <c r="O54" s="202">
        <f>[2]!Table3[[#This Row],[C&amp;I Incentive Disbursements]]/'[2]1.) CLM Reference'!$B$5</f>
        <v>2.024690084746158E-3</v>
      </c>
      <c r="P54" t="str">
        <f t="shared" si="0"/>
        <v>YES</v>
      </c>
      <c r="Q54" t="str">
        <f>VLOOKUP(Table8[[#This Row],[Census Tract]],'UI EnergyBurden'!$A$2:$B$184,2,FALSE)</f>
        <v>Yes</v>
      </c>
      <c r="R54">
        <f>VLOOKUP(Table8[[#This Row],[Census Tract]],'Population and Diversity Data'!$B$2:$K$823,10,FALSE)</f>
        <v>5</v>
      </c>
    </row>
    <row r="55" spans="1:18" ht="16" hidden="1" x14ac:dyDescent="0.2">
      <c r="A55" s="195">
        <v>9001080100</v>
      </c>
      <c r="B55" s="195" t="s">
        <v>934</v>
      </c>
      <c r="C55" s="195" t="s">
        <v>944</v>
      </c>
      <c r="D55" s="88">
        <f>[2]!Table3[[#This Row],[Residential CLM $ Collected]]+[2]!Table3[[#This Row],[C&amp;I CLM $ Collected]]</f>
        <v>259.25740000000002</v>
      </c>
      <c r="E55" s="197">
        <f>[2]!Table3[[#This Row],[CLM $ Collected ]]/'[2]1.) CLM Reference'!$B$4</f>
        <v>8.9090014556688211E-6</v>
      </c>
      <c r="F55" s="89">
        <f>[2]!Table3[[#This Row],[Residential Incentive Disbursements]]+[2]!Table3[[#This Row],[C&amp;I Incentive Disbursements]]</f>
        <v>0</v>
      </c>
      <c r="G55" s="198">
        <f>[2]!Table3[[#This Row],[Incentive Disbursements]]/'[2]1.) CLM Reference'!$B$5</f>
        <v>0</v>
      </c>
      <c r="H55" s="199">
        <v>255.44900000000001</v>
      </c>
      <c r="I55" s="200">
        <f>[2]!Table3[[#This Row],[Residential CLM $ Collected]]/'[2]1.) CLM Reference'!$B$4</f>
        <v>8.7781313584458725E-6</v>
      </c>
      <c r="J55" s="201">
        <v>0</v>
      </c>
      <c r="K55" s="202">
        <f>[2]!Table3[[#This Row],[Residential Incentive Disbursements]]/'[2]1.) CLM Reference'!$B$5</f>
        <v>0</v>
      </c>
      <c r="L55" s="199">
        <v>3.8083999999999998</v>
      </c>
      <c r="M55" s="200">
        <f>[2]!Table3[[#This Row],[C&amp;I CLM $ Collected]]/'[2]1.) CLM Reference'!$B$4</f>
        <v>1.3087009722294962E-7</v>
      </c>
      <c r="N55" s="201">
        <v>0</v>
      </c>
      <c r="O55" s="202">
        <f>[2]!Table3[[#This Row],[C&amp;I Incentive Disbursements]]/'[2]1.) CLM Reference'!$B$5</f>
        <v>0</v>
      </c>
      <c r="P55" t="str">
        <f t="shared" si="0"/>
        <v>N/A</v>
      </c>
      <c r="Q55" t="str">
        <f>VLOOKUP(Table8[[#This Row],[Census Tract]],'UI EnergyBurden'!$A$2:$B$184,2,FALSE)</f>
        <v>No</v>
      </c>
      <c r="R55">
        <f>VLOOKUP(Table8[[#This Row],[Census Tract]],'Population and Diversity Data'!$B$2:$K$823,10,FALSE)</f>
        <v>5</v>
      </c>
    </row>
    <row r="56" spans="1:18" ht="15.75" hidden="1" customHeight="1" x14ac:dyDescent="0.2">
      <c r="A56" s="195">
        <v>9001080400</v>
      </c>
      <c r="B56" s="195" t="s">
        <v>934</v>
      </c>
      <c r="C56" s="195" t="s">
        <v>944</v>
      </c>
      <c r="D56" s="88">
        <f>[2]!Table3[[#This Row],[Residential CLM $ Collected]]+[2]!Table3[[#This Row],[C&amp;I CLM $ Collected]]</f>
        <v>29.934999999999999</v>
      </c>
      <c r="E56" s="197">
        <f>[2]!Table3[[#This Row],[CLM $ Collected ]]/'[2]1.) CLM Reference'!$B$4</f>
        <v>1.0286725029852422E-6</v>
      </c>
      <c r="F56" s="89">
        <f>[2]!Table3[[#This Row],[Residential Incentive Disbursements]]+[2]!Table3[[#This Row],[C&amp;I Incentive Disbursements]]</f>
        <v>0</v>
      </c>
      <c r="G56" s="198">
        <f>[2]!Table3[[#This Row],[Incentive Disbursements]]/'[2]1.) CLM Reference'!$B$5</f>
        <v>0</v>
      </c>
      <c r="H56" s="88">
        <v>0</v>
      </c>
      <c r="I56" s="197">
        <f>[2]!Table3[[#This Row],[Residential CLM $ Collected]]/'[2]1.) CLM Reference'!$B$4</f>
        <v>0</v>
      </c>
      <c r="J56" s="89">
        <v>0</v>
      </c>
      <c r="K56" s="198">
        <f>[2]!Table3[[#This Row],[Residential Incentive Disbursements]]/'[2]1.) CLM Reference'!$B$5</f>
        <v>0</v>
      </c>
      <c r="L56" s="88">
        <v>29.934999999999999</v>
      </c>
      <c r="M56" s="197">
        <f>[2]!Table3[[#This Row],[C&amp;I CLM $ Collected]]/'[2]1.) CLM Reference'!$B$4</f>
        <v>1.0286725029852422E-6</v>
      </c>
      <c r="N56" s="89">
        <v>0</v>
      </c>
      <c r="O56" s="198">
        <f>[2]!Table3[[#This Row],[C&amp;I Incentive Disbursements]]/'[2]1.) CLM Reference'!$B$5</f>
        <v>0</v>
      </c>
      <c r="P56" t="str">
        <f t="shared" si="0"/>
        <v>N/A</v>
      </c>
      <c r="Q56" t="str">
        <f>VLOOKUP(Table8[[#This Row],[Census Tract]],'UI EnergyBurden'!$A$2:$B$184,2,FALSE)</f>
        <v>No</v>
      </c>
      <c r="R56">
        <f>VLOOKUP(Table8[[#This Row],[Census Tract]],'Population and Diversity Data'!$B$2:$K$823,10,FALSE)</f>
        <v>3</v>
      </c>
    </row>
    <row r="57" spans="1:18" ht="16" hidden="1" x14ac:dyDescent="0.2">
      <c r="A57" s="195">
        <v>9001080500</v>
      </c>
      <c r="B57" s="195" t="s">
        <v>934</v>
      </c>
      <c r="C57" s="195" t="s">
        <v>944</v>
      </c>
      <c r="D57" s="88">
        <f>[2]!Table3[[#This Row],[Residential CLM $ Collected]]+[2]!Table3[[#This Row],[C&amp;I CLM $ Collected]]</f>
        <v>1.0708</v>
      </c>
      <c r="E57" s="197">
        <f>[2]!Table3[[#This Row],[CLM $ Collected ]]/'[2]1.) CLM Reference'!$B$4</f>
        <v>3.6796476238403121E-8</v>
      </c>
      <c r="F57" s="89">
        <f>[2]!Table3[[#This Row],[Residential Incentive Disbursements]]+[2]!Table3[[#This Row],[C&amp;I Incentive Disbursements]]</f>
        <v>0</v>
      </c>
      <c r="G57" s="198">
        <f>[2]!Table3[[#This Row],[Incentive Disbursements]]/'[2]1.) CLM Reference'!$B$5</f>
        <v>0</v>
      </c>
      <c r="H57" s="88">
        <v>0</v>
      </c>
      <c r="I57" s="197">
        <f>[2]!Table3[[#This Row],[Residential CLM $ Collected]]/'[2]1.) CLM Reference'!$B$4</f>
        <v>0</v>
      </c>
      <c r="J57" s="89">
        <v>0</v>
      </c>
      <c r="K57" s="198">
        <f>[2]!Table3[[#This Row],[Residential Incentive Disbursements]]/'[2]1.) CLM Reference'!$B$5</f>
        <v>0</v>
      </c>
      <c r="L57" s="88">
        <v>1.0708</v>
      </c>
      <c r="M57" s="197">
        <f>[2]!Table3[[#This Row],[C&amp;I CLM $ Collected]]/'[2]1.) CLM Reference'!$B$4</f>
        <v>3.6796476238403121E-8</v>
      </c>
      <c r="N57" s="89">
        <v>0</v>
      </c>
      <c r="O57" s="198">
        <f>[2]!Table3[[#This Row],[C&amp;I Incentive Disbursements]]/'[2]1.) CLM Reference'!$B$5</f>
        <v>0</v>
      </c>
      <c r="P57" t="str">
        <f t="shared" si="0"/>
        <v>N/A</v>
      </c>
      <c r="Q57" t="str">
        <f>VLOOKUP(Table8[[#This Row],[Census Tract]],'UI EnergyBurden'!$A$2:$B$184,2,FALSE)</f>
        <v>No</v>
      </c>
      <c r="R57">
        <f>VLOOKUP(Table8[[#This Row],[Census Tract]],'Population and Diversity Data'!$B$2:$K$823,10,FALSE)</f>
        <v>1</v>
      </c>
    </row>
    <row r="58" spans="1:18" ht="15.75" hidden="1" customHeight="1" x14ac:dyDescent="0.2">
      <c r="A58" s="195">
        <v>9001080900</v>
      </c>
      <c r="B58" s="195" t="s">
        <v>934</v>
      </c>
      <c r="C58" s="195" t="s">
        <v>944</v>
      </c>
      <c r="D58" s="88">
        <f>[2]!Table3[[#This Row],[Residential CLM $ Collected]]+[2]!Table3[[#This Row],[C&amp;I CLM $ Collected]]</f>
        <v>10.1404</v>
      </c>
      <c r="E58" s="197">
        <f>[2]!Table3[[#This Row],[CLM $ Collected ]]/'[2]1.) CLM Reference'!$B$4</f>
        <v>3.4846001834880742E-7</v>
      </c>
      <c r="F58" s="89">
        <f>[2]!Table3[[#This Row],[Residential Incentive Disbursements]]+[2]!Table3[[#This Row],[C&amp;I Incentive Disbursements]]</f>
        <v>0</v>
      </c>
      <c r="G58" s="198">
        <f>[2]!Table3[[#This Row],[Incentive Disbursements]]/'[2]1.) CLM Reference'!$B$5</f>
        <v>0</v>
      </c>
      <c r="H58" s="88">
        <v>0</v>
      </c>
      <c r="I58" s="197">
        <f>[2]!Table3[[#This Row],[Residential CLM $ Collected]]/'[2]1.) CLM Reference'!$B$4</f>
        <v>0</v>
      </c>
      <c r="J58" s="89">
        <v>0</v>
      </c>
      <c r="K58" s="198">
        <f>[2]!Table3[[#This Row],[Residential Incentive Disbursements]]/'[2]1.) CLM Reference'!$B$5</f>
        <v>0</v>
      </c>
      <c r="L58" s="88">
        <v>10.1404</v>
      </c>
      <c r="M58" s="197">
        <f>[2]!Table3[[#This Row],[C&amp;I CLM $ Collected]]/'[2]1.) CLM Reference'!$B$4</f>
        <v>3.4846001834880742E-7</v>
      </c>
      <c r="N58" s="89">
        <v>0</v>
      </c>
      <c r="O58" s="198">
        <f>[2]!Table3[[#This Row],[C&amp;I Incentive Disbursements]]/'[2]1.) CLM Reference'!$B$5</f>
        <v>0</v>
      </c>
      <c r="P58" t="str">
        <f t="shared" si="0"/>
        <v>N/A</v>
      </c>
      <c r="Q58" t="str">
        <f>VLOOKUP(Table8[[#This Row],[Census Tract]],'UI EnergyBurden'!$A$2:$B$184,2,FALSE)</f>
        <v>No</v>
      </c>
      <c r="R58">
        <f>VLOOKUP(Table8[[#This Row],[Census Tract]],'Population and Diversity Data'!$B$2:$K$823,10,FALSE)</f>
        <v>4</v>
      </c>
    </row>
    <row r="59" spans="1:18" ht="15.75" hidden="1" customHeight="1" x14ac:dyDescent="0.2">
      <c r="A59" s="195">
        <v>9001081000</v>
      </c>
      <c r="B59" s="195" t="s">
        <v>934</v>
      </c>
      <c r="C59" s="195" t="s">
        <v>944</v>
      </c>
      <c r="D59" s="88">
        <f>[2]!Table3[[#This Row],[Residential CLM $ Collected]]+[2]!Table3[[#This Row],[C&amp;I CLM $ Collected]]</f>
        <v>201.1875</v>
      </c>
      <c r="E59" s="197">
        <f>[2]!Table3[[#This Row],[CLM $ Collected ]]/'[2]1.) CLM Reference'!$B$4</f>
        <v>6.9135142540285096E-6</v>
      </c>
      <c r="F59" s="89">
        <f>[2]!Table3[[#This Row],[Residential Incentive Disbursements]]+[2]!Table3[[#This Row],[C&amp;I Incentive Disbursements]]</f>
        <v>1296.791935776627</v>
      </c>
      <c r="G59" s="198">
        <f>[2]!Table3[[#This Row],[Incentive Disbursements]]/'[2]1.) CLM Reference'!$B$5</f>
        <v>7.7185457075035739E-5</v>
      </c>
      <c r="H59" s="88">
        <v>71.845299999999995</v>
      </c>
      <c r="I59" s="197">
        <f>[2]!Table3[[#This Row],[Residential CLM $ Collected]]/'[2]1.) CLM Reference'!$B$4</f>
        <v>2.4688586797636755E-6</v>
      </c>
      <c r="J59" s="89">
        <v>0</v>
      </c>
      <c r="K59" s="198">
        <f>[2]!Table3[[#This Row],[Residential Incentive Disbursements]]/'[2]1.) CLM Reference'!$B$5</f>
        <v>0</v>
      </c>
      <c r="L59" s="88">
        <v>129.34219999999999</v>
      </c>
      <c r="M59" s="197">
        <f>[2]!Table3[[#This Row],[C&amp;I CLM $ Collected]]/'[2]1.) CLM Reference'!$B$4</f>
        <v>4.4446555742648333E-6</v>
      </c>
      <c r="N59" s="89">
        <v>1296.791935776627</v>
      </c>
      <c r="O59" s="198">
        <f>[2]!Table3[[#This Row],[C&amp;I Incentive Disbursements]]/'[2]1.) CLM Reference'!$B$5</f>
        <v>7.7185457075035739E-5</v>
      </c>
      <c r="P59" t="str">
        <f t="shared" si="0"/>
        <v>N/A</v>
      </c>
      <c r="Q59" t="str">
        <f>VLOOKUP(Table8[[#This Row],[Census Tract]],'UI EnergyBurden'!$A$2:$B$184,2,FALSE)</f>
        <v>No</v>
      </c>
      <c r="R59">
        <f>VLOOKUP(Table8[[#This Row],[Census Tract]],'Population and Diversity Data'!$B$2:$K$823,10,FALSE)</f>
        <v>2</v>
      </c>
    </row>
    <row r="60" spans="1:18" ht="15.75" hidden="1" customHeight="1" x14ac:dyDescent="0.2">
      <c r="A60" s="195">
        <v>9001081200</v>
      </c>
      <c r="B60" s="195" t="s">
        <v>934</v>
      </c>
      <c r="C60" s="195" t="s">
        <v>944</v>
      </c>
      <c r="D60" s="88">
        <f>[2]!Table3[[#This Row],[Residential CLM $ Collected]]+[2]!Table3[[#This Row],[C&amp;I CLM $ Collected]]</f>
        <v>876.92470000000003</v>
      </c>
      <c r="E60" s="197">
        <f>[2]!Table3[[#This Row],[CLM $ Collected ]]/'[2]1.) CLM Reference'!$B$4</f>
        <v>3.0134235045217396E-5</v>
      </c>
      <c r="F60" s="89">
        <f>[2]!Table3[[#This Row],[Residential Incentive Disbursements]]+[2]!Table3[[#This Row],[C&amp;I Incentive Disbursements]]</f>
        <v>0</v>
      </c>
      <c r="G60" s="198">
        <f>[2]!Table3[[#This Row],[Incentive Disbursements]]/'[2]1.) CLM Reference'!$B$5</f>
        <v>0</v>
      </c>
      <c r="H60" s="88">
        <v>120.8455</v>
      </c>
      <c r="I60" s="197">
        <f>[2]!Table3[[#This Row],[Residential CLM $ Collected]]/'[2]1.) CLM Reference'!$B$4</f>
        <v>4.1526789029398059E-6</v>
      </c>
      <c r="J60" s="89">
        <v>0</v>
      </c>
      <c r="K60" s="198">
        <f>[2]!Table3[[#This Row],[Residential Incentive Disbursements]]/'[2]1.) CLM Reference'!$B$5</f>
        <v>0</v>
      </c>
      <c r="L60" s="88">
        <v>756.07920000000001</v>
      </c>
      <c r="M60" s="197">
        <f>[2]!Table3[[#This Row],[C&amp;I CLM $ Collected]]/'[2]1.) CLM Reference'!$B$4</f>
        <v>2.598155614227759E-5</v>
      </c>
      <c r="N60" s="89">
        <v>0</v>
      </c>
      <c r="O60" s="198">
        <f>[2]!Table3[[#This Row],[C&amp;I Incentive Disbursements]]/'[2]1.) CLM Reference'!$B$5</f>
        <v>0</v>
      </c>
      <c r="P60" t="str">
        <f t="shared" si="0"/>
        <v>NO</v>
      </c>
      <c r="Q60" t="str">
        <f>VLOOKUP(Table8[[#This Row],[Census Tract]],'UI EnergyBurden'!$A$2:$B$184,2,FALSE)</f>
        <v>No</v>
      </c>
      <c r="R60">
        <f>VLOOKUP(Table8[[#This Row],[Census Tract]],'Population and Diversity Data'!$B$2:$K$823,10,FALSE)</f>
        <v>3</v>
      </c>
    </row>
    <row r="61" spans="1:18" ht="16" hidden="1" x14ac:dyDescent="0.2">
      <c r="A61" s="195">
        <v>9001090200</v>
      </c>
      <c r="B61" s="195" t="s">
        <v>934</v>
      </c>
      <c r="C61" s="195" t="s">
        <v>944</v>
      </c>
      <c r="D61" s="88">
        <f>[2]!Table3[[#This Row],[Residential CLM $ Collected]]+[2]!Table3[[#This Row],[C&amp;I CLM $ Collected]]</f>
        <v>62.474600000000002</v>
      </c>
      <c r="E61" s="197">
        <f>[2]!Table3[[#This Row],[CLM $ Collected ]]/'[2]1.) CLM Reference'!$B$4</f>
        <v>2.1468482764323308E-6</v>
      </c>
      <c r="F61" s="89">
        <f>[2]!Table3[[#This Row],[Residential Incentive Disbursements]]+[2]!Table3[[#This Row],[C&amp;I Incentive Disbursements]]</f>
        <v>0</v>
      </c>
      <c r="G61" s="198">
        <f>[2]!Table3[[#This Row],[Incentive Disbursements]]/'[2]1.) CLM Reference'!$B$5</f>
        <v>0</v>
      </c>
      <c r="H61" s="88">
        <v>0</v>
      </c>
      <c r="I61" s="197">
        <f>[2]!Table3[[#This Row],[Residential CLM $ Collected]]/'[2]1.) CLM Reference'!$B$4</f>
        <v>0</v>
      </c>
      <c r="J61" s="89">
        <v>0</v>
      </c>
      <c r="K61" s="198">
        <f>[2]!Table3[[#This Row],[Residential Incentive Disbursements]]/'[2]1.) CLM Reference'!$B$5</f>
        <v>0</v>
      </c>
      <c r="L61" s="88">
        <v>62.474600000000002</v>
      </c>
      <c r="M61" s="197">
        <f>[2]!Table3[[#This Row],[C&amp;I CLM $ Collected]]/'[2]1.) CLM Reference'!$B$4</f>
        <v>2.1468482764323308E-6</v>
      </c>
      <c r="N61" s="89">
        <v>0</v>
      </c>
      <c r="O61" s="198">
        <f>[2]!Table3[[#This Row],[C&amp;I Incentive Disbursements]]/'[2]1.) CLM Reference'!$B$5</f>
        <v>0</v>
      </c>
      <c r="P61" t="str">
        <f t="shared" si="0"/>
        <v>N/A</v>
      </c>
      <c r="Q61" t="str">
        <f>VLOOKUP(Table8[[#This Row],[Census Tract]],'UI EnergyBurden'!$A$2:$B$184,2,FALSE)</f>
        <v>No</v>
      </c>
      <c r="R61">
        <f>VLOOKUP(Table8[[#This Row],[Census Tract]],'Population and Diversity Data'!$B$2:$K$823,10,FALSE)</f>
        <v>3</v>
      </c>
    </row>
    <row r="62" spans="1:18" ht="16" hidden="1" x14ac:dyDescent="0.2">
      <c r="A62" s="195">
        <v>9001090300</v>
      </c>
      <c r="B62" s="195" t="s">
        <v>934</v>
      </c>
      <c r="C62" s="195" t="s">
        <v>944</v>
      </c>
      <c r="D62" s="88">
        <f>[2]!Table3[[#This Row],[Residential CLM $ Collected]]+[2]!Table3[[#This Row],[C&amp;I CLM $ Collected]]</f>
        <v>190.06890000000001</v>
      </c>
      <c r="E62" s="197">
        <f>[2]!Table3[[#This Row],[CLM $ Collected ]]/'[2]1.) CLM Reference'!$B$4</f>
        <v>6.5314398230383071E-6</v>
      </c>
      <c r="F62" s="89">
        <f>[2]!Table3[[#This Row],[Residential Incentive Disbursements]]+[2]!Table3[[#This Row],[C&amp;I Incentive Disbursements]]</f>
        <v>0</v>
      </c>
      <c r="G62" s="198">
        <f>[2]!Table3[[#This Row],[Incentive Disbursements]]/'[2]1.) CLM Reference'!$B$5</f>
        <v>0</v>
      </c>
      <c r="H62" s="88">
        <v>190.06890000000001</v>
      </c>
      <c r="I62" s="197">
        <f>[2]!Table3[[#This Row],[Residential CLM $ Collected]]/'[2]1.) CLM Reference'!$B$4</f>
        <v>6.5314398230383071E-6</v>
      </c>
      <c r="J62" s="89">
        <v>0</v>
      </c>
      <c r="K62" s="198">
        <f>[2]!Table3[[#This Row],[Residential Incentive Disbursements]]/'[2]1.) CLM Reference'!$B$5</f>
        <v>0</v>
      </c>
      <c r="L62" s="88">
        <v>0</v>
      </c>
      <c r="M62" s="197">
        <f>[2]!Table3[[#This Row],[C&amp;I CLM $ Collected]]/'[2]1.) CLM Reference'!$B$4</f>
        <v>0</v>
      </c>
      <c r="N62" s="89">
        <v>0</v>
      </c>
      <c r="O62" s="198">
        <f>[2]!Table3[[#This Row],[C&amp;I Incentive Disbursements]]/'[2]1.) CLM Reference'!$B$5</f>
        <v>0</v>
      </c>
      <c r="P62" t="str">
        <f t="shared" si="0"/>
        <v>N/A</v>
      </c>
      <c r="Q62" t="str">
        <f>VLOOKUP(Table8[[#This Row],[Census Tract]],'UI EnergyBurden'!$A$2:$B$184,2,FALSE)</f>
        <v>No</v>
      </c>
      <c r="R62">
        <f>VLOOKUP(Table8[[#This Row],[Census Tract]],'Population and Diversity Data'!$B$2:$K$823,10,FALSE)</f>
        <v>3</v>
      </c>
    </row>
    <row r="63" spans="1:18" ht="15.75" hidden="1" customHeight="1" x14ac:dyDescent="0.2">
      <c r="A63" s="195">
        <v>9001090400</v>
      </c>
      <c r="B63" s="195" t="s">
        <v>934</v>
      </c>
      <c r="C63" s="195" t="s">
        <v>944</v>
      </c>
      <c r="D63" s="88">
        <f>[2]!Table3[[#This Row],[Residential CLM $ Collected]]+[2]!Table3[[#This Row],[C&amp;I CLM $ Collected]]</f>
        <v>5.79E-2</v>
      </c>
      <c r="E63" s="197">
        <f>[2]!Table3[[#This Row],[CLM $ Collected ]]/'[2]1.) CLM Reference'!$B$4</f>
        <v>1.9896488365740949E-9</v>
      </c>
      <c r="F63" s="89">
        <f>[2]!Table3[[#This Row],[Residential Incentive Disbursements]]+[2]!Table3[[#This Row],[C&amp;I Incentive Disbursements]]</f>
        <v>0</v>
      </c>
      <c r="G63" s="198">
        <f>[2]!Table3[[#This Row],[Incentive Disbursements]]/'[2]1.) CLM Reference'!$B$5</f>
        <v>0</v>
      </c>
      <c r="H63" s="88">
        <v>0</v>
      </c>
      <c r="I63" s="197">
        <f>[2]!Table3[[#This Row],[Residential CLM $ Collected]]/'[2]1.) CLM Reference'!$B$4</f>
        <v>0</v>
      </c>
      <c r="J63" s="89">
        <v>0</v>
      </c>
      <c r="K63" s="198">
        <f>[2]!Table3[[#This Row],[Residential Incentive Disbursements]]/'[2]1.) CLM Reference'!$B$5</f>
        <v>0</v>
      </c>
      <c r="L63" s="88">
        <v>5.79E-2</v>
      </c>
      <c r="M63" s="197">
        <f>[2]!Table3[[#This Row],[C&amp;I CLM $ Collected]]/'[2]1.) CLM Reference'!$B$4</f>
        <v>1.9896488365740949E-9</v>
      </c>
      <c r="N63" s="89">
        <v>0</v>
      </c>
      <c r="O63" s="198">
        <f>[2]!Table3[[#This Row],[C&amp;I Incentive Disbursements]]/'[2]1.) CLM Reference'!$B$5</f>
        <v>0</v>
      </c>
      <c r="P63" t="str">
        <f t="shared" si="0"/>
        <v>N/A</v>
      </c>
      <c r="Q63" t="str">
        <f>VLOOKUP(Table8[[#This Row],[Census Tract]],'UI EnergyBurden'!$A$2:$B$184,2,FALSE)</f>
        <v>No</v>
      </c>
      <c r="R63">
        <f>VLOOKUP(Table8[[#This Row],[Census Tract]],'Population and Diversity Data'!$B$2:$K$823,10,FALSE)</f>
        <v>4</v>
      </c>
    </row>
    <row r="64" spans="1:18" ht="15.75" hidden="1" customHeight="1" x14ac:dyDescent="0.2">
      <c r="A64" s="195">
        <v>9001090500</v>
      </c>
      <c r="B64" s="195" t="s">
        <v>934</v>
      </c>
      <c r="C64" s="195" t="s">
        <v>944</v>
      </c>
      <c r="D64" s="88">
        <f>[2]!Table3[[#This Row],[Residential CLM $ Collected]]+[2]!Table3[[#This Row],[C&amp;I CLM $ Collected]]</f>
        <v>338.9221</v>
      </c>
      <c r="E64" s="197">
        <f>[2]!Table3[[#This Row],[CLM $ Collected ]]/'[2]1.) CLM Reference'!$B$4</f>
        <v>1.1646562382629516E-5</v>
      </c>
      <c r="F64" s="89">
        <f>[2]!Table3[[#This Row],[Residential Incentive Disbursements]]+[2]!Table3[[#This Row],[C&amp;I Incentive Disbursements]]</f>
        <v>9723.0191061112546</v>
      </c>
      <c r="G64" s="198">
        <f>[2]!Table3[[#This Row],[Incentive Disbursements]]/'[2]1.) CLM Reference'!$B$5</f>
        <v>5.7871710422463052E-4</v>
      </c>
      <c r="H64" s="88">
        <v>338.9221</v>
      </c>
      <c r="I64" s="197">
        <f>[2]!Table3[[#This Row],[Residential CLM $ Collected]]/'[2]1.) CLM Reference'!$B$4</f>
        <v>1.1646562382629516E-5</v>
      </c>
      <c r="J64" s="89">
        <v>9723.0191061112546</v>
      </c>
      <c r="K64" s="198">
        <f>[2]!Table3[[#This Row],[Residential Incentive Disbursements]]/'[2]1.) CLM Reference'!$B$5</f>
        <v>5.7871710422463052E-4</v>
      </c>
      <c r="L64" s="88">
        <v>0</v>
      </c>
      <c r="M64" s="197">
        <f>[2]!Table3[[#This Row],[C&amp;I CLM $ Collected]]/'[2]1.) CLM Reference'!$B$4</f>
        <v>0</v>
      </c>
      <c r="N64" s="89">
        <v>0</v>
      </c>
      <c r="O64" s="198">
        <f>[2]!Table3[[#This Row],[C&amp;I Incentive Disbursements]]/'[2]1.) CLM Reference'!$B$5</f>
        <v>0</v>
      </c>
      <c r="P64" t="str">
        <f t="shared" si="0"/>
        <v>N/A</v>
      </c>
      <c r="Q64" t="str">
        <f>VLOOKUP(Table8[[#This Row],[Census Tract]],'UI EnergyBurden'!$A$2:$B$184,2,FALSE)</f>
        <v>No</v>
      </c>
      <c r="R64">
        <f>VLOOKUP(Table8[[#This Row],[Census Tract]],'Population and Diversity Data'!$B$2:$K$823,10,FALSE)</f>
        <v>3</v>
      </c>
    </row>
    <row r="65" spans="1:18" ht="15.75" hidden="1" customHeight="1" x14ac:dyDescent="0.2">
      <c r="A65" s="195">
        <v>9001090700</v>
      </c>
      <c r="B65" s="195" t="s">
        <v>934</v>
      </c>
      <c r="C65" s="195" t="s">
        <v>944</v>
      </c>
      <c r="D65" s="88">
        <f>[2]!Table3[[#This Row],[Residential CLM $ Collected]]+[2]!Table3[[#This Row],[C&amp;I CLM $ Collected]]</f>
        <v>34.380099999999999</v>
      </c>
      <c r="E65" s="197">
        <f>[2]!Table3[[#This Row],[CLM $ Collected ]]/'[2]1.) CLM Reference'!$B$4</f>
        <v>1.1814218647029541E-6</v>
      </c>
      <c r="F65" s="89">
        <f>[2]!Table3[[#This Row],[Residential Incentive Disbursements]]+[2]!Table3[[#This Row],[C&amp;I Incentive Disbursements]]</f>
        <v>0</v>
      </c>
      <c r="G65" s="198">
        <f>[2]!Table3[[#This Row],[Incentive Disbursements]]/'[2]1.) CLM Reference'!$B$5</f>
        <v>0</v>
      </c>
      <c r="H65" s="88">
        <v>0</v>
      </c>
      <c r="I65" s="197">
        <f>[2]!Table3[[#This Row],[Residential CLM $ Collected]]/'[2]1.) CLM Reference'!$B$4</f>
        <v>0</v>
      </c>
      <c r="J65" s="89">
        <v>0</v>
      </c>
      <c r="K65" s="198">
        <f>[2]!Table3[[#This Row],[Residential Incentive Disbursements]]/'[2]1.) CLM Reference'!$B$5</f>
        <v>0</v>
      </c>
      <c r="L65" s="88">
        <v>34.380099999999999</v>
      </c>
      <c r="M65" s="197">
        <f>[2]!Table3[[#This Row],[C&amp;I CLM $ Collected]]/'[2]1.) CLM Reference'!$B$4</f>
        <v>1.1814218647029541E-6</v>
      </c>
      <c r="N65" s="89">
        <v>0</v>
      </c>
      <c r="O65" s="198">
        <f>[2]!Table3[[#This Row],[C&amp;I Incentive Disbursements]]/'[2]1.) CLM Reference'!$B$5</f>
        <v>0</v>
      </c>
      <c r="P65" t="str">
        <f t="shared" si="0"/>
        <v>N/A</v>
      </c>
      <c r="Q65" t="str">
        <f>VLOOKUP(Table8[[#This Row],[Census Tract]],'UI EnergyBurden'!$A$2:$B$184,2,FALSE)</f>
        <v>No</v>
      </c>
      <c r="R65">
        <f>VLOOKUP(Table8[[#This Row],[Census Tract]],'Population and Diversity Data'!$B$2:$K$823,10,FALSE)</f>
        <v>3</v>
      </c>
    </row>
    <row r="66" spans="1:18" ht="15.75" hidden="1" customHeight="1" x14ac:dyDescent="0.2">
      <c r="A66" s="195">
        <v>9001257200</v>
      </c>
      <c r="B66" s="195" t="s">
        <v>934</v>
      </c>
      <c r="C66" s="195" t="s">
        <v>944</v>
      </c>
      <c r="D66" s="88">
        <f>[2]!Table3[[#This Row],[Residential CLM $ Collected]]+[2]!Table3[[#This Row],[C&amp;I CLM $ Collected]]</f>
        <v>114172.0988999999</v>
      </c>
      <c r="E66" s="197">
        <f>[2]!Table3[[#This Row],[CLM $ Collected ]]/'[2]1.) CLM Reference'!$B$4</f>
        <v>3.9233572322211968E-3</v>
      </c>
      <c r="F66" s="89">
        <f>[2]!Table3[[#This Row],[Residential Incentive Disbursements]]+[2]!Table3[[#This Row],[C&amp;I Incentive Disbursements]]</f>
        <v>85830.529490668894</v>
      </c>
      <c r="G66" s="198">
        <f>[2]!Table3[[#This Row],[Incentive Disbursements]]/'[2]1.) CLM Reference'!$B$5</f>
        <v>5.1086596600109866E-3</v>
      </c>
      <c r="H66" s="88">
        <v>46248.605099999899</v>
      </c>
      <c r="I66" s="197">
        <f>[2]!Table3[[#This Row],[Residential CLM $ Collected]]/'[2]1.) CLM Reference'!$B$4</f>
        <v>1.589265687916918E-3</v>
      </c>
      <c r="J66" s="89">
        <v>12568.811873922119</v>
      </c>
      <c r="K66" s="198">
        <f>[2]!Table3[[#This Row],[Residential Incentive Disbursements]]/'[2]1.) CLM Reference'!$B$5</f>
        <v>7.480995698803609E-4</v>
      </c>
      <c r="L66" s="88">
        <v>67923.493799999997</v>
      </c>
      <c r="M66" s="197">
        <f>[2]!Table3[[#This Row],[C&amp;I CLM $ Collected]]/'[2]1.) CLM Reference'!$B$4</f>
        <v>2.3340915443042787E-3</v>
      </c>
      <c r="N66" s="89">
        <v>73261.71761674677</v>
      </c>
      <c r="O66" s="198">
        <f>[2]!Table3[[#This Row],[C&amp;I Incentive Disbursements]]/'[2]1.) CLM Reference'!$B$5</f>
        <v>4.3605600901306255E-3</v>
      </c>
      <c r="P66" t="str">
        <f t="shared" si="0"/>
        <v>YES</v>
      </c>
      <c r="Q66" t="str">
        <f>VLOOKUP(Table8[[#This Row],[Census Tract]],'UI EnergyBurden'!$A$2:$B$184,2,FALSE)</f>
        <v>Yes</v>
      </c>
      <c r="R66">
        <f>VLOOKUP(Table8[[#This Row],[Census Tract]],'Population and Diversity Data'!$B$2:$K$823,10,FALSE)</f>
        <v>4</v>
      </c>
    </row>
    <row r="67" spans="1:18" ht="15.75" customHeight="1" x14ac:dyDescent="0.2">
      <c r="A67" s="195">
        <v>9009140800</v>
      </c>
      <c r="B67" s="195" t="s">
        <v>2986</v>
      </c>
      <c r="C67" s="195" t="s">
        <v>936</v>
      </c>
      <c r="D67" s="88">
        <f>[2]!Table3[[#This Row],[Residential CLM $ Collected]]+[2]!Table3[[#This Row],[C&amp;I CLM $ Collected]]</f>
        <v>0</v>
      </c>
      <c r="E67" s="197">
        <f>[2]!Table3[[#This Row],[CLM $ Collected ]]/'[2]1.) CLM Reference'!$B$4</f>
        <v>0</v>
      </c>
      <c r="F67" s="89">
        <f>[2]!Table3[[#This Row],[Residential Incentive Disbursements]]+[2]!Table3[[#This Row],[C&amp;I Incentive Disbursements]]</f>
        <v>480.00945254634701</v>
      </c>
      <c r="G67" s="198">
        <f>[2]!Table3[[#This Row],[Incentive Disbursements]]/'[2]1.) CLM Reference'!$B$5</f>
        <v>2.8570311067626277E-5</v>
      </c>
      <c r="H67" s="88">
        <v>0</v>
      </c>
      <c r="I67" s="197">
        <f>[2]!Table3[[#This Row],[Residential CLM $ Collected]]/'[2]1.) CLM Reference'!$B$4</f>
        <v>0</v>
      </c>
      <c r="J67" s="89">
        <v>480.00945254634701</v>
      </c>
      <c r="K67" s="198">
        <f>[2]!Table3[[#This Row],[Residential Incentive Disbursements]]/'[2]1.) CLM Reference'!$B$5</f>
        <v>2.8570311067626277E-5</v>
      </c>
      <c r="L67" s="88">
        <v>0</v>
      </c>
      <c r="M67" s="197">
        <f>[2]!Table3[[#This Row],[C&amp;I CLM $ Collected]]/'[2]1.) CLM Reference'!$B$4</f>
        <v>0</v>
      </c>
      <c r="N67" s="89">
        <v>0</v>
      </c>
      <c r="O67" s="198">
        <f>[2]!Table3[[#This Row],[C&amp;I Incentive Disbursements]]/'[2]1.) CLM Reference'!$B$5</f>
        <v>0</v>
      </c>
      <c r="P67" t="str">
        <f t="shared" si="0"/>
        <v>N/A</v>
      </c>
      <c r="Q67" t="str">
        <f>VLOOKUP(Table8[[#This Row],[Census Tract]],'UI EnergyBurden'!$A$2:$B$184,2,FALSE)</f>
        <v>No</v>
      </c>
      <c r="R67">
        <f>VLOOKUP(Table8[[#This Row],[Census Tract]],'Population and Diversity Data'!$B$2:$K$823,10,FALSE)</f>
        <v>4</v>
      </c>
    </row>
    <row r="68" spans="1:18" ht="15.75" hidden="1" customHeight="1" x14ac:dyDescent="0.2">
      <c r="A68" s="195">
        <v>9009120100</v>
      </c>
      <c r="B68" s="195" t="s">
        <v>2992</v>
      </c>
      <c r="C68" s="195" t="s">
        <v>944</v>
      </c>
      <c r="D68" s="88">
        <f>[2]!Table3[[#This Row],[Residential CLM $ Collected]]+[2]!Table3[[#This Row],[C&amp;I CLM $ Collected]]</f>
        <v>148041.85739999998</v>
      </c>
      <c r="E68" s="197">
        <f>[2]!Table3[[#This Row],[CLM $ Collected ]]/'[2]1.) CLM Reference'!$B$4</f>
        <v>5.0872419575160276E-3</v>
      </c>
      <c r="F68" s="89">
        <f>[2]!Table3[[#This Row],[Residential Incentive Disbursements]]+[2]!Table3[[#This Row],[C&amp;I Incentive Disbursements]]</f>
        <v>81386.957671333774</v>
      </c>
      <c r="G68" s="198">
        <f>[2]!Table3[[#This Row],[Incentive Disbursements]]/'[2]1.) CLM Reference'!$B$5</f>
        <v>4.8441768910649228E-3</v>
      </c>
      <c r="H68" s="88">
        <v>113942.43889999999</v>
      </c>
      <c r="I68" s="197">
        <f>[2]!Table3[[#This Row],[Residential CLM $ Collected]]/'[2]1.) CLM Reference'!$B$4</f>
        <v>3.9154653021381668E-3</v>
      </c>
      <c r="J68" s="89">
        <v>64672.499630382859</v>
      </c>
      <c r="K68" s="198">
        <f>[2]!Table3[[#This Row],[Residential Incentive Disbursements]]/'[2]1.) CLM Reference'!$B$5</f>
        <v>3.8493271792029533E-3</v>
      </c>
      <c r="L68" s="88">
        <v>34099.4185</v>
      </c>
      <c r="M68" s="197">
        <f>[2]!Table3[[#This Row],[C&amp;I CLM $ Collected]]/'[2]1.) CLM Reference'!$B$4</f>
        <v>1.1717766553778612E-3</v>
      </c>
      <c r="N68" s="89">
        <v>16714.458040950914</v>
      </c>
      <c r="O68" s="198">
        <f>[2]!Table3[[#This Row],[C&amp;I Incentive Disbursements]]/'[2]1.) CLM Reference'!$B$5</f>
        <v>9.9484971186196923E-4</v>
      </c>
      <c r="P68" t="str">
        <f t="shared" si="0"/>
        <v>NO</v>
      </c>
      <c r="Q68" t="str">
        <f>VLOOKUP(Table8[[#This Row],[Census Tract]],'UI EnergyBurden'!$A$2:$B$184,2,FALSE)</f>
        <v>No</v>
      </c>
      <c r="R68">
        <f>VLOOKUP(Table8[[#This Row],[Census Tract]],'Population and Diversity Data'!$B$2:$K$823,10,FALSE)</f>
        <v>2</v>
      </c>
    </row>
    <row r="69" spans="1:18" ht="15.75" hidden="1" customHeight="1" x14ac:dyDescent="0.2">
      <c r="A69" s="195">
        <v>9009120200</v>
      </c>
      <c r="B69" s="195" t="s">
        <v>2992</v>
      </c>
      <c r="C69" s="195" t="s">
        <v>944</v>
      </c>
      <c r="D69" s="88">
        <f>[2]!Table3[[#This Row],[Residential CLM $ Collected]]+[2]!Table3[[#This Row],[C&amp;I CLM $ Collected]]</f>
        <v>162530.9524000001</v>
      </c>
      <c r="E69" s="197">
        <f>[2]!Table3[[#This Row],[CLM $ Collected ]]/'[2]1.) CLM Reference'!$B$4</f>
        <v>5.5851385207243481E-3</v>
      </c>
      <c r="F69" s="89">
        <f>[2]!Table3[[#This Row],[Residential Incentive Disbursements]]+[2]!Table3[[#This Row],[C&amp;I Incentive Disbursements]]</f>
        <v>101189.82572282178</v>
      </c>
      <c r="G69" s="198">
        <f>[2]!Table3[[#This Row],[Incentive Disbursements]]/'[2]1.) CLM Reference'!$B$5</f>
        <v>6.0228497219036916E-3</v>
      </c>
      <c r="H69" s="88">
        <v>98942.964100000099</v>
      </c>
      <c r="I69" s="197">
        <f>[2]!Table3[[#This Row],[Residential CLM $ Collected]]/'[2]1.) CLM Reference'!$B$4</f>
        <v>3.400030283398232E-3</v>
      </c>
      <c r="J69" s="89">
        <v>30463.684920785367</v>
      </c>
      <c r="K69" s="198">
        <f>[2]!Table3[[#This Row],[Residential Incentive Disbursements]]/'[2]1.) CLM Reference'!$B$5</f>
        <v>1.8132079479600605E-3</v>
      </c>
      <c r="L69" s="88">
        <v>63587.988299999997</v>
      </c>
      <c r="M69" s="197">
        <f>[2]!Table3[[#This Row],[C&amp;I CLM $ Collected]]/'[2]1.) CLM Reference'!$B$4</f>
        <v>2.1851082373261165E-3</v>
      </c>
      <c r="N69" s="89">
        <v>70726.140802036418</v>
      </c>
      <c r="O69" s="198">
        <f>[2]!Table3[[#This Row],[C&amp;I Incentive Disbursements]]/'[2]1.) CLM Reference'!$B$5</f>
        <v>4.2096417739436315E-3</v>
      </c>
      <c r="P69" t="str">
        <f t="shared" si="0"/>
        <v>YES</v>
      </c>
      <c r="Q69" t="str">
        <f>VLOOKUP(Table8[[#This Row],[Census Tract]],'UI EnergyBurden'!$A$2:$B$184,2,FALSE)</f>
        <v>Yes</v>
      </c>
      <c r="R69">
        <f>VLOOKUP(Table8[[#This Row],[Census Tract]],'Population and Diversity Data'!$B$2:$K$823,10,FALSE)</f>
        <v>4</v>
      </c>
    </row>
    <row r="70" spans="1:18" ht="15.75" hidden="1" customHeight="1" x14ac:dyDescent="0.2">
      <c r="A70" s="195">
        <v>9009125100</v>
      </c>
      <c r="B70" s="195" t="s">
        <v>2992</v>
      </c>
      <c r="C70" s="195" t="s">
        <v>944</v>
      </c>
      <c r="D70" s="88">
        <f>[2]!Table3[[#This Row],[Residential CLM $ Collected]]+[2]!Table3[[#This Row],[C&amp;I CLM $ Collected]]</f>
        <v>727.59120000000007</v>
      </c>
      <c r="E70" s="197">
        <f>[2]!Table3[[#This Row],[CLM $ Collected ]]/'[2]1.) CLM Reference'!$B$4</f>
        <v>2.5002607678437818E-5</v>
      </c>
      <c r="F70" s="89">
        <f>[2]!Table3[[#This Row],[Residential Incentive Disbursements]]+[2]!Table3[[#This Row],[C&amp;I Incentive Disbursements]]</f>
        <v>0</v>
      </c>
      <c r="G70" s="198">
        <f>[2]!Table3[[#This Row],[Incentive Disbursements]]/'[2]1.) CLM Reference'!$B$5</f>
        <v>0</v>
      </c>
      <c r="H70" s="88">
        <v>700.05820000000006</v>
      </c>
      <c r="I70" s="197">
        <f>[2]!Table3[[#This Row],[Residential CLM $ Collected]]/'[2]1.) CLM Reference'!$B$4</f>
        <v>2.4056476393163299E-5</v>
      </c>
      <c r="J70" s="89">
        <v>0</v>
      </c>
      <c r="K70" s="198">
        <f>[2]!Table3[[#This Row],[Residential Incentive Disbursements]]/'[2]1.) CLM Reference'!$B$5</f>
        <v>0</v>
      </c>
      <c r="L70" s="88">
        <v>27.533000000000001</v>
      </c>
      <c r="M70" s="197">
        <f>[2]!Table3[[#This Row],[C&amp;I CLM $ Collected]]/'[2]1.) CLM Reference'!$B$4</f>
        <v>9.4613128527451736E-7</v>
      </c>
      <c r="N70" s="89">
        <v>0</v>
      </c>
      <c r="O70" s="198">
        <f>[2]!Table3[[#This Row],[C&amp;I Incentive Disbursements]]/'[2]1.) CLM Reference'!$B$5</f>
        <v>0</v>
      </c>
      <c r="P70" t="str">
        <f t="shared" ref="P70:P133" si="1">IF(ROUND(M70,5)&lt;0.00001,"N/A",IF(ROUND(M70,5)&lt;=ROUND(O70,5),"YES","NO"))</f>
        <v>N/A</v>
      </c>
      <c r="Q70" t="str">
        <f>VLOOKUP(Table8[[#This Row],[Census Tract]],'UI EnergyBurden'!$A$2:$B$184,2,FALSE)</f>
        <v>No</v>
      </c>
      <c r="R70">
        <f>VLOOKUP(Table8[[#This Row],[Census Tract]],'Population and Diversity Data'!$B$2:$K$823,10,FALSE)</f>
        <v>1</v>
      </c>
    </row>
    <row r="71" spans="1:18" ht="15.75" customHeight="1" x14ac:dyDescent="0.2">
      <c r="A71" s="195">
        <v>9009125300</v>
      </c>
      <c r="B71" s="195" t="s">
        <v>2994</v>
      </c>
      <c r="C71" s="195" t="s">
        <v>936</v>
      </c>
      <c r="D71" s="88">
        <f>[2]!Table3[[#This Row],[Residential CLM $ Collected]]+[2]!Table3[[#This Row],[C&amp;I CLM $ Collected]]</f>
        <v>0</v>
      </c>
      <c r="E71" s="197">
        <f>[2]!Table3[[#This Row],[CLM $ Collected ]]/'[2]1.) CLM Reference'!$B$4</f>
        <v>0</v>
      </c>
      <c r="F71" s="89">
        <f>[2]!Table3[[#This Row],[Residential Incentive Disbursements]]+[2]!Table3[[#This Row],[C&amp;I Incentive Disbursements]]</f>
        <v>409.26801905976697</v>
      </c>
      <c r="G71" s="198">
        <f>[2]!Table3[[#This Row],[Incentive Disbursements]]/'[2]1.) CLM Reference'!$B$5</f>
        <v>2.4359759068369055E-5</v>
      </c>
      <c r="H71" s="88">
        <v>0</v>
      </c>
      <c r="I71" s="197">
        <f>[2]!Table3[[#This Row],[Residential CLM $ Collected]]/'[2]1.) CLM Reference'!$B$4</f>
        <v>0</v>
      </c>
      <c r="J71" s="89">
        <v>409.26801905976697</v>
      </c>
      <c r="K71" s="198">
        <f>[2]!Table3[[#This Row],[Residential Incentive Disbursements]]/'[2]1.) CLM Reference'!$B$5</f>
        <v>2.4359759068369055E-5</v>
      </c>
      <c r="L71" s="88">
        <v>0</v>
      </c>
      <c r="M71" s="197">
        <f>[2]!Table3[[#This Row],[C&amp;I CLM $ Collected]]/'[2]1.) CLM Reference'!$B$4</f>
        <v>0</v>
      </c>
      <c r="N71" s="89">
        <v>0</v>
      </c>
      <c r="O71" s="198">
        <f>[2]!Table3[[#This Row],[C&amp;I Incentive Disbursements]]/'[2]1.) CLM Reference'!$B$5</f>
        <v>0</v>
      </c>
      <c r="P71" t="str">
        <f t="shared" si="1"/>
        <v>N/A</v>
      </c>
      <c r="Q71" t="str">
        <f>VLOOKUP(Table8[[#This Row],[Census Tract]],'UI EnergyBurden'!$A$2:$B$184,2,FALSE)</f>
        <v>No</v>
      </c>
      <c r="R71">
        <f>VLOOKUP(Table8[[#This Row],[Census Tract]],'Population and Diversity Data'!$B$2:$K$823,10,FALSE)</f>
        <v>5</v>
      </c>
    </row>
    <row r="72" spans="1:18" ht="15.75" hidden="1" customHeight="1" x14ac:dyDescent="0.2">
      <c r="A72" s="195">
        <v>9009130200</v>
      </c>
      <c r="B72" s="195" t="s">
        <v>2992</v>
      </c>
      <c r="C72" s="195" t="s">
        <v>944</v>
      </c>
      <c r="D72" s="88">
        <f>[2]!Table3[[#This Row],[Residential CLM $ Collected]]+[2]!Table3[[#This Row],[C&amp;I CLM $ Collected]]</f>
        <v>128.1962</v>
      </c>
      <c r="E72" s="197">
        <f>[2]!Table3[[#This Row],[CLM $ Collected ]]/'[2]1.) CLM Reference'!$B$4</f>
        <v>4.4052749599865286E-6</v>
      </c>
      <c r="F72" s="89">
        <f>[2]!Table3[[#This Row],[Residential Incentive Disbursements]]+[2]!Table3[[#This Row],[C&amp;I Incentive Disbursements]]</f>
        <v>0</v>
      </c>
      <c r="G72" s="198">
        <f>[2]!Table3[[#This Row],[Incentive Disbursements]]/'[2]1.) CLM Reference'!$B$5</f>
        <v>0</v>
      </c>
      <c r="H72" s="88">
        <v>128.1962</v>
      </c>
      <c r="I72" s="197">
        <f>[2]!Table3[[#This Row],[Residential CLM $ Collected]]/'[2]1.) CLM Reference'!$B$4</f>
        <v>4.4052749599865286E-6</v>
      </c>
      <c r="J72" s="89">
        <v>0</v>
      </c>
      <c r="K72" s="198">
        <f>[2]!Table3[[#This Row],[Residential Incentive Disbursements]]/'[2]1.) CLM Reference'!$B$5</f>
        <v>0</v>
      </c>
      <c r="L72" s="88">
        <v>0</v>
      </c>
      <c r="M72" s="197">
        <f>[2]!Table3[[#This Row],[C&amp;I CLM $ Collected]]/'[2]1.) CLM Reference'!$B$4</f>
        <v>0</v>
      </c>
      <c r="N72" s="89">
        <v>0</v>
      </c>
      <c r="O72" s="198">
        <f>[2]!Table3[[#This Row],[C&amp;I Incentive Disbursements]]/'[2]1.) CLM Reference'!$B$5</f>
        <v>0</v>
      </c>
      <c r="P72" t="str">
        <f t="shared" si="1"/>
        <v>N/A</v>
      </c>
      <c r="Q72" t="str">
        <f>VLOOKUP(Table8[[#This Row],[Census Tract]],'UI EnergyBurden'!$A$2:$B$184,2,FALSE)</f>
        <v>No</v>
      </c>
      <c r="R72">
        <f>VLOOKUP(Table8[[#This Row],[Census Tract]],'Population and Diversity Data'!$B$2:$K$823,10,FALSE)</f>
        <v>3</v>
      </c>
    </row>
    <row r="73" spans="1:18" ht="15.75" hidden="1" customHeight="1" x14ac:dyDescent="0.2">
      <c r="A73" s="195">
        <v>9009157300</v>
      </c>
      <c r="B73" s="195" t="s">
        <v>2992</v>
      </c>
      <c r="C73" s="195" t="s">
        <v>944</v>
      </c>
      <c r="D73" s="88">
        <f>[2]!Table3[[#This Row],[Residential CLM $ Collected]]+[2]!Table3[[#This Row],[C&amp;I CLM $ Collected]]</f>
        <v>12793.3539</v>
      </c>
      <c r="E73" s="197">
        <f>[2]!Table3[[#This Row],[CLM $ Collected ]]/'[2]1.) CLM Reference'!$B$4</f>
        <v>4.3962489987937236E-4</v>
      </c>
      <c r="F73" s="89">
        <f>[2]!Table3[[#This Row],[Residential Incentive Disbursements]]+[2]!Table3[[#This Row],[C&amp;I Incentive Disbursements]]</f>
        <v>13332.633533187778</v>
      </c>
      <c r="G73" s="198">
        <f>[2]!Table3[[#This Row],[Incentive Disbursements]]/'[2]1.) CLM Reference'!$B$5</f>
        <v>7.935624712662523E-4</v>
      </c>
      <c r="H73" s="88">
        <v>7500.3773000000001</v>
      </c>
      <c r="I73" s="197">
        <f>[2]!Table3[[#This Row],[Residential CLM $ Collected]]/'[2]1.) CLM Reference'!$B$4</f>
        <v>2.5773949859778501E-4</v>
      </c>
      <c r="J73" s="89">
        <v>9929.3823761751064</v>
      </c>
      <c r="K73" s="198">
        <f>[2]!Table3[[#This Row],[Residential Incentive Disbursements]]/'[2]1.) CLM Reference'!$B$5</f>
        <v>5.9099990988060363E-4</v>
      </c>
      <c r="L73" s="88">
        <v>5292.9766</v>
      </c>
      <c r="M73" s="197">
        <f>[2]!Table3[[#This Row],[C&amp;I CLM $ Collected]]/'[2]1.) CLM Reference'!$B$4</f>
        <v>1.8188540128158737E-4</v>
      </c>
      <c r="N73" s="89">
        <v>3403.2511570126717</v>
      </c>
      <c r="O73" s="198">
        <f>[2]!Table3[[#This Row],[C&amp;I Incentive Disbursements]]/'[2]1.) CLM Reference'!$B$5</f>
        <v>2.0256256138564876E-4</v>
      </c>
      <c r="P73" t="str">
        <f t="shared" si="1"/>
        <v>YES</v>
      </c>
      <c r="Q73" t="str">
        <f>VLOOKUP(Table8[[#This Row],[Census Tract]],'UI EnergyBurden'!$A$2:$B$184,2,FALSE)</f>
        <v>No</v>
      </c>
      <c r="R73">
        <f>VLOOKUP(Table8[[#This Row],[Census Tract]],'Population and Diversity Data'!$B$2:$K$823,10,FALSE)</f>
        <v>3</v>
      </c>
    </row>
    <row r="74" spans="1:18" ht="15.75" customHeight="1" x14ac:dyDescent="0.2">
      <c r="A74" s="195">
        <v>9009140800</v>
      </c>
      <c r="B74" s="195" t="s">
        <v>2997</v>
      </c>
      <c r="C74" s="195" t="s">
        <v>936</v>
      </c>
      <c r="D74" s="88">
        <f>[2]!Table3[[#This Row],[Residential CLM $ Collected]]+[2]!Table3[[#This Row],[C&amp;I CLM $ Collected]]</f>
        <v>0</v>
      </c>
      <c r="E74" s="197">
        <f>[2]!Table3[[#This Row],[CLM $ Collected ]]/'[2]1.) CLM Reference'!$B$4</f>
        <v>0</v>
      </c>
      <c r="F74" s="89">
        <f>[2]!Table3[[#This Row],[Residential Incentive Disbursements]]+[2]!Table3[[#This Row],[C&amp;I Incentive Disbursements]]</f>
        <v>186.36376906745218</v>
      </c>
      <c r="G74" s="198">
        <f>[2]!Table3[[#This Row],[Incentive Disbursements]]/'[2]1.) CLM Reference'!$B$5</f>
        <v>1.1092429171440693E-5</v>
      </c>
      <c r="H74" s="88">
        <v>0</v>
      </c>
      <c r="I74" s="197">
        <f>[2]!Table3[[#This Row],[Residential CLM $ Collected]]/'[2]1.) CLM Reference'!$B$4</f>
        <v>0</v>
      </c>
      <c r="J74" s="89">
        <v>186.36376906745218</v>
      </c>
      <c r="K74" s="198">
        <f>[2]!Table3[[#This Row],[Residential Incentive Disbursements]]/'[2]1.) CLM Reference'!$B$5</f>
        <v>1.1092429171440693E-5</v>
      </c>
      <c r="L74" s="88">
        <v>0</v>
      </c>
      <c r="M74" s="197">
        <f>[2]!Table3[[#This Row],[C&amp;I CLM $ Collected]]/'[2]1.) CLM Reference'!$B$4</f>
        <v>0</v>
      </c>
      <c r="N74" s="89">
        <v>0</v>
      </c>
      <c r="O74" s="198">
        <f>[2]!Table3[[#This Row],[C&amp;I Incentive Disbursements]]/'[2]1.) CLM Reference'!$B$5</f>
        <v>0</v>
      </c>
      <c r="P74" t="str">
        <f t="shared" si="1"/>
        <v>N/A</v>
      </c>
      <c r="Q74" t="str">
        <f>VLOOKUP(Table8[[#This Row],[Census Tract]],'UI EnergyBurden'!$A$2:$B$184,2,FALSE)</f>
        <v>No</v>
      </c>
      <c r="R74">
        <f>VLOOKUP(Table8[[#This Row],[Census Tract]],'Population and Diversity Data'!$B$2:$K$823,10,FALSE)</f>
        <v>4</v>
      </c>
    </row>
    <row r="75" spans="1:18" ht="15.75" customHeight="1" x14ac:dyDescent="0.2">
      <c r="A75" s="195">
        <v>9009142300</v>
      </c>
      <c r="B75" s="195" t="s">
        <v>3886</v>
      </c>
      <c r="C75" s="195" t="s">
        <v>936</v>
      </c>
      <c r="D75" s="88">
        <f>[2]!Table3[[#This Row],[Residential CLM $ Collected]]+[2]!Table3[[#This Row],[C&amp;I CLM $ Collected]]</f>
        <v>27.602499999999999</v>
      </c>
      <c r="E75" s="197">
        <f>[2]!Table3[[#This Row],[CLM $ Collected ]]/'[2]1.) CLM Reference'!$B$4</f>
        <v>9.4851955114916153E-7</v>
      </c>
      <c r="F75" s="89">
        <f>[2]!Table3[[#This Row],[Residential Incentive Disbursements]]+[2]!Table3[[#This Row],[C&amp;I Incentive Disbursements]]</f>
        <v>0</v>
      </c>
      <c r="G75" s="198">
        <f>[2]!Table3[[#This Row],[Incentive Disbursements]]/'[2]1.) CLM Reference'!$B$5</f>
        <v>0</v>
      </c>
      <c r="H75" s="88">
        <v>0</v>
      </c>
      <c r="I75" s="197">
        <f>[2]!Table3[[#This Row],[Residential CLM $ Collected]]/'[2]1.) CLM Reference'!$B$4</f>
        <v>0</v>
      </c>
      <c r="J75" s="89">
        <v>0</v>
      </c>
      <c r="K75" s="198">
        <f>[2]!Table3[[#This Row],[Residential Incentive Disbursements]]/'[2]1.) CLM Reference'!$B$5</f>
        <v>0</v>
      </c>
      <c r="L75" s="88">
        <v>27.602499999999999</v>
      </c>
      <c r="M75" s="197">
        <f>[2]!Table3[[#This Row],[C&amp;I CLM $ Collected]]/'[2]1.) CLM Reference'!$B$4</f>
        <v>9.4851955114916153E-7</v>
      </c>
      <c r="N75" s="89">
        <v>0</v>
      </c>
      <c r="O75" s="198">
        <f>[2]!Table3[[#This Row],[C&amp;I Incentive Disbursements]]/'[2]1.) CLM Reference'!$B$5</f>
        <v>0</v>
      </c>
      <c r="P75" t="str">
        <f t="shared" si="1"/>
        <v>N/A</v>
      </c>
      <c r="Q75" t="str">
        <f>VLOOKUP(Table8[[#This Row],[Census Tract]],'UI EnergyBurden'!$A$2:$B$184,2,FALSE)</f>
        <v>Yes</v>
      </c>
      <c r="R75">
        <f>VLOOKUP(Table8[[#This Row],[Census Tract]],'Population and Diversity Data'!$B$2:$K$823,10,FALSE)</f>
        <v>5</v>
      </c>
    </row>
    <row r="76" spans="1:18" ht="15.75" hidden="1" customHeight="1" x14ac:dyDescent="0.2">
      <c r="A76" s="195">
        <v>9009142601</v>
      </c>
      <c r="B76" s="195" t="s">
        <v>2997</v>
      </c>
      <c r="C76" s="195" t="s">
        <v>944</v>
      </c>
      <c r="D76" s="88">
        <f>[2]!Table3[[#This Row],[Residential CLM $ Collected]]+[2]!Table3[[#This Row],[C&amp;I CLM $ Collected]]</f>
        <v>67.625799999999998</v>
      </c>
      <c r="E76" s="197">
        <f>[2]!Table3[[#This Row],[CLM $ Collected ]]/'[2]1.) CLM Reference'!$B$4</f>
        <v>2.323861732165672E-6</v>
      </c>
      <c r="F76" s="89">
        <f>[2]!Table3[[#This Row],[Residential Incentive Disbursements]]+[2]!Table3[[#This Row],[C&amp;I Incentive Disbursements]]</f>
        <v>0</v>
      </c>
      <c r="G76" s="198">
        <f>[2]!Table3[[#This Row],[Incentive Disbursements]]/'[2]1.) CLM Reference'!$B$5</f>
        <v>0</v>
      </c>
      <c r="H76" s="88">
        <v>67.625799999999998</v>
      </c>
      <c r="I76" s="197">
        <f>[2]!Table3[[#This Row],[Residential CLM $ Collected]]/'[2]1.) CLM Reference'!$B$4</f>
        <v>2.323861732165672E-6</v>
      </c>
      <c r="J76" s="89">
        <v>0</v>
      </c>
      <c r="K76" s="198">
        <f>[2]!Table3[[#This Row],[Residential Incentive Disbursements]]/'[2]1.) CLM Reference'!$B$5</f>
        <v>0</v>
      </c>
      <c r="L76" s="88">
        <v>0</v>
      </c>
      <c r="M76" s="197">
        <f>[2]!Table3[[#This Row],[C&amp;I CLM $ Collected]]/'[2]1.) CLM Reference'!$B$4</f>
        <v>0</v>
      </c>
      <c r="N76" s="89">
        <v>0</v>
      </c>
      <c r="O76" s="198">
        <f>[2]!Table3[[#This Row],[C&amp;I Incentive Disbursements]]/'[2]1.) CLM Reference'!$B$5</f>
        <v>0</v>
      </c>
      <c r="P76" t="str">
        <f t="shared" si="1"/>
        <v>N/A</v>
      </c>
      <c r="Q76" t="str">
        <f>VLOOKUP(Table8[[#This Row],[Census Tract]],'UI EnergyBurden'!$A$2:$B$184,2,FALSE)</f>
        <v>No</v>
      </c>
      <c r="R76">
        <f>VLOOKUP(Table8[[#This Row],[Census Tract]],'Population and Diversity Data'!$B$2:$K$823,10,FALSE)</f>
        <v>5</v>
      </c>
    </row>
    <row r="77" spans="1:18" ht="15.75" customHeight="1" x14ac:dyDescent="0.2">
      <c r="A77" s="195">
        <v>9009142603</v>
      </c>
      <c r="B77" s="195" t="s">
        <v>2997</v>
      </c>
      <c r="C77" s="195" t="s">
        <v>936</v>
      </c>
      <c r="D77" s="88">
        <f>[2]!Table3[[#This Row],[Residential CLM $ Collected]]+[2]!Table3[[#This Row],[C&amp;I CLM $ Collected]]</f>
        <v>258.6438</v>
      </c>
      <c r="E77" s="197">
        <f>[2]!Table3[[#This Row],[CLM $ Collected ]]/'[2]1.) CLM Reference'!$B$4</f>
        <v>8.8879159888964218E-6</v>
      </c>
      <c r="F77" s="89">
        <f>[2]!Table3[[#This Row],[Residential Incentive Disbursements]]+[2]!Table3[[#This Row],[C&amp;I Incentive Disbursements]]</f>
        <v>0</v>
      </c>
      <c r="G77" s="198">
        <f>[2]!Table3[[#This Row],[Incentive Disbursements]]/'[2]1.) CLM Reference'!$B$5</f>
        <v>0</v>
      </c>
      <c r="H77" s="88">
        <v>0</v>
      </c>
      <c r="I77" s="197">
        <f>[2]!Table3[[#This Row],[Residential CLM $ Collected]]/'[2]1.) CLM Reference'!$B$4</f>
        <v>0</v>
      </c>
      <c r="J77" s="89">
        <v>0</v>
      </c>
      <c r="K77" s="198">
        <f>[2]!Table3[[#This Row],[Residential Incentive Disbursements]]/'[2]1.) CLM Reference'!$B$5</f>
        <v>0</v>
      </c>
      <c r="L77" s="88">
        <v>258.6438</v>
      </c>
      <c r="M77" s="197">
        <f>[2]!Table3[[#This Row],[C&amp;I CLM $ Collected]]/'[2]1.) CLM Reference'!$B$4</f>
        <v>8.8879159888964218E-6</v>
      </c>
      <c r="N77" s="89">
        <v>0</v>
      </c>
      <c r="O77" s="198">
        <f>[2]!Table3[[#This Row],[C&amp;I Incentive Disbursements]]/'[2]1.) CLM Reference'!$B$5</f>
        <v>0</v>
      </c>
      <c r="P77" t="str">
        <f t="shared" si="1"/>
        <v>NO</v>
      </c>
      <c r="Q77" t="str">
        <f>VLOOKUP(Table8[[#This Row],[Census Tract]],'UI EnergyBurden'!$A$2:$B$184,2,FALSE)</f>
        <v>No</v>
      </c>
      <c r="R77">
        <f>VLOOKUP(Table8[[#This Row],[Census Tract]],'Population and Diversity Data'!$B$2:$K$823,10,FALSE)</f>
        <v>5</v>
      </c>
    </row>
    <row r="78" spans="1:18" ht="16" hidden="1" x14ac:dyDescent="0.2">
      <c r="A78" s="195">
        <v>9009142604</v>
      </c>
      <c r="B78" s="195" t="s">
        <v>2997</v>
      </c>
      <c r="C78" s="195" t="s">
        <v>944</v>
      </c>
      <c r="D78" s="88">
        <f>[2]!Table3[[#This Row],[Residential CLM $ Collected]]+[2]!Table3[[#This Row],[C&amp;I CLM $ Collected]]</f>
        <v>588.71630000000005</v>
      </c>
      <c r="E78" s="197">
        <f>[2]!Table3[[#This Row],[CLM $ Collected ]]/'[2]1.) CLM Reference'!$B$4</f>
        <v>2.0230374807723762E-5</v>
      </c>
      <c r="F78" s="89">
        <f>[2]!Table3[[#This Row],[Residential Incentive Disbursements]]+[2]!Table3[[#This Row],[C&amp;I Incentive Disbursements]]</f>
        <v>0</v>
      </c>
      <c r="G78" s="198">
        <f>[2]!Table3[[#This Row],[Incentive Disbursements]]/'[2]1.) CLM Reference'!$B$5</f>
        <v>0</v>
      </c>
      <c r="H78" s="88">
        <v>588.71630000000005</v>
      </c>
      <c r="I78" s="197">
        <f>[2]!Table3[[#This Row],[Residential CLM $ Collected]]/'[2]1.) CLM Reference'!$B$4</f>
        <v>2.0230374807723762E-5</v>
      </c>
      <c r="J78" s="89">
        <v>0</v>
      </c>
      <c r="K78" s="198">
        <f>[2]!Table3[[#This Row],[Residential Incentive Disbursements]]/'[2]1.) CLM Reference'!$B$5</f>
        <v>0</v>
      </c>
      <c r="L78" s="88">
        <v>0</v>
      </c>
      <c r="M78" s="197">
        <f>[2]!Table3[[#This Row],[C&amp;I CLM $ Collected]]/'[2]1.) CLM Reference'!$B$4</f>
        <v>0</v>
      </c>
      <c r="N78" s="89">
        <v>0</v>
      </c>
      <c r="O78" s="198">
        <f>[2]!Table3[[#This Row],[C&amp;I Incentive Disbursements]]/'[2]1.) CLM Reference'!$B$5</f>
        <v>0</v>
      </c>
      <c r="P78" t="str">
        <f t="shared" si="1"/>
        <v>N/A</v>
      </c>
      <c r="Q78" t="str">
        <f>VLOOKUP(Table8[[#This Row],[Census Tract]],'UI EnergyBurden'!$A$2:$B$184,2,FALSE)</f>
        <v>No</v>
      </c>
      <c r="R78">
        <f>VLOOKUP(Table8[[#This Row],[Census Tract]],'Population and Diversity Data'!$B$2:$K$823,10,FALSE)</f>
        <v>4</v>
      </c>
    </row>
    <row r="79" spans="1:18" ht="16" hidden="1" x14ac:dyDescent="0.2">
      <c r="A79" s="195">
        <v>9009142700</v>
      </c>
      <c r="B79" s="195" t="s">
        <v>2997</v>
      </c>
      <c r="C79" s="195" t="s">
        <v>944</v>
      </c>
      <c r="D79" s="88">
        <f>[2]!Table3[[#This Row],[Residential CLM $ Collected]]+[2]!Table3[[#This Row],[C&amp;I CLM $ Collected]]</f>
        <v>828.46839999999997</v>
      </c>
      <c r="E79" s="197">
        <f>[2]!Table3[[#This Row],[CLM $ Collected ]]/'[2]1.) CLM Reference'!$B$4</f>
        <v>2.8469105150231463E-5</v>
      </c>
      <c r="F79" s="89">
        <f>[2]!Table3[[#This Row],[Residential Incentive Disbursements]]+[2]!Table3[[#This Row],[C&amp;I Incentive Disbursements]]</f>
        <v>0</v>
      </c>
      <c r="G79" s="198">
        <f>[2]!Table3[[#This Row],[Incentive Disbursements]]/'[2]1.) CLM Reference'!$B$5</f>
        <v>0</v>
      </c>
      <c r="H79" s="88">
        <v>752.1549</v>
      </c>
      <c r="I79" s="197">
        <f>[2]!Table3[[#This Row],[Residential CLM $ Collected]]/'[2]1.) CLM Reference'!$B$4</f>
        <v>2.5846703311027712E-5</v>
      </c>
      <c r="J79" s="89">
        <v>0</v>
      </c>
      <c r="K79" s="198">
        <f>[2]!Table3[[#This Row],[Residential Incentive Disbursements]]/'[2]1.) CLM Reference'!$B$5</f>
        <v>0</v>
      </c>
      <c r="L79" s="88">
        <v>76.313500000000005</v>
      </c>
      <c r="M79" s="197">
        <f>[2]!Table3[[#This Row],[C&amp;I CLM $ Collected]]/'[2]1.) CLM Reference'!$B$4</f>
        <v>2.6224018392037513E-6</v>
      </c>
      <c r="N79" s="89">
        <v>0</v>
      </c>
      <c r="O79" s="198">
        <f>[2]!Table3[[#This Row],[C&amp;I Incentive Disbursements]]/'[2]1.) CLM Reference'!$B$5</f>
        <v>0</v>
      </c>
      <c r="P79" t="str">
        <f t="shared" si="1"/>
        <v>N/A</v>
      </c>
      <c r="Q79" t="str">
        <f>VLOOKUP(Table8[[#This Row],[Census Tract]],'UI EnergyBurden'!$A$2:$B$184,2,FALSE)</f>
        <v>Yes</v>
      </c>
      <c r="R79">
        <f>VLOOKUP(Table8[[#This Row],[Census Tract]],'Population and Diversity Data'!$B$2:$K$823,10,FALSE)</f>
        <v>5</v>
      </c>
    </row>
    <row r="80" spans="1:18" ht="15.75" hidden="1" customHeight="1" x14ac:dyDescent="0.2">
      <c r="A80" s="195">
        <v>9009142800</v>
      </c>
      <c r="B80" s="195" t="s">
        <v>2997</v>
      </c>
      <c r="C80" s="195" t="s">
        <v>944</v>
      </c>
      <c r="D80" s="88">
        <f>[2]!Table3[[#This Row],[Residential CLM $ Collected]]+[2]!Table3[[#This Row],[C&amp;I CLM $ Collected]]</f>
        <v>1088.9469999999999</v>
      </c>
      <c r="E80" s="197">
        <f>[2]!Table3[[#This Row],[CLM $ Collected ]]/'[2]1.) CLM Reference'!$B$4</f>
        <v>3.7420071358218492E-5</v>
      </c>
      <c r="F80" s="89">
        <f>[2]!Table3[[#This Row],[Residential Incentive Disbursements]]+[2]!Table3[[#This Row],[C&amp;I Incentive Disbursements]]</f>
        <v>831.41960029237703</v>
      </c>
      <c r="G80" s="198">
        <f>[2]!Table3[[#This Row],[Incentive Disbursements]]/'[2]1.) CLM Reference'!$B$5</f>
        <v>4.9486351741752776E-5</v>
      </c>
      <c r="H80" s="88">
        <v>897.51229999999998</v>
      </c>
      <c r="I80" s="197">
        <f>[2]!Table3[[#This Row],[Residential CLM $ Collected]]/'[2]1.) CLM Reference'!$B$4</f>
        <v>3.0841697815301208E-5</v>
      </c>
      <c r="J80" s="89">
        <v>831.41960029237703</v>
      </c>
      <c r="K80" s="198">
        <f>[2]!Table3[[#This Row],[Residential Incentive Disbursements]]/'[2]1.) CLM Reference'!$B$5</f>
        <v>4.9486351741752776E-5</v>
      </c>
      <c r="L80" s="88">
        <v>191.43469999999999</v>
      </c>
      <c r="M80" s="197">
        <f>[2]!Table3[[#This Row],[C&amp;I CLM $ Collected]]/'[2]1.) CLM Reference'!$B$4</f>
        <v>6.5783735429172862E-6</v>
      </c>
      <c r="N80" s="89">
        <v>0</v>
      </c>
      <c r="O80" s="198">
        <f>[2]!Table3[[#This Row],[C&amp;I Incentive Disbursements]]/'[2]1.) CLM Reference'!$B$5</f>
        <v>0</v>
      </c>
      <c r="P80" t="str">
        <f t="shared" si="1"/>
        <v>NO</v>
      </c>
      <c r="Q80" t="str">
        <f>VLOOKUP(Table8[[#This Row],[Census Tract]],'UI EnergyBurden'!$A$2:$B$184,2,FALSE)</f>
        <v>No</v>
      </c>
      <c r="R80">
        <f>VLOOKUP(Table8[[#This Row],[Census Tract]],'Population and Diversity Data'!$B$2:$K$823,10,FALSE)</f>
        <v>3</v>
      </c>
    </row>
    <row r="81" spans="1:18" ht="15.75" hidden="1" customHeight="1" x14ac:dyDescent="0.2">
      <c r="A81" s="195">
        <v>9009154100</v>
      </c>
      <c r="B81" s="195" t="s">
        <v>3886</v>
      </c>
      <c r="C81" s="195" t="s">
        <v>944</v>
      </c>
      <c r="D81" s="88">
        <f>[2]!Table3[[#This Row],[Residential CLM $ Collected]]+[2]!Table3[[#This Row],[C&amp;I CLM $ Collected]]</f>
        <v>88.630099999999999</v>
      </c>
      <c r="E81" s="197">
        <f>[2]!Table3[[#This Row],[CLM $ Collected ]]/'[2]1.) CLM Reference'!$B$4</f>
        <v>3.0456437884360222E-6</v>
      </c>
      <c r="F81" s="89">
        <f>[2]!Table3[[#This Row],[Residential Incentive Disbursements]]+[2]!Table3[[#This Row],[C&amp;I Incentive Disbursements]]</f>
        <v>0</v>
      </c>
      <c r="G81" s="198">
        <f>[2]!Table3[[#This Row],[Incentive Disbursements]]/'[2]1.) CLM Reference'!$B$5</f>
        <v>0</v>
      </c>
      <c r="H81" s="88">
        <v>88.630099999999999</v>
      </c>
      <c r="I81" s="197">
        <f>[2]!Table3[[#This Row],[Residential CLM $ Collected]]/'[2]1.) CLM Reference'!$B$4</f>
        <v>3.0456437884360222E-6</v>
      </c>
      <c r="J81" s="89">
        <v>0</v>
      </c>
      <c r="K81" s="198">
        <f>[2]!Table3[[#This Row],[Residential Incentive Disbursements]]/'[2]1.) CLM Reference'!$B$5</f>
        <v>0</v>
      </c>
      <c r="L81" s="88">
        <v>0</v>
      </c>
      <c r="M81" s="197">
        <f>[2]!Table3[[#This Row],[C&amp;I CLM $ Collected]]/'[2]1.) CLM Reference'!$B$4</f>
        <v>0</v>
      </c>
      <c r="N81" s="89">
        <v>0</v>
      </c>
      <c r="O81" s="198">
        <f>[2]!Table3[[#This Row],[C&amp;I Incentive Disbursements]]/'[2]1.) CLM Reference'!$B$5</f>
        <v>0</v>
      </c>
      <c r="P81" t="str">
        <f t="shared" si="1"/>
        <v>N/A</v>
      </c>
      <c r="Q81" t="str">
        <f>VLOOKUP(Table8[[#This Row],[Census Tract]],'UI EnergyBurden'!$A$2:$B$184,2,FALSE)</f>
        <v>No</v>
      </c>
      <c r="R81">
        <f>VLOOKUP(Table8[[#This Row],[Census Tract]],'Population and Diversity Data'!$B$2:$K$823,10,FALSE)</f>
        <v>4</v>
      </c>
    </row>
    <row r="82" spans="1:18" ht="15.75" hidden="1" customHeight="1" x14ac:dyDescent="0.2">
      <c r="A82" s="195">
        <v>9009154200</v>
      </c>
      <c r="B82" s="195" t="s">
        <v>2997</v>
      </c>
      <c r="C82" s="195" t="s">
        <v>944</v>
      </c>
      <c r="D82" s="88">
        <f>[2]!Table3[[#This Row],[Residential CLM $ Collected]]+[2]!Table3[[#This Row],[C&amp;I CLM $ Collected]]</f>
        <v>546.85829999999999</v>
      </c>
      <c r="E82" s="197">
        <f>[2]!Table3[[#This Row],[CLM $ Collected ]]/'[2]1.) CLM Reference'!$B$4</f>
        <v>1.879198584397042E-5</v>
      </c>
      <c r="F82" s="89">
        <f>[2]!Table3[[#This Row],[Residential Incentive Disbursements]]+[2]!Table3[[#This Row],[C&amp;I Incentive Disbursements]]</f>
        <v>0</v>
      </c>
      <c r="G82" s="198">
        <f>[2]!Table3[[#This Row],[Incentive Disbursements]]/'[2]1.) CLM Reference'!$B$5</f>
        <v>0</v>
      </c>
      <c r="H82" s="88">
        <v>546.85829999999999</v>
      </c>
      <c r="I82" s="197">
        <f>[2]!Table3[[#This Row],[Residential CLM $ Collected]]/'[2]1.) CLM Reference'!$B$4</f>
        <v>1.879198584397042E-5</v>
      </c>
      <c r="J82" s="89">
        <v>0</v>
      </c>
      <c r="K82" s="198">
        <f>[2]!Table3[[#This Row],[Residential Incentive Disbursements]]/'[2]1.) CLM Reference'!$B$5</f>
        <v>0</v>
      </c>
      <c r="L82" s="88">
        <v>0</v>
      </c>
      <c r="M82" s="197">
        <f>[2]!Table3[[#This Row],[C&amp;I CLM $ Collected]]/'[2]1.) CLM Reference'!$B$4</f>
        <v>0</v>
      </c>
      <c r="N82" s="89">
        <v>0</v>
      </c>
      <c r="O82" s="198">
        <f>[2]!Table3[[#This Row],[C&amp;I Incentive Disbursements]]/'[2]1.) CLM Reference'!$B$5</f>
        <v>0</v>
      </c>
      <c r="P82" t="str">
        <f t="shared" si="1"/>
        <v>N/A</v>
      </c>
      <c r="Q82" t="str">
        <f>VLOOKUP(Table8[[#This Row],[Census Tract]],'UI EnergyBurden'!$A$2:$B$184,2,FALSE)</f>
        <v>No</v>
      </c>
      <c r="R82">
        <f>VLOOKUP(Table8[[#This Row],[Census Tract]],'Population and Diversity Data'!$B$2:$K$823,10,FALSE)</f>
        <v>4</v>
      </c>
    </row>
    <row r="83" spans="1:18" ht="16" x14ac:dyDescent="0.2">
      <c r="A83" s="195">
        <v>9009154500</v>
      </c>
      <c r="B83" s="195" t="s">
        <v>2997</v>
      </c>
      <c r="C83" s="195" t="s">
        <v>936</v>
      </c>
      <c r="D83" s="88">
        <f>[2]!Table3[[#This Row],[Residential CLM $ Collected]]+[2]!Table3[[#This Row],[C&amp;I CLM $ Collected]]</f>
        <v>1968.8759</v>
      </c>
      <c r="E83" s="197">
        <f>[2]!Table3[[#This Row],[CLM $ Collected ]]/'[2]1.) CLM Reference'!$B$4</f>
        <v>6.7657541343588493E-5</v>
      </c>
      <c r="F83" s="89">
        <f>[2]!Table3[[#This Row],[Residential Incentive Disbursements]]+[2]!Table3[[#This Row],[C&amp;I Incentive Disbursements]]</f>
        <v>0</v>
      </c>
      <c r="G83" s="198">
        <f>[2]!Table3[[#This Row],[Incentive Disbursements]]/'[2]1.) CLM Reference'!$B$5</f>
        <v>0</v>
      </c>
      <c r="H83" s="88">
        <v>645.16579999999999</v>
      </c>
      <c r="I83" s="197">
        <f>[2]!Table3[[#This Row],[Residential CLM $ Collected]]/'[2]1.) CLM Reference'!$B$4</f>
        <v>2.2170179332770208E-5</v>
      </c>
      <c r="J83" s="89">
        <v>0</v>
      </c>
      <c r="K83" s="198">
        <f>[2]!Table3[[#This Row],[Residential Incentive Disbursements]]/'[2]1.) CLM Reference'!$B$5</f>
        <v>0</v>
      </c>
      <c r="L83" s="88">
        <v>1323.7101</v>
      </c>
      <c r="M83" s="197">
        <f>[2]!Table3[[#This Row],[C&amp;I CLM $ Collected]]/'[2]1.) CLM Reference'!$B$4</f>
        <v>4.5487362010818288E-5</v>
      </c>
      <c r="N83" s="89">
        <v>0</v>
      </c>
      <c r="O83" s="198">
        <f>[2]!Table3[[#This Row],[C&amp;I Incentive Disbursements]]/'[2]1.) CLM Reference'!$B$5</f>
        <v>0</v>
      </c>
      <c r="P83" t="str">
        <f t="shared" si="1"/>
        <v>NO</v>
      </c>
      <c r="Q83" t="str">
        <f>VLOOKUP(Table8[[#This Row],[Census Tract]],'UI EnergyBurden'!$A$2:$B$184,2,FALSE)</f>
        <v>No</v>
      </c>
      <c r="R83">
        <f>VLOOKUP(Table8[[#This Row],[Census Tract]],'Population and Diversity Data'!$B$2:$K$823,10,FALSE)</f>
        <v>4</v>
      </c>
    </row>
    <row r="84" spans="1:18" ht="15.75" hidden="1" customHeight="1" x14ac:dyDescent="0.2">
      <c r="A84" s="195">
        <v>9009154600</v>
      </c>
      <c r="B84" s="195" t="s">
        <v>2997</v>
      </c>
      <c r="C84" s="195" t="s">
        <v>944</v>
      </c>
      <c r="D84" s="88">
        <f>[2]!Table3[[#This Row],[Residential CLM $ Collected]]+[2]!Table3[[#This Row],[C&amp;I CLM $ Collected]]</f>
        <v>716.68090000000007</v>
      </c>
      <c r="E84" s="197">
        <f>[2]!Table3[[#This Row],[CLM $ Collected ]]/'[2]1.) CLM Reference'!$B$4</f>
        <v>2.4627691172363995E-5</v>
      </c>
      <c r="F84" s="89">
        <f>[2]!Table3[[#This Row],[Residential Incentive Disbursements]]+[2]!Table3[[#This Row],[C&amp;I Incentive Disbursements]]</f>
        <v>0</v>
      </c>
      <c r="G84" s="198">
        <f>[2]!Table3[[#This Row],[Incentive Disbursements]]/'[2]1.) CLM Reference'!$B$5</f>
        <v>0</v>
      </c>
      <c r="H84" s="88">
        <v>123.0565</v>
      </c>
      <c r="I84" s="197">
        <f>[2]!Table3[[#This Row],[Residential CLM $ Collected]]/'[2]1.) CLM Reference'!$B$4</f>
        <v>4.2286566849374798E-6</v>
      </c>
      <c r="J84" s="89">
        <v>0</v>
      </c>
      <c r="K84" s="198">
        <f>[2]!Table3[[#This Row],[Residential Incentive Disbursements]]/'[2]1.) CLM Reference'!$B$5</f>
        <v>0</v>
      </c>
      <c r="L84" s="88">
        <v>593.62440000000004</v>
      </c>
      <c r="M84" s="197">
        <f>[2]!Table3[[#This Row],[C&amp;I CLM $ Collected]]/'[2]1.) CLM Reference'!$B$4</f>
        <v>2.0399034487426514E-5</v>
      </c>
      <c r="N84" s="89">
        <v>0</v>
      </c>
      <c r="O84" s="198">
        <f>[2]!Table3[[#This Row],[C&amp;I Incentive Disbursements]]/'[2]1.) CLM Reference'!$B$5</f>
        <v>0</v>
      </c>
      <c r="P84" t="str">
        <f t="shared" si="1"/>
        <v>NO</v>
      </c>
      <c r="Q84" t="str">
        <f>VLOOKUP(Table8[[#This Row],[Census Tract]],'UI EnergyBurden'!$A$2:$B$184,2,FALSE)</f>
        <v>No</v>
      </c>
      <c r="R84">
        <f>VLOOKUP(Table8[[#This Row],[Census Tract]],'Population and Diversity Data'!$B$2:$K$823,10,FALSE)</f>
        <v>5</v>
      </c>
    </row>
    <row r="85" spans="1:18" ht="16" hidden="1" x14ac:dyDescent="0.2">
      <c r="A85" s="195">
        <v>9009154800</v>
      </c>
      <c r="B85" s="195" t="s">
        <v>2997</v>
      </c>
      <c r="C85" s="195" t="s">
        <v>944</v>
      </c>
      <c r="D85" s="88">
        <f>[2]!Table3[[#This Row],[Residential CLM $ Collected]]+[2]!Table3[[#This Row],[C&amp;I CLM $ Collected]]</f>
        <v>529.83010000000002</v>
      </c>
      <c r="E85" s="197">
        <f>[2]!Table3[[#This Row],[CLM $ Collected ]]/'[2]1.) CLM Reference'!$B$4</f>
        <v>1.8206836650206155E-5</v>
      </c>
      <c r="F85" s="89">
        <f>[2]!Table3[[#This Row],[Residential Incentive Disbursements]]+[2]!Table3[[#This Row],[C&amp;I Incentive Disbursements]]</f>
        <v>0</v>
      </c>
      <c r="G85" s="198">
        <f>[2]!Table3[[#This Row],[Incentive Disbursements]]/'[2]1.) CLM Reference'!$B$5</f>
        <v>0</v>
      </c>
      <c r="H85" s="88">
        <v>147.84030000000001</v>
      </c>
      <c r="I85" s="197">
        <f>[2]!Table3[[#This Row],[Residential CLM $ Collected]]/'[2]1.) CLM Reference'!$B$4</f>
        <v>5.0803157321893815E-6</v>
      </c>
      <c r="J85" s="89">
        <v>0</v>
      </c>
      <c r="K85" s="198">
        <f>[2]!Table3[[#This Row],[Residential Incentive Disbursements]]/'[2]1.) CLM Reference'!$B$5</f>
        <v>0</v>
      </c>
      <c r="L85" s="88">
        <v>381.9898</v>
      </c>
      <c r="M85" s="197">
        <f>[2]!Table3[[#This Row],[C&amp;I CLM $ Collected]]/'[2]1.) CLM Reference'!$B$4</f>
        <v>1.3126520918016773E-5</v>
      </c>
      <c r="N85" s="89">
        <v>0</v>
      </c>
      <c r="O85" s="198">
        <f>[2]!Table3[[#This Row],[C&amp;I Incentive Disbursements]]/'[2]1.) CLM Reference'!$B$5</f>
        <v>0</v>
      </c>
      <c r="P85" t="str">
        <f t="shared" si="1"/>
        <v>NO</v>
      </c>
      <c r="Q85" t="str">
        <f>VLOOKUP(Table8[[#This Row],[Census Tract]],'UI EnergyBurden'!$A$2:$B$184,2,FALSE)</f>
        <v>No</v>
      </c>
      <c r="R85">
        <f>VLOOKUP(Table8[[#This Row],[Census Tract]],'Population and Diversity Data'!$B$2:$K$823,10,FALSE)</f>
        <v>2</v>
      </c>
    </row>
    <row r="86" spans="1:18" ht="15.75" hidden="1" customHeight="1" x14ac:dyDescent="0.2">
      <c r="A86" s="195">
        <v>9009154900</v>
      </c>
      <c r="B86" s="195" t="s">
        <v>2997</v>
      </c>
      <c r="C86" s="195" t="s">
        <v>944</v>
      </c>
      <c r="D86" s="88">
        <f>[2]!Table3[[#This Row],[Residential CLM $ Collected]]+[2]!Table3[[#This Row],[C&amp;I CLM $ Collected]]</f>
        <v>621.81140000000005</v>
      </c>
      <c r="E86" s="197">
        <f>[2]!Table3[[#This Row],[CLM $ Collected ]]/'[2]1.) CLM Reference'!$B$4</f>
        <v>2.1367639526399123E-5</v>
      </c>
      <c r="F86" s="89">
        <f>[2]!Table3[[#This Row],[Residential Incentive Disbursements]]+[2]!Table3[[#This Row],[C&amp;I Incentive Disbursements]]</f>
        <v>0</v>
      </c>
      <c r="G86" s="198">
        <f>[2]!Table3[[#This Row],[Incentive Disbursements]]/'[2]1.) CLM Reference'!$B$5</f>
        <v>0</v>
      </c>
      <c r="H86" s="88">
        <v>40.914700000000003</v>
      </c>
      <c r="I86" s="197">
        <f>[2]!Table3[[#This Row],[Residential CLM $ Collected]]/'[2]1.) CLM Reference'!$B$4</f>
        <v>1.4059738385799331E-6</v>
      </c>
      <c r="J86" s="89">
        <v>0</v>
      </c>
      <c r="K86" s="198">
        <f>[2]!Table3[[#This Row],[Residential Incentive Disbursements]]/'[2]1.) CLM Reference'!$B$5</f>
        <v>0</v>
      </c>
      <c r="L86" s="88">
        <v>580.89670000000001</v>
      </c>
      <c r="M86" s="197">
        <f>[2]!Table3[[#This Row],[C&amp;I CLM $ Collected]]/'[2]1.) CLM Reference'!$B$4</f>
        <v>1.996166568781919E-5</v>
      </c>
      <c r="N86" s="89">
        <v>0</v>
      </c>
      <c r="O86" s="198">
        <f>[2]!Table3[[#This Row],[C&amp;I Incentive Disbursements]]/'[2]1.) CLM Reference'!$B$5</f>
        <v>0</v>
      </c>
      <c r="P86" t="str">
        <f t="shared" si="1"/>
        <v>NO</v>
      </c>
      <c r="Q86" t="str">
        <f>VLOOKUP(Table8[[#This Row],[Census Tract]],'UI EnergyBurden'!$A$2:$B$184,2,FALSE)</f>
        <v>No</v>
      </c>
      <c r="R86">
        <f>VLOOKUP(Table8[[#This Row],[Census Tract]],'Population and Diversity Data'!$B$2:$K$823,10,FALSE)</f>
        <v>2</v>
      </c>
    </row>
    <row r="87" spans="1:18" ht="16" hidden="1" x14ac:dyDescent="0.2">
      <c r="A87" s="195">
        <v>9009155000</v>
      </c>
      <c r="B87" s="195" t="s">
        <v>2997</v>
      </c>
      <c r="C87" s="195" t="s">
        <v>944</v>
      </c>
      <c r="D87" s="88">
        <f>[2]!Table3[[#This Row],[Residential CLM $ Collected]]+[2]!Table3[[#This Row],[C&amp;I CLM $ Collected]]</f>
        <v>310.54989999999998</v>
      </c>
      <c r="E87" s="197">
        <f>[2]!Table3[[#This Row],[CLM $ Collected ]]/'[2]1.) CLM Reference'!$B$4</f>
        <v>1.0671593216462892E-5</v>
      </c>
      <c r="F87" s="89">
        <f>[2]!Table3[[#This Row],[Residential Incentive Disbursements]]+[2]!Table3[[#This Row],[C&amp;I Incentive Disbursements]]</f>
        <v>0</v>
      </c>
      <c r="G87" s="198">
        <f>[2]!Table3[[#This Row],[Incentive Disbursements]]/'[2]1.) CLM Reference'!$B$5</f>
        <v>0</v>
      </c>
      <c r="H87" s="88">
        <v>151.34780000000001</v>
      </c>
      <c r="I87" s="197">
        <f>[2]!Table3[[#This Row],[Residential CLM $ Collected]]/'[2]1.) CLM Reference'!$B$4</f>
        <v>5.200845840898943E-6</v>
      </c>
      <c r="J87" s="89">
        <v>0</v>
      </c>
      <c r="K87" s="198">
        <f>[2]!Table3[[#This Row],[Residential Incentive Disbursements]]/'[2]1.) CLM Reference'!$B$5</f>
        <v>0</v>
      </c>
      <c r="L87" s="88">
        <v>159.2021</v>
      </c>
      <c r="M87" s="197">
        <f>[2]!Table3[[#This Row],[C&amp;I CLM $ Collected]]/'[2]1.) CLM Reference'!$B$4</f>
        <v>5.4707473755639499E-6</v>
      </c>
      <c r="N87" s="89">
        <v>0</v>
      </c>
      <c r="O87" s="198">
        <f>[2]!Table3[[#This Row],[C&amp;I Incentive Disbursements]]/'[2]1.) CLM Reference'!$B$5</f>
        <v>0</v>
      </c>
      <c r="P87" t="str">
        <f t="shared" si="1"/>
        <v>NO</v>
      </c>
      <c r="Q87" t="str">
        <f>VLOOKUP(Table8[[#This Row],[Census Tract]],'UI EnergyBurden'!$A$2:$B$184,2,FALSE)</f>
        <v>No</v>
      </c>
      <c r="R87">
        <f>VLOOKUP(Table8[[#This Row],[Census Tract]],'Population and Diversity Data'!$B$2:$K$823,10,FALSE)</f>
        <v>5</v>
      </c>
    </row>
    <row r="88" spans="1:18" ht="15.75" customHeight="1" x14ac:dyDescent="0.2">
      <c r="A88" s="195">
        <v>9009155100</v>
      </c>
      <c r="B88" s="195" t="s">
        <v>2997</v>
      </c>
      <c r="C88" s="195" t="s">
        <v>936</v>
      </c>
      <c r="D88" s="88">
        <f>[2]!Table3[[#This Row],[Residential CLM $ Collected]]+[2]!Table3[[#This Row],[C&amp;I CLM $ Collected]]</f>
        <v>851.66629999999998</v>
      </c>
      <c r="E88" s="197">
        <f>[2]!Table3[[#This Row],[CLM $ Collected ]]/'[2]1.) CLM Reference'!$B$4</f>
        <v>2.9266267062942382E-5</v>
      </c>
      <c r="F88" s="89">
        <f>[2]!Table3[[#This Row],[Residential Incentive Disbursements]]+[2]!Table3[[#This Row],[C&amp;I Incentive Disbursements]]</f>
        <v>61.155011053187174</v>
      </c>
      <c r="G88" s="198">
        <f>[2]!Table3[[#This Row],[Incentive Disbursements]]/'[2]1.) CLM Reference'!$B$5</f>
        <v>3.6399651712379128E-6</v>
      </c>
      <c r="H88" s="88">
        <v>102.4053</v>
      </c>
      <c r="I88" s="197">
        <f>[2]!Table3[[#This Row],[Residential CLM $ Collected]]/'[2]1.) CLM Reference'!$B$4</f>
        <v>3.5190083938518335E-6</v>
      </c>
      <c r="J88" s="89">
        <v>0</v>
      </c>
      <c r="K88" s="198">
        <f>[2]!Table3[[#This Row],[Residential Incentive Disbursements]]/'[2]1.) CLM Reference'!$B$5</f>
        <v>0</v>
      </c>
      <c r="L88" s="88">
        <v>749.26099999999997</v>
      </c>
      <c r="M88" s="197">
        <f>[2]!Table3[[#This Row],[C&amp;I CLM $ Collected]]/'[2]1.) CLM Reference'!$B$4</f>
        <v>2.5747258669090548E-5</v>
      </c>
      <c r="N88" s="89">
        <v>61.155011053187174</v>
      </c>
      <c r="O88" s="198">
        <f>[2]!Table3[[#This Row],[C&amp;I Incentive Disbursements]]/'[2]1.) CLM Reference'!$B$5</f>
        <v>3.6399651712379128E-6</v>
      </c>
      <c r="P88" t="str">
        <f t="shared" si="1"/>
        <v>NO</v>
      </c>
      <c r="Q88" t="str">
        <f>VLOOKUP(Table8[[#This Row],[Census Tract]],'UI EnergyBurden'!$A$2:$B$184,2,FALSE)</f>
        <v>No</v>
      </c>
      <c r="R88">
        <f>VLOOKUP(Table8[[#This Row],[Census Tract]],'Population and Diversity Data'!$B$2:$K$823,10,FALSE)</f>
        <v>4</v>
      </c>
    </row>
    <row r="89" spans="1:18" ht="16" hidden="1" x14ac:dyDescent="0.2">
      <c r="A89" s="195">
        <v>9009167201</v>
      </c>
      <c r="B89" s="195" t="s">
        <v>2997</v>
      </c>
      <c r="C89" s="195" t="s">
        <v>944</v>
      </c>
      <c r="D89" s="88">
        <f>[2]!Table3[[#This Row],[Residential CLM $ Collected]]+[2]!Table3[[#This Row],[C&amp;I CLM $ Collected]]</f>
        <v>82.957800000000006</v>
      </c>
      <c r="E89" s="197">
        <f>[2]!Table3[[#This Row],[CLM $ Collected ]]/'[2]1.) CLM Reference'!$B$4</f>
        <v>2.8507234931735139E-6</v>
      </c>
      <c r="F89" s="89">
        <f>[2]!Table3[[#This Row],[Residential Incentive Disbursements]]+[2]!Table3[[#This Row],[C&amp;I Incentive Disbursements]]</f>
        <v>0</v>
      </c>
      <c r="G89" s="198">
        <f>[2]!Table3[[#This Row],[Incentive Disbursements]]/'[2]1.) CLM Reference'!$B$5</f>
        <v>0</v>
      </c>
      <c r="H89" s="88">
        <v>0</v>
      </c>
      <c r="I89" s="197">
        <f>[2]!Table3[[#This Row],[Residential CLM $ Collected]]/'[2]1.) CLM Reference'!$B$4</f>
        <v>0</v>
      </c>
      <c r="J89" s="89">
        <v>0</v>
      </c>
      <c r="K89" s="198">
        <f>[2]!Table3[[#This Row],[Residential Incentive Disbursements]]/'[2]1.) CLM Reference'!$B$5</f>
        <v>0</v>
      </c>
      <c r="L89" s="88">
        <v>82.957800000000006</v>
      </c>
      <c r="M89" s="197">
        <f>[2]!Table3[[#This Row],[C&amp;I CLM $ Collected]]/'[2]1.) CLM Reference'!$B$4</f>
        <v>2.8507234931735139E-6</v>
      </c>
      <c r="N89" s="89">
        <v>0</v>
      </c>
      <c r="O89" s="198">
        <f>[2]!Table3[[#This Row],[C&amp;I Incentive Disbursements]]/'[2]1.) CLM Reference'!$B$5</f>
        <v>0</v>
      </c>
      <c r="P89" t="str">
        <f t="shared" si="1"/>
        <v>N/A</v>
      </c>
      <c r="Q89" t="str">
        <f>VLOOKUP(Table8[[#This Row],[Census Tract]],'UI EnergyBurden'!$A$2:$B$184,2,FALSE)</f>
        <v>No</v>
      </c>
      <c r="R89">
        <f>VLOOKUP(Table8[[#This Row],[Census Tract]],'Population and Diversity Data'!$B$2:$K$823,10,FALSE)</f>
        <v>2</v>
      </c>
    </row>
    <row r="90" spans="1:18" ht="15.75" hidden="1" customHeight="1" x14ac:dyDescent="0.2">
      <c r="A90" s="195">
        <v>9009167202</v>
      </c>
      <c r="B90" s="195" t="s">
        <v>2997</v>
      </c>
      <c r="C90" s="195" t="s">
        <v>944</v>
      </c>
      <c r="D90" s="88">
        <f>[2]!Table3[[#This Row],[Residential CLM $ Collected]]+[2]!Table3[[#This Row],[C&amp;I CLM $ Collected]]</f>
        <v>82.199700000000007</v>
      </c>
      <c r="E90" s="197">
        <f>[2]!Table3[[#This Row],[CLM $ Collected ]]/'[2]1.) CLM Reference'!$B$4</f>
        <v>2.8246724951941214E-6</v>
      </c>
      <c r="F90" s="89">
        <f>[2]!Table3[[#This Row],[Residential Incentive Disbursements]]+[2]!Table3[[#This Row],[C&amp;I Incentive Disbursements]]</f>
        <v>0</v>
      </c>
      <c r="G90" s="198">
        <f>[2]!Table3[[#This Row],[Incentive Disbursements]]/'[2]1.) CLM Reference'!$B$5</f>
        <v>0</v>
      </c>
      <c r="H90" s="88">
        <v>34.721600000000002</v>
      </c>
      <c r="I90" s="197">
        <f>[2]!Table3[[#This Row],[Residential CLM $ Collected]]/'[2]1.) CLM Reference'!$B$4</f>
        <v>1.1931570128495872E-6</v>
      </c>
      <c r="J90" s="89">
        <v>0</v>
      </c>
      <c r="K90" s="198">
        <f>[2]!Table3[[#This Row],[Residential Incentive Disbursements]]/'[2]1.) CLM Reference'!$B$5</f>
        <v>0</v>
      </c>
      <c r="L90" s="88">
        <v>47.478099999999998</v>
      </c>
      <c r="M90" s="197">
        <f>[2]!Table3[[#This Row],[C&amp;I CLM $ Collected]]/'[2]1.) CLM Reference'!$B$4</f>
        <v>1.631515482344534E-6</v>
      </c>
      <c r="N90" s="89">
        <v>0</v>
      </c>
      <c r="O90" s="198">
        <f>[2]!Table3[[#This Row],[C&amp;I Incentive Disbursements]]/'[2]1.) CLM Reference'!$B$5</f>
        <v>0</v>
      </c>
      <c r="P90" t="str">
        <f t="shared" si="1"/>
        <v>N/A</v>
      </c>
      <c r="Q90" t="str">
        <f>VLOOKUP(Table8[[#This Row],[Census Tract]],'UI EnergyBurden'!$A$2:$B$184,2,FALSE)</f>
        <v>No</v>
      </c>
      <c r="R90">
        <f>VLOOKUP(Table8[[#This Row],[Census Tract]],'Population and Diversity Data'!$B$2:$K$823,10,FALSE)</f>
        <v>4</v>
      </c>
    </row>
    <row r="91" spans="1:18" ht="16" hidden="1" x14ac:dyDescent="0.2">
      <c r="A91" s="195">
        <v>9009167300</v>
      </c>
      <c r="B91" s="195" t="s">
        <v>2997</v>
      </c>
      <c r="C91" s="195" t="s">
        <v>944</v>
      </c>
      <c r="D91" s="88">
        <f>[2]!Table3[[#This Row],[Residential CLM $ Collected]]+[2]!Table3[[#This Row],[C&amp;I CLM $ Collected]]</f>
        <v>442.22449999999998</v>
      </c>
      <c r="E91" s="197">
        <f>[2]!Table3[[#This Row],[CLM $ Collected ]]/'[2]1.) CLM Reference'!$B$4</f>
        <v>1.5196398306210031E-5</v>
      </c>
      <c r="F91" s="89">
        <f>[2]!Table3[[#This Row],[Residential Incentive Disbursements]]+[2]!Table3[[#This Row],[C&amp;I Incentive Disbursements]]</f>
        <v>0</v>
      </c>
      <c r="G91" s="198">
        <f>[2]!Table3[[#This Row],[Incentive Disbursements]]/'[2]1.) CLM Reference'!$B$5</f>
        <v>0</v>
      </c>
      <c r="H91" s="88">
        <v>442.22449999999998</v>
      </c>
      <c r="I91" s="197">
        <f>[2]!Table3[[#This Row],[Residential CLM $ Collected]]/'[2]1.) CLM Reference'!$B$4</f>
        <v>1.5196398306210031E-5</v>
      </c>
      <c r="J91" s="89">
        <v>0</v>
      </c>
      <c r="K91" s="198">
        <f>[2]!Table3[[#This Row],[Residential Incentive Disbursements]]/'[2]1.) CLM Reference'!$B$5</f>
        <v>0</v>
      </c>
      <c r="L91" s="88">
        <v>0</v>
      </c>
      <c r="M91" s="197">
        <f>[2]!Table3[[#This Row],[C&amp;I CLM $ Collected]]/'[2]1.) CLM Reference'!$B$4</f>
        <v>0</v>
      </c>
      <c r="N91" s="89">
        <v>0</v>
      </c>
      <c r="O91" s="198">
        <f>[2]!Table3[[#This Row],[C&amp;I Incentive Disbursements]]/'[2]1.) CLM Reference'!$B$5</f>
        <v>0</v>
      </c>
      <c r="P91" t="str">
        <f t="shared" si="1"/>
        <v>N/A</v>
      </c>
      <c r="Q91" t="str">
        <f>VLOOKUP(Table8[[#This Row],[Census Tract]],'UI EnergyBurden'!$A$2:$B$184,2,FALSE)</f>
        <v>No</v>
      </c>
      <c r="R91">
        <f>VLOOKUP(Table8[[#This Row],[Census Tract]],'Population and Diversity Data'!$B$2:$K$823,10,FALSE)</f>
        <v>2</v>
      </c>
    </row>
    <row r="92" spans="1:18" ht="16" hidden="1" x14ac:dyDescent="0.2">
      <c r="A92" s="195">
        <v>9009180100</v>
      </c>
      <c r="B92" s="195" t="s">
        <v>2997</v>
      </c>
      <c r="C92" s="195" t="s">
        <v>944</v>
      </c>
      <c r="D92" s="88">
        <f>[2]!Table3[[#This Row],[Residential CLM $ Collected]]+[2]!Table3[[#This Row],[C&amp;I CLM $ Collected]]</f>
        <v>142873.6575</v>
      </c>
      <c r="E92" s="197">
        <f>[2]!Table3[[#This Row],[CLM $ Collected ]]/'[2]1.) CLM Reference'!$B$4</f>
        <v>4.9096443250770411E-3</v>
      </c>
      <c r="F92" s="89">
        <f>[2]!Table3[[#This Row],[Residential Incentive Disbursements]]+[2]!Table3[[#This Row],[C&amp;I Incentive Disbursements]]</f>
        <v>48401.270757650265</v>
      </c>
      <c r="G92" s="198">
        <f>[2]!Table3[[#This Row],[Incentive Disbursements]]/'[2]1.) CLM Reference'!$B$5</f>
        <v>2.8808586045104023E-3</v>
      </c>
      <c r="H92" s="88">
        <v>115517.04399999999</v>
      </c>
      <c r="I92" s="197">
        <f>[2]!Table3[[#This Row],[Residential CLM $ Collected]]/'[2]1.) CLM Reference'!$B$4</f>
        <v>3.9695743039564512E-3</v>
      </c>
      <c r="J92" s="89">
        <v>39829.376708361866</v>
      </c>
      <c r="K92" s="198">
        <f>[2]!Table3[[#This Row],[Residential Incentive Disbursements]]/'[2]1.) CLM Reference'!$B$5</f>
        <v>2.3706568196752219E-3</v>
      </c>
      <c r="L92" s="88">
        <v>27356.613499999999</v>
      </c>
      <c r="M92" s="197">
        <f>[2]!Table3[[#This Row],[C&amp;I CLM $ Collected]]/'[2]1.) CLM Reference'!$B$4</f>
        <v>9.4007002112059029E-4</v>
      </c>
      <c r="N92" s="89">
        <v>8571.8940492884012</v>
      </c>
      <c r="O92" s="198">
        <f>[2]!Table3[[#This Row],[C&amp;I Incentive Disbursements]]/'[2]1.) CLM Reference'!$B$5</f>
        <v>5.1020178483518073E-4</v>
      </c>
      <c r="P92" t="str">
        <f t="shared" si="1"/>
        <v>NO</v>
      </c>
      <c r="Q92" t="str">
        <f>VLOOKUP(Table8[[#This Row],[Census Tract]],'UI EnergyBurden'!$A$2:$B$184,2,FALSE)</f>
        <v>No</v>
      </c>
      <c r="R92">
        <f>VLOOKUP(Table8[[#This Row],[Census Tract]],'Population and Diversity Data'!$B$2:$K$823,10,FALSE)</f>
        <v>5</v>
      </c>
    </row>
    <row r="93" spans="1:18" ht="15.75" hidden="1" customHeight="1" x14ac:dyDescent="0.2">
      <c r="A93" s="195">
        <v>9009180200</v>
      </c>
      <c r="B93" s="195" t="s">
        <v>2997</v>
      </c>
      <c r="C93" s="195" t="s">
        <v>944</v>
      </c>
      <c r="D93" s="88">
        <f>[2]!Table3[[#This Row],[Residential CLM $ Collected]]+[2]!Table3[[#This Row],[C&amp;I CLM $ Collected]]</f>
        <v>143926.6531999998</v>
      </c>
      <c r="E93" s="197">
        <f>[2]!Table3[[#This Row],[CLM $ Collected ]]/'[2]1.) CLM Reference'!$B$4</f>
        <v>4.9458289825800141E-3</v>
      </c>
      <c r="F93" s="89">
        <f>[2]!Table3[[#This Row],[Residential Incentive Disbursements]]+[2]!Table3[[#This Row],[C&amp;I Incentive Disbursements]]</f>
        <v>86275.476258883107</v>
      </c>
      <c r="G93" s="198">
        <f>[2]!Table3[[#This Row],[Incentive Disbursements]]/'[2]1.) CLM Reference'!$B$5</f>
        <v>5.1351430292633617E-3</v>
      </c>
      <c r="H93" s="88">
        <v>93038.672899999801</v>
      </c>
      <c r="I93" s="197">
        <f>[2]!Table3[[#This Row],[Residential CLM $ Collected]]/'[2]1.) CLM Reference'!$B$4</f>
        <v>3.1971379497734436E-3</v>
      </c>
      <c r="J93" s="89">
        <v>66112.64872964361</v>
      </c>
      <c r="K93" s="198">
        <f>[2]!Table3[[#This Row],[Residential Incentive Disbursements]]/'[2]1.) CLM Reference'!$B$5</f>
        <v>3.9350452989844976E-3</v>
      </c>
      <c r="L93" s="88">
        <v>50887.980300000003</v>
      </c>
      <c r="M93" s="197">
        <f>[2]!Table3[[#This Row],[C&amp;I CLM $ Collected]]/'[2]1.) CLM Reference'!$B$4</f>
        <v>1.748691032806571E-3</v>
      </c>
      <c r="N93" s="89">
        <v>20162.827529239494</v>
      </c>
      <c r="O93" s="198">
        <f>[2]!Table3[[#This Row],[C&amp;I Incentive Disbursements]]/'[2]1.) CLM Reference'!$B$5</f>
        <v>1.2000977302788634E-3</v>
      </c>
      <c r="P93" t="str">
        <f t="shared" si="1"/>
        <v>NO</v>
      </c>
      <c r="Q93" t="str">
        <f>VLOOKUP(Table8[[#This Row],[Census Tract]],'UI EnergyBurden'!$A$2:$B$184,2,FALSE)</f>
        <v>No</v>
      </c>
      <c r="R93">
        <f>VLOOKUP(Table8[[#This Row],[Census Tract]],'Population and Diversity Data'!$B$2:$K$823,10,FALSE)</f>
        <v>5</v>
      </c>
    </row>
    <row r="94" spans="1:18" ht="16" hidden="1" x14ac:dyDescent="0.2">
      <c r="A94" s="195">
        <v>9009180300</v>
      </c>
      <c r="B94" s="195" t="s">
        <v>2997</v>
      </c>
      <c r="C94" s="195" t="s">
        <v>944</v>
      </c>
      <c r="D94" s="88">
        <f>[2]!Table3[[#This Row],[Residential CLM $ Collected]]+[2]!Table3[[#This Row],[C&amp;I CLM $ Collected]]</f>
        <v>61658.203399999999</v>
      </c>
      <c r="E94" s="197">
        <f>[2]!Table3[[#This Row],[CLM $ Collected ]]/'[2]1.) CLM Reference'!$B$4</f>
        <v>2.1187940010372868E-3</v>
      </c>
      <c r="F94" s="89">
        <f>[2]!Table3[[#This Row],[Residential Incentive Disbursements]]+[2]!Table3[[#This Row],[C&amp;I Incentive Disbursements]]</f>
        <v>25787.677692971818</v>
      </c>
      <c r="G94" s="198">
        <f>[2]!Table3[[#This Row],[Incentive Disbursements]]/'[2]1.) CLM Reference'!$B$5</f>
        <v>1.5348905516162819E-3</v>
      </c>
      <c r="H94" s="88">
        <v>39263.134100000003</v>
      </c>
      <c r="I94" s="197">
        <f>[2]!Table3[[#This Row],[Residential CLM $ Collected]]/'[2]1.) CLM Reference'!$B$4</f>
        <v>1.3492201914044504E-3</v>
      </c>
      <c r="J94" s="89">
        <v>9805.783841896362</v>
      </c>
      <c r="K94" s="198">
        <f>[2]!Table3[[#This Row],[Residential Incentive Disbursements]]/'[2]1.) CLM Reference'!$B$5</f>
        <v>5.8364328689513136E-4</v>
      </c>
      <c r="L94" s="88">
        <v>22395.069299999999</v>
      </c>
      <c r="M94" s="197">
        <f>[2]!Table3[[#This Row],[C&amp;I CLM $ Collected]]/'[2]1.) CLM Reference'!$B$4</f>
        <v>7.6957380963283643E-4</v>
      </c>
      <c r="N94" s="89">
        <v>15981.893851075458</v>
      </c>
      <c r="O94" s="198">
        <f>[2]!Table3[[#This Row],[C&amp;I Incentive Disbursements]]/'[2]1.) CLM Reference'!$B$5</f>
        <v>9.512472647211505E-4</v>
      </c>
      <c r="P94" t="str">
        <f t="shared" si="1"/>
        <v>YES</v>
      </c>
      <c r="Q94" t="str">
        <f>VLOOKUP(Table8[[#This Row],[Census Tract]],'UI EnergyBurden'!$A$2:$B$184,2,FALSE)</f>
        <v>No</v>
      </c>
      <c r="R94">
        <f>VLOOKUP(Table8[[#This Row],[Census Tract]],'Population and Diversity Data'!$B$2:$K$823,10,FALSE)</f>
        <v>3</v>
      </c>
    </row>
    <row r="95" spans="1:18" ht="15.75" hidden="1" customHeight="1" x14ac:dyDescent="0.2">
      <c r="A95" s="195">
        <v>9009180400</v>
      </c>
      <c r="B95" s="195" t="s">
        <v>2997</v>
      </c>
      <c r="C95" s="195" t="s">
        <v>944</v>
      </c>
      <c r="D95" s="88">
        <f>[2]!Table3[[#This Row],[Residential CLM $ Collected]]+[2]!Table3[[#This Row],[C&amp;I CLM $ Collected]]</f>
        <v>59107.457199999997</v>
      </c>
      <c r="E95" s="197">
        <f>[2]!Table3[[#This Row],[CLM $ Collected ]]/'[2]1.) CLM Reference'!$B$4</f>
        <v>2.0311413376655112E-3</v>
      </c>
      <c r="F95" s="89">
        <f>[2]!Table3[[#This Row],[Residential Incentive Disbursements]]+[2]!Table3[[#This Row],[C&amp;I Incentive Disbursements]]</f>
        <v>64636.912452500481</v>
      </c>
      <c r="G95" s="198">
        <f>[2]!Table3[[#This Row],[Incentive Disbursements]]/'[2]1.) CLM Reference'!$B$5</f>
        <v>3.8472090193693814E-3</v>
      </c>
      <c r="H95" s="88">
        <v>44023.715199999999</v>
      </c>
      <c r="I95" s="197">
        <f>[2]!Table3[[#This Row],[Residential CLM $ Collected]]/'[2]1.) CLM Reference'!$B$4</f>
        <v>1.51281059981605E-3</v>
      </c>
      <c r="J95" s="89">
        <v>42924.845028250595</v>
      </c>
      <c r="K95" s="198">
        <f>[2]!Table3[[#This Row],[Residential Incentive Disbursements]]/'[2]1.) CLM Reference'!$B$5</f>
        <v>2.5549000514075476E-3</v>
      </c>
      <c r="L95" s="88">
        <v>15083.742</v>
      </c>
      <c r="M95" s="197">
        <f>[2]!Table3[[#This Row],[C&amp;I CLM $ Collected]]/'[2]1.) CLM Reference'!$B$4</f>
        <v>5.1833073784946133E-4</v>
      </c>
      <c r="N95" s="89">
        <v>21712.067424249886</v>
      </c>
      <c r="O95" s="198">
        <f>[2]!Table3[[#This Row],[C&amp;I Incentive Disbursements]]/'[2]1.) CLM Reference'!$B$5</f>
        <v>1.2923089679618338E-3</v>
      </c>
      <c r="P95" t="str">
        <f t="shared" si="1"/>
        <v>YES</v>
      </c>
      <c r="Q95" t="str">
        <f>VLOOKUP(Table8[[#This Row],[Census Tract]],'UI EnergyBurden'!$A$2:$B$184,2,FALSE)</f>
        <v>No</v>
      </c>
      <c r="R95">
        <f>VLOOKUP(Table8[[#This Row],[Census Tract]],'Population and Diversity Data'!$B$2:$K$823,10,FALSE)</f>
        <v>4</v>
      </c>
    </row>
    <row r="96" spans="1:18" ht="16" hidden="1" x14ac:dyDescent="0.2">
      <c r="A96" s="195">
        <v>9009180500</v>
      </c>
      <c r="B96" s="195" t="s">
        <v>2997</v>
      </c>
      <c r="C96" s="195" t="s">
        <v>944</v>
      </c>
      <c r="D96" s="88">
        <f>[2]!Table3[[#This Row],[Residential CLM $ Collected]]+[2]!Table3[[#This Row],[C&amp;I CLM $ Collected]]</f>
        <v>100665.45049999999</v>
      </c>
      <c r="E96" s="197">
        <f>[2]!Table3[[#This Row],[CLM $ Collected ]]/'[2]1.) CLM Reference'!$B$4</f>
        <v>3.4592210098537499E-3</v>
      </c>
      <c r="F96" s="89">
        <f>[2]!Table3[[#This Row],[Residential Incentive Disbursements]]+[2]!Table3[[#This Row],[C&amp;I Incentive Disbursements]]</f>
        <v>69230.345243038217</v>
      </c>
      <c r="G96" s="198">
        <f>[2]!Table3[[#This Row],[Incentive Disbursements]]/'[2]1.) CLM Reference'!$B$5</f>
        <v>4.1206115596687859E-3</v>
      </c>
      <c r="H96" s="88">
        <v>82435.041299999997</v>
      </c>
      <c r="I96" s="197">
        <f>[2]!Table3[[#This Row],[Residential CLM $ Collected]]/'[2]1.) CLM Reference'!$B$4</f>
        <v>2.8327596548442563E-3</v>
      </c>
      <c r="J96" s="89">
        <v>61530.929351441955</v>
      </c>
      <c r="K96" s="198">
        <f>[2]!Table3[[#This Row],[Residential Incentive Disbursements]]/'[2]1.) CLM Reference'!$B$5</f>
        <v>3.6623399446099325E-3</v>
      </c>
      <c r="L96" s="88">
        <v>18230.409199999998</v>
      </c>
      <c r="M96" s="197">
        <f>[2]!Table3[[#This Row],[C&amp;I CLM $ Collected]]/'[2]1.) CLM Reference'!$B$4</f>
        <v>6.2646135500949341E-4</v>
      </c>
      <c r="N96" s="89">
        <v>7699.4158915962653</v>
      </c>
      <c r="O96" s="198">
        <f>[2]!Table3[[#This Row],[C&amp;I Incentive Disbursements]]/'[2]1.) CLM Reference'!$B$5</f>
        <v>4.5827161505885324E-4</v>
      </c>
      <c r="P96" t="str">
        <f t="shared" si="1"/>
        <v>NO</v>
      </c>
      <c r="Q96" t="str">
        <f>VLOOKUP(Table8[[#This Row],[Census Tract]],'UI EnergyBurden'!$A$2:$B$184,2,FALSE)</f>
        <v>No</v>
      </c>
      <c r="R96">
        <f>VLOOKUP(Table8[[#This Row],[Census Tract]],'Population and Diversity Data'!$B$2:$K$823,10,FALSE)</f>
        <v>5</v>
      </c>
    </row>
    <row r="97" spans="1:18" ht="15.75" hidden="1" customHeight="1" x14ac:dyDescent="0.2">
      <c r="A97" s="195">
        <v>9009180601</v>
      </c>
      <c r="B97" s="195" t="s">
        <v>2997</v>
      </c>
      <c r="C97" s="195" t="s">
        <v>944</v>
      </c>
      <c r="D97" s="88">
        <f>[2]!Table3[[#This Row],[Residential CLM $ Collected]]+[2]!Table3[[#This Row],[C&amp;I CLM $ Collected]]</f>
        <v>64963.1441000001</v>
      </c>
      <c r="E97" s="197">
        <f>[2]!Table3[[#This Row],[CLM $ Collected ]]/'[2]1.) CLM Reference'!$B$4</f>
        <v>2.2323634555917178E-3</v>
      </c>
      <c r="F97" s="89">
        <f>[2]!Table3[[#This Row],[Residential Incentive Disbursements]]+[2]!Table3[[#This Row],[C&amp;I Incentive Disbursements]]</f>
        <v>65585.43989445905</v>
      </c>
      <c r="G97" s="198">
        <f>[2]!Table3[[#This Row],[Incentive Disbursements]]/'[2]1.) CLM Reference'!$B$5</f>
        <v>3.9036656660649369E-3</v>
      </c>
      <c r="H97" s="88">
        <v>52661.118400000101</v>
      </c>
      <c r="I97" s="197">
        <f>[2]!Table3[[#This Row],[Residential CLM $ Collected]]/'[2]1.) CLM Reference'!$B$4</f>
        <v>1.8096223308678905E-3</v>
      </c>
      <c r="J97" s="89">
        <v>62406.398569877536</v>
      </c>
      <c r="K97" s="198">
        <f>[2]!Table3[[#This Row],[Residential Incentive Disbursements]]/'[2]1.) CLM Reference'!$B$5</f>
        <v>3.7144481432467525E-3</v>
      </c>
      <c r="L97" s="88">
        <v>12302.0257</v>
      </c>
      <c r="M97" s="197">
        <f>[2]!Table3[[#This Row],[C&amp;I CLM $ Collected]]/'[2]1.) CLM Reference'!$B$4</f>
        <v>4.2274112472382754E-4</v>
      </c>
      <c r="N97" s="89">
        <v>3179.041324581513</v>
      </c>
      <c r="O97" s="198">
        <f>[2]!Table3[[#This Row],[C&amp;I Incentive Disbursements]]/'[2]1.) CLM Reference'!$B$5</f>
        <v>1.8921752281818416E-4</v>
      </c>
      <c r="P97" t="str">
        <f t="shared" si="1"/>
        <v>NO</v>
      </c>
      <c r="Q97" t="str">
        <f>VLOOKUP(Table8[[#This Row],[Census Tract]],'UI EnergyBurden'!$A$2:$B$184,2,FALSE)</f>
        <v>No</v>
      </c>
      <c r="R97">
        <f>VLOOKUP(Table8[[#This Row],[Census Tract]],'Population and Diversity Data'!$B$2:$K$823,10,FALSE)</f>
        <v>1</v>
      </c>
    </row>
    <row r="98" spans="1:18" ht="16" hidden="1" x14ac:dyDescent="0.2">
      <c r="A98" s="195">
        <v>9009180602</v>
      </c>
      <c r="B98" s="195" t="s">
        <v>2997</v>
      </c>
      <c r="C98" s="195" t="s">
        <v>944</v>
      </c>
      <c r="D98" s="88">
        <f>[2]!Table3[[#This Row],[Residential CLM $ Collected]]+[2]!Table3[[#This Row],[C&amp;I CLM $ Collected]]</f>
        <v>76522.197599999898</v>
      </c>
      <c r="E98" s="197">
        <f>[2]!Table3[[#This Row],[CLM $ Collected ]]/'[2]1.) CLM Reference'!$B$4</f>
        <v>2.6295734270627424E-3</v>
      </c>
      <c r="F98" s="89">
        <f>[2]!Table3[[#This Row],[Residential Incentive Disbursements]]+[2]!Table3[[#This Row],[C&amp;I Incentive Disbursements]]</f>
        <v>67233.900482503057</v>
      </c>
      <c r="G98" s="198">
        <f>[2]!Table3[[#This Row],[Incentive Disbursements]]/'[2]1.) CLM Reference'!$B$5</f>
        <v>4.0017825500831576E-3</v>
      </c>
      <c r="H98" s="88">
        <v>71853.173799999902</v>
      </c>
      <c r="I98" s="197">
        <f>[2]!Table3[[#This Row],[Residential CLM $ Collected]]/'[2]1.) CLM Reference'!$B$4</f>
        <v>2.4691292513873237E-3</v>
      </c>
      <c r="J98" s="89">
        <v>64916.125563587266</v>
      </c>
      <c r="K98" s="198">
        <f>[2]!Table3[[#This Row],[Residential Incentive Disbursements]]/'[2]1.) CLM Reference'!$B$5</f>
        <v>3.8638278700932403E-3</v>
      </c>
      <c r="L98" s="88">
        <v>4669.0237999999999</v>
      </c>
      <c r="M98" s="197">
        <f>[2]!Table3[[#This Row],[C&amp;I CLM $ Collected]]/'[2]1.) CLM Reference'!$B$4</f>
        <v>1.6044417567541899E-4</v>
      </c>
      <c r="N98" s="89">
        <v>2317.7749189157939</v>
      </c>
      <c r="O98" s="198">
        <f>[2]!Table3[[#This Row],[C&amp;I Incentive Disbursements]]/'[2]1.) CLM Reference'!$B$5</f>
        <v>1.3795467998991691E-4</v>
      </c>
      <c r="P98" t="str">
        <f t="shared" si="1"/>
        <v>NO</v>
      </c>
      <c r="Q98" t="str">
        <f>VLOOKUP(Table8[[#This Row],[Census Tract]],'UI EnergyBurden'!$A$2:$B$184,2,FALSE)</f>
        <v>No</v>
      </c>
      <c r="R98">
        <f>VLOOKUP(Table8[[#This Row],[Census Tract]],'Population and Diversity Data'!$B$2:$K$823,10,FALSE)</f>
        <v>1</v>
      </c>
    </row>
    <row r="99" spans="1:18" ht="15.75" hidden="1" customHeight="1" x14ac:dyDescent="0.2">
      <c r="A99" s="195">
        <v>9009186100</v>
      </c>
      <c r="B99" s="195" t="s">
        <v>2997</v>
      </c>
      <c r="C99" s="195" t="s">
        <v>944</v>
      </c>
      <c r="D99" s="88">
        <f>[2]!Table3[[#This Row],[Residential CLM $ Collected]]+[2]!Table3[[#This Row],[C&amp;I CLM $ Collected]]</f>
        <v>70.791799999999995</v>
      </c>
      <c r="E99" s="197">
        <f>[2]!Table3[[#This Row],[CLM $ Collected ]]/'[2]1.) CLM Reference'!$B$4</f>
        <v>2.4326566927286008E-6</v>
      </c>
      <c r="F99" s="89">
        <f>[2]!Table3[[#This Row],[Residential Incentive Disbursements]]+[2]!Table3[[#This Row],[C&amp;I Incentive Disbursements]]</f>
        <v>0</v>
      </c>
      <c r="G99" s="198">
        <f>[2]!Table3[[#This Row],[Incentive Disbursements]]/'[2]1.) CLM Reference'!$B$5</f>
        <v>0</v>
      </c>
      <c r="H99" s="88">
        <v>70.791799999999995</v>
      </c>
      <c r="I99" s="197">
        <f>[2]!Table3[[#This Row],[Residential CLM $ Collected]]/'[2]1.) CLM Reference'!$B$4</f>
        <v>2.4326566927286008E-6</v>
      </c>
      <c r="J99" s="89">
        <v>0</v>
      </c>
      <c r="K99" s="198">
        <f>[2]!Table3[[#This Row],[Residential Incentive Disbursements]]/'[2]1.) CLM Reference'!$B$5</f>
        <v>0</v>
      </c>
      <c r="L99" s="88">
        <v>0</v>
      </c>
      <c r="M99" s="197">
        <f>[2]!Table3[[#This Row],[C&amp;I CLM $ Collected]]/'[2]1.) CLM Reference'!$B$4</f>
        <v>0</v>
      </c>
      <c r="N99" s="89">
        <v>0</v>
      </c>
      <c r="O99" s="198">
        <f>[2]!Table3[[#This Row],[C&amp;I Incentive Disbursements]]/'[2]1.) CLM Reference'!$B$5</f>
        <v>0</v>
      </c>
      <c r="P99" t="str">
        <f t="shared" si="1"/>
        <v>N/A</v>
      </c>
      <c r="Q99" t="str">
        <f>VLOOKUP(Table8[[#This Row],[Census Tract]],'UI EnergyBurden'!$A$2:$B$184,2,FALSE)</f>
        <v>No</v>
      </c>
      <c r="R99">
        <f>VLOOKUP(Table8[[#This Row],[Census Tract]],'Population and Diversity Data'!$B$2:$K$823,10,FALSE)</f>
        <v>2</v>
      </c>
    </row>
    <row r="100" spans="1:18" ht="16" hidden="1" x14ac:dyDescent="0.2">
      <c r="A100" s="195">
        <v>9009361500</v>
      </c>
      <c r="B100" s="195" t="s">
        <v>2997</v>
      </c>
      <c r="C100" s="195" t="s">
        <v>944</v>
      </c>
      <c r="D100" s="88">
        <f>[2]!Table3[[#This Row],[Residential CLM $ Collected]]+[2]!Table3[[#This Row],[C&amp;I CLM $ Collected]]</f>
        <v>192.12350000000001</v>
      </c>
      <c r="E100" s="197">
        <f>[2]!Table3[[#This Row],[CLM $ Collected ]]/'[2]1.) CLM Reference'!$B$4</f>
        <v>6.6020431477295872E-6</v>
      </c>
      <c r="F100" s="89">
        <f>[2]!Table3[[#This Row],[Residential Incentive Disbursements]]+[2]!Table3[[#This Row],[C&amp;I Incentive Disbursements]]</f>
        <v>0</v>
      </c>
      <c r="G100" s="198">
        <f>[2]!Table3[[#This Row],[Incentive Disbursements]]/'[2]1.) CLM Reference'!$B$5</f>
        <v>0</v>
      </c>
      <c r="H100" s="88">
        <v>192.12350000000001</v>
      </c>
      <c r="I100" s="197">
        <f>[2]!Table3[[#This Row],[Residential CLM $ Collected]]/'[2]1.) CLM Reference'!$B$4</f>
        <v>6.6020431477295872E-6</v>
      </c>
      <c r="J100" s="89">
        <v>0</v>
      </c>
      <c r="K100" s="198">
        <f>[2]!Table3[[#This Row],[Residential Incentive Disbursements]]/'[2]1.) CLM Reference'!$B$5</f>
        <v>0</v>
      </c>
      <c r="L100" s="88">
        <v>0</v>
      </c>
      <c r="M100" s="197">
        <f>[2]!Table3[[#This Row],[C&amp;I CLM $ Collected]]/'[2]1.) CLM Reference'!$B$4</f>
        <v>0</v>
      </c>
      <c r="N100" s="89">
        <v>0</v>
      </c>
      <c r="O100" s="198">
        <f>[2]!Table3[[#This Row],[C&amp;I Incentive Disbursements]]/'[2]1.) CLM Reference'!$B$5</f>
        <v>0</v>
      </c>
      <c r="P100" t="str">
        <f t="shared" si="1"/>
        <v>N/A</v>
      </c>
      <c r="Q100" t="str">
        <f>VLOOKUP(Table8[[#This Row],[Census Tract]],'UI EnergyBurden'!$A$2:$B$184,2,FALSE)</f>
        <v>No</v>
      </c>
      <c r="R100">
        <f>VLOOKUP(Table8[[#This Row],[Census Tract]],'Population and Diversity Data'!$B$2:$K$823,10,FALSE)</f>
        <v>5</v>
      </c>
    </row>
    <row r="101" spans="1:18" ht="16" hidden="1" x14ac:dyDescent="0.2">
      <c r="A101" s="195">
        <v>9001055100</v>
      </c>
      <c r="B101" s="195" t="s">
        <v>2983</v>
      </c>
      <c r="C101" s="195" t="s">
        <v>944</v>
      </c>
      <c r="D101" s="88">
        <f>[2]!Table3[[#This Row],[Residential CLM $ Collected]]+[2]!Table3[[#This Row],[C&amp;I CLM $ Collected]]</f>
        <v>394.428</v>
      </c>
      <c r="E101" s="197">
        <f>[2]!Table3[[#This Row],[CLM $ Collected ]]/'[2]1.) CLM Reference'!$B$4</f>
        <v>1.3553941473441227E-5</v>
      </c>
      <c r="F101" s="89">
        <f>[2]!Table3[[#This Row],[Residential Incentive Disbursements]]+[2]!Table3[[#This Row],[C&amp;I Incentive Disbursements]]</f>
        <v>0</v>
      </c>
      <c r="G101" s="198">
        <f>[2]!Table3[[#This Row],[Incentive Disbursements]]/'[2]1.) CLM Reference'!$B$5</f>
        <v>0</v>
      </c>
      <c r="H101" s="88">
        <v>394.428</v>
      </c>
      <c r="I101" s="197">
        <f>[2]!Table3[[#This Row],[Residential CLM $ Collected]]/'[2]1.) CLM Reference'!$B$4</f>
        <v>1.3553941473441227E-5</v>
      </c>
      <c r="J101" s="89">
        <v>0</v>
      </c>
      <c r="K101" s="198">
        <f>[2]!Table3[[#This Row],[Residential Incentive Disbursements]]/'[2]1.) CLM Reference'!$B$5</f>
        <v>0</v>
      </c>
      <c r="L101" s="88">
        <v>0</v>
      </c>
      <c r="M101" s="197">
        <f>[2]!Table3[[#This Row],[C&amp;I CLM $ Collected]]/'[2]1.) CLM Reference'!$B$4</f>
        <v>0</v>
      </c>
      <c r="N101" s="89">
        <v>0</v>
      </c>
      <c r="O101" s="198">
        <f>[2]!Table3[[#This Row],[C&amp;I Incentive Disbursements]]/'[2]1.) CLM Reference'!$B$5</f>
        <v>0</v>
      </c>
      <c r="P101" t="str">
        <f t="shared" si="1"/>
        <v>N/A</v>
      </c>
      <c r="Q101" t="str">
        <f>VLOOKUP(Table8[[#This Row],[Census Tract]],'UI EnergyBurden'!$A$2:$B$184,2,FALSE)</f>
        <v>No</v>
      </c>
      <c r="R101">
        <f>VLOOKUP(Table8[[#This Row],[Census Tract]],'Population and Diversity Data'!$B$2:$K$823,10,FALSE)</f>
        <v>4</v>
      </c>
    </row>
    <row r="102" spans="1:18" ht="15.75" hidden="1" customHeight="1" x14ac:dyDescent="0.2">
      <c r="A102" s="195">
        <v>9001055200</v>
      </c>
      <c r="B102" s="195" t="s">
        <v>2983</v>
      </c>
      <c r="C102" s="195" t="s">
        <v>944</v>
      </c>
      <c r="D102" s="88">
        <f>[2]!Table3[[#This Row],[Residential CLM $ Collected]]+[2]!Table3[[#This Row],[C&amp;I CLM $ Collected]]</f>
        <v>887.51059999999995</v>
      </c>
      <c r="E102" s="197">
        <f>[2]!Table3[[#This Row],[CLM $ Collected ]]/'[2]1.) CLM Reference'!$B$4</f>
        <v>3.0498004019640359E-5</v>
      </c>
      <c r="F102" s="89">
        <f>[2]!Table3[[#This Row],[Residential Incentive Disbursements]]+[2]!Table3[[#This Row],[C&amp;I Incentive Disbursements]]</f>
        <v>0</v>
      </c>
      <c r="G102" s="198">
        <f>[2]!Table3[[#This Row],[Incentive Disbursements]]/'[2]1.) CLM Reference'!$B$5</f>
        <v>0</v>
      </c>
      <c r="H102" s="88">
        <v>887.51059999999995</v>
      </c>
      <c r="I102" s="197">
        <f>[2]!Table3[[#This Row],[Residential CLM $ Collected]]/'[2]1.) CLM Reference'!$B$4</f>
        <v>3.0498004019640359E-5</v>
      </c>
      <c r="J102" s="89">
        <v>0</v>
      </c>
      <c r="K102" s="198">
        <f>[2]!Table3[[#This Row],[Residential Incentive Disbursements]]/'[2]1.) CLM Reference'!$B$5</f>
        <v>0</v>
      </c>
      <c r="L102" s="88">
        <v>0</v>
      </c>
      <c r="M102" s="197">
        <f>[2]!Table3[[#This Row],[C&amp;I CLM $ Collected]]/'[2]1.) CLM Reference'!$B$4</f>
        <v>0</v>
      </c>
      <c r="N102" s="89">
        <v>0</v>
      </c>
      <c r="O102" s="198">
        <f>[2]!Table3[[#This Row],[C&amp;I Incentive Disbursements]]/'[2]1.) CLM Reference'!$B$5</f>
        <v>0</v>
      </c>
      <c r="P102" t="str">
        <f t="shared" si="1"/>
        <v>N/A</v>
      </c>
      <c r="Q102" t="str">
        <f>VLOOKUP(Table8[[#This Row],[Census Tract]],'UI EnergyBurden'!$A$2:$B$184,2,FALSE)</f>
        <v>No</v>
      </c>
      <c r="R102">
        <f>VLOOKUP(Table8[[#This Row],[Census Tract]],'Population and Diversity Data'!$B$2:$K$823,10,FALSE)</f>
        <v>1</v>
      </c>
    </row>
    <row r="103" spans="1:18" ht="16" hidden="1" x14ac:dyDescent="0.2">
      <c r="A103" s="195">
        <v>9001105100</v>
      </c>
      <c r="B103" s="195" t="s">
        <v>2983</v>
      </c>
      <c r="C103" s="195" t="s">
        <v>944</v>
      </c>
      <c r="D103" s="88">
        <f>[2]!Table3[[#This Row],[Residential CLM $ Collected]]+[2]!Table3[[#This Row],[C&amp;I CLM $ Collected]]</f>
        <v>113043.8214</v>
      </c>
      <c r="E103" s="197">
        <f>[2]!Table3[[#This Row],[CLM $ Collected ]]/'[2]1.) CLM Reference'!$B$4</f>
        <v>3.8845856257409286E-3</v>
      </c>
      <c r="F103" s="89">
        <f>[2]!Table3[[#This Row],[Residential Incentive Disbursements]]+[2]!Table3[[#This Row],[C&amp;I Incentive Disbursements]]</f>
        <v>56482.320156393798</v>
      </c>
      <c r="G103" s="198">
        <f>[2]!Table3[[#This Row],[Incentive Disbursements]]/'[2]1.) CLM Reference'!$B$5</f>
        <v>3.3618451639420934E-3</v>
      </c>
      <c r="H103" s="88">
        <v>107348.76489999999</v>
      </c>
      <c r="I103" s="197">
        <f>[2]!Table3[[#This Row],[Residential CLM $ Collected]]/'[2]1.) CLM Reference'!$B$4</f>
        <v>3.6888833366312784E-3</v>
      </c>
      <c r="J103" s="89">
        <v>56362.320156393798</v>
      </c>
      <c r="K103" s="198">
        <f>[2]!Table3[[#This Row],[Residential Incentive Disbursements]]/'[2]1.) CLM Reference'!$B$5</f>
        <v>3.3547027268298075E-3</v>
      </c>
      <c r="L103" s="88">
        <v>5695.0564999999997</v>
      </c>
      <c r="M103" s="197">
        <f>[2]!Table3[[#This Row],[C&amp;I CLM $ Collected]]/'[2]1.) CLM Reference'!$B$4</f>
        <v>1.9570228910965E-4</v>
      </c>
      <c r="N103" s="89">
        <v>120</v>
      </c>
      <c r="O103" s="198">
        <f>[2]!Table3[[#This Row],[C&amp;I Incentive Disbursements]]/'[2]1.) CLM Reference'!$B$5</f>
        <v>7.1424371122860807E-6</v>
      </c>
      <c r="P103" t="str">
        <f t="shared" si="1"/>
        <v>NO</v>
      </c>
      <c r="Q103" t="str">
        <f>VLOOKUP(Table8[[#This Row],[Census Tract]],'UI EnergyBurden'!$A$2:$B$184,2,FALSE)</f>
        <v>No</v>
      </c>
      <c r="R103">
        <f>VLOOKUP(Table8[[#This Row],[Census Tract]],'Population and Diversity Data'!$B$2:$K$823,10,FALSE)</f>
        <v>1</v>
      </c>
    </row>
    <row r="104" spans="1:18" ht="15.75" hidden="1" customHeight="1" x14ac:dyDescent="0.2">
      <c r="A104" s="195">
        <v>9001105200</v>
      </c>
      <c r="B104" s="195" t="s">
        <v>2983</v>
      </c>
      <c r="C104" s="195" t="s">
        <v>944</v>
      </c>
      <c r="D104" s="88">
        <f>[2]!Table3[[#This Row],[Residential CLM $ Collected]]+[2]!Table3[[#This Row],[C&amp;I CLM $ Collected]]</f>
        <v>103477.73060000001</v>
      </c>
      <c r="E104" s="197">
        <f>[2]!Table3[[#This Row],[CLM $ Collected ]]/'[2]1.) CLM Reference'!$B$4</f>
        <v>3.5558609032749159E-3</v>
      </c>
      <c r="F104" s="89">
        <f>[2]!Table3[[#This Row],[Residential Incentive Disbursements]]+[2]!Table3[[#This Row],[C&amp;I Incentive Disbursements]]</f>
        <v>34019.819487596891</v>
      </c>
      <c r="G104" s="198">
        <f>[2]!Table3[[#This Row],[Incentive Disbursements]]/'[2]1.) CLM Reference'!$B$5</f>
        <v>2.0248701771790438E-3</v>
      </c>
      <c r="H104" s="88">
        <v>95201.057400000005</v>
      </c>
      <c r="I104" s="197">
        <f>[2]!Table3[[#This Row],[Residential CLM $ Collected]]/'[2]1.) CLM Reference'!$B$4</f>
        <v>3.2714451312009264E-3</v>
      </c>
      <c r="J104" s="89">
        <v>31579.819487596895</v>
      </c>
      <c r="K104" s="198">
        <f>[2]!Table3[[#This Row],[Residential Incentive Disbursements]]/'[2]1.) CLM Reference'!$B$5</f>
        <v>1.8796406225625604E-3</v>
      </c>
      <c r="L104" s="88">
        <v>8276.6731999999993</v>
      </c>
      <c r="M104" s="197">
        <f>[2]!Table3[[#This Row],[C&amp;I CLM $ Collected]]/'[2]1.) CLM Reference'!$B$4</f>
        <v>2.8441577207398942E-4</v>
      </c>
      <c r="N104" s="89">
        <v>2440</v>
      </c>
      <c r="O104" s="198">
        <f>[2]!Table3[[#This Row],[C&amp;I Incentive Disbursements]]/'[2]1.) CLM Reference'!$B$5</f>
        <v>1.4522955461648365E-4</v>
      </c>
      <c r="P104" t="str">
        <f t="shared" si="1"/>
        <v>NO</v>
      </c>
      <c r="Q104" t="str">
        <f>VLOOKUP(Table8[[#This Row],[Census Tract]],'UI EnergyBurden'!$A$2:$B$184,2,FALSE)</f>
        <v>No</v>
      </c>
      <c r="R104">
        <f>VLOOKUP(Table8[[#This Row],[Census Tract]],'Population and Diversity Data'!$B$2:$K$823,10,FALSE)</f>
        <v>3</v>
      </c>
    </row>
    <row r="105" spans="1:18" ht="15.75" hidden="1" customHeight="1" x14ac:dyDescent="0.2">
      <c r="A105" s="195">
        <v>9001240200</v>
      </c>
      <c r="B105" s="195" t="s">
        <v>2983</v>
      </c>
      <c r="C105" s="195" t="s">
        <v>944</v>
      </c>
      <c r="D105" s="88">
        <f>[2]!Table3[[#This Row],[Residential CLM $ Collected]]+[2]!Table3[[#This Row],[C&amp;I CLM $ Collected]]</f>
        <v>1626.9322999999999</v>
      </c>
      <c r="E105" s="197">
        <f>[2]!Table3[[#This Row],[CLM $ Collected ]]/'[2]1.) CLM Reference'!$B$4</f>
        <v>5.5907149531603041E-5</v>
      </c>
      <c r="F105" s="89">
        <f>[2]!Table3[[#This Row],[Residential Incentive Disbursements]]+[2]!Table3[[#This Row],[C&amp;I Incentive Disbursements]]</f>
        <v>0</v>
      </c>
      <c r="G105" s="198">
        <f>[2]!Table3[[#This Row],[Incentive Disbursements]]/'[2]1.) CLM Reference'!$B$5</f>
        <v>0</v>
      </c>
      <c r="H105" s="88">
        <v>1588.1765</v>
      </c>
      <c r="I105" s="197">
        <f>[2]!Table3[[#This Row],[Residential CLM $ Collected]]/'[2]1.) CLM Reference'!$B$4</f>
        <v>5.4575363134703248E-5</v>
      </c>
      <c r="J105" s="89">
        <v>0</v>
      </c>
      <c r="K105" s="198">
        <f>[2]!Table3[[#This Row],[Residential Incentive Disbursements]]/'[2]1.) CLM Reference'!$B$5</f>
        <v>0</v>
      </c>
      <c r="L105" s="88">
        <v>38.755800000000001</v>
      </c>
      <c r="M105" s="197">
        <f>[2]!Table3[[#This Row],[C&amp;I CLM $ Collected]]/'[2]1.) CLM Reference'!$B$4</f>
        <v>1.3317863968997981E-6</v>
      </c>
      <c r="N105" s="89">
        <v>0</v>
      </c>
      <c r="O105" s="198">
        <f>[2]!Table3[[#This Row],[C&amp;I Incentive Disbursements]]/'[2]1.) CLM Reference'!$B$5</f>
        <v>0</v>
      </c>
      <c r="P105" t="str">
        <f t="shared" si="1"/>
        <v>N/A</v>
      </c>
      <c r="Q105" t="str">
        <f>VLOOKUP(Table8[[#This Row],[Census Tract]],'UI EnergyBurden'!$A$2:$B$184,2,FALSE)</f>
        <v>No</v>
      </c>
      <c r="R105">
        <f>VLOOKUP(Table8[[#This Row],[Census Tract]],'Population and Diversity Data'!$B$2:$K$823,10,FALSE)</f>
        <v>2</v>
      </c>
    </row>
    <row r="106" spans="1:18" ht="15.75" hidden="1" customHeight="1" x14ac:dyDescent="0.2">
      <c r="A106" s="195">
        <v>9001060100</v>
      </c>
      <c r="B106" s="195" t="s">
        <v>2984</v>
      </c>
      <c r="C106" s="195" t="s">
        <v>944</v>
      </c>
      <c r="D106" s="88">
        <f>[2]!Table3[[#This Row],[Residential CLM $ Collected]]+[2]!Table3[[#This Row],[C&amp;I CLM $ Collected]]</f>
        <v>71392.777199999895</v>
      </c>
      <c r="E106" s="197">
        <f>[2]!Table3[[#This Row],[CLM $ Collected ]]/'[2]1.) CLM Reference'!$B$4</f>
        <v>2.4533083954364999E-3</v>
      </c>
      <c r="F106" s="89">
        <f>[2]!Table3[[#This Row],[Residential Incentive Disbursements]]+[2]!Table3[[#This Row],[C&amp;I Incentive Disbursements]]</f>
        <v>38257.215569053042</v>
      </c>
      <c r="G106" s="198">
        <f>[2]!Table3[[#This Row],[Incentive Disbursements]]/'[2]1.) CLM Reference'!$B$5</f>
        <v>2.2770813024427777E-3</v>
      </c>
      <c r="H106" s="88">
        <v>58128.328499999901</v>
      </c>
      <c r="I106" s="197">
        <f>[2]!Table3[[#This Row],[Residential CLM $ Collected]]/'[2]1.) CLM Reference'!$B$4</f>
        <v>1.9974950116065909E-3</v>
      </c>
      <c r="J106" s="89">
        <v>37945.033378141554</v>
      </c>
      <c r="K106" s="198">
        <f>[2]!Table3[[#This Row],[Residential Incentive Disbursements]]/'[2]1.) CLM Reference'!$B$5</f>
        <v>2.2585001218914358E-3</v>
      </c>
      <c r="L106" s="88">
        <v>13264.448700000001</v>
      </c>
      <c r="M106" s="197">
        <f>[2]!Table3[[#This Row],[C&amp;I CLM $ Collected]]/'[2]1.) CLM Reference'!$B$4</f>
        <v>4.558133838299096E-4</v>
      </c>
      <c r="N106" s="89">
        <v>312.18219091149103</v>
      </c>
      <c r="O106" s="198">
        <f>[2]!Table3[[#This Row],[C&amp;I Incentive Disbursements]]/'[2]1.) CLM Reference'!$B$5</f>
        <v>1.8581180551341768E-5</v>
      </c>
      <c r="P106" t="str">
        <f t="shared" si="1"/>
        <v>NO</v>
      </c>
      <c r="Q106" t="str">
        <f>VLOOKUP(Table8[[#This Row],[Census Tract]],'UI EnergyBurden'!$A$2:$B$184,2,FALSE)</f>
        <v>No</v>
      </c>
      <c r="R106">
        <f>VLOOKUP(Table8[[#This Row],[Census Tract]],'Population and Diversity Data'!$B$2:$K$823,10,FALSE)</f>
        <v>2</v>
      </c>
    </row>
    <row r="107" spans="1:18" ht="15.75" hidden="1" customHeight="1" x14ac:dyDescent="0.2">
      <c r="A107" s="195">
        <v>9001060200</v>
      </c>
      <c r="B107" s="195" t="s">
        <v>2984</v>
      </c>
      <c r="C107" s="195" t="s">
        <v>944</v>
      </c>
      <c r="D107" s="88">
        <f>[2]!Table3[[#This Row],[Residential CLM $ Collected]]+[2]!Table3[[#This Row],[C&amp;I CLM $ Collected]]</f>
        <v>96972.011800000007</v>
      </c>
      <c r="E107" s="197">
        <f>[2]!Table3[[#This Row],[CLM $ Collected ]]/'[2]1.) CLM Reference'!$B$4</f>
        <v>3.3323013896048256E-3</v>
      </c>
      <c r="F107" s="89">
        <f>[2]!Table3[[#This Row],[Residential Incentive Disbursements]]+[2]!Table3[[#This Row],[C&amp;I Incentive Disbursements]]</f>
        <v>59042.5076297532</v>
      </c>
      <c r="G107" s="198">
        <f>[2]!Table3[[#This Row],[Incentive Disbursements]]/'[2]1.) CLM Reference'!$B$5</f>
        <v>3.5142283141431944E-3</v>
      </c>
      <c r="H107" s="88">
        <v>78630.955100000006</v>
      </c>
      <c r="I107" s="197">
        <f>[2]!Table3[[#This Row],[Residential CLM $ Collected]]/'[2]1.) CLM Reference'!$B$4</f>
        <v>2.7020377950505163E-3</v>
      </c>
      <c r="J107" s="89">
        <v>56668.911862418056</v>
      </c>
      <c r="K107" s="198">
        <f>[2]!Table3[[#This Row],[Residential Incentive Disbursements]]/'[2]1.) CLM Reference'!$B$5</f>
        <v>3.3729511599916969E-3</v>
      </c>
      <c r="L107" s="88">
        <v>18341.056700000001</v>
      </c>
      <c r="M107" s="197">
        <f>[2]!Table3[[#This Row],[C&amp;I CLM $ Collected]]/'[2]1.) CLM Reference'!$B$4</f>
        <v>6.3026359455430926E-4</v>
      </c>
      <c r="N107" s="89">
        <v>2373.5957673351422</v>
      </c>
      <c r="O107" s="198">
        <f>[2]!Table3[[#This Row],[C&amp;I Incentive Disbursements]]/'[2]1.) CLM Reference'!$B$5</f>
        <v>1.4127715415149732E-4</v>
      </c>
      <c r="P107" t="str">
        <f t="shared" si="1"/>
        <v>NO</v>
      </c>
      <c r="Q107" t="str">
        <f>VLOOKUP(Table8[[#This Row],[Census Tract]],'UI EnergyBurden'!$A$2:$B$184,2,FALSE)</f>
        <v>No</v>
      </c>
      <c r="R107">
        <f>VLOOKUP(Table8[[#This Row],[Census Tract]],'Population and Diversity Data'!$B$2:$K$823,10,FALSE)</f>
        <v>3</v>
      </c>
    </row>
    <row r="108" spans="1:18" ht="15.75" hidden="1" customHeight="1" x14ac:dyDescent="0.2">
      <c r="A108" s="195">
        <v>9001060300</v>
      </c>
      <c r="B108" s="195" t="s">
        <v>2984</v>
      </c>
      <c r="C108" s="195" t="s">
        <v>944</v>
      </c>
      <c r="D108" s="88">
        <f>[2]!Table3[[#This Row],[Residential CLM $ Collected]]+[2]!Table3[[#This Row],[C&amp;I CLM $ Collected]]</f>
        <v>100651.4894000003</v>
      </c>
      <c r="E108" s="197">
        <f>[2]!Table3[[#This Row],[CLM $ Collected ]]/'[2]1.) CLM Reference'!$B$4</f>
        <v>3.4587412570666739E-3</v>
      </c>
      <c r="F108" s="89">
        <f>[2]!Table3[[#This Row],[Residential Incentive Disbursements]]+[2]!Table3[[#This Row],[C&amp;I Incentive Disbursements]]</f>
        <v>37339.125843879199</v>
      </c>
      <c r="G108" s="198">
        <f>[2]!Table3[[#This Row],[Incentive Disbursements]]/'[2]1.) CLM Reference'!$B$5</f>
        <v>2.2224363180636925E-3</v>
      </c>
      <c r="H108" s="88">
        <v>92872.916500000298</v>
      </c>
      <c r="I108" s="197">
        <f>[2]!Table3[[#This Row],[Residential CLM $ Collected]]/'[2]1.) CLM Reference'!$B$4</f>
        <v>3.1914419734623257E-3</v>
      </c>
      <c r="J108" s="89">
        <v>37339.125843879199</v>
      </c>
      <c r="K108" s="198">
        <f>[2]!Table3[[#This Row],[Residential Incentive Disbursements]]/'[2]1.) CLM Reference'!$B$5</f>
        <v>2.2224363180636925E-3</v>
      </c>
      <c r="L108" s="88">
        <v>7778.5729000000001</v>
      </c>
      <c r="M108" s="197">
        <f>[2]!Table3[[#This Row],[C&amp;I CLM $ Collected]]/'[2]1.) CLM Reference'!$B$4</f>
        <v>2.6729928360434859E-4</v>
      </c>
      <c r="N108" s="89">
        <v>0</v>
      </c>
      <c r="O108" s="198">
        <f>[2]!Table3[[#This Row],[C&amp;I Incentive Disbursements]]/'[2]1.) CLM Reference'!$B$5</f>
        <v>0</v>
      </c>
      <c r="P108" t="str">
        <f t="shared" si="1"/>
        <v>NO</v>
      </c>
      <c r="Q108" t="str">
        <f>VLOOKUP(Table8[[#This Row],[Census Tract]],'UI EnergyBurden'!$A$2:$B$184,2,FALSE)</f>
        <v>No</v>
      </c>
      <c r="R108">
        <f>VLOOKUP(Table8[[#This Row],[Census Tract]],'Population and Diversity Data'!$B$2:$K$823,10,FALSE)</f>
        <v>2</v>
      </c>
    </row>
    <row r="109" spans="1:18" ht="15.75" hidden="1" customHeight="1" x14ac:dyDescent="0.2">
      <c r="A109" s="195">
        <v>9001060400</v>
      </c>
      <c r="B109" s="195" t="s">
        <v>2984</v>
      </c>
      <c r="C109" s="195" t="s">
        <v>944</v>
      </c>
      <c r="D109" s="88">
        <f>[2]!Table3[[#This Row],[Residential CLM $ Collected]]+[2]!Table3[[#This Row],[C&amp;I CLM $ Collected]]</f>
        <v>167953.6121</v>
      </c>
      <c r="E109" s="197">
        <f>[2]!Table3[[#This Row],[CLM $ Collected ]]/'[2]1.) CLM Reference'!$B$4</f>
        <v>5.7714802921102213E-3</v>
      </c>
      <c r="F109" s="89">
        <f>[2]!Table3[[#This Row],[Residential Incentive Disbursements]]+[2]!Table3[[#This Row],[C&amp;I Incentive Disbursements]]</f>
        <v>31264.419848664111</v>
      </c>
      <c r="G109" s="198">
        <f>[2]!Table3[[#This Row],[Incentive Disbursements]]/'[2]1.) CLM Reference'!$B$5</f>
        <v>1.8608679385099343E-3</v>
      </c>
      <c r="H109" s="88">
        <v>158569.57990000001</v>
      </c>
      <c r="I109" s="197">
        <f>[2]!Table3[[#This Row],[Residential CLM $ Collected]]/'[2]1.) CLM Reference'!$B$4</f>
        <v>5.4490117472206908E-3</v>
      </c>
      <c r="J109" s="89">
        <v>31264.419848664111</v>
      </c>
      <c r="K109" s="198">
        <f>[2]!Table3[[#This Row],[Residential Incentive Disbursements]]/'[2]1.) CLM Reference'!$B$5</f>
        <v>1.8608679385099343E-3</v>
      </c>
      <c r="L109" s="88">
        <v>9384.0321999999996</v>
      </c>
      <c r="M109" s="197">
        <f>[2]!Table3[[#This Row],[C&amp;I CLM $ Collected]]/'[2]1.) CLM Reference'!$B$4</f>
        <v>3.2246854488953097E-4</v>
      </c>
      <c r="N109" s="89">
        <v>0</v>
      </c>
      <c r="O109" s="198">
        <f>[2]!Table3[[#This Row],[C&amp;I Incentive Disbursements]]/'[2]1.) CLM Reference'!$B$5</f>
        <v>0</v>
      </c>
      <c r="P109" t="str">
        <f t="shared" si="1"/>
        <v>NO</v>
      </c>
      <c r="Q109" t="str">
        <f>VLOOKUP(Table8[[#This Row],[Census Tract]],'UI EnergyBurden'!$A$2:$B$184,2,FALSE)</f>
        <v>No</v>
      </c>
      <c r="R109">
        <f>VLOOKUP(Table8[[#This Row],[Census Tract]],'Population and Diversity Data'!$B$2:$K$823,10,FALSE)</f>
        <v>1</v>
      </c>
    </row>
    <row r="110" spans="1:18" ht="15.75" hidden="1" customHeight="1" x14ac:dyDescent="0.2">
      <c r="A110" s="195">
        <v>9001060500</v>
      </c>
      <c r="B110" s="195" t="s">
        <v>2984</v>
      </c>
      <c r="C110" s="195" t="s">
        <v>944</v>
      </c>
      <c r="D110" s="88">
        <f>[2]!Table3[[#This Row],[Residential CLM $ Collected]]+[2]!Table3[[#This Row],[C&amp;I CLM $ Collected]]</f>
        <v>77707.489599999899</v>
      </c>
      <c r="E110" s="197">
        <f>[2]!Table3[[#This Row],[CLM $ Collected ]]/'[2]1.) CLM Reference'!$B$4</f>
        <v>2.6703042534668977E-3</v>
      </c>
      <c r="F110" s="89">
        <f>[2]!Table3[[#This Row],[Residential Incentive Disbursements]]+[2]!Table3[[#This Row],[C&amp;I Incentive Disbursements]]</f>
        <v>14048.096787631112</v>
      </c>
      <c r="G110" s="198">
        <f>[2]!Table3[[#This Row],[Incentive Disbursements]]/'[2]1.) CLM Reference'!$B$5</f>
        <v>8.3614706544136107E-4</v>
      </c>
      <c r="H110" s="88">
        <v>71345.134499999898</v>
      </c>
      <c r="I110" s="197">
        <f>[2]!Table3[[#This Row],[Residential CLM $ Collected]]/'[2]1.) CLM Reference'!$B$4</f>
        <v>2.4516712237158396E-3</v>
      </c>
      <c r="J110" s="89">
        <v>14048.096787631112</v>
      </c>
      <c r="K110" s="198">
        <f>[2]!Table3[[#This Row],[Residential Incentive Disbursements]]/'[2]1.) CLM Reference'!$B$5</f>
        <v>8.3614706544136107E-4</v>
      </c>
      <c r="L110" s="88">
        <v>6362.3550999999998</v>
      </c>
      <c r="M110" s="197">
        <f>[2]!Table3[[#This Row],[C&amp;I CLM $ Collected]]/'[2]1.) CLM Reference'!$B$4</f>
        <v>2.1863302975105801E-4</v>
      </c>
      <c r="N110" s="89">
        <v>0</v>
      </c>
      <c r="O110" s="198">
        <f>[2]!Table3[[#This Row],[C&amp;I Incentive Disbursements]]/'[2]1.) CLM Reference'!$B$5</f>
        <v>0</v>
      </c>
      <c r="P110" t="str">
        <f t="shared" si="1"/>
        <v>NO</v>
      </c>
      <c r="Q110" t="str">
        <f>VLOOKUP(Table8[[#This Row],[Census Tract]],'UI EnergyBurden'!$A$2:$B$184,2,FALSE)</f>
        <v>No</v>
      </c>
      <c r="R110">
        <f>VLOOKUP(Table8[[#This Row],[Census Tract]],'Population and Diversity Data'!$B$2:$K$823,10,FALSE)</f>
        <v>1</v>
      </c>
    </row>
    <row r="111" spans="1:18" ht="15.75" hidden="1" customHeight="1" x14ac:dyDescent="0.2">
      <c r="A111" s="195">
        <v>9001060600</v>
      </c>
      <c r="B111" s="195" t="s">
        <v>2984</v>
      </c>
      <c r="C111" s="195" t="s">
        <v>944</v>
      </c>
      <c r="D111" s="88">
        <f>[2]!Table3[[#This Row],[Residential CLM $ Collected]]+[2]!Table3[[#This Row],[C&amp;I CLM $ Collected]]</f>
        <v>122971.57519999982</v>
      </c>
      <c r="E111" s="197">
        <f>[2]!Table3[[#This Row],[CLM $ Collected ]]/'[2]1.) CLM Reference'!$B$4</f>
        <v>4.2257383683655175E-3</v>
      </c>
      <c r="F111" s="89">
        <f>[2]!Table3[[#This Row],[Residential Incentive Disbursements]]+[2]!Table3[[#This Row],[C&amp;I Incentive Disbursements]]</f>
        <v>125163.18529184272</v>
      </c>
      <c r="G111" s="198">
        <f>[2]!Table3[[#This Row],[Incentive Disbursements]]/'[2]1.) CLM Reference'!$B$5</f>
        <v>7.4497514976699731E-3</v>
      </c>
      <c r="H111" s="88">
        <v>73188.417499999807</v>
      </c>
      <c r="I111" s="197">
        <f>[2]!Table3[[#This Row],[Residential CLM $ Collected]]/'[2]1.) CLM Reference'!$B$4</f>
        <v>2.5150129486973013E-3</v>
      </c>
      <c r="J111" s="89">
        <v>12030.63431743593</v>
      </c>
      <c r="K111" s="198">
        <f>[2]!Table3[[#This Row],[Residential Incentive Disbursements]]/'[2]1.) CLM Reference'!$B$5</f>
        <v>7.1606707527664085E-4</v>
      </c>
      <c r="L111" s="88">
        <v>49783.157700000003</v>
      </c>
      <c r="M111" s="197">
        <f>[2]!Table3[[#This Row],[C&amp;I CLM $ Collected]]/'[2]1.) CLM Reference'!$B$4</f>
        <v>1.7107254196682159E-3</v>
      </c>
      <c r="N111" s="89">
        <v>113132.55097440678</v>
      </c>
      <c r="O111" s="198">
        <f>[2]!Table3[[#This Row],[C&amp;I Incentive Disbursements]]/'[2]1.) CLM Reference'!$B$5</f>
        <v>6.7336844223933314E-3</v>
      </c>
      <c r="P111" t="str">
        <f t="shared" si="1"/>
        <v>YES</v>
      </c>
      <c r="Q111" t="str">
        <f>VLOOKUP(Table8[[#This Row],[Census Tract]],'UI EnergyBurden'!$A$2:$B$184,2,FALSE)</f>
        <v>No</v>
      </c>
      <c r="R111">
        <f>VLOOKUP(Table8[[#This Row],[Census Tract]],'Population and Diversity Data'!$B$2:$K$823,10,FALSE)</f>
        <v>2</v>
      </c>
    </row>
    <row r="112" spans="1:18" ht="15.75" hidden="1" customHeight="1" x14ac:dyDescent="0.2">
      <c r="A112" s="195">
        <v>9001060700</v>
      </c>
      <c r="B112" s="195" t="s">
        <v>2984</v>
      </c>
      <c r="C112" s="195" t="s">
        <v>944</v>
      </c>
      <c r="D112" s="88">
        <f>[2]!Table3[[#This Row],[Residential CLM $ Collected]]+[2]!Table3[[#This Row],[C&amp;I CLM $ Collected]]</f>
        <v>117727.4436</v>
      </c>
      <c r="E112" s="197">
        <f>[2]!Table3[[#This Row],[CLM $ Collected ]]/'[2]1.) CLM Reference'!$B$4</f>
        <v>4.0455314540860515E-3</v>
      </c>
      <c r="F112" s="89">
        <f>[2]!Table3[[#This Row],[Residential Incentive Disbursements]]+[2]!Table3[[#This Row],[C&amp;I Incentive Disbursements]]</f>
        <v>15928.819710215792</v>
      </c>
      <c r="G112" s="198">
        <f>[2]!Table3[[#This Row],[Incentive Disbursements]]/'[2]1.) CLM Reference'!$B$5</f>
        <v>9.4808827544299408E-4</v>
      </c>
      <c r="H112" s="88">
        <v>98856.620699999999</v>
      </c>
      <c r="I112" s="197">
        <f>[2]!Table3[[#This Row],[Residential CLM $ Collected]]/'[2]1.) CLM Reference'!$B$4</f>
        <v>3.3970632187115988E-3</v>
      </c>
      <c r="J112" s="89">
        <v>15928.819710215792</v>
      </c>
      <c r="K112" s="198">
        <f>[2]!Table3[[#This Row],[Residential Incentive Disbursements]]/'[2]1.) CLM Reference'!$B$5</f>
        <v>9.4808827544299408E-4</v>
      </c>
      <c r="L112" s="88">
        <v>18870.822899999999</v>
      </c>
      <c r="M112" s="197">
        <f>[2]!Table3[[#This Row],[C&amp;I CLM $ Collected]]/'[2]1.) CLM Reference'!$B$4</f>
        <v>6.4846823537445227E-4</v>
      </c>
      <c r="N112" s="89">
        <v>0</v>
      </c>
      <c r="O112" s="198">
        <f>[2]!Table3[[#This Row],[C&amp;I Incentive Disbursements]]/'[2]1.) CLM Reference'!$B$5</f>
        <v>0</v>
      </c>
      <c r="P112" t="str">
        <f t="shared" si="1"/>
        <v>NO</v>
      </c>
      <c r="Q112" t="str">
        <f>VLOOKUP(Table8[[#This Row],[Census Tract]],'UI EnergyBurden'!$A$2:$B$184,2,FALSE)</f>
        <v>No</v>
      </c>
      <c r="R112">
        <f>VLOOKUP(Table8[[#This Row],[Census Tract]],'Population and Diversity Data'!$B$2:$K$823,10,FALSE)</f>
        <v>2</v>
      </c>
    </row>
    <row r="113" spans="1:18" ht="15.75" hidden="1" customHeight="1" x14ac:dyDescent="0.2">
      <c r="A113" s="195">
        <v>9001060800</v>
      </c>
      <c r="B113" s="195" t="s">
        <v>2984</v>
      </c>
      <c r="C113" s="195" t="s">
        <v>944</v>
      </c>
      <c r="D113" s="88">
        <f>[2]!Table3[[#This Row],[Residential CLM $ Collected]]+[2]!Table3[[#This Row],[C&amp;I CLM $ Collected]]</f>
        <v>41183.171700000006</v>
      </c>
      <c r="E113" s="197">
        <f>[2]!Table3[[#This Row],[CLM $ Collected ]]/'[2]1.) CLM Reference'!$B$4</f>
        <v>1.415199475981627E-3</v>
      </c>
      <c r="F113" s="89">
        <f>[2]!Table3[[#This Row],[Residential Incentive Disbursements]]+[2]!Table3[[#This Row],[C&amp;I Incentive Disbursements]]</f>
        <v>8383.8387357745378</v>
      </c>
      <c r="G113" s="198">
        <f>[2]!Table3[[#This Row],[Incentive Disbursements]]/'[2]1.) CLM Reference'!$B$5</f>
        <v>4.9900867441514732E-4</v>
      </c>
      <c r="H113" s="88">
        <v>39085.891300000003</v>
      </c>
      <c r="I113" s="197">
        <f>[2]!Table3[[#This Row],[Residential CLM $ Collected]]/'[2]1.) CLM Reference'!$B$4</f>
        <v>1.3431295017531353E-3</v>
      </c>
      <c r="J113" s="89">
        <v>8383.8387357745378</v>
      </c>
      <c r="K113" s="198">
        <f>[2]!Table3[[#This Row],[Residential Incentive Disbursements]]/'[2]1.) CLM Reference'!$B$5</f>
        <v>4.9900867441514732E-4</v>
      </c>
      <c r="L113" s="88">
        <v>2097.2804000000001</v>
      </c>
      <c r="M113" s="197">
        <f>[2]!Table3[[#This Row],[C&amp;I CLM $ Collected]]/'[2]1.) CLM Reference'!$B$4</f>
        <v>7.2069974228491408E-5</v>
      </c>
      <c r="N113" s="89">
        <v>0</v>
      </c>
      <c r="O113" s="198">
        <f>[2]!Table3[[#This Row],[C&amp;I Incentive Disbursements]]/'[2]1.) CLM Reference'!$B$5</f>
        <v>0</v>
      </c>
      <c r="P113" t="str">
        <f t="shared" si="1"/>
        <v>NO</v>
      </c>
      <c r="Q113" t="str">
        <f>VLOOKUP(Table8[[#This Row],[Census Tract]],'UI EnergyBurden'!$A$2:$B$184,2,FALSE)</f>
        <v>No</v>
      </c>
      <c r="R113">
        <f>VLOOKUP(Table8[[#This Row],[Census Tract]],'Population and Diversity Data'!$B$2:$K$823,10,FALSE)</f>
        <v>2</v>
      </c>
    </row>
    <row r="114" spans="1:18" ht="15.75" hidden="1" customHeight="1" x14ac:dyDescent="0.2">
      <c r="A114" s="195">
        <v>9001060900</v>
      </c>
      <c r="B114" s="195" t="s">
        <v>2984</v>
      </c>
      <c r="C114" s="195" t="s">
        <v>944</v>
      </c>
      <c r="D114" s="88">
        <f>[2]!Table3[[#This Row],[Residential CLM $ Collected]]+[2]!Table3[[#This Row],[C&amp;I CLM $ Collected]]</f>
        <v>49269.364099999999</v>
      </c>
      <c r="E114" s="197">
        <f>[2]!Table3[[#This Row],[CLM $ Collected ]]/'[2]1.) CLM Reference'!$B$4</f>
        <v>1.6930696538913726E-3</v>
      </c>
      <c r="F114" s="89">
        <f>[2]!Table3[[#This Row],[Residential Incentive Disbursements]]+[2]!Table3[[#This Row],[C&amp;I Incentive Disbursements]]</f>
        <v>57394.495163405467</v>
      </c>
      <c r="G114" s="198">
        <f>[2]!Table3[[#This Row],[Incentive Disbursements]]/'[2]1.) CLM Reference'!$B$5</f>
        <v>3.4161381024669264E-3</v>
      </c>
      <c r="H114" s="88">
        <v>48889.4</v>
      </c>
      <c r="I114" s="197">
        <f>[2]!Table3[[#This Row],[Residential CLM $ Collected]]/'[2]1.) CLM Reference'!$B$4</f>
        <v>1.6800127431918059E-3</v>
      </c>
      <c r="J114" s="89">
        <v>57394.495163405467</v>
      </c>
      <c r="K114" s="198">
        <f>[2]!Table3[[#This Row],[Residential Incentive Disbursements]]/'[2]1.) CLM Reference'!$B$5</f>
        <v>3.4161381024669264E-3</v>
      </c>
      <c r="L114" s="88">
        <v>379.96409999999997</v>
      </c>
      <c r="M114" s="197">
        <f>[2]!Table3[[#This Row],[C&amp;I CLM $ Collected]]/'[2]1.) CLM Reference'!$B$4</f>
        <v>1.3056910699566891E-5</v>
      </c>
      <c r="N114" s="89">
        <v>0</v>
      </c>
      <c r="O114" s="198">
        <f>[2]!Table3[[#This Row],[C&amp;I Incentive Disbursements]]/'[2]1.) CLM Reference'!$B$5</f>
        <v>0</v>
      </c>
      <c r="P114" t="str">
        <f t="shared" si="1"/>
        <v>NO</v>
      </c>
      <c r="Q114" t="str">
        <f>VLOOKUP(Table8[[#This Row],[Census Tract]],'UI EnergyBurden'!$A$2:$B$184,2,FALSE)</f>
        <v>No</v>
      </c>
      <c r="R114">
        <f>VLOOKUP(Table8[[#This Row],[Census Tract]],'Population and Diversity Data'!$B$2:$K$823,10,FALSE)</f>
        <v>1</v>
      </c>
    </row>
    <row r="115" spans="1:18" ht="15.75" hidden="1" customHeight="1" x14ac:dyDescent="0.2">
      <c r="A115" s="195">
        <v>9001061000</v>
      </c>
      <c r="B115" s="195" t="s">
        <v>2984</v>
      </c>
      <c r="C115" s="195" t="s">
        <v>944</v>
      </c>
      <c r="D115" s="88">
        <f>[2]!Table3[[#This Row],[Residential CLM $ Collected]]+[2]!Table3[[#This Row],[C&amp;I CLM $ Collected]]</f>
        <v>141435.50439999992</v>
      </c>
      <c r="E115" s="197">
        <f>[2]!Table3[[#This Row],[CLM $ Collected ]]/'[2]1.) CLM Reference'!$B$4</f>
        <v>4.8602242967138191E-3</v>
      </c>
      <c r="F115" s="89">
        <f>[2]!Table3[[#This Row],[Residential Incentive Disbursements]]+[2]!Table3[[#This Row],[C&amp;I Incentive Disbursements]]</f>
        <v>155563.66687838431</v>
      </c>
      <c r="G115" s="198">
        <f>[2]!Table3[[#This Row],[Incentive Disbursements]]/'[2]1.) CLM Reference'!$B$5</f>
        <v>9.2591975636290083E-3</v>
      </c>
      <c r="H115" s="88">
        <v>73580.641299999901</v>
      </c>
      <c r="I115" s="197">
        <f>[2]!Table3[[#This Row],[Residential CLM $ Collected]]/'[2]1.) CLM Reference'!$B$4</f>
        <v>2.5284911460608048E-3</v>
      </c>
      <c r="J115" s="89">
        <v>144242.10798744447</v>
      </c>
      <c r="K115" s="198">
        <f>[2]!Table3[[#This Row],[Residential Incentive Disbursements]]/'[2]1.) CLM Reference'!$B$5</f>
        <v>8.5853348770324987E-3</v>
      </c>
      <c r="L115" s="88">
        <v>67854.863100000002</v>
      </c>
      <c r="M115" s="197">
        <f>[2]!Table3[[#This Row],[C&amp;I CLM $ Collected]]/'[2]1.) CLM Reference'!$B$4</f>
        <v>2.3317331506530134E-3</v>
      </c>
      <c r="N115" s="89">
        <v>11321.558890939821</v>
      </c>
      <c r="O115" s="198">
        <f>[2]!Table3[[#This Row],[C&amp;I Incentive Disbursements]]/'[2]1.) CLM Reference'!$B$5</f>
        <v>6.738626865965085E-4</v>
      </c>
      <c r="P115" t="str">
        <f t="shared" si="1"/>
        <v>NO</v>
      </c>
      <c r="Q115" t="str">
        <f>VLOOKUP(Table8[[#This Row],[Census Tract]],'UI EnergyBurden'!$A$2:$B$184,2,FALSE)</f>
        <v>No</v>
      </c>
      <c r="R115">
        <f>VLOOKUP(Table8[[#This Row],[Census Tract]],'Population and Diversity Data'!$B$2:$K$823,10,FALSE)</f>
        <v>3</v>
      </c>
    </row>
    <row r="116" spans="1:18" ht="15.75" hidden="1" customHeight="1" x14ac:dyDescent="0.2">
      <c r="A116" s="195">
        <v>9001061100</v>
      </c>
      <c r="B116" s="195" t="s">
        <v>2984</v>
      </c>
      <c r="C116" s="195" t="s">
        <v>944</v>
      </c>
      <c r="D116" s="88">
        <f>[2]!Table3[[#This Row],[Residential CLM $ Collected]]+[2]!Table3[[#This Row],[C&amp;I CLM $ Collected]]</f>
        <v>72876.102700000003</v>
      </c>
      <c r="E116" s="197">
        <f>[2]!Table3[[#This Row],[CLM $ Collected ]]/'[2]1.) CLM Reference'!$B$4</f>
        <v>2.5042807072730442E-3</v>
      </c>
      <c r="F116" s="89">
        <f>[2]!Table3[[#This Row],[Residential Incentive Disbursements]]+[2]!Table3[[#This Row],[C&amp;I Incentive Disbursements]]</f>
        <v>8353.2282385487524</v>
      </c>
      <c r="G116" s="198">
        <f>[2]!Table3[[#This Row],[Incentive Disbursements]]/'[2]1.) CLM Reference'!$B$5</f>
        <v>4.9718672815338909E-4</v>
      </c>
      <c r="H116" s="88">
        <v>67549.058600000004</v>
      </c>
      <c r="I116" s="197">
        <f>[2]!Table3[[#This Row],[Residential CLM $ Collected]]/'[2]1.) CLM Reference'!$B$4</f>
        <v>2.3212246261686592E-3</v>
      </c>
      <c r="J116" s="89">
        <v>7974.0595856198152</v>
      </c>
      <c r="K116" s="198">
        <f>[2]!Table3[[#This Row],[Residential Incentive Disbursements]]/'[2]1.) CLM Reference'!$B$5</f>
        <v>4.7461849266592943E-4</v>
      </c>
      <c r="L116" s="88">
        <v>5327.0441000000001</v>
      </c>
      <c r="M116" s="197">
        <f>[2]!Table3[[#This Row],[C&amp;I CLM $ Collected]]/'[2]1.) CLM Reference'!$B$4</f>
        <v>1.8305608110438508E-4</v>
      </c>
      <c r="N116" s="89">
        <v>379.16865292893647</v>
      </c>
      <c r="O116" s="198">
        <f>[2]!Table3[[#This Row],[C&amp;I Incentive Disbursements]]/'[2]1.) CLM Reference'!$B$5</f>
        <v>2.2568235487459636E-5</v>
      </c>
      <c r="P116" t="str">
        <f t="shared" si="1"/>
        <v>NO</v>
      </c>
      <c r="Q116" t="str">
        <f>VLOOKUP(Table8[[#This Row],[Census Tract]],'UI EnergyBurden'!$A$2:$B$184,2,FALSE)</f>
        <v>No</v>
      </c>
      <c r="R116">
        <f>VLOOKUP(Table8[[#This Row],[Census Tract]],'Population and Diversity Data'!$B$2:$K$823,10,FALSE)</f>
        <v>1</v>
      </c>
    </row>
    <row r="117" spans="1:18" ht="15.75" hidden="1" customHeight="1" x14ac:dyDescent="0.2">
      <c r="A117" s="195">
        <v>9001061200</v>
      </c>
      <c r="B117" s="195" t="s">
        <v>2984</v>
      </c>
      <c r="C117" s="195" t="s">
        <v>944</v>
      </c>
      <c r="D117" s="88">
        <f>[2]!Table3[[#This Row],[Residential CLM $ Collected]]+[2]!Table3[[#This Row],[C&amp;I CLM $ Collected]]</f>
        <v>37465.910400000001</v>
      </c>
      <c r="E117" s="197">
        <f>[2]!Table3[[#This Row],[CLM $ Collected ]]/'[2]1.) CLM Reference'!$B$4</f>
        <v>1.2874612269179497E-3</v>
      </c>
      <c r="F117" s="89">
        <f>[2]!Table3[[#This Row],[Residential Incentive Disbursements]]+[2]!Table3[[#This Row],[C&amp;I Incentive Disbursements]]</f>
        <v>37332.291337891627</v>
      </c>
      <c r="G117" s="198">
        <f>[2]!Table3[[#This Row],[Incentive Disbursements]]/'[2]1.) CLM Reference'!$B$5</f>
        <v>2.2220295261536111E-3</v>
      </c>
      <c r="H117" s="88">
        <v>35405.151700000002</v>
      </c>
      <c r="I117" s="197">
        <f>[2]!Table3[[#This Row],[Residential CLM $ Collected]]/'[2]1.) CLM Reference'!$B$4</f>
        <v>1.216646267506638E-3</v>
      </c>
      <c r="J117" s="89">
        <v>36712.982538107695</v>
      </c>
      <c r="K117" s="198">
        <f>[2]!Table3[[#This Row],[Residential Incentive Disbursements]]/'[2]1.) CLM Reference'!$B$5</f>
        <v>2.185168074857427E-3</v>
      </c>
      <c r="L117" s="88">
        <v>2060.7586999999999</v>
      </c>
      <c r="M117" s="197">
        <f>[2]!Table3[[#This Row],[C&amp;I CLM $ Collected]]/'[2]1.) CLM Reference'!$B$4</f>
        <v>7.0814959411311644E-5</v>
      </c>
      <c r="N117" s="89">
        <v>619.30879978392954</v>
      </c>
      <c r="O117" s="198">
        <f>[2]!Table3[[#This Row],[C&amp;I Incentive Disbursements]]/'[2]1.) CLM Reference'!$B$5</f>
        <v>3.6861451296184069E-5</v>
      </c>
      <c r="P117" t="str">
        <f t="shared" si="1"/>
        <v>NO</v>
      </c>
      <c r="Q117" t="str">
        <f>VLOOKUP(Table8[[#This Row],[Census Tract]],'UI EnergyBurden'!$A$2:$B$184,2,FALSE)</f>
        <v>No</v>
      </c>
      <c r="R117">
        <f>VLOOKUP(Table8[[#This Row],[Census Tract]],'Population and Diversity Data'!$B$2:$K$823,10,FALSE)</f>
        <v>5</v>
      </c>
    </row>
    <row r="118" spans="1:18" ht="15.75" hidden="1" customHeight="1" x14ac:dyDescent="0.2">
      <c r="A118" s="195">
        <v>9001061300</v>
      </c>
      <c r="B118" s="195" t="s">
        <v>2984</v>
      </c>
      <c r="C118" s="195" t="s">
        <v>944</v>
      </c>
      <c r="D118" s="88">
        <f>[2]!Table3[[#This Row],[Residential CLM $ Collected]]+[2]!Table3[[#This Row],[C&amp;I CLM $ Collected]]</f>
        <v>75361.948199999999</v>
      </c>
      <c r="E118" s="197">
        <f>[2]!Table3[[#This Row],[CLM $ Collected ]]/'[2]1.) CLM Reference'!$B$4</f>
        <v>2.5897031529894163E-3</v>
      </c>
      <c r="F118" s="89">
        <f>[2]!Table3[[#This Row],[Residential Incentive Disbursements]]+[2]!Table3[[#This Row],[C&amp;I Incentive Disbursements]]</f>
        <v>49068.253959248163</v>
      </c>
      <c r="G118" s="198">
        <f>[2]!Table3[[#This Row],[Incentive Disbursements]]/'[2]1.) CLM Reference'!$B$5</f>
        <v>2.9205576509467707E-3</v>
      </c>
      <c r="H118" s="88">
        <v>51750.383699999998</v>
      </c>
      <c r="I118" s="197">
        <f>[2]!Table3[[#This Row],[Residential CLM $ Collected]]/'[2]1.) CLM Reference'!$B$4</f>
        <v>1.7783262646108463E-3</v>
      </c>
      <c r="J118" s="89">
        <v>13804.254785526917</v>
      </c>
      <c r="K118" s="198">
        <f>[2]!Table3[[#This Row],[Residential Incentive Disbursements]]/'[2]1.) CLM Reference'!$B$5</f>
        <v>8.2163351406333487E-4</v>
      </c>
      <c r="L118" s="88">
        <v>23611.5645</v>
      </c>
      <c r="M118" s="197">
        <f>[2]!Table3[[#This Row],[C&amp;I CLM $ Collected]]/'[2]1.) CLM Reference'!$B$4</f>
        <v>8.1137688837856997E-4</v>
      </c>
      <c r="N118" s="89">
        <v>35263.999173721248</v>
      </c>
      <c r="O118" s="198">
        <f>[2]!Table3[[#This Row],[C&amp;I Incentive Disbursements]]/'[2]1.) CLM Reference'!$B$5</f>
        <v>2.0989241368834359E-3</v>
      </c>
      <c r="P118" t="str">
        <f t="shared" si="1"/>
        <v>YES</v>
      </c>
      <c r="Q118" t="str">
        <f>VLOOKUP(Table8[[#This Row],[Census Tract]],'UI EnergyBurden'!$A$2:$B$184,2,FALSE)</f>
        <v>No</v>
      </c>
      <c r="R118">
        <f>VLOOKUP(Table8[[#This Row],[Census Tract]],'Population and Diversity Data'!$B$2:$K$823,10,FALSE)</f>
        <v>4</v>
      </c>
    </row>
    <row r="119" spans="1:18" ht="15.75" hidden="1" customHeight="1" x14ac:dyDescent="0.2">
      <c r="A119" s="195">
        <v>9001061400</v>
      </c>
      <c r="B119" s="195" t="s">
        <v>2984</v>
      </c>
      <c r="C119" s="195" t="s">
        <v>944</v>
      </c>
      <c r="D119" s="88">
        <f>[2]!Table3[[#This Row],[Residential CLM $ Collected]]+[2]!Table3[[#This Row],[C&amp;I CLM $ Collected]]</f>
        <v>118695.17509999999</v>
      </c>
      <c r="E119" s="197">
        <f>[2]!Table3[[#This Row],[CLM $ Collected ]]/'[2]1.) CLM Reference'!$B$4</f>
        <v>4.0787861320323564E-3</v>
      </c>
      <c r="F119" s="89">
        <f>[2]!Table3[[#This Row],[Residential Incentive Disbursements]]+[2]!Table3[[#This Row],[C&amp;I Incentive Disbursements]]</f>
        <v>14616.512910834703</v>
      </c>
      <c r="G119" s="198">
        <f>[2]!Table3[[#This Row],[Incentive Disbursements]]/'[2]1.) CLM Reference'!$B$5</f>
        <v>8.699793688879536E-4</v>
      </c>
      <c r="H119" s="88">
        <v>47281.252</v>
      </c>
      <c r="I119" s="197">
        <f>[2]!Table3[[#This Row],[Residential CLM $ Collected]]/'[2]1.) CLM Reference'!$B$4</f>
        <v>1.6247510886626354E-3</v>
      </c>
      <c r="J119" s="89">
        <v>10125.892164646331</v>
      </c>
      <c r="K119" s="198">
        <f>[2]!Table3[[#This Row],[Residential Incentive Disbursements]]/'[2]1.) CLM Reference'!$B$5</f>
        <v>6.0269623326480667E-4</v>
      </c>
      <c r="L119" s="88">
        <v>71413.9231</v>
      </c>
      <c r="M119" s="197">
        <f>[2]!Table3[[#This Row],[C&amp;I CLM $ Collected]]/'[2]1.) CLM Reference'!$B$4</f>
        <v>2.4540350433697217E-3</v>
      </c>
      <c r="N119" s="89">
        <v>4490.6207461883714</v>
      </c>
      <c r="O119" s="198">
        <f>[2]!Table3[[#This Row],[C&amp;I Incentive Disbursements]]/'[2]1.) CLM Reference'!$B$5</f>
        <v>2.6728313562314699E-4</v>
      </c>
      <c r="P119" t="str">
        <f t="shared" si="1"/>
        <v>NO</v>
      </c>
      <c r="Q119" t="str">
        <f>VLOOKUP(Table8[[#This Row],[Census Tract]],'UI EnergyBurden'!$A$2:$B$184,2,FALSE)</f>
        <v>No</v>
      </c>
      <c r="R119">
        <f>VLOOKUP(Table8[[#This Row],[Census Tract]],'Population and Diversity Data'!$B$2:$K$823,10,FALSE)</f>
        <v>5</v>
      </c>
    </row>
    <row r="120" spans="1:18" ht="15.75" hidden="1" customHeight="1" x14ac:dyDescent="0.2">
      <c r="A120" s="195">
        <v>9001061500</v>
      </c>
      <c r="B120" s="195" t="s">
        <v>2984</v>
      </c>
      <c r="C120" s="195" t="s">
        <v>944</v>
      </c>
      <c r="D120" s="88">
        <f>[2]!Table3[[#This Row],[Residential CLM $ Collected]]+[2]!Table3[[#This Row],[C&amp;I CLM $ Collected]]</f>
        <v>193091.25819999998</v>
      </c>
      <c r="E120" s="197">
        <f>[2]!Table3[[#This Row],[CLM $ Collected ]]/'[2]1.) CLM Reference'!$B$4</f>
        <v>6.6352987431823511E-3</v>
      </c>
      <c r="F120" s="89">
        <f>[2]!Table3[[#This Row],[Residential Incentive Disbursements]]+[2]!Table3[[#This Row],[C&amp;I Incentive Disbursements]]</f>
        <v>52861.593443137128</v>
      </c>
      <c r="G120" s="198">
        <f>[2]!Table3[[#This Row],[Incentive Disbursements]]/'[2]1.) CLM Reference'!$B$5</f>
        <v>3.146338390190343E-3</v>
      </c>
      <c r="H120" s="88">
        <v>104123.3682</v>
      </c>
      <c r="I120" s="197">
        <f>[2]!Table3[[#This Row],[Residential CLM $ Collected]]/'[2]1.) CLM Reference'!$B$4</f>
        <v>3.5780472953248032E-3</v>
      </c>
      <c r="J120" s="89">
        <v>26593.3579211998</v>
      </c>
      <c r="K120" s="198">
        <f>[2]!Table3[[#This Row],[Residential Incentive Disbursements]]/'[2]1.) CLM Reference'!$B$5</f>
        <v>1.5828448879723707E-3</v>
      </c>
      <c r="L120" s="88">
        <v>88967.89</v>
      </c>
      <c r="M120" s="197">
        <f>[2]!Table3[[#This Row],[C&amp;I CLM $ Collected]]/'[2]1.) CLM Reference'!$B$4</f>
        <v>3.0572514478575483E-3</v>
      </c>
      <c r="N120" s="89">
        <v>26268.235521937328</v>
      </c>
      <c r="O120" s="198">
        <f>[2]!Table3[[#This Row],[C&amp;I Incentive Disbursements]]/'[2]1.) CLM Reference'!$B$5</f>
        <v>1.5634935022179725E-3</v>
      </c>
      <c r="P120" t="str">
        <f t="shared" si="1"/>
        <v>NO</v>
      </c>
      <c r="Q120" t="str">
        <f>VLOOKUP(Table8[[#This Row],[Census Tract]],'UI EnergyBurden'!$A$2:$B$184,2,FALSE)</f>
        <v>No</v>
      </c>
      <c r="R120">
        <f>VLOOKUP(Table8[[#This Row],[Census Tract]],'Population and Diversity Data'!$B$2:$K$823,10,FALSE)</f>
        <v>4</v>
      </c>
    </row>
    <row r="121" spans="1:18" ht="15.75" hidden="1" customHeight="1" x14ac:dyDescent="0.2">
      <c r="A121" s="195">
        <v>9001061600</v>
      </c>
      <c r="B121" s="195" t="s">
        <v>2984</v>
      </c>
      <c r="C121" s="195" t="s">
        <v>944</v>
      </c>
      <c r="D121" s="88">
        <f>[2]!Table3[[#This Row],[Residential CLM $ Collected]]+[2]!Table3[[#This Row],[C&amp;I CLM $ Collected]]</f>
        <v>182195.8941</v>
      </c>
      <c r="E121" s="197">
        <f>[2]!Table3[[#This Row],[CLM $ Collected ]]/'[2]1.) CLM Reference'!$B$4</f>
        <v>6.2608954874722282E-3</v>
      </c>
      <c r="F121" s="89">
        <f>[2]!Table3[[#This Row],[Residential Incentive Disbursements]]+[2]!Table3[[#This Row],[C&amp;I Incentive Disbursements]]</f>
        <v>38036.90479481496</v>
      </c>
      <c r="G121" s="198">
        <f>[2]!Table3[[#This Row],[Incentive Disbursements]]/'[2]1.) CLM Reference'!$B$5</f>
        <v>2.2639683370248229E-3</v>
      </c>
      <c r="H121" s="88">
        <v>114122.9146</v>
      </c>
      <c r="I121" s="197">
        <f>[2]!Table3[[#This Row],[Residential CLM $ Collected]]/'[2]1.) CLM Reference'!$B$4</f>
        <v>3.9216670856707216E-3</v>
      </c>
      <c r="J121" s="89">
        <v>19932.865512968005</v>
      </c>
      <c r="K121" s="198">
        <f>[2]!Table3[[#This Row],[Residential Incentive Disbursements]]/'[2]1.) CLM Reference'!$B$5</f>
        <v>1.18641031995025E-3</v>
      </c>
      <c r="L121" s="88">
        <v>68072.979500000001</v>
      </c>
      <c r="M121" s="197">
        <f>[2]!Table3[[#This Row],[C&amp;I CLM $ Collected]]/'[2]1.) CLM Reference'!$B$4</f>
        <v>2.3392284018015062E-3</v>
      </c>
      <c r="N121" s="89">
        <v>18104.039281846955</v>
      </c>
      <c r="O121" s="198">
        <f>[2]!Table3[[#This Row],[C&amp;I Incentive Disbursements]]/'[2]1.) CLM Reference'!$B$5</f>
        <v>1.0775580170745728E-3</v>
      </c>
      <c r="P121" t="str">
        <f t="shared" si="1"/>
        <v>NO</v>
      </c>
      <c r="Q121" t="str">
        <f>VLOOKUP(Table8[[#This Row],[Census Tract]],'UI EnergyBurden'!$A$2:$B$184,2,FALSE)</f>
        <v>No</v>
      </c>
      <c r="R121">
        <f>VLOOKUP(Table8[[#This Row],[Census Tract]],'Population and Diversity Data'!$B$2:$K$823,10,FALSE)</f>
        <v>1</v>
      </c>
    </row>
    <row r="122" spans="1:18" ht="15.75" hidden="1" customHeight="1" x14ac:dyDescent="0.2">
      <c r="A122" s="195">
        <v>9001072100</v>
      </c>
      <c r="B122" s="195" t="s">
        <v>2984</v>
      </c>
      <c r="C122" s="195" t="s">
        <v>944</v>
      </c>
      <c r="D122" s="88">
        <f>[2]!Table3[[#This Row],[Residential CLM $ Collected]]+[2]!Table3[[#This Row],[C&amp;I CLM $ Collected]]</f>
        <v>383.21100000000001</v>
      </c>
      <c r="E122" s="197">
        <f>[2]!Table3[[#This Row],[CLM $ Collected ]]/'[2]1.) CLM Reference'!$B$4</f>
        <v>1.3168485670334983E-5</v>
      </c>
      <c r="F122" s="89">
        <f>[2]!Table3[[#This Row],[Residential Incentive Disbursements]]+[2]!Table3[[#This Row],[C&amp;I Incentive Disbursements]]</f>
        <v>0</v>
      </c>
      <c r="G122" s="198">
        <f>[2]!Table3[[#This Row],[Incentive Disbursements]]/'[2]1.) CLM Reference'!$B$5</f>
        <v>0</v>
      </c>
      <c r="H122" s="88">
        <v>302.35410000000002</v>
      </c>
      <c r="I122" s="197">
        <f>[2]!Table3[[#This Row],[Residential CLM $ Collected]]/'[2]1.) CLM Reference'!$B$4</f>
        <v>1.0389956533651253E-5</v>
      </c>
      <c r="J122" s="89">
        <v>0</v>
      </c>
      <c r="K122" s="198">
        <f>[2]!Table3[[#This Row],[Residential Incentive Disbursements]]/'[2]1.) CLM Reference'!$B$5</f>
        <v>0</v>
      </c>
      <c r="L122" s="88">
        <v>80.856899999999996</v>
      </c>
      <c r="M122" s="197">
        <f>[2]!Table3[[#This Row],[C&amp;I CLM $ Collected]]/'[2]1.) CLM Reference'!$B$4</f>
        <v>2.7785291366837292E-6</v>
      </c>
      <c r="N122" s="89">
        <v>0</v>
      </c>
      <c r="O122" s="198">
        <f>[2]!Table3[[#This Row],[C&amp;I Incentive Disbursements]]/'[2]1.) CLM Reference'!$B$5</f>
        <v>0</v>
      </c>
      <c r="P122" t="str">
        <f t="shared" si="1"/>
        <v>N/A</v>
      </c>
      <c r="Q122" t="str">
        <f>VLOOKUP(Table8[[#This Row],[Census Tract]],'UI EnergyBurden'!$A$2:$B$184,2,FALSE)</f>
        <v>No</v>
      </c>
      <c r="R122">
        <f>VLOOKUP(Table8[[#This Row],[Census Tract]],'Population and Diversity Data'!$B$2:$K$823,10,FALSE)</f>
        <v>5</v>
      </c>
    </row>
    <row r="123" spans="1:18" ht="15.75" customHeight="1" x14ac:dyDescent="0.2">
      <c r="A123" s="195">
        <v>9001072200</v>
      </c>
      <c r="B123" s="195" t="s">
        <v>2984</v>
      </c>
      <c r="C123" s="195" t="s">
        <v>936</v>
      </c>
      <c r="D123" s="88">
        <f>[2]!Table3[[#This Row],[Residential CLM $ Collected]]+[2]!Table3[[#This Row],[C&amp;I CLM $ Collected]]</f>
        <v>1.5974999999999999</v>
      </c>
      <c r="E123" s="197">
        <f>[2]!Table3[[#This Row],[CLM $ Collected ]]/'[2]1.) CLM Reference'!$B$4</f>
        <v>5.4895751579052099E-8</v>
      </c>
      <c r="F123" s="89">
        <f>[2]!Table3[[#This Row],[Residential Incentive Disbursements]]+[2]!Table3[[#This Row],[C&amp;I Incentive Disbursements]]</f>
        <v>0</v>
      </c>
      <c r="G123" s="198">
        <f>[2]!Table3[[#This Row],[Incentive Disbursements]]/'[2]1.) CLM Reference'!$B$5</f>
        <v>0</v>
      </c>
      <c r="H123" s="88">
        <v>0</v>
      </c>
      <c r="I123" s="197">
        <f>[2]!Table3[[#This Row],[Residential CLM $ Collected]]/'[2]1.) CLM Reference'!$B$4</f>
        <v>0</v>
      </c>
      <c r="J123" s="89">
        <v>0</v>
      </c>
      <c r="K123" s="198">
        <f>[2]!Table3[[#This Row],[Residential Incentive Disbursements]]/'[2]1.) CLM Reference'!$B$5</f>
        <v>0</v>
      </c>
      <c r="L123" s="88">
        <v>1.5974999999999999</v>
      </c>
      <c r="M123" s="197">
        <f>[2]!Table3[[#This Row],[C&amp;I CLM $ Collected]]/'[2]1.) CLM Reference'!$B$4</f>
        <v>5.4895751579052099E-8</v>
      </c>
      <c r="N123" s="89">
        <v>0</v>
      </c>
      <c r="O123" s="198">
        <f>[2]!Table3[[#This Row],[C&amp;I Incentive Disbursements]]/'[2]1.) CLM Reference'!$B$5</f>
        <v>0</v>
      </c>
      <c r="P123" t="str">
        <f t="shared" si="1"/>
        <v>N/A</v>
      </c>
      <c r="Q123" t="str">
        <f>VLOOKUP(Table8[[#This Row],[Census Tract]],'UI EnergyBurden'!$A$2:$B$184,2,FALSE)</f>
        <v>No</v>
      </c>
      <c r="R123">
        <f>VLOOKUP(Table8[[#This Row],[Census Tract]],'Population and Diversity Data'!$B$2:$K$823,10,FALSE)</f>
        <v>4</v>
      </c>
    </row>
    <row r="124" spans="1:18" ht="15.75" hidden="1" customHeight="1" x14ac:dyDescent="0.2">
      <c r="A124" s="195">
        <v>9001072500</v>
      </c>
      <c r="B124" s="195" t="s">
        <v>2984</v>
      </c>
      <c r="C124" s="195" t="s">
        <v>944</v>
      </c>
      <c r="D124" s="88">
        <f>[2]!Table3[[#This Row],[Residential CLM $ Collected]]+[2]!Table3[[#This Row],[C&amp;I CLM $ Collected]]</f>
        <v>55.980600000000003</v>
      </c>
      <c r="E124" s="197">
        <f>[2]!Table3[[#This Row],[CLM $ Collected ]]/'[2]1.) CLM Reference'!$B$4</f>
        <v>1.923691462188597E-6</v>
      </c>
      <c r="F124" s="89">
        <f>[2]!Table3[[#This Row],[Residential Incentive Disbursements]]+[2]!Table3[[#This Row],[C&amp;I Incentive Disbursements]]</f>
        <v>0</v>
      </c>
      <c r="G124" s="198">
        <f>[2]!Table3[[#This Row],[Incentive Disbursements]]/'[2]1.) CLM Reference'!$B$5</f>
        <v>0</v>
      </c>
      <c r="H124" s="88">
        <v>0</v>
      </c>
      <c r="I124" s="197">
        <f>[2]!Table3[[#This Row],[Residential CLM $ Collected]]/'[2]1.) CLM Reference'!$B$4</f>
        <v>0</v>
      </c>
      <c r="J124" s="89">
        <v>0</v>
      </c>
      <c r="K124" s="198">
        <f>[2]!Table3[[#This Row],[Residential Incentive Disbursements]]/'[2]1.) CLM Reference'!$B$5</f>
        <v>0</v>
      </c>
      <c r="L124" s="88">
        <v>55.980600000000003</v>
      </c>
      <c r="M124" s="197">
        <f>[2]!Table3[[#This Row],[C&amp;I CLM $ Collected]]/'[2]1.) CLM Reference'!$B$4</f>
        <v>1.923691462188597E-6</v>
      </c>
      <c r="N124" s="89">
        <v>0</v>
      </c>
      <c r="O124" s="198">
        <f>[2]!Table3[[#This Row],[C&amp;I Incentive Disbursements]]/'[2]1.) CLM Reference'!$B$5</f>
        <v>0</v>
      </c>
      <c r="P124" t="str">
        <f t="shared" si="1"/>
        <v>N/A</v>
      </c>
      <c r="Q124" t="str">
        <f>VLOOKUP(Table8[[#This Row],[Census Tract]],'UI EnergyBurden'!$A$2:$B$184,2,FALSE)</f>
        <v>No</v>
      </c>
      <c r="R124">
        <f>VLOOKUP(Table8[[#This Row],[Census Tract]],'Population and Diversity Data'!$B$2:$K$823,10,FALSE)</f>
        <v>4</v>
      </c>
    </row>
    <row r="125" spans="1:18" ht="15.75" hidden="1" customHeight="1" x14ac:dyDescent="0.2">
      <c r="A125" s="195">
        <v>9001090100</v>
      </c>
      <c r="B125" s="195" t="s">
        <v>2984</v>
      </c>
      <c r="C125" s="195" t="s">
        <v>944</v>
      </c>
      <c r="D125" s="88">
        <f>[2]!Table3[[#This Row],[Residential CLM $ Collected]]+[2]!Table3[[#This Row],[C&amp;I CLM $ Collected]]</f>
        <v>462.76580000000001</v>
      </c>
      <c r="E125" s="197">
        <f>[2]!Table3[[#This Row],[CLM $ Collected ]]/'[2]1.) CLM Reference'!$B$4</f>
        <v>1.5902270044495342E-5</v>
      </c>
      <c r="F125" s="89">
        <f>[2]!Table3[[#This Row],[Residential Incentive Disbursements]]+[2]!Table3[[#This Row],[C&amp;I Incentive Disbursements]]</f>
        <v>0</v>
      </c>
      <c r="G125" s="198">
        <f>[2]!Table3[[#This Row],[Incentive Disbursements]]/'[2]1.) CLM Reference'!$B$5</f>
        <v>0</v>
      </c>
      <c r="H125" s="88">
        <v>462.76580000000001</v>
      </c>
      <c r="I125" s="197">
        <f>[2]!Table3[[#This Row],[Residential CLM $ Collected]]/'[2]1.) CLM Reference'!$B$4</f>
        <v>1.5902270044495342E-5</v>
      </c>
      <c r="J125" s="89">
        <v>0</v>
      </c>
      <c r="K125" s="198">
        <f>[2]!Table3[[#This Row],[Residential Incentive Disbursements]]/'[2]1.) CLM Reference'!$B$5</f>
        <v>0</v>
      </c>
      <c r="L125" s="88">
        <v>0</v>
      </c>
      <c r="M125" s="197">
        <f>[2]!Table3[[#This Row],[C&amp;I CLM $ Collected]]/'[2]1.) CLM Reference'!$B$4</f>
        <v>0</v>
      </c>
      <c r="N125" s="89">
        <v>0</v>
      </c>
      <c r="O125" s="198">
        <f>[2]!Table3[[#This Row],[C&amp;I Incentive Disbursements]]/'[2]1.) CLM Reference'!$B$5</f>
        <v>0</v>
      </c>
      <c r="P125" t="str">
        <f t="shared" si="1"/>
        <v>N/A</v>
      </c>
      <c r="Q125" t="str">
        <f>VLOOKUP(Table8[[#This Row],[Census Tract]],'UI EnergyBurden'!$A$2:$B$184,2,FALSE)</f>
        <v>No</v>
      </c>
      <c r="R125">
        <f>VLOOKUP(Table8[[#This Row],[Census Tract]],'Population and Diversity Data'!$B$2:$K$823,10,FALSE)</f>
        <v>1</v>
      </c>
    </row>
    <row r="126" spans="1:18" ht="15.75" hidden="1" customHeight="1" x14ac:dyDescent="0.2">
      <c r="A126" s="195">
        <v>9001105100</v>
      </c>
      <c r="B126" s="195" t="s">
        <v>2984</v>
      </c>
      <c r="C126" s="195" t="s">
        <v>944</v>
      </c>
      <c r="D126" s="88">
        <f>[2]!Table3[[#This Row],[Residential CLM $ Collected]]+[2]!Table3[[#This Row],[C&amp;I CLM $ Collected]]</f>
        <v>155.9145</v>
      </c>
      <c r="E126" s="197">
        <f>[2]!Table3[[#This Row],[CLM $ Collected ]]/'[2]1.) CLM Reference'!$B$4</f>
        <v>5.3577738088088382E-6</v>
      </c>
      <c r="F126" s="89">
        <f>[2]!Table3[[#This Row],[Residential Incentive Disbursements]]+[2]!Table3[[#This Row],[C&amp;I Incentive Disbursements]]</f>
        <v>0</v>
      </c>
      <c r="G126" s="198">
        <f>[2]!Table3[[#This Row],[Incentive Disbursements]]/'[2]1.) CLM Reference'!$B$5</f>
        <v>0</v>
      </c>
      <c r="H126" s="88">
        <v>155.9145</v>
      </c>
      <c r="I126" s="197">
        <f>[2]!Table3[[#This Row],[Residential CLM $ Collected]]/'[2]1.) CLM Reference'!$B$4</f>
        <v>5.3577738088088382E-6</v>
      </c>
      <c r="J126" s="89">
        <v>0</v>
      </c>
      <c r="K126" s="198">
        <f>[2]!Table3[[#This Row],[Residential Incentive Disbursements]]/'[2]1.) CLM Reference'!$B$5</f>
        <v>0</v>
      </c>
      <c r="L126" s="88">
        <v>0</v>
      </c>
      <c r="M126" s="197">
        <f>[2]!Table3[[#This Row],[C&amp;I CLM $ Collected]]/'[2]1.) CLM Reference'!$B$4</f>
        <v>0</v>
      </c>
      <c r="N126" s="89">
        <v>0</v>
      </c>
      <c r="O126" s="198">
        <f>[2]!Table3[[#This Row],[C&amp;I Incentive Disbursements]]/'[2]1.) CLM Reference'!$B$5</f>
        <v>0</v>
      </c>
      <c r="P126" t="str">
        <f t="shared" si="1"/>
        <v>N/A</v>
      </c>
      <c r="Q126" t="str">
        <f>VLOOKUP(Table8[[#This Row],[Census Tract]],'UI EnergyBurden'!$A$2:$B$184,2,FALSE)</f>
        <v>No</v>
      </c>
      <c r="R126">
        <f>VLOOKUP(Table8[[#This Row],[Census Tract]],'Population and Diversity Data'!$B$2:$K$823,10,FALSE)</f>
        <v>1</v>
      </c>
    </row>
    <row r="127" spans="1:18" ht="15.75" hidden="1" customHeight="1" x14ac:dyDescent="0.2">
      <c r="A127" s="195">
        <v>9001110600</v>
      </c>
      <c r="B127" s="195" t="s">
        <v>2984</v>
      </c>
      <c r="C127" s="195" t="s">
        <v>944</v>
      </c>
      <c r="D127" s="88">
        <f>[2]!Table3[[#This Row],[Residential CLM $ Collected]]+[2]!Table3[[#This Row],[C&amp;I CLM $ Collected]]</f>
        <v>729.55909999999994</v>
      </c>
      <c r="E127" s="197">
        <f>[2]!Table3[[#This Row],[CLM $ Collected ]]/'[2]1.) CLM Reference'!$B$4</f>
        <v>2.5070231684404899E-5</v>
      </c>
      <c r="F127" s="89">
        <f>[2]!Table3[[#This Row],[Residential Incentive Disbursements]]+[2]!Table3[[#This Row],[C&amp;I Incentive Disbursements]]</f>
        <v>0</v>
      </c>
      <c r="G127" s="198">
        <f>[2]!Table3[[#This Row],[Incentive Disbursements]]/'[2]1.) CLM Reference'!$B$5</f>
        <v>0</v>
      </c>
      <c r="H127" s="88">
        <v>729.55909999999994</v>
      </c>
      <c r="I127" s="197">
        <f>[2]!Table3[[#This Row],[Residential CLM $ Collected]]/'[2]1.) CLM Reference'!$B$4</f>
        <v>2.5070231684404899E-5</v>
      </c>
      <c r="J127" s="89">
        <v>0</v>
      </c>
      <c r="K127" s="198">
        <f>[2]!Table3[[#This Row],[Residential Incentive Disbursements]]/'[2]1.) CLM Reference'!$B$5</f>
        <v>0</v>
      </c>
      <c r="L127" s="88">
        <v>0</v>
      </c>
      <c r="M127" s="197">
        <f>[2]!Table3[[#This Row],[C&amp;I CLM $ Collected]]/'[2]1.) CLM Reference'!$B$4</f>
        <v>0</v>
      </c>
      <c r="N127" s="89">
        <v>0</v>
      </c>
      <c r="O127" s="198">
        <f>[2]!Table3[[#This Row],[C&amp;I Incentive Disbursements]]/'[2]1.) CLM Reference'!$B$5</f>
        <v>0</v>
      </c>
      <c r="P127" t="str">
        <f t="shared" si="1"/>
        <v>N/A</v>
      </c>
      <c r="Q127" t="str">
        <f>VLOOKUP(Table8[[#This Row],[Census Tract]],'UI EnergyBurden'!$A$2:$B$184,2,FALSE)</f>
        <v>No</v>
      </c>
      <c r="R127">
        <f>VLOOKUP(Table8[[#This Row],[Census Tract]],'Population and Diversity Data'!$B$2:$K$823,10,FALSE)</f>
        <v>2</v>
      </c>
    </row>
    <row r="128" spans="1:18" ht="15.75" customHeight="1" x14ac:dyDescent="0.2">
      <c r="A128" s="195">
        <v>9009140800</v>
      </c>
      <c r="B128" s="195" t="s">
        <v>2984</v>
      </c>
      <c r="C128" s="195" t="s">
        <v>936</v>
      </c>
      <c r="D128" s="88">
        <f>[2]!Table3[[#This Row],[Residential CLM $ Collected]]+[2]!Table3[[#This Row],[C&amp;I CLM $ Collected]]</f>
        <v>739.49120000000005</v>
      </c>
      <c r="E128" s="197">
        <f>[2]!Table3[[#This Row],[CLM $ Collected ]]/'[2]1.) CLM Reference'!$B$4</f>
        <v>2.5411533777837331E-5</v>
      </c>
      <c r="F128" s="89">
        <f>[2]!Table3[[#This Row],[Residential Incentive Disbursements]]+[2]!Table3[[#This Row],[C&amp;I Incentive Disbursements]]</f>
        <v>1643.3204436141837</v>
      </c>
      <c r="G128" s="198">
        <f>[2]!Table3[[#This Row],[Incentive Disbursements]]/'[2]1.) CLM Reference'!$B$5</f>
        <v>9.7810941032069759E-5</v>
      </c>
      <c r="H128" s="88">
        <v>0</v>
      </c>
      <c r="I128" s="197">
        <f>[2]!Table3[[#This Row],[Residential CLM $ Collected]]/'[2]1.) CLM Reference'!$B$4</f>
        <v>0</v>
      </c>
      <c r="J128" s="89">
        <v>1643.3204436141837</v>
      </c>
      <c r="K128" s="198">
        <f>[2]!Table3[[#This Row],[Residential Incentive Disbursements]]/'[2]1.) CLM Reference'!$B$5</f>
        <v>9.7810941032069759E-5</v>
      </c>
      <c r="L128" s="88">
        <v>739.49120000000005</v>
      </c>
      <c r="M128" s="197">
        <f>[2]!Table3[[#This Row],[C&amp;I CLM $ Collected]]/'[2]1.) CLM Reference'!$B$4</f>
        <v>2.5411533777837331E-5</v>
      </c>
      <c r="N128" s="89">
        <v>0</v>
      </c>
      <c r="O128" s="198">
        <f>[2]!Table3[[#This Row],[C&amp;I Incentive Disbursements]]/'[2]1.) CLM Reference'!$B$5</f>
        <v>0</v>
      </c>
      <c r="P128" t="str">
        <f t="shared" si="1"/>
        <v>NO</v>
      </c>
      <c r="Q128" t="str">
        <f>VLOOKUP(Table8[[#This Row],[Census Tract]],'UI EnergyBurden'!$A$2:$B$184,2,FALSE)</f>
        <v>No</v>
      </c>
      <c r="R128">
        <f>VLOOKUP(Table8[[#This Row],[Census Tract]],'Population and Diversity Data'!$B$2:$K$823,10,FALSE)</f>
        <v>4</v>
      </c>
    </row>
    <row r="129" spans="1:18" ht="15.75" hidden="1" customHeight="1" x14ac:dyDescent="0.2">
      <c r="A129" s="195">
        <v>9009150700</v>
      </c>
      <c r="B129" s="195" t="s">
        <v>2984</v>
      </c>
      <c r="C129" s="195" t="s">
        <v>944</v>
      </c>
      <c r="D129" s="88">
        <f>[2]!Table3[[#This Row],[Residential CLM $ Collected]]+[2]!Table3[[#This Row],[C&amp;I CLM $ Collected]]</f>
        <v>454.1302</v>
      </c>
      <c r="E129" s="197">
        <f>[2]!Table3[[#This Row],[CLM $ Collected ]]/'[2]1.) CLM Reference'!$B$4</f>
        <v>1.5605520277774802E-5</v>
      </c>
      <c r="F129" s="89">
        <f>[2]!Table3[[#This Row],[Residential Incentive Disbursements]]+[2]!Table3[[#This Row],[C&amp;I Incentive Disbursements]]</f>
        <v>0</v>
      </c>
      <c r="G129" s="198">
        <f>[2]!Table3[[#This Row],[Incentive Disbursements]]/'[2]1.) CLM Reference'!$B$5</f>
        <v>0</v>
      </c>
      <c r="H129" s="88">
        <v>454.1302</v>
      </c>
      <c r="I129" s="197">
        <f>[2]!Table3[[#This Row],[Residential CLM $ Collected]]/'[2]1.) CLM Reference'!$B$4</f>
        <v>1.5605520277774802E-5</v>
      </c>
      <c r="J129" s="89">
        <v>0</v>
      </c>
      <c r="K129" s="198">
        <f>[2]!Table3[[#This Row],[Residential Incentive Disbursements]]/'[2]1.) CLM Reference'!$B$5</f>
        <v>0</v>
      </c>
      <c r="L129" s="88">
        <v>0</v>
      </c>
      <c r="M129" s="197">
        <f>[2]!Table3[[#This Row],[C&amp;I CLM $ Collected]]/'[2]1.) CLM Reference'!$B$4</f>
        <v>0</v>
      </c>
      <c r="N129" s="89">
        <v>0</v>
      </c>
      <c r="O129" s="198">
        <f>[2]!Table3[[#This Row],[C&amp;I Incentive Disbursements]]/'[2]1.) CLM Reference'!$B$5</f>
        <v>0</v>
      </c>
      <c r="P129" t="str">
        <f t="shared" si="1"/>
        <v>N/A</v>
      </c>
      <c r="Q129" t="str">
        <f>VLOOKUP(Table8[[#This Row],[Census Tract]],'UI EnergyBurden'!$A$2:$B$184,2,FALSE)</f>
        <v>No</v>
      </c>
      <c r="R129">
        <f>VLOOKUP(Table8[[#This Row],[Census Tract]],'Population and Diversity Data'!$B$2:$K$823,10,FALSE)</f>
        <v>3</v>
      </c>
    </row>
    <row r="130" spans="1:18" ht="15.75" customHeight="1" x14ac:dyDescent="0.2">
      <c r="A130" s="195">
        <v>9009140800</v>
      </c>
      <c r="B130" s="195" t="s">
        <v>2998</v>
      </c>
      <c r="C130" s="195" t="s">
        <v>936</v>
      </c>
      <c r="D130" s="88">
        <f>[2]!Table3[[#This Row],[Residential CLM $ Collected]]+[2]!Table3[[#This Row],[C&amp;I CLM $ Collected]]</f>
        <v>0</v>
      </c>
      <c r="E130" s="197">
        <f>[2]!Table3[[#This Row],[CLM $ Collected ]]/'[2]1.) CLM Reference'!$B$4</f>
        <v>0</v>
      </c>
      <c r="F130" s="89">
        <f>[2]!Table3[[#This Row],[Residential Incentive Disbursements]]+[2]!Table3[[#This Row],[C&amp;I Incentive Disbursements]]</f>
        <v>220.1552791986999</v>
      </c>
      <c r="G130" s="198">
        <f>[2]!Table3[[#This Row],[Incentive Disbursements]]/'[2]1.) CLM Reference'!$B$5</f>
        <v>1.3103710305120816E-5</v>
      </c>
      <c r="H130" s="88">
        <v>0</v>
      </c>
      <c r="I130" s="197">
        <f>[2]!Table3[[#This Row],[Residential CLM $ Collected]]/'[2]1.) CLM Reference'!$B$4</f>
        <v>0</v>
      </c>
      <c r="J130" s="89">
        <v>220.1552791986999</v>
      </c>
      <c r="K130" s="198">
        <f>[2]!Table3[[#This Row],[Residential Incentive Disbursements]]/'[2]1.) CLM Reference'!$B$5</f>
        <v>1.3103710305120816E-5</v>
      </c>
      <c r="L130" s="88">
        <v>0</v>
      </c>
      <c r="M130" s="203">
        <f>[2]!Table3[[#This Row],[C&amp;I CLM $ Collected]]/'[2]1.) CLM Reference'!$B$4</f>
        <v>0</v>
      </c>
      <c r="N130" s="89">
        <v>0</v>
      </c>
      <c r="O130" s="198">
        <f>[2]!Table3[[#This Row],[C&amp;I Incentive Disbursements]]/'[2]1.) CLM Reference'!$B$5</f>
        <v>0</v>
      </c>
      <c r="P130" t="str">
        <f t="shared" si="1"/>
        <v>N/A</v>
      </c>
      <c r="Q130" t="str">
        <f>VLOOKUP(Table8[[#This Row],[Census Tract]],'UI EnergyBurden'!$A$2:$B$184,2,FALSE)</f>
        <v>No</v>
      </c>
      <c r="R130">
        <f>VLOOKUP(Table8[[#This Row],[Census Tract]],'Population and Diversity Data'!$B$2:$K$823,10,FALSE)</f>
        <v>4</v>
      </c>
    </row>
    <row r="131" spans="1:18" ht="15.75" customHeight="1" x14ac:dyDescent="0.2">
      <c r="A131" s="195">
        <v>9009140900</v>
      </c>
      <c r="B131" s="195" t="s">
        <v>2998</v>
      </c>
      <c r="C131" s="195" t="s">
        <v>936</v>
      </c>
      <c r="D131" s="88">
        <f>[2]!Table3[[#This Row],[Residential CLM $ Collected]]+[2]!Table3[[#This Row],[C&amp;I CLM $ Collected]]</f>
        <v>0</v>
      </c>
      <c r="E131" s="197">
        <f>[2]!Table3[[#This Row],[CLM $ Collected ]]/'[2]1.) CLM Reference'!$B$4</f>
        <v>0</v>
      </c>
      <c r="F131" s="89">
        <f>[2]!Table3[[#This Row],[Residential Incentive Disbursements]]+[2]!Table3[[#This Row],[C&amp;I Incentive Disbursements]]</f>
        <v>137.83140834478607</v>
      </c>
      <c r="G131" s="198">
        <f>[2]!Table3[[#This Row],[Incentive Disbursements]]/'[2]1.) CLM Reference'!$B$5</f>
        <v>8.2037680516704786E-6</v>
      </c>
      <c r="H131" s="88">
        <v>0</v>
      </c>
      <c r="I131" s="197">
        <f>[2]!Table3[[#This Row],[Residential CLM $ Collected]]/'[2]1.) CLM Reference'!$B$4</f>
        <v>0</v>
      </c>
      <c r="J131" s="89">
        <v>137.83140834478607</v>
      </c>
      <c r="K131" s="198">
        <f>[2]!Table3[[#This Row],[Residential Incentive Disbursements]]/'[2]1.) CLM Reference'!$B$5</f>
        <v>8.2037680516704786E-6</v>
      </c>
      <c r="L131" s="88">
        <v>0</v>
      </c>
      <c r="M131" s="203">
        <f>[2]!Table3[[#This Row],[C&amp;I CLM $ Collected]]/'[2]1.) CLM Reference'!$B$4</f>
        <v>0</v>
      </c>
      <c r="N131" s="89">
        <v>0</v>
      </c>
      <c r="O131" s="198">
        <f>[2]!Table3[[#This Row],[C&amp;I Incentive Disbursements]]/'[2]1.) CLM Reference'!$B$5</f>
        <v>0</v>
      </c>
      <c r="P131" t="str">
        <f t="shared" si="1"/>
        <v>N/A</v>
      </c>
      <c r="Q131" t="str">
        <f>VLOOKUP(Table8[[#This Row],[Census Tract]],'UI EnergyBurden'!$A$2:$B$184,2,FALSE)</f>
        <v>No</v>
      </c>
      <c r="R131">
        <f>VLOOKUP(Table8[[#This Row],[Census Tract]],'Population and Diversity Data'!$B$2:$K$823,10,FALSE)</f>
        <v>3</v>
      </c>
    </row>
    <row r="132" spans="1:18" ht="15.75" customHeight="1" x14ac:dyDescent="0.2">
      <c r="A132" s="195">
        <v>9009141300</v>
      </c>
      <c r="B132" s="195" t="s">
        <v>953</v>
      </c>
      <c r="C132" s="195" t="s">
        <v>936</v>
      </c>
      <c r="D132" s="88">
        <f>[2]!Table3[[#This Row],[Residential CLM $ Collected]]+[2]!Table3[[#This Row],[C&amp;I CLM $ Collected]]</f>
        <v>168.33519999999999</v>
      </c>
      <c r="E132" s="197">
        <f>[2]!Table3[[#This Row],[CLM $ Collected ]]/'[2]1.) CLM Reference'!$B$4</f>
        <v>5.7845930023224098E-6</v>
      </c>
      <c r="F132" s="89">
        <f>[2]!Table3[[#This Row],[Residential Incentive Disbursements]]+[2]!Table3[[#This Row],[C&amp;I Incentive Disbursements]]</f>
        <v>0</v>
      </c>
      <c r="G132" s="198">
        <f>[2]!Table3[[#This Row],[Incentive Disbursements]]/'[2]1.) CLM Reference'!$B$5</f>
        <v>0</v>
      </c>
      <c r="H132" s="88">
        <v>143.75399999999999</v>
      </c>
      <c r="I132" s="197">
        <f>[2]!Table3[[#This Row],[Residential CLM $ Collected]]/'[2]1.) CLM Reference'!$B$4</f>
        <v>4.9398960078216308E-6</v>
      </c>
      <c r="J132" s="89">
        <v>0</v>
      </c>
      <c r="K132" s="198">
        <f>[2]!Table3[[#This Row],[Residential Incentive Disbursements]]/'[2]1.) CLM Reference'!$B$5</f>
        <v>0</v>
      </c>
      <c r="L132" s="88">
        <v>24.581199999999999</v>
      </c>
      <c r="M132" s="203">
        <f>[2]!Table3[[#This Row],[C&amp;I CLM $ Collected]]/'[2]1.) CLM Reference'!$B$4</f>
        <v>8.4469699450077958E-7</v>
      </c>
      <c r="N132" s="89">
        <v>0</v>
      </c>
      <c r="O132" s="198">
        <f>[2]!Table3[[#This Row],[C&amp;I Incentive Disbursements]]/'[2]1.) CLM Reference'!$B$5</f>
        <v>0</v>
      </c>
      <c r="P132" t="str">
        <f t="shared" si="1"/>
        <v>N/A</v>
      </c>
      <c r="Q132" t="str">
        <f>VLOOKUP(Table8[[#This Row],[Census Tract]],'UI EnergyBurden'!$A$2:$B$184,2,FALSE)</f>
        <v>No</v>
      </c>
      <c r="R132">
        <f>VLOOKUP(Table8[[#This Row],[Census Tract]],'Population and Diversity Data'!$B$2:$K$823,10,FALSE)</f>
        <v>3</v>
      </c>
    </row>
    <row r="133" spans="1:18" ht="15.75" hidden="1" customHeight="1" x14ac:dyDescent="0.2">
      <c r="A133" s="195">
        <v>9009141400</v>
      </c>
      <c r="B133" s="195" t="s">
        <v>953</v>
      </c>
      <c r="C133" s="195" t="s">
        <v>944</v>
      </c>
      <c r="D133" s="88">
        <f>[2]!Table3[[#This Row],[Residential CLM $ Collected]]+[2]!Table3[[#This Row],[C&amp;I CLM $ Collected]]</f>
        <v>152.922</v>
      </c>
      <c r="E133" s="197">
        <f>[2]!Table3[[#This Row],[CLM $ Collected ]]/'[2]1.) CLM Reference'!$B$4</f>
        <v>5.2549409220480779E-6</v>
      </c>
      <c r="F133" s="89">
        <f>[2]!Table3[[#This Row],[Residential Incentive Disbursements]]+[2]!Table3[[#This Row],[C&amp;I Incentive Disbursements]]</f>
        <v>0</v>
      </c>
      <c r="G133" s="198">
        <f>[2]!Table3[[#This Row],[Incentive Disbursements]]/'[2]1.) CLM Reference'!$B$5</f>
        <v>0</v>
      </c>
      <c r="H133" s="88">
        <v>152.922</v>
      </c>
      <c r="I133" s="197">
        <f>[2]!Table3[[#This Row],[Residential CLM $ Collected]]/'[2]1.) CLM Reference'!$B$4</f>
        <v>5.2549409220480779E-6</v>
      </c>
      <c r="J133" s="89">
        <v>0</v>
      </c>
      <c r="K133" s="198">
        <f>[2]!Table3[[#This Row],[Residential Incentive Disbursements]]/'[2]1.) CLM Reference'!$B$5</f>
        <v>0</v>
      </c>
      <c r="L133" s="88">
        <v>0</v>
      </c>
      <c r="M133" s="203">
        <f>[2]!Table3[[#This Row],[C&amp;I CLM $ Collected]]/'[2]1.) CLM Reference'!$B$4</f>
        <v>0</v>
      </c>
      <c r="N133" s="89">
        <v>0</v>
      </c>
      <c r="O133" s="198">
        <f>[2]!Table3[[#This Row],[C&amp;I Incentive Disbursements]]/'[2]1.) CLM Reference'!$B$5</f>
        <v>0</v>
      </c>
      <c r="P133" t="str">
        <f t="shared" si="1"/>
        <v>N/A</v>
      </c>
      <c r="Q133" t="str">
        <f>VLOOKUP(Table8[[#This Row],[Census Tract]],'UI EnergyBurden'!$A$2:$B$184,2,FALSE)</f>
        <v>No</v>
      </c>
      <c r="R133">
        <f>VLOOKUP(Table8[[#This Row],[Census Tract]],'Population and Diversity Data'!$B$2:$K$823,10,FALSE)</f>
        <v>5</v>
      </c>
    </row>
    <row r="134" spans="1:18" ht="15.75" customHeight="1" x14ac:dyDescent="0.2">
      <c r="A134" s="195">
        <v>9009141500</v>
      </c>
      <c r="B134" s="195" t="s">
        <v>953</v>
      </c>
      <c r="C134" s="195" t="s">
        <v>936</v>
      </c>
      <c r="D134" s="88">
        <f>[2]!Table3[[#This Row],[Residential CLM $ Collected]]+[2]!Table3[[#This Row],[C&amp;I CLM $ Collected]]</f>
        <v>94.991</v>
      </c>
      <c r="E134" s="197">
        <f>[2]!Table3[[#This Row],[CLM $ Collected ]]/'[2]1.) CLM Reference'!$B$4</f>
        <v>3.2642268158032786E-6</v>
      </c>
      <c r="F134" s="89">
        <f>[2]!Table3[[#This Row],[Residential Incentive Disbursements]]+[2]!Table3[[#This Row],[C&amp;I Incentive Disbursements]]</f>
        <v>0</v>
      </c>
      <c r="G134" s="198">
        <f>[2]!Table3[[#This Row],[Incentive Disbursements]]/'[2]1.) CLM Reference'!$B$5</f>
        <v>0</v>
      </c>
      <c r="H134" s="88">
        <v>94.991</v>
      </c>
      <c r="I134" s="197">
        <f>[2]!Table3[[#This Row],[Residential CLM $ Collected]]/'[2]1.) CLM Reference'!$B$4</f>
        <v>3.2642268158032786E-6</v>
      </c>
      <c r="J134" s="89">
        <v>0</v>
      </c>
      <c r="K134" s="198">
        <f>[2]!Table3[[#This Row],[Residential Incentive Disbursements]]/'[2]1.) CLM Reference'!$B$5</f>
        <v>0</v>
      </c>
      <c r="L134" s="88">
        <v>0</v>
      </c>
      <c r="M134" s="203">
        <f>[2]!Table3[[#This Row],[C&amp;I CLM $ Collected]]/'[2]1.) CLM Reference'!$B$4</f>
        <v>0</v>
      </c>
      <c r="N134" s="89">
        <v>0</v>
      </c>
      <c r="O134" s="198">
        <f>[2]!Table3[[#This Row],[C&amp;I Incentive Disbursements]]/'[2]1.) CLM Reference'!$B$5</f>
        <v>0</v>
      </c>
      <c r="P134" t="str">
        <f t="shared" ref="P134:P197" si="2">IF(ROUND(M134,5)&lt;0.00001,"N/A",IF(ROUND(M134,5)&lt;=ROUND(O134,5),"YES","NO"))</f>
        <v>N/A</v>
      </c>
      <c r="Q134" t="str">
        <f>VLOOKUP(Table8[[#This Row],[Census Tract]],'UI EnergyBurden'!$A$2:$B$184,2,FALSE)</f>
        <v>Yes</v>
      </c>
      <c r="R134">
        <f>VLOOKUP(Table8[[#This Row],[Census Tract]],'Population and Diversity Data'!$B$2:$K$823,10,FALSE)</f>
        <v>3</v>
      </c>
    </row>
    <row r="135" spans="1:18" ht="15.75" hidden="1" customHeight="1" x14ac:dyDescent="0.2">
      <c r="A135" s="195">
        <v>9009141800</v>
      </c>
      <c r="B135" s="195" t="s">
        <v>953</v>
      </c>
      <c r="C135" s="195" t="s">
        <v>944</v>
      </c>
      <c r="D135" s="88">
        <f>[2]!Table3[[#This Row],[Residential CLM $ Collected]]+[2]!Table3[[#This Row],[C&amp;I CLM $ Collected]]</f>
        <v>182.3767</v>
      </c>
      <c r="E135" s="197">
        <f>[2]!Table3[[#This Row],[CLM $ Collected ]]/'[2]1.) CLM Reference'!$B$4</f>
        <v>6.2671086178449517E-6</v>
      </c>
      <c r="F135" s="89">
        <f>[2]!Table3[[#This Row],[Residential Incentive Disbursements]]+[2]!Table3[[#This Row],[C&amp;I Incentive Disbursements]]</f>
        <v>0</v>
      </c>
      <c r="G135" s="198">
        <f>[2]!Table3[[#This Row],[Incentive Disbursements]]/'[2]1.) CLM Reference'!$B$5</f>
        <v>0</v>
      </c>
      <c r="H135" s="88">
        <v>177.19649999999999</v>
      </c>
      <c r="I135" s="197">
        <f>[2]!Table3[[#This Row],[Residential CLM $ Collected]]/'[2]1.) CLM Reference'!$B$4</f>
        <v>6.0890986195164343E-6</v>
      </c>
      <c r="J135" s="89">
        <v>0</v>
      </c>
      <c r="K135" s="198">
        <f>[2]!Table3[[#This Row],[Residential Incentive Disbursements]]/'[2]1.) CLM Reference'!$B$5</f>
        <v>0</v>
      </c>
      <c r="L135" s="88">
        <v>5.1802000000000001</v>
      </c>
      <c r="M135" s="203">
        <f>[2]!Table3[[#This Row],[C&amp;I CLM $ Collected]]/'[2]1.) CLM Reference'!$B$4</f>
        <v>1.7800999832851687E-7</v>
      </c>
      <c r="N135" s="89">
        <v>0</v>
      </c>
      <c r="O135" s="198">
        <f>[2]!Table3[[#This Row],[C&amp;I Incentive Disbursements]]/'[2]1.) CLM Reference'!$B$5</f>
        <v>0</v>
      </c>
      <c r="P135" t="str">
        <f t="shared" si="2"/>
        <v>N/A</v>
      </c>
      <c r="Q135" t="str">
        <f>VLOOKUP(Table8[[#This Row],[Census Tract]],'UI EnergyBurden'!$A$2:$B$184,2,FALSE)</f>
        <v>No</v>
      </c>
      <c r="R135">
        <f>VLOOKUP(Table8[[#This Row],[Census Tract]],'Population and Diversity Data'!$B$2:$K$823,10,FALSE)</f>
        <v>5</v>
      </c>
    </row>
    <row r="136" spans="1:18" ht="15.75" hidden="1" customHeight="1" x14ac:dyDescent="0.2">
      <c r="A136" s="195">
        <v>9009141900</v>
      </c>
      <c r="B136" s="195" t="s">
        <v>953</v>
      </c>
      <c r="C136" s="195" t="s">
        <v>944</v>
      </c>
      <c r="D136" s="88">
        <f>[2]!Table3[[#This Row],[Residential CLM $ Collected]]+[2]!Table3[[#This Row],[C&amp;I CLM $ Collected]]</f>
        <v>41.586100000000002</v>
      </c>
      <c r="E136" s="197">
        <f>[2]!Table3[[#This Row],[CLM $ Collected ]]/'[2]1.) CLM Reference'!$B$4</f>
        <v>1.429045517835129E-6</v>
      </c>
      <c r="F136" s="89">
        <f>[2]!Table3[[#This Row],[Residential Incentive Disbursements]]+[2]!Table3[[#This Row],[C&amp;I Incentive Disbursements]]</f>
        <v>0</v>
      </c>
      <c r="G136" s="198">
        <f>[2]!Table3[[#This Row],[Incentive Disbursements]]/'[2]1.) CLM Reference'!$B$5</f>
        <v>0</v>
      </c>
      <c r="H136" s="88">
        <v>41.586100000000002</v>
      </c>
      <c r="I136" s="197">
        <f>[2]!Table3[[#This Row],[Residential CLM $ Collected]]/'[2]1.) CLM Reference'!$B$4</f>
        <v>1.429045517835129E-6</v>
      </c>
      <c r="J136" s="89">
        <v>0</v>
      </c>
      <c r="K136" s="198">
        <f>[2]!Table3[[#This Row],[Residential Incentive Disbursements]]/'[2]1.) CLM Reference'!$B$5</f>
        <v>0</v>
      </c>
      <c r="L136" s="88">
        <v>0</v>
      </c>
      <c r="M136" s="203">
        <f>[2]!Table3[[#This Row],[C&amp;I CLM $ Collected]]/'[2]1.) CLM Reference'!$B$4</f>
        <v>0</v>
      </c>
      <c r="N136" s="89">
        <v>0</v>
      </c>
      <c r="O136" s="198">
        <f>[2]!Table3[[#This Row],[C&amp;I Incentive Disbursements]]/'[2]1.) CLM Reference'!$B$5</f>
        <v>0</v>
      </c>
      <c r="P136" t="str">
        <f t="shared" si="2"/>
        <v>N/A</v>
      </c>
      <c r="Q136" t="str">
        <f>VLOOKUP(Table8[[#This Row],[Census Tract]],'UI EnergyBurden'!$A$2:$B$184,2,FALSE)</f>
        <v>No</v>
      </c>
      <c r="R136">
        <f>VLOOKUP(Table8[[#This Row],[Census Tract]],'Population and Diversity Data'!$B$2:$K$823,10,FALSE)</f>
        <v>5</v>
      </c>
    </row>
    <row r="137" spans="1:18" ht="15.75" customHeight="1" x14ac:dyDescent="0.2">
      <c r="A137" s="195">
        <v>9009142500</v>
      </c>
      <c r="B137" s="195" t="s">
        <v>953</v>
      </c>
      <c r="C137" s="195" t="s">
        <v>936</v>
      </c>
      <c r="D137" s="88">
        <f>[2]!Table3[[#This Row],[Residential CLM $ Collected]]+[2]!Table3[[#This Row],[C&amp;I CLM $ Collected]]</f>
        <v>682.77530000000002</v>
      </c>
      <c r="E137" s="197">
        <f>[2]!Table3[[#This Row],[CLM $ Collected ]]/'[2]1.) CLM Reference'!$B$4</f>
        <v>2.3462574806330372E-5</v>
      </c>
      <c r="F137" s="89">
        <f>[2]!Table3[[#This Row],[Residential Incentive Disbursements]]+[2]!Table3[[#This Row],[C&amp;I Incentive Disbursements]]</f>
        <v>0</v>
      </c>
      <c r="G137" s="198">
        <f>[2]!Table3[[#This Row],[Incentive Disbursements]]/'[2]1.) CLM Reference'!$B$5</f>
        <v>0</v>
      </c>
      <c r="H137" s="88">
        <v>231.15710000000001</v>
      </c>
      <c r="I137" s="197">
        <f>[2]!Table3[[#This Row],[Residential CLM $ Collected]]/'[2]1.) CLM Reference'!$B$4</f>
        <v>7.9433757354204094E-6</v>
      </c>
      <c r="J137" s="89">
        <v>0</v>
      </c>
      <c r="K137" s="198">
        <f>[2]!Table3[[#This Row],[Residential Incentive Disbursements]]/'[2]1.) CLM Reference'!$B$5</f>
        <v>0</v>
      </c>
      <c r="L137" s="88">
        <v>451.6182</v>
      </c>
      <c r="M137" s="203">
        <f>[2]!Table3[[#This Row],[C&amp;I CLM $ Collected]]/'[2]1.) CLM Reference'!$B$4</f>
        <v>1.5519199070909962E-5</v>
      </c>
      <c r="N137" s="89">
        <v>0</v>
      </c>
      <c r="O137" s="198">
        <f>[2]!Table3[[#This Row],[C&amp;I Incentive Disbursements]]/'[2]1.) CLM Reference'!$B$5</f>
        <v>0</v>
      </c>
      <c r="P137" t="str">
        <f t="shared" si="2"/>
        <v>NO</v>
      </c>
      <c r="Q137" t="str">
        <f>VLOOKUP(Table8[[#This Row],[Census Tract]],'UI EnergyBurden'!$A$2:$B$184,2,FALSE)</f>
        <v>Yes</v>
      </c>
      <c r="R137">
        <f>VLOOKUP(Table8[[#This Row],[Census Tract]],'Population and Diversity Data'!$B$2:$K$823,10,FALSE)</f>
        <v>5</v>
      </c>
    </row>
    <row r="138" spans="1:18" ht="15.75" hidden="1" customHeight="1" x14ac:dyDescent="0.2">
      <c r="A138" s="195">
        <v>9009157200</v>
      </c>
      <c r="B138" s="195" t="s">
        <v>2998</v>
      </c>
      <c r="C138" s="195" t="s">
        <v>944</v>
      </c>
      <c r="D138" s="88">
        <f>[2]!Table3[[#This Row],[Residential CLM $ Collected]]+[2]!Table3[[#This Row],[C&amp;I CLM $ Collected]]</f>
        <v>0</v>
      </c>
      <c r="E138" s="197">
        <f>[2]!Table3[[#This Row],[CLM $ Collected ]]/'[2]1.) CLM Reference'!$B$4</f>
        <v>0</v>
      </c>
      <c r="F138" s="89">
        <f>[2]!Table3[[#This Row],[Residential Incentive Disbursements]]+[2]!Table3[[#This Row],[C&amp;I Incentive Disbursements]]</f>
        <v>172.8716066533791</v>
      </c>
      <c r="G138" s="198">
        <f>[2]!Table3[[#This Row],[Incentive Disbursements]]/'[2]1.) CLM Reference'!$B$5</f>
        <v>1.0289371491846802E-5</v>
      </c>
      <c r="H138" s="88">
        <v>0</v>
      </c>
      <c r="I138" s="197">
        <f>[2]!Table3[[#This Row],[Residential CLM $ Collected]]/'[2]1.) CLM Reference'!$B$4</f>
        <v>0</v>
      </c>
      <c r="J138" s="89">
        <v>172.8716066533791</v>
      </c>
      <c r="K138" s="198">
        <f>[2]!Table3[[#This Row],[Residential Incentive Disbursements]]/'[2]1.) CLM Reference'!$B$5</f>
        <v>1.0289371491846802E-5</v>
      </c>
      <c r="L138" s="88">
        <v>0</v>
      </c>
      <c r="M138" s="203">
        <f>[2]!Table3[[#This Row],[C&amp;I CLM $ Collected]]/'[2]1.) CLM Reference'!$B$4</f>
        <v>0</v>
      </c>
      <c r="N138" s="89">
        <v>0</v>
      </c>
      <c r="O138" s="198">
        <f>[2]!Table3[[#This Row],[C&amp;I Incentive Disbursements]]/'[2]1.) CLM Reference'!$B$5</f>
        <v>0</v>
      </c>
      <c r="P138" t="str">
        <f t="shared" si="2"/>
        <v>N/A</v>
      </c>
      <c r="Q138" t="str">
        <f>VLOOKUP(Table8[[#This Row],[Census Tract]],'UI EnergyBurden'!$A$2:$B$184,2,FALSE)</f>
        <v>No</v>
      </c>
      <c r="R138">
        <f>VLOOKUP(Table8[[#This Row],[Census Tract]],'Population and Diversity Data'!$B$2:$K$823,10,FALSE)</f>
        <v>2</v>
      </c>
    </row>
    <row r="139" spans="1:18" ht="15.75" hidden="1" customHeight="1" x14ac:dyDescent="0.2">
      <c r="A139" s="195">
        <v>9009165100</v>
      </c>
      <c r="B139" s="195" t="s">
        <v>953</v>
      </c>
      <c r="C139" s="195" t="s">
        <v>944</v>
      </c>
      <c r="D139" s="88">
        <f>[2]!Table3[[#This Row],[Residential CLM $ Collected]]+[2]!Table3[[#This Row],[C&amp;I CLM $ Collected]]</f>
        <v>88673.902800000098</v>
      </c>
      <c r="E139" s="197">
        <f>[2]!Table3[[#This Row],[CLM $ Collected ]]/'[2]1.) CLM Reference'!$B$4</f>
        <v>3.0471490076080235E-3</v>
      </c>
      <c r="F139" s="89">
        <f>[2]!Table3[[#This Row],[Residential Incentive Disbursements]]+[2]!Table3[[#This Row],[C&amp;I Incentive Disbursements]]</f>
        <v>67888.61475040947</v>
      </c>
      <c r="G139" s="198">
        <f>[2]!Table3[[#This Row],[Incentive Disbursements]]/'[2]1.) CLM Reference'!$B$5</f>
        <v>4.0407513457918071E-3</v>
      </c>
      <c r="H139" s="88">
        <v>60626.775900000102</v>
      </c>
      <c r="I139" s="197">
        <f>[2]!Table3[[#This Row],[Residential CLM $ Collected]]/'[2]1.) CLM Reference'!$B$4</f>
        <v>2.0833505031895264E-3</v>
      </c>
      <c r="J139" s="89">
        <v>41345.829001136641</v>
      </c>
      <c r="K139" s="198">
        <f>[2]!Table3[[#This Row],[Residential Incentive Disbursements]]/'[2]1.) CLM Reference'!$B$5</f>
        <v>2.4609165291329372E-3</v>
      </c>
      <c r="L139" s="88">
        <v>28047.126899999999</v>
      </c>
      <c r="M139" s="203">
        <f>[2]!Table3[[#This Row],[C&amp;I CLM $ Collected]]/'[2]1.) CLM Reference'!$B$4</f>
        <v>9.637985044184974E-4</v>
      </c>
      <c r="N139" s="89">
        <v>26542.785749272829</v>
      </c>
      <c r="O139" s="198">
        <f>[2]!Table3[[#This Row],[C&amp;I Incentive Disbursements]]/'[2]1.) CLM Reference'!$B$5</f>
        <v>1.5798348166588697E-3</v>
      </c>
      <c r="P139" t="str">
        <f t="shared" si="2"/>
        <v>YES</v>
      </c>
      <c r="Q139" t="str">
        <f>VLOOKUP(Table8[[#This Row],[Census Tract]],'UI EnergyBurden'!$A$2:$B$184,2,FALSE)</f>
        <v>No</v>
      </c>
      <c r="R139">
        <f>VLOOKUP(Table8[[#This Row],[Census Tract]],'Population and Diversity Data'!$B$2:$K$823,10,FALSE)</f>
        <v>5</v>
      </c>
    </row>
    <row r="140" spans="1:18" ht="15.75" hidden="1" customHeight="1" x14ac:dyDescent="0.2">
      <c r="A140" s="195">
        <v>9009165200</v>
      </c>
      <c r="B140" s="195" t="s">
        <v>953</v>
      </c>
      <c r="C140" s="195" t="s">
        <v>944</v>
      </c>
      <c r="D140" s="88">
        <f>[2]!Table3[[#This Row],[Residential CLM $ Collected]]+[2]!Table3[[#This Row],[C&amp;I CLM $ Collected]]</f>
        <v>59173.9615999999</v>
      </c>
      <c r="E140" s="197">
        <f>[2]!Table3[[#This Row],[CLM $ Collected ]]/'[2]1.) CLM Reference'!$B$4</f>
        <v>2.0334266641264241E-3</v>
      </c>
      <c r="F140" s="89">
        <f>[2]!Table3[[#This Row],[Residential Incentive Disbursements]]+[2]!Table3[[#This Row],[C&amp;I Incentive Disbursements]]</f>
        <v>22426.766982634501</v>
      </c>
      <c r="G140" s="198">
        <f>[2]!Table3[[#This Row],[Incentive Disbursements]]/'[2]1.) CLM Reference'!$B$5</f>
        <v>1.3348481067113399E-3</v>
      </c>
      <c r="H140" s="88">
        <v>48468.042599999899</v>
      </c>
      <c r="I140" s="197">
        <f>[2]!Table3[[#This Row],[Residential CLM $ Collected]]/'[2]1.) CLM Reference'!$B$4</f>
        <v>1.6655334122644813E-3</v>
      </c>
      <c r="J140" s="89">
        <v>18985.367471244685</v>
      </c>
      <c r="K140" s="198">
        <f>[2]!Table3[[#This Row],[Residential Incentive Disbursements]]/'[2]1.) CLM Reference'!$B$5</f>
        <v>1.1300149434750582E-3</v>
      </c>
      <c r="L140" s="88">
        <v>10705.919</v>
      </c>
      <c r="M140" s="203">
        <f>[2]!Table3[[#This Row],[C&amp;I CLM $ Collected]]/'[2]1.) CLM Reference'!$B$4</f>
        <v>3.6789325186194292E-4</v>
      </c>
      <c r="N140" s="89">
        <v>3441.3995113898177</v>
      </c>
      <c r="O140" s="198">
        <f>[2]!Table3[[#This Row],[C&amp;I Incentive Disbursements]]/'[2]1.) CLM Reference'!$B$5</f>
        <v>2.0483316323628183E-4</v>
      </c>
      <c r="P140" t="str">
        <f t="shared" si="2"/>
        <v>NO</v>
      </c>
      <c r="Q140" t="str">
        <f>VLOOKUP(Table8[[#This Row],[Census Tract]],'UI EnergyBurden'!$A$2:$B$184,2,FALSE)</f>
        <v>No</v>
      </c>
      <c r="R140">
        <f>VLOOKUP(Table8[[#This Row],[Census Tract]],'Population and Diversity Data'!$B$2:$K$823,10,FALSE)</f>
        <v>3</v>
      </c>
    </row>
    <row r="141" spans="1:18" ht="15.75" hidden="1" customHeight="1" x14ac:dyDescent="0.2">
      <c r="A141" s="195">
        <v>9009165300</v>
      </c>
      <c r="B141" s="195" t="s">
        <v>953</v>
      </c>
      <c r="C141" s="195" t="s">
        <v>944</v>
      </c>
      <c r="D141" s="88">
        <f>[2]!Table3[[#This Row],[Residential CLM $ Collected]]+[2]!Table3[[#This Row],[C&amp;I CLM $ Collected]]</f>
        <v>48786.757100000003</v>
      </c>
      <c r="E141" s="197">
        <f>[2]!Table3[[#This Row],[CLM $ Collected ]]/'[2]1.) CLM Reference'!$B$4</f>
        <v>1.6764855700213811E-3</v>
      </c>
      <c r="F141" s="89">
        <f>[2]!Table3[[#This Row],[Residential Incentive Disbursements]]+[2]!Table3[[#This Row],[C&amp;I Incentive Disbursements]]</f>
        <v>19912.094560103516</v>
      </c>
      <c r="G141" s="198">
        <f>[2]!Table3[[#This Row],[Incentive Disbursements]]/'[2]1.) CLM Reference'!$B$5</f>
        <v>1.1851740264119427E-3</v>
      </c>
      <c r="H141" s="88">
        <v>34716.817999999999</v>
      </c>
      <c r="I141" s="197">
        <f>[2]!Table3[[#This Row],[Residential CLM $ Collected]]/'[2]1.) CLM Reference'!$B$4</f>
        <v>1.1929926864119964E-3</v>
      </c>
      <c r="J141" s="89">
        <v>19427.680732504472</v>
      </c>
      <c r="K141" s="198">
        <f>[2]!Table3[[#This Row],[Residential Incentive Disbursements]]/'[2]1.) CLM Reference'!$B$5</f>
        <v>1.156341565579043E-3</v>
      </c>
      <c r="L141" s="88">
        <v>14069.9391</v>
      </c>
      <c r="M141" s="203">
        <f>[2]!Table3[[#This Row],[C&amp;I CLM $ Collected]]/'[2]1.) CLM Reference'!$B$4</f>
        <v>4.8349288360938458E-4</v>
      </c>
      <c r="N141" s="89">
        <v>484.41382759904593</v>
      </c>
      <c r="O141" s="198">
        <f>[2]!Table3[[#This Row],[C&amp;I Incentive Disbursements]]/'[2]1.) CLM Reference'!$B$5</f>
        <v>2.8832460832899809E-5</v>
      </c>
      <c r="P141" t="str">
        <f t="shared" si="2"/>
        <v>NO</v>
      </c>
      <c r="Q141" t="str">
        <f>VLOOKUP(Table8[[#This Row],[Census Tract]],'UI EnergyBurden'!$A$2:$B$184,2,FALSE)</f>
        <v>No</v>
      </c>
      <c r="R141">
        <f>VLOOKUP(Table8[[#This Row],[Census Tract]],'Population and Diversity Data'!$B$2:$K$823,10,FALSE)</f>
        <v>2</v>
      </c>
    </row>
    <row r="142" spans="1:18" ht="15.75" hidden="1" customHeight="1" x14ac:dyDescent="0.2">
      <c r="A142" s="195">
        <v>9009165400</v>
      </c>
      <c r="B142" s="195" t="s">
        <v>953</v>
      </c>
      <c r="C142" s="195" t="s">
        <v>944</v>
      </c>
      <c r="D142" s="88">
        <f>[2]!Table3[[#This Row],[Residential CLM $ Collected]]+[2]!Table3[[#This Row],[C&amp;I CLM $ Collected]]</f>
        <v>103157.10000000021</v>
      </c>
      <c r="E142" s="197">
        <f>[2]!Table3[[#This Row],[CLM $ Collected ]]/'[2]1.) CLM Reference'!$B$4</f>
        <v>3.5448429015433156E-3</v>
      </c>
      <c r="F142" s="89">
        <f>[2]!Table3[[#This Row],[Residential Incentive Disbursements]]+[2]!Table3[[#This Row],[C&amp;I Incentive Disbursements]]</f>
        <v>175113.67682787884</v>
      </c>
      <c r="G142" s="198">
        <f>[2]!Table3[[#This Row],[Incentive Disbursements]]/'[2]1.) CLM Reference'!$B$5</f>
        <v>1.0422820202035941E-2</v>
      </c>
      <c r="H142" s="88">
        <v>82247.570100000201</v>
      </c>
      <c r="I142" s="197">
        <f>[2]!Table3[[#This Row],[Residential CLM $ Collected]]/'[2]1.) CLM Reference'!$B$4</f>
        <v>2.8263174811832764E-3</v>
      </c>
      <c r="J142" s="89">
        <v>132744.2874101249</v>
      </c>
      <c r="K142" s="198">
        <f>[2]!Table3[[#This Row],[Residential Incentive Disbursements]]/'[2]1.) CLM Reference'!$B$5</f>
        <v>7.9009810403503841E-3</v>
      </c>
      <c r="L142" s="88">
        <v>20909.529900000001</v>
      </c>
      <c r="M142" s="203">
        <f>[2]!Table3[[#This Row],[C&amp;I CLM $ Collected]]/'[2]1.) CLM Reference'!$B$4</f>
        <v>7.185254203600389E-4</v>
      </c>
      <c r="N142" s="89">
        <v>42369.389417753933</v>
      </c>
      <c r="O142" s="198">
        <f>[2]!Table3[[#This Row],[C&amp;I Incentive Disbursements]]/'[2]1.) CLM Reference'!$B$5</f>
        <v>2.521839161685557E-3</v>
      </c>
      <c r="P142" t="str">
        <f t="shared" si="2"/>
        <v>YES</v>
      </c>
      <c r="Q142" t="str">
        <f>VLOOKUP(Table8[[#This Row],[Census Tract]],'UI EnergyBurden'!$A$2:$B$184,2,FALSE)</f>
        <v>No</v>
      </c>
      <c r="R142">
        <f>VLOOKUP(Table8[[#This Row],[Census Tract]],'Population and Diversity Data'!$B$2:$K$823,10,FALSE)</f>
        <v>3</v>
      </c>
    </row>
    <row r="143" spans="1:18" ht="15.75" customHeight="1" x14ac:dyDescent="0.2">
      <c r="A143" s="195">
        <v>9009165500</v>
      </c>
      <c r="B143" s="195" t="s">
        <v>953</v>
      </c>
      <c r="C143" s="195" t="s">
        <v>936</v>
      </c>
      <c r="D143" s="88">
        <f>[2]!Table3[[#This Row],[Residential CLM $ Collected]]+[2]!Table3[[#This Row],[C&amp;I CLM $ Collected]]</f>
        <v>107105.2402</v>
      </c>
      <c r="E143" s="197">
        <f>[2]!Table3[[#This Row],[CLM $ Collected ]]/'[2]1.) CLM Reference'!$B$4</f>
        <v>3.6805149664062E-3</v>
      </c>
      <c r="F143" s="89">
        <f>[2]!Table3[[#This Row],[Residential Incentive Disbursements]]+[2]!Table3[[#This Row],[C&amp;I Incentive Disbursements]]</f>
        <v>112096.58651364474</v>
      </c>
      <c r="G143" s="198">
        <f>[2]!Table3[[#This Row],[Incentive Disbursements]]/'[2]1.) CLM Reference'!$B$5</f>
        <v>6.67202349729703E-3</v>
      </c>
      <c r="H143" s="88">
        <v>67465.568400000004</v>
      </c>
      <c r="I143" s="197">
        <f>[2]!Table3[[#This Row],[Residential CLM $ Collected]]/'[2]1.) CLM Reference'!$B$4</f>
        <v>2.3183556075279796E-3</v>
      </c>
      <c r="J143" s="89">
        <v>59812.183952561987</v>
      </c>
      <c r="K143" s="198">
        <f>[2]!Table3[[#This Row],[Residential Incentive Disbursements]]/'[2]1.) CLM Reference'!$B$5</f>
        <v>3.5600396869138393E-3</v>
      </c>
      <c r="L143" s="88">
        <v>39639.671799999996</v>
      </c>
      <c r="M143" s="203">
        <f>[2]!Table3[[#This Row],[C&amp;I CLM $ Collected]]/'[2]1.) CLM Reference'!$B$4</f>
        <v>1.3621593588782203E-3</v>
      </c>
      <c r="N143" s="89">
        <v>52284.402561082752</v>
      </c>
      <c r="O143" s="198">
        <f>[2]!Table3[[#This Row],[C&amp;I Incentive Disbursements]]/'[2]1.) CLM Reference'!$B$5</f>
        <v>3.1119838103831903E-3</v>
      </c>
      <c r="P143" t="str">
        <f t="shared" si="2"/>
        <v>YES</v>
      </c>
      <c r="Q143" t="str">
        <f>VLOOKUP(Table8[[#This Row],[Census Tract]],'UI EnergyBurden'!$A$2:$B$184,2,FALSE)</f>
        <v>Yes</v>
      </c>
      <c r="R143">
        <f>VLOOKUP(Table8[[#This Row],[Census Tract]],'Population and Diversity Data'!$B$2:$K$823,10,FALSE)</f>
        <v>4</v>
      </c>
    </row>
    <row r="144" spans="1:18" ht="15.75" hidden="1" customHeight="1" x14ac:dyDescent="0.2">
      <c r="A144" s="195">
        <v>9009165600</v>
      </c>
      <c r="B144" s="195" t="s">
        <v>953</v>
      </c>
      <c r="C144" s="195" t="s">
        <v>944</v>
      </c>
      <c r="D144" s="88">
        <f>[2]!Table3[[#This Row],[Residential CLM $ Collected]]+[2]!Table3[[#This Row],[C&amp;I CLM $ Collected]]</f>
        <v>139055.67680000019</v>
      </c>
      <c r="E144" s="197">
        <f>[2]!Table3[[#This Row],[CLM $ Collected ]]/'[2]1.) CLM Reference'!$B$4</f>
        <v>4.7784450011078361E-3</v>
      </c>
      <c r="F144" s="89">
        <f>[2]!Table3[[#This Row],[Residential Incentive Disbursements]]+[2]!Table3[[#This Row],[C&amp;I Incentive Disbursements]]</f>
        <v>76808.837271269149</v>
      </c>
      <c r="G144" s="198">
        <f>[2]!Table3[[#This Row],[Incentive Disbursements]]/'[2]1.) CLM Reference'!$B$5</f>
        <v>4.5716857489821261E-3</v>
      </c>
      <c r="H144" s="88">
        <v>85902.613000000201</v>
      </c>
      <c r="I144" s="197">
        <f>[2]!Table3[[#This Row],[Residential CLM $ Collected]]/'[2]1.) CLM Reference'!$B$4</f>
        <v>2.9519176859088966E-3</v>
      </c>
      <c r="J144" s="89">
        <v>41845.496263519286</v>
      </c>
      <c r="K144" s="198">
        <f>[2]!Table3[[#This Row],[Residential Incentive Disbursements]]/'[2]1.) CLM Reference'!$B$5</f>
        <v>2.4906568791215724E-3</v>
      </c>
      <c r="L144" s="88">
        <v>53153.063800000004</v>
      </c>
      <c r="M144" s="203">
        <f>[2]!Table3[[#This Row],[C&amp;I CLM $ Collected]]/'[2]1.) CLM Reference'!$B$4</f>
        <v>1.8265273151989402E-3</v>
      </c>
      <c r="N144" s="89">
        <v>34963.341007749863</v>
      </c>
      <c r="O144" s="198">
        <f>[2]!Table3[[#This Row],[C&amp;I Incentive Disbursements]]/'[2]1.) CLM Reference'!$B$5</f>
        <v>2.0810288698605538E-3</v>
      </c>
      <c r="P144" t="str">
        <f t="shared" si="2"/>
        <v>YES</v>
      </c>
      <c r="Q144" t="str">
        <f>VLOOKUP(Table8[[#This Row],[Census Tract]],'UI EnergyBurden'!$A$2:$B$184,2,FALSE)</f>
        <v>No</v>
      </c>
      <c r="R144">
        <f>VLOOKUP(Table8[[#This Row],[Census Tract]],'Population and Diversity Data'!$B$2:$K$823,10,FALSE)</f>
        <v>5</v>
      </c>
    </row>
    <row r="145" spans="1:18" ht="15.75" hidden="1" customHeight="1" x14ac:dyDescent="0.2">
      <c r="A145" s="195">
        <v>9009165700</v>
      </c>
      <c r="B145" s="195" t="s">
        <v>953</v>
      </c>
      <c r="C145" s="195" t="s">
        <v>944</v>
      </c>
      <c r="D145" s="88">
        <f>[2]!Table3[[#This Row],[Residential CLM $ Collected]]+[2]!Table3[[#This Row],[C&amp;I CLM $ Collected]]</f>
        <v>70767.650900000008</v>
      </c>
      <c r="E145" s="197">
        <f>[2]!Table3[[#This Row],[CLM $ Collected ]]/'[2]1.) CLM Reference'!$B$4</f>
        <v>2.4318268442187689E-3</v>
      </c>
      <c r="F145" s="89">
        <f>[2]!Table3[[#This Row],[Residential Incentive Disbursements]]+[2]!Table3[[#This Row],[C&amp;I Incentive Disbursements]]</f>
        <v>76277.412637469548</v>
      </c>
      <c r="G145" s="198">
        <f>[2]!Table3[[#This Row],[Incentive Disbursements]]/'[2]1.) CLM Reference'!$B$5</f>
        <v>4.540055190425182E-3</v>
      </c>
      <c r="H145" s="88">
        <v>67016.043900000004</v>
      </c>
      <c r="I145" s="197">
        <f>[2]!Table3[[#This Row],[Residential CLM $ Collected]]/'[2]1.) CLM Reference'!$B$4</f>
        <v>2.3029083553960878E-3</v>
      </c>
      <c r="J145" s="89">
        <v>76277.412637469548</v>
      </c>
      <c r="K145" s="198">
        <f>[2]!Table3[[#This Row],[Residential Incentive Disbursements]]/'[2]1.) CLM Reference'!$B$5</f>
        <v>4.540055190425182E-3</v>
      </c>
      <c r="L145" s="88">
        <v>3751.607</v>
      </c>
      <c r="M145" s="203">
        <f>[2]!Table3[[#This Row],[C&amp;I CLM $ Collected]]/'[2]1.) CLM Reference'!$B$4</f>
        <v>1.2891848882268101E-4</v>
      </c>
      <c r="N145" s="89">
        <v>0</v>
      </c>
      <c r="O145" s="198">
        <f>[2]!Table3[[#This Row],[C&amp;I Incentive Disbursements]]/'[2]1.) CLM Reference'!$B$5</f>
        <v>0</v>
      </c>
      <c r="P145" t="str">
        <f t="shared" si="2"/>
        <v>NO</v>
      </c>
      <c r="Q145" t="str">
        <f>VLOOKUP(Table8[[#This Row],[Census Tract]],'UI EnergyBurden'!$A$2:$B$184,2,FALSE)</f>
        <v>No</v>
      </c>
      <c r="R145">
        <f>VLOOKUP(Table8[[#This Row],[Census Tract]],'Population and Diversity Data'!$B$2:$K$823,10,FALSE)</f>
        <v>4</v>
      </c>
    </row>
    <row r="146" spans="1:18" ht="15.75" hidden="1" customHeight="1" x14ac:dyDescent="0.2">
      <c r="A146" s="195">
        <v>9009165801</v>
      </c>
      <c r="B146" s="195" t="s">
        <v>953</v>
      </c>
      <c r="C146" s="195" t="s">
        <v>944</v>
      </c>
      <c r="D146" s="88">
        <f>[2]!Table3[[#This Row],[Residential CLM $ Collected]]+[2]!Table3[[#This Row],[C&amp;I CLM $ Collected]]</f>
        <v>144128.05559999999</v>
      </c>
      <c r="E146" s="197">
        <f>[2]!Table3[[#This Row],[CLM $ Collected ]]/'[2]1.) CLM Reference'!$B$4</f>
        <v>4.9527498815583153E-3</v>
      </c>
      <c r="F146" s="89">
        <f>[2]!Table3[[#This Row],[Residential Incentive Disbursements]]+[2]!Table3[[#This Row],[C&amp;I Incentive Disbursements]]</f>
        <v>80825.405083032427</v>
      </c>
      <c r="G146" s="198">
        <f>[2]!Table3[[#This Row],[Incentive Disbursements]]/'[2]1.) CLM Reference'!$B$5</f>
        <v>4.81075310733839E-3</v>
      </c>
      <c r="H146" s="88">
        <v>77328.733099999998</v>
      </c>
      <c r="I146" s="197">
        <f>[2]!Table3[[#This Row],[Residential CLM $ Collected]]/'[2]1.) CLM Reference'!$B$4</f>
        <v>2.6572888401755388E-3</v>
      </c>
      <c r="J146" s="89">
        <v>17862.944840057709</v>
      </c>
      <c r="K146" s="198">
        <f>[2]!Table3[[#This Row],[Residential Incentive Disbursements]]/'[2]1.) CLM Reference'!$B$5</f>
        <v>1.0632080013362277E-3</v>
      </c>
      <c r="L146" s="88">
        <v>66799.322499999995</v>
      </c>
      <c r="M146" s="203">
        <f>[2]!Table3[[#This Row],[C&amp;I CLM $ Collected]]/'[2]1.) CLM Reference'!$B$4</f>
        <v>2.2954610413827761E-3</v>
      </c>
      <c r="N146" s="89">
        <v>62962.460242974717</v>
      </c>
      <c r="O146" s="198">
        <f>[2]!Table3[[#This Row],[C&amp;I Incentive Disbursements]]/'[2]1.) CLM Reference'!$B$5</f>
        <v>3.7475451060021625E-3</v>
      </c>
      <c r="P146" t="str">
        <f t="shared" si="2"/>
        <v>YES</v>
      </c>
      <c r="Q146" t="str">
        <f>VLOOKUP(Table8[[#This Row],[Census Tract]],'UI EnergyBurden'!$A$2:$B$184,2,FALSE)</f>
        <v>No</v>
      </c>
      <c r="R146">
        <f>VLOOKUP(Table8[[#This Row],[Census Tract]],'Population and Diversity Data'!$B$2:$K$823,10,FALSE)</f>
        <v>4</v>
      </c>
    </row>
    <row r="147" spans="1:18" ht="15.75" hidden="1" customHeight="1" x14ac:dyDescent="0.2">
      <c r="A147" s="195">
        <v>9009165802</v>
      </c>
      <c r="B147" s="195" t="s">
        <v>953</v>
      </c>
      <c r="C147" s="195" t="s">
        <v>944</v>
      </c>
      <c r="D147" s="88">
        <f>[2]!Table3[[#This Row],[Residential CLM $ Collected]]+[2]!Table3[[#This Row],[C&amp;I CLM $ Collected]]</f>
        <v>84035.247599999901</v>
      </c>
      <c r="E147" s="197">
        <f>[2]!Table3[[#This Row],[CLM $ Collected ]]/'[2]1.) CLM Reference'!$B$4</f>
        <v>2.8877484044655577E-3</v>
      </c>
      <c r="F147" s="89">
        <f>[2]!Table3[[#This Row],[Residential Incentive Disbursements]]+[2]!Table3[[#This Row],[C&amp;I Incentive Disbursements]]</f>
        <v>74829.664585611186</v>
      </c>
      <c r="G147" s="198">
        <f>[2]!Table3[[#This Row],[Incentive Disbursements]]/'[2]1.) CLM Reference'!$B$5</f>
        <v>4.4538847786349065E-3</v>
      </c>
      <c r="H147" s="88">
        <v>76841.958499999906</v>
      </c>
      <c r="I147" s="197">
        <f>[2]!Table3[[#This Row],[Residential CLM $ Collected]]/'[2]1.) CLM Reference'!$B$4</f>
        <v>2.6405615428255558E-3</v>
      </c>
      <c r="J147" s="89">
        <v>71150.180831295031</v>
      </c>
      <c r="K147" s="198">
        <f>[2]!Table3[[#This Row],[Residential Incentive Disbursements]]/'[2]1.) CLM Reference'!$B$5</f>
        <v>4.2348807676275612E-3</v>
      </c>
      <c r="L147" s="88">
        <v>7193.2891</v>
      </c>
      <c r="M147" s="203">
        <f>[2]!Table3[[#This Row],[C&amp;I CLM $ Collected]]/'[2]1.) CLM Reference'!$B$4</f>
        <v>2.4718686164000201E-4</v>
      </c>
      <c r="N147" s="89">
        <v>3679.4837543161575</v>
      </c>
      <c r="O147" s="198">
        <f>[2]!Table3[[#This Row],[C&amp;I Incentive Disbursements]]/'[2]1.) CLM Reference'!$B$5</f>
        <v>2.1900401100734536E-4</v>
      </c>
      <c r="P147" t="str">
        <f t="shared" si="2"/>
        <v>NO</v>
      </c>
      <c r="Q147" t="str">
        <f>VLOOKUP(Table8[[#This Row],[Census Tract]],'UI EnergyBurden'!$A$2:$B$184,2,FALSE)</f>
        <v>No</v>
      </c>
      <c r="R147">
        <f>VLOOKUP(Table8[[#This Row],[Census Tract]],'Population and Diversity Data'!$B$2:$K$823,10,FALSE)</f>
        <v>3</v>
      </c>
    </row>
    <row r="148" spans="1:18" ht="15.75" hidden="1" customHeight="1" x14ac:dyDescent="0.2">
      <c r="A148" s="195">
        <v>9009165900</v>
      </c>
      <c r="B148" s="195" t="s">
        <v>953</v>
      </c>
      <c r="C148" s="195" t="s">
        <v>944</v>
      </c>
      <c r="D148" s="88">
        <f>[2]!Table3[[#This Row],[Residential CLM $ Collected]]+[2]!Table3[[#This Row],[C&amp;I CLM $ Collected]]</f>
        <v>205920.86439999999</v>
      </c>
      <c r="E148" s="197">
        <f>[2]!Table3[[#This Row],[CLM $ Collected ]]/'[2]1.) CLM Reference'!$B$4</f>
        <v>7.0761694003418293E-3</v>
      </c>
      <c r="F148" s="89">
        <f>[2]!Table3[[#This Row],[Residential Incentive Disbursements]]+[2]!Table3[[#This Row],[C&amp;I Incentive Disbursements]]</f>
        <v>104614.31256077079</v>
      </c>
      <c r="G148" s="198">
        <f>[2]!Table3[[#This Row],[Incentive Disbursements]]/'[2]1.) CLM Reference'!$B$5</f>
        <v>6.2266762375862098E-3</v>
      </c>
      <c r="H148" s="88">
        <v>144930.68359999999</v>
      </c>
      <c r="I148" s="197">
        <f>[2]!Table3[[#This Row],[Residential CLM $ Collected]]/'[2]1.) CLM Reference'!$B$4</f>
        <v>4.9803310191472924E-3</v>
      </c>
      <c r="J148" s="89">
        <v>92801.685547901579</v>
      </c>
      <c r="K148" s="198">
        <f>[2]!Table3[[#This Row],[Residential Incentive Disbursements]]/'[2]1.) CLM Reference'!$B$5</f>
        <v>5.5235850245002925E-3</v>
      </c>
      <c r="L148" s="88">
        <v>60990.180800000002</v>
      </c>
      <c r="M148" s="203">
        <f>[2]!Table3[[#This Row],[C&amp;I CLM $ Collected]]/'[2]1.) CLM Reference'!$B$4</f>
        <v>2.0958383811945369E-3</v>
      </c>
      <c r="N148" s="89">
        <v>11812.62701286921</v>
      </c>
      <c r="O148" s="198">
        <f>[2]!Table3[[#This Row],[C&amp;I Incentive Disbursements]]/'[2]1.) CLM Reference'!$B$5</f>
        <v>7.030912130859176E-4</v>
      </c>
      <c r="P148" t="str">
        <f t="shared" si="2"/>
        <v>NO</v>
      </c>
      <c r="Q148" t="str">
        <f>VLOOKUP(Table8[[#This Row],[Census Tract]],'UI EnergyBurden'!$A$2:$B$184,2,FALSE)</f>
        <v>No</v>
      </c>
      <c r="R148">
        <f>VLOOKUP(Table8[[#This Row],[Census Tract]],'Population and Diversity Data'!$B$2:$K$823,10,FALSE)</f>
        <v>3</v>
      </c>
    </row>
    <row r="149" spans="1:18" ht="15.75" hidden="1" customHeight="1" x14ac:dyDescent="0.2">
      <c r="A149" s="195">
        <v>9009166001</v>
      </c>
      <c r="B149" s="195" t="s">
        <v>953</v>
      </c>
      <c r="C149" s="195" t="s">
        <v>944</v>
      </c>
      <c r="D149" s="88">
        <f>[2]!Table3[[#This Row],[Residential CLM $ Collected]]+[2]!Table3[[#This Row],[C&amp;I CLM $ Collected]]</f>
        <v>167033.9798</v>
      </c>
      <c r="E149" s="197">
        <f>[2]!Table3[[#This Row],[CLM $ Collected ]]/'[2]1.) CLM Reference'!$B$4</f>
        <v>5.7398784728395656E-3</v>
      </c>
      <c r="F149" s="89">
        <f>[2]!Table3[[#This Row],[Residential Incentive Disbursements]]+[2]!Table3[[#This Row],[C&amp;I Incentive Disbursements]]</f>
        <v>115063.20627271209</v>
      </c>
      <c r="G149" s="198">
        <f>[2]!Table3[[#This Row],[Incentive Disbursements]]/'[2]1.) CLM Reference'!$B$5</f>
        <v>6.8485976228403952E-3</v>
      </c>
      <c r="H149" s="88">
        <v>103220.78479999999</v>
      </c>
      <c r="I149" s="197">
        <f>[2]!Table3[[#This Row],[Residential CLM $ Collected]]/'[2]1.) CLM Reference'!$B$4</f>
        <v>3.5470313365731435E-3</v>
      </c>
      <c r="J149" s="89">
        <v>90071.575439474502</v>
      </c>
      <c r="K149" s="198">
        <f>[2]!Table3[[#This Row],[Residential Incentive Disbursements]]/'[2]1.) CLM Reference'!$B$5</f>
        <v>5.3610880265081515E-3</v>
      </c>
      <c r="L149" s="88">
        <v>63813.195</v>
      </c>
      <c r="M149" s="203">
        <f>[2]!Table3[[#This Row],[C&amp;I CLM $ Collected]]/'[2]1.) CLM Reference'!$B$4</f>
        <v>2.1928471362664221E-3</v>
      </c>
      <c r="N149" s="89">
        <v>24991.630833237588</v>
      </c>
      <c r="O149" s="198">
        <f>[2]!Table3[[#This Row],[C&amp;I Incentive Disbursements]]/'[2]1.) CLM Reference'!$B$5</f>
        <v>1.4875095963322439E-3</v>
      </c>
      <c r="P149" t="str">
        <f t="shared" si="2"/>
        <v>NO</v>
      </c>
      <c r="Q149" t="str">
        <f>VLOOKUP(Table8[[#This Row],[Census Tract]],'UI EnergyBurden'!$A$2:$B$184,2,FALSE)</f>
        <v>No</v>
      </c>
      <c r="R149">
        <f>VLOOKUP(Table8[[#This Row],[Census Tract]],'Population and Diversity Data'!$B$2:$K$823,10,FALSE)</f>
        <v>4</v>
      </c>
    </row>
    <row r="150" spans="1:18" ht="15.75" hidden="1" customHeight="1" x14ac:dyDescent="0.2">
      <c r="A150" s="195">
        <v>9009166002</v>
      </c>
      <c r="B150" s="195" t="s">
        <v>953</v>
      </c>
      <c r="C150" s="195" t="s">
        <v>944</v>
      </c>
      <c r="D150" s="88">
        <f>[2]!Table3[[#This Row],[Residential CLM $ Collected]]+[2]!Table3[[#This Row],[C&amp;I CLM $ Collected]]</f>
        <v>128871.69100000011</v>
      </c>
      <c r="E150" s="197">
        <f>[2]!Table3[[#This Row],[CLM $ Collected ]]/'[2]1.) CLM Reference'!$B$4</f>
        <v>4.4284872204747227E-3</v>
      </c>
      <c r="F150" s="89">
        <f>[2]!Table3[[#This Row],[Residential Incentive Disbursements]]+[2]!Table3[[#This Row],[C&amp;I Incentive Disbursements]]</f>
        <v>47409.244400301533</v>
      </c>
      <c r="G150" s="198">
        <f>[2]!Table3[[#This Row],[Incentive Disbursements]]/'[2]1.) CLM Reference'!$B$5</f>
        <v>2.8218128889179561E-3</v>
      </c>
      <c r="H150" s="88">
        <v>88585.424700000105</v>
      </c>
      <c r="I150" s="197">
        <f>[2]!Table3[[#This Row],[Residential CLM $ Collected]]/'[2]1.) CLM Reference'!$B$4</f>
        <v>3.044108587077328E-3</v>
      </c>
      <c r="J150" s="89">
        <v>36535.308318547446</v>
      </c>
      <c r="K150" s="198">
        <f>[2]!Table3[[#This Row],[Residential Incentive Disbursements]]/'[2]1.) CLM Reference'!$B$5</f>
        <v>2.1745928503600635E-3</v>
      </c>
      <c r="L150" s="88">
        <v>40286.266300000003</v>
      </c>
      <c r="M150" s="203">
        <f>[2]!Table3[[#This Row],[C&amp;I CLM $ Collected]]/'[2]1.) CLM Reference'!$B$4</f>
        <v>1.384378633397395E-3</v>
      </c>
      <c r="N150" s="89">
        <v>10873.936081754089</v>
      </c>
      <c r="O150" s="198">
        <f>[2]!Table3[[#This Row],[C&amp;I Incentive Disbursements]]/'[2]1.) CLM Reference'!$B$5</f>
        <v>6.4722003855789245E-4</v>
      </c>
      <c r="P150" t="str">
        <f t="shared" si="2"/>
        <v>NO</v>
      </c>
      <c r="Q150" t="str">
        <f>VLOOKUP(Table8[[#This Row],[Census Tract]],'UI EnergyBurden'!$A$2:$B$184,2,FALSE)</f>
        <v>No</v>
      </c>
      <c r="R150">
        <f>VLOOKUP(Table8[[#This Row],[Census Tract]],'Population and Diversity Data'!$B$2:$K$823,10,FALSE)</f>
        <v>3</v>
      </c>
    </row>
    <row r="151" spans="1:18" ht="15.75" hidden="1" customHeight="1" x14ac:dyDescent="0.2">
      <c r="A151" s="195">
        <v>9009167100</v>
      </c>
      <c r="B151" s="195" t="s">
        <v>953</v>
      </c>
      <c r="C151" s="195" t="s">
        <v>944</v>
      </c>
      <c r="D151" s="88">
        <f>[2]!Table3[[#This Row],[Residential CLM $ Collected]]+[2]!Table3[[#This Row],[C&amp;I CLM $ Collected]]</f>
        <v>940.88679999999999</v>
      </c>
      <c r="E151" s="197">
        <f>[2]!Table3[[#This Row],[CLM $ Collected ]]/'[2]1.) CLM Reference'!$B$4</f>
        <v>3.2332199084074667E-5</v>
      </c>
      <c r="F151" s="89">
        <f>[2]!Table3[[#This Row],[Residential Incentive Disbursements]]+[2]!Table3[[#This Row],[C&amp;I Incentive Disbursements]]</f>
        <v>0</v>
      </c>
      <c r="G151" s="198">
        <f>[2]!Table3[[#This Row],[Incentive Disbursements]]/'[2]1.) CLM Reference'!$B$5</f>
        <v>0</v>
      </c>
      <c r="H151" s="88">
        <v>695.01679999999999</v>
      </c>
      <c r="I151" s="197">
        <f>[2]!Table3[[#This Row],[Residential CLM $ Collected]]/'[2]1.) CLM Reference'!$B$4</f>
        <v>2.3883236053876517E-5</v>
      </c>
      <c r="J151" s="89">
        <v>0</v>
      </c>
      <c r="K151" s="198">
        <f>[2]!Table3[[#This Row],[Residential Incentive Disbursements]]/'[2]1.) CLM Reference'!$B$5</f>
        <v>0</v>
      </c>
      <c r="L151" s="88">
        <v>245.87</v>
      </c>
      <c r="M151" s="203">
        <f>[2]!Table3[[#This Row],[C&amp;I CLM $ Collected]]/'[2]1.) CLM Reference'!$B$4</f>
        <v>8.4489630301981463E-6</v>
      </c>
      <c r="N151" s="89">
        <v>0</v>
      </c>
      <c r="O151" s="198">
        <f>[2]!Table3[[#This Row],[C&amp;I Incentive Disbursements]]/'[2]1.) CLM Reference'!$B$5</f>
        <v>0</v>
      </c>
      <c r="P151" t="str">
        <f t="shared" si="2"/>
        <v>NO</v>
      </c>
      <c r="Q151" t="str">
        <f>VLOOKUP(Table8[[#This Row],[Census Tract]],'UI EnergyBurden'!$A$2:$B$184,2,FALSE)</f>
        <v>No</v>
      </c>
      <c r="R151">
        <f>VLOOKUP(Table8[[#This Row],[Census Tract]],'Population and Diversity Data'!$B$2:$K$823,10,FALSE)</f>
        <v>3</v>
      </c>
    </row>
    <row r="152" spans="1:18" ht="15.75" hidden="1" customHeight="1" x14ac:dyDescent="0.2">
      <c r="A152" s="195">
        <v>9009167201</v>
      </c>
      <c r="B152" s="195" t="s">
        <v>2998</v>
      </c>
      <c r="C152" s="195" t="s">
        <v>944</v>
      </c>
      <c r="D152" s="88">
        <f>[2]!Table3[[#This Row],[Residential CLM $ Collected]]+[2]!Table3[[#This Row],[C&amp;I CLM $ Collected]]</f>
        <v>0</v>
      </c>
      <c r="E152" s="197">
        <f>[2]!Table3[[#This Row],[CLM $ Collected ]]/'[2]1.) CLM Reference'!$B$4</f>
        <v>0</v>
      </c>
      <c r="F152" s="89">
        <f>[2]!Table3[[#This Row],[Residential Incentive Disbursements]]+[2]!Table3[[#This Row],[C&amp;I Incentive Disbursements]]</f>
        <v>683.34778306636463</v>
      </c>
      <c r="G152" s="198">
        <f>[2]!Table3[[#This Row],[Incentive Disbursements]]/'[2]1.) CLM Reference'!$B$5</f>
        <v>4.0673071386430169E-5</v>
      </c>
      <c r="H152" s="88">
        <v>0</v>
      </c>
      <c r="I152" s="197">
        <f>[2]!Table3[[#This Row],[Residential CLM $ Collected]]/'[2]1.) CLM Reference'!$B$4</f>
        <v>0</v>
      </c>
      <c r="J152" s="89">
        <v>683.34778306636463</v>
      </c>
      <c r="K152" s="198">
        <f>[2]!Table3[[#This Row],[Residential Incentive Disbursements]]/'[2]1.) CLM Reference'!$B$5</f>
        <v>4.0673071386430169E-5</v>
      </c>
      <c r="L152" s="88">
        <v>0</v>
      </c>
      <c r="M152" s="203">
        <f>[2]!Table3[[#This Row],[C&amp;I CLM $ Collected]]/'[2]1.) CLM Reference'!$B$4</f>
        <v>0</v>
      </c>
      <c r="N152" s="89">
        <v>0</v>
      </c>
      <c r="O152" s="198">
        <f>[2]!Table3[[#This Row],[C&amp;I Incentive Disbursements]]/'[2]1.) CLM Reference'!$B$5</f>
        <v>0</v>
      </c>
      <c r="P152" t="str">
        <f t="shared" si="2"/>
        <v>N/A</v>
      </c>
      <c r="Q152" t="str">
        <f>VLOOKUP(Table8[[#This Row],[Census Tract]],'UI EnergyBurden'!$A$2:$B$184,2,FALSE)</f>
        <v>No</v>
      </c>
      <c r="R152">
        <f>VLOOKUP(Table8[[#This Row],[Census Tract]],'Population and Diversity Data'!$B$2:$K$823,10,FALSE)</f>
        <v>2</v>
      </c>
    </row>
    <row r="153" spans="1:18" ht="15.75" hidden="1" customHeight="1" x14ac:dyDescent="0.2">
      <c r="A153" s="195">
        <v>9001080800</v>
      </c>
      <c r="B153" s="195" t="s">
        <v>2989</v>
      </c>
      <c r="C153" s="195" t="s">
        <v>944</v>
      </c>
      <c r="D153" s="88">
        <f>[2]!Table3[[#This Row],[Residential CLM $ Collected]]+[2]!Table3[[#This Row],[C&amp;I CLM $ Collected]]</f>
        <v>4.7055999999999996</v>
      </c>
      <c r="E153" s="197">
        <f>[2]!Table3[[#This Row],[CLM $ Collected ]]/'[2]1.) CLM Reference'!$B$4</f>
        <v>1.617010633054069E-7</v>
      </c>
      <c r="F153" s="89">
        <f>[2]!Table3[[#This Row],[Residential Incentive Disbursements]]+[2]!Table3[[#This Row],[C&amp;I Incentive Disbursements]]</f>
        <v>0</v>
      </c>
      <c r="G153" s="198">
        <f>[2]!Table3[[#This Row],[Incentive Disbursements]]/'[2]1.) CLM Reference'!$B$5</f>
        <v>0</v>
      </c>
      <c r="H153" s="88">
        <v>0</v>
      </c>
      <c r="I153" s="197">
        <f>[2]!Table3[[#This Row],[Residential CLM $ Collected]]/'[2]1.) CLM Reference'!$B$4</f>
        <v>0</v>
      </c>
      <c r="J153" s="89">
        <v>0</v>
      </c>
      <c r="K153" s="198">
        <f>[2]!Table3[[#This Row],[Residential Incentive Disbursements]]/'[2]1.) CLM Reference'!$B$5</f>
        <v>0</v>
      </c>
      <c r="L153" s="88">
        <v>4.7055999999999996</v>
      </c>
      <c r="M153" s="197">
        <f>[2]!Table3[[#This Row],[C&amp;I CLM $ Collected]]/'[2]1.) CLM Reference'!$B$4</f>
        <v>1.617010633054069E-7</v>
      </c>
      <c r="N153" s="89">
        <v>0</v>
      </c>
      <c r="O153" s="198">
        <f>[2]!Table3[[#This Row],[C&amp;I Incentive Disbursements]]/'[2]1.) CLM Reference'!$B$5</f>
        <v>0</v>
      </c>
      <c r="P153" t="str">
        <f t="shared" si="2"/>
        <v>N/A</v>
      </c>
      <c r="Q153" t="str">
        <f>VLOOKUP(Table8[[#This Row],[Census Tract]],'UI EnergyBurden'!$A$2:$B$184,2,FALSE)</f>
        <v>No</v>
      </c>
      <c r="R153">
        <f>VLOOKUP(Table8[[#This Row],[Census Tract]],'Population and Diversity Data'!$B$2:$K$823,10,FALSE)</f>
        <v>2</v>
      </c>
    </row>
    <row r="154" spans="1:18" ht="15.75" customHeight="1" x14ac:dyDescent="0.2">
      <c r="A154" s="195">
        <v>9009140800</v>
      </c>
      <c r="B154" s="195" t="s">
        <v>2999</v>
      </c>
      <c r="C154" s="195" t="s">
        <v>936</v>
      </c>
      <c r="D154" s="88">
        <f>[2]!Table3[[#This Row],[Residential CLM $ Collected]]+[2]!Table3[[#This Row],[C&amp;I CLM $ Collected]]</f>
        <v>0</v>
      </c>
      <c r="E154" s="197">
        <f>[2]!Table3[[#This Row],[CLM $ Collected ]]/'[2]1.) CLM Reference'!$B$4</f>
        <v>0</v>
      </c>
      <c r="F154" s="89">
        <f>[2]!Table3[[#This Row],[Residential Incentive Disbursements]]+[2]!Table3[[#This Row],[C&amp;I Incentive Disbursements]]</f>
        <v>142.07684249041586</v>
      </c>
      <c r="G154" s="198">
        <f>[2]!Table3[[#This Row],[Incentive Disbursements]]/'[2]1.) CLM Reference'!$B$5</f>
        <v>8.4564576049997507E-6</v>
      </c>
      <c r="H154" s="88">
        <v>0</v>
      </c>
      <c r="I154" s="197">
        <f>[2]!Table3[[#This Row],[Residential CLM $ Collected]]/'[2]1.) CLM Reference'!$B$4</f>
        <v>0</v>
      </c>
      <c r="J154" s="89">
        <v>142.07684249041586</v>
      </c>
      <c r="K154" s="198">
        <f>[2]!Table3[[#This Row],[Residential Incentive Disbursements]]/'[2]1.) CLM Reference'!$B$5</f>
        <v>8.4564576049997507E-6</v>
      </c>
      <c r="L154" s="88">
        <v>0</v>
      </c>
      <c r="M154" s="197">
        <f>[2]!Table3[[#This Row],[C&amp;I CLM $ Collected]]/'[2]1.) CLM Reference'!$B$4</f>
        <v>0</v>
      </c>
      <c r="N154" s="89">
        <v>0</v>
      </c>
      <c r="O154" s="198">
        <f>[2]!Table3[[#This Row],[C&amp;I Incentive Disbursements]]/'[2]1.) CLM Reference'!$B$5</f>
        <v>0</v>
      </c>
      <c r="P154" t="str">
        <f t="shared" si="2"/>
        <v>N/A</v>
      </c>
      <c r="Q154" t="str">
        <f>VLOOKUP(Table8[[#This Row],[Census Tract]],'UI EnergyBurden'!$A$2:$B$184,2,FALSE)</f>
        <v>No</v>
      </c>
      <c r="R154">
        <f>VLOOKUP(Table8[[#This Row],[Census Tract]],'Population and Diversity Data'!$B$2:$K$823,10,FALSE)</f>
        <v>4</v>
      </c>
    </row>
    <row r="155" spans="1:18" ht="15.75" hidden="1" customHeight="1" x14ac:dyDescent="0.2">
      <c r="A155" s="195">
        <v>9009150100</v>
      </c>
      <c r="B155" s="195" t="s">
        <v>2989</v>
      </c>
      <c r="C155" s="195" t="s">
        <v>944</v>
      </c>
      <c r="D155" s="88">
        <f>[2]!Table3[[#This Row],[Residential CLM $ Collected]]+[2]!Table3[[#This Row],[C&amp;I CLM $ Collected]]</f>
        <v>179186.3455</v>
      </c>
      <c r="E155" s="197">
        <f>[2]!Table3[[#This Row],[CLM $ Collected ]]/'[2]1.) CLM Reference'!$B$4</f>
        <v>6.1574767505015336E-3</v>
      </c>
      <c r="F155" s="89">
        <f>[2]!Table3[[#This Row],[Residential Incentive Disbursements]]+[2]!Table3[[#This Row],[C&amp;I Incentive Disbursements]]</f>
        <v>21554.388279074199</v>
      </c>
      <c r="G155" s="198">
        <f>[2]!Table3[[#This Row],[Incentive Disbursements]]/'[2]1.) CLM Reference'!$B$5</f>
        <v>1.2829238564756973E-3</v>
      </c>
      <c r="H155" s="88">
        <v>88019.366599999994</v>
      </c>
      <c r="I155" s="197">
        <f>[2]!Table3[[#This Row],[Residential CLM $ Collected]]/'[2]1.) CLM Reference'!$B$4</f>
        <v>3.0246568281809797E-3</v>
      </c>
      <c r="J155" s="89">
        <v>16430.678348475052</v>
      </c>
      <c r="K155" s="198">
        <f>[2]!Table3[[#This Row],[Residential Incentive Disbursements]]/'[2]1.) CLM Reference'!$B$5</f>
        <v>9.7795905680152988E-4</v>
      </c>
      <c r="L155" s="88">
        <v>91166.978900000002</v>
      </c>
      <c r="M155" s="197">
        <f>[2]!Table3[[#This Row],[C&amp;I CLM $ Collected]]/'[2]1.) CLM Reference'!$B$4</f>
        <v>3.1328199223205535E-3</v>
      </c>
      <c r="N155" s="89">
        <v>5123.7099305991478</v>
      </c>
      <c r="O155" s="198">
        <f>[2]!Table3[[#This Row],[C&amp;I Incentive Disbursements]]/'[2]1.) CLM Reference'!$B$5</f>
        <v>3.0496479967416745E-4</v>
      </c>
      <c r="P155" t="str">
        <f t="shared" si="2"/>
        <v>NO</v>
      </c>
      <c r="Q155" t="str">
        <f>VLOOKUP(Table8[[#This Row],[Census Tract]],'UI EnergyBurden'!$A$2:$B$184,2,FALSE)</f>
        <v>No</v>
      </c>
      <c r="R155">
        <f>VLOOKUP(Table8[[#This Row],[Census Tract]],'Population and Diversity Data'!$B$2:$K$823,10,FALSE)</f>
        <v>3</v>
      </c>
    </row>
    <row r="156" spans="1:18" ht="15.75" hidden="1" customHeight="1" x14ac:dyDescent="0.2">
      <c r="A156" s="195">
        <v>9009150200</v>
      </c>
      <c r="B156" s="195" t="s">
        <v>2989</v>
      </c>
      <c r="C156" s="195" t="s">
        <v>944</v>
      </c>
      <c r="D156" s="88">
        <f>[2]!Table3[[#This Row],[Residential CLM $ Collected]]+[2]!Table3[[#This Row],[C&amp;I CLM $ Collected]]</f>
        <v>76832.7527999999</v>
      </c>
      <c r="E156" s="197">
        <f>[2]!Table3[[#This Row],[CLM $ Collected ]]/'[2]1.) CLM Reference'!$B$4</f>
        <v>2.6402452024059555E-3</v>
      </c>
      <c r="F156" s="89">
        <f>[2]!Table3[[#This Row],[Residential Incentive Disbursements]]+[2]!Table3[[#This Row],[C&amp;I Incentive Disbursements]]</f>
        <v>454405.17473752273</v>
      </c>
      <c r="G156" s="198">
        <f>[2]!Table3[[#This Row],[Incentive Disbursements]]/'[2]1.) CLM Reference'!$B$5</f>
        <v>2.7046336533834366E-2</v>
      </c>
      <c r="H156" s="88">
        <v>58587.509199999899</v>
      </c>
      <c r="I156" s="197">
        <f>[2]!Table3[[#This Row],[Residential CLM $ Collected]]/'[2]1.) CLM Reference'!$B$4</f>
        <v>2.0132740849318461E-3</v>
      </c>
      <c r="J156" s="89">
        <v>450608.31139306683</v>
      </c>
      <c r="K156" s="198">
        <f>[2]!Table3[[#This Row],[Residential Incentive Disbursements]]/'[2]1.) CLM Reference'!$B$5</f>
        <v>2.6820346053320027E-2</v>
      </c>
      <c r="L156" s="88">
        <v>18245.243600000002</v>
      </c>
      <c r="M156" s="197">
        <f>[2]!Table3[[#This Row],[C&amp;I CLM $ Collected]]/'[2]1.) CLM Reference'!$B$4</f>
        <v>6.2697111747410969E-4</v>
      </c>
      <c r="N156" s="89">
        <v>3796.8633444558977</v>
      </c>
      <c r="O156" s="198">
        <f>[2]!Table3[[#This Row],[C&amp;I Incentive Disbursements]]/'[2]1.) CLM Reference'!$B$5</f>
        <v>2.2599048051433711E-4</v>
      </c>
      <c r="P156" t="str">
        <f t="shared" si="2"/>
        <v>NO</v>
      </c>
      <c r="Q156" t="str">
        <f>VLOOKUP(Table8[[#This Row],[Census Tract]],'UI EnergyBurden'!$A$2:$B$184,2,FALSE)</f>
        <v>No</v>
      </c>
      <c r="R156">
        <f>VLOOKUP(Table8[[#This Row],[Census Tract]],'Population and Diversity Data'!$B$2:$K$823,10,FALSE)</f>
        <v>4</v>
      </c>
    </row>
    <row r="157" spans="1:18" ht="15.75" hidden="1" customHeight="1" x14ac:dyDescent="0.2">
      <c r="A157" s="195">
        <v>9009150300</v>
      </c>
      <c r="B157" s="195" t="s">
        <v>2989</v>
      </c>
      <c r="C157" s="195" t="s">
        <v>944</v>
      </c>
      <c r="D157" s="88">
        <f>[2]!Table3[[#This Row],[Residential CLM $ Collected]]+[2]!Table3[[#This Row],[C&amp;I CLM $ Collected]]</f>
        <v>125257.4150000001</v>
      </c>
      <c r="E157" s="197">
        <f>[2]!Table3[[#This Row],[CLM $ Collected ]]/'[2]1.) CLM Reference'!$B$4</f>
        <v>4.3042879106568004E-3</v>
      </c>
      <c r="F157" s="89">
        <f>[2]!Table3[[#This Row],[Residential Incentive Disbursements]]+[2]!Table3[[#This Row],[C&amp;I Incentive Disbursements]]</f>
        <v>41020.841264059854</v>
      </c>
      <c r="G157" s="198">
        <f>[2]!Table3[[#This Row],[Incentive Disbursements]]/'[2]1.) CLM Reference'!$B$5</f>
        <v>2.4415731585134782E-3</v>
      </c>
      <c r="H157" s="88">
        <v>70907.985900000102</v>
      </c>
      <c r="I157" s="197">
        <f>[2]!Table3[[#This Row],[Residential CLM $ Collected]]/'[2]1.) CLM Reference'!$B$4</f>
        <v>2.4366492512909762E-3</v>
      </c>
      <c r="J157" s="89">
        <v>14802.193579849905</v>
      </c>
      <c r="K157" s="198">
        <f>[2]!Table3[[#This Row],[Residential Incentive Disbursements]]/'[2]1.) CLM Reference'!$B$5</f>
        <v>8.8103113973302268E-4</v>
      </c>
      <c r="L157" s="88">
        <v>54349.429100000001</v>
      </c>
      <c r="M157" s="197">
        <f>[2]!Table3[[#This Row],[C&amp;I CLM $ Collected]]/'[2]1.) CLM Reference'!$B$4</f>
        <v>1.8676386593658248E-3</v>
      </c>
      <c r="N157" s="89">
        <v>26218.647684209951</v>
      </c>
      <c r="O157" s="198">
        <f>[2]!Table3[[#This Row],[C&amp;I Incentive Disbursements]]/'[2]1.) CLM Reference'!$B$5</f>
        <v>1.5605420187804555E-3</v>
      </c>
      <c r="P157" t="str">
        <f t="shared" si="2"/>
        <v>NO</v>
      </c>
      <c r="Q157" t="str">
        <f>VLOOKUP(Table8[[#This Row],[Census Tract]],'UI EnergyBurden'!$A$2:$B$184,2,FALSE)</f>
        <v>No</v>
      </c>
      <c r="R157">
        <f>VLOOKUP(Table8[[#This Row],[Census Tract]],'Population and Diversity Data'!$B$2:$K$823,10,FALSE)</f>
        <v>3</v>
      </c>
    </row>
    <row r="158" spans="1:18" ht="15.75" hidden="1" customHeight="1" x14ac:dyDescent="0.2">
      <c r="A158" s="195">
        <v>9009150400</v>
      </c>
      <c r="B158" s="195" t="s">
        <v>2989</v>
      </c>
      <c r="C158" s="195" t="s">
        <v>944</v>
      </c>
      <c r="D158" s="88">
        <f>[2]!Table3[[#This Row],[Residential CLM $ Collected]]+[2]!Table3[[#This Row],[C&amp;I CLM $ Collected]]</f>
        <v>81023.231900000013</v>
      </c>
      <c r="E158" s="197">
        <f>[2]!Table3[[#This Row],[CLM $ Collected ]]/'[2]1.) CLM Reference'!$B$4</f>
        <v>2.7842448892108481E-3</v>
      </c>
      <c r="F158" s="89">
        <f>[2]!Table3[[#This Row],[Residential Incentive Disbursements]]+[2]!Table3[[#This Row],[C&amp;I Incentive Disbursements]]</f>
        <v>23527.029122694821</v>
      </c>
      <c r="G158" s="198">
        <f>[2]!Table3[[#This Row],[Incentive Disbursements]]/'[2]1.) CLM Reference'!$B$5</f>
        <v>1.4003360495647578E-3</v>
      </c>
      <c r="H158" s="88">
        <v>72449.754100000006</v>
      </c>
      <c r="I158" s="197">
        <f>[2]!Table3[[#This Row],[Residential CLM $ Collected]]/'[2]1.) CLM Reference'!$B$4</f>
        <v>2.4896298610560322E-3</v>
      </c>
      <c r="J158" s="89">
        <v>23314.839763591452</v>
      </c>
      <c r="K158" s="198">
        <f>[2]!Table3[[#This Row],[Residential Incentive Disbursements]]/'[2]1.) CLM Reference'!$B$5</f>
        <v>1.3877064732873234E-3</v>
      </c>
      <c r="L158" s="88">
        <v>8573.4778000000006</v>
      </c>
      <c r="M158" s="197">
        <f>[2]!Table3[[#This Row],[C&amp;I CLM $ Collected]]/'[2]1.) CLM Reference'!$B$4</f>
        <v>2.9461502815481574E-4</v>
      </c>
      <c r="N158" s="89">
        <v>212.18935910336836</v>
      </c>
      <c r="O158" s="198">
        <f>[2]!Table3[[#This Row],[C&amp;I Incentive Disbursements]]/'[2]1.) CLM Reference'!$B$5</f>
        <v>1.2629576277434137E-5</v>
      </c>
      <c r="P158" t="str">
        <f t="shared" si="2"/>
        <v>NO</v>
      </c>
      <c r="Q158" t="str">
        <f>VLOOKUP(Table8[[#This Row],[Census Tract]],'UI EnergyBurden'!$A$2:$B$184,2,FALSE)</f>
        <v>No</v>
      </c>
      <c r="R158">
        <f>VLOOKUP(Table8[[#This Row],[Census Tract]],'Population and Diversity Data'!$B$2:$K$823,10,FALSE)</f>
        <v>4</v>
      </c>
    </row>
    <row r="159" spans="1:18" ht="15.75" hidden="1" customHeight="1" x14ac:dyDescent="0.2">
      <c r="A159" s="195">
        <v>9009150500</v>
      </c>
      <c r="B159" s="195" t="s">
        <v>2989</v>
      </c>
      <c r="C159" s="195" t="s">
        <v>944</v>
      </c>
      <c r="D159" s="88">
        <f>[2]!Table3[[#This Row],[Residential CLM $ Collected]]+[2]!Table3[[#This Row],[C&amp;I CLM $ Collected]]</f>
        <v>108858.66749999981</v>
      </c>
      <c r="E159" s="197">
        <f>[2]!Table3[[#This Row],[CLM $ Collected ]]/'[2]1.) CLM Reference'!$B$4</f>
        <v>3.7407689316473376E-3</v>
      </c>
      <c r="F159" s="89">
        <f>[2]!Table3[[#This Row],[Residential Incentive Disbursements]]+[2]!Table3[[#This Row],[C&amp;I Incentive Disbursements]]</f>
        <v>34521.322702779704</v>
      </c>
      <c r="G159" s="198">
        <f>[2]!Table3[[#This Row],[Incentive Disbursements]]/'[2]1.) CLM Reference'!$B$5</f>
        <v>2.0547198036461483E-3</v>
      </c>
      <c r="H159" s="88">
        <v>76013.063599999805</v>
      </c>
      <c r="I159" s="197">
        <f>[2]!Table3[[#This Row],[Residential CLM $ Collected]]/'[2]1.) CLM Reference'!$B$4</f>
        <v>2.6120777816264645E-3</v>
      </c>
      <c r="J159" s="89">
        <v>34521.322702779704</v>
      </c>
      <c r="K159" s="198">
        <f>[2]!Table3[[#This Row],[Residential Incentive Disbursements]]/'[2]1.) CLM Reference'!$B$5</f>
        <v>2.0547198036461483E-3</v>
      </c>
      <c r="L159" s="88">
        <v>32845.603900000002</v>
      </c>
      <c r="M159" s="197">
        <f>[2]!Table3[[#This Row],[C&amp;I CLM $ Collected]]/'[2]1.) CLM Reference'!$B$4</f>
        <v>1.1286911500208731E-3</v>
      </c>
      <c r="N159" s="89">
        <v>0</v>
      </c>
      <c r="O159" s="198">
        <f>[2]!Table3[[#This Row],[C&amp;I Incentive Disbursements]]/'[2]1.) CLM Reference'!$B$5</f>
        <v>0</v>
      </c>
      <c r="P159" t="str">
        <f t="shared" si="2"/>
        <v>NO</v>
      </c>
      <c r="Q159" t="str">
        <f>VLOOKUP(Table8[[#This Row],[Census Tract]],'UI EnergyBurden'!$A$2:$B$184,2,FALSE)</f>
        <v>No</v>
      </c>
      <c r="R159">
        <f>VLOOKUP(Table8[[#This Row],[Census Tract]],'Population and Diversity Data'!$B$2:$K$823,10,FALSE)</f>
        <v>2</v>
      </c>
    </row>
    <row r="160" spans="1:18" ht="15.75" hidden="1" customHeight="1" x14ac:dyDescent="0.2">
      <c r="A160" s="195">
        <v>9009150600</v>
      </c>
      <c r="B160" s="195" t="s">
        <v>2989</v>
      </c>
      <c r="C160" s="195" t="s">
        <v>944</v>
      </c>
      <c r="D160" s="88">
        <f>[2]!Table3[[#This Row],[Residential CLM $ Collected]]+[2]!Table3[[#This Row],[C&amp;I CLM $ Collected]]</f>
        <v>172473.5906</v>
      </c>
      <c r="E160" s="197">
        <f>[2]!Table3[[#This Row],[CLM $ Collected ]]/'[2]1.) CLM Reference'!$B$4</f>
        <v>5.926802743990444E-3</v>
      </c>
      <c r="F160" s="89">
        <f>[2]!Table3[[#This Row],[Residential Incentive Disbursements]]+[2]!Table3[[#This Row],[C&amp;I Incentive Disbursements]]</f>
        <v>291693.73858918424</v>
      </c>
      <c r="G160" s="198">
        <f>[2]!Table3[[#This Row],[Incentive Disbursements]]/'[2]1.) CLM Reference'!$B$5</f>
        <v>1.7361701532673867E-2</v>
      </c>
      <c r="H160" s="88">
        <v>118660.9953</v>
      </c>
      <c r="I160" s="197">
        <f>[2]!Table3[[#This Row],[Residential CLM $ Collected]]/'[2]1.) CLM Reference'!$B$4</f>
        <v>4.0776115931842683E-3</v>
      </c>
      <c r="J160" s="89">
        <v>180631.4276423564</v>
      </c>
      <c r="K160" s="198">
        <f>[2]!Table3[[#This Row],[Residential Incentive Disbursements]]/'[2]1.) CLM Reference'!$B$5</f>
        <v>1.0751238436983201E-2</v>
      </c>
      <c r="L160" s="88">
        <v>53812.595300000001</v>
      </c>
      <c r="M160" s="197">
        <f>[2]!Table3[[#This Row],[C&amp;I CLM $ Collected]]/'[2]1.) CLM Reference'!$B$4</f>
        <v>1.8491911508061762E-3</v>
      </c>
      <c r="N160" s="89">
        <v>111062.31094682786</v>
      </c>
      <c r="O160" s="198">
        <f>[2]!Table3[[#This Row],[C&amp;I Incentive Disbursements]]/'[2]1.) CLM Reference'!$B$5</f>
        <v>6.6104630956906659E-3</v>
      </c>
      <c r="P160" t="str">
        <f t="shared" si="2"/>
        <v>YES</v>
      </c>
      <c r="Q160" t="str">
        <f>VLOOKUP(Table8[[#This Row],[Census Tract]],'UI EnergyBurden'!$A$2:$B$184,2,FALSE)</f>
        <v>No</v>
      </c>
      <c r="R160">
        <f>VLOOKUP(Table8[[#This Row],[Census Tract]],'Population and Diversity Data'!$B$2:$K$823,10,FALSE)</f>
        <v>3</v>
      </c>
    </row>
    <row r="161" spans="1:18" ht="15.75" hidden="1" customHeight="1" x14ac:dyDescent="0.2">
      <c r="A161" s="195">
        <v>9009150700</v>
      </c>
      <c r="B161" s="195" t="s">
        <v>2989</v>
      </c>
      <c r="C161" s="195" t="s">
        <v>944</v>
      </c>
      <c r="D161" s="88">
        <f>[2]!Table3[[#This Row],[Residential CLM $ Collected]]+[2]!Table3[[#This Row],[C&amp;I CLM $ Collected]]</f>
        <v>107368.7398999998</v>
      </c>
      <c r="E161" s="197">
        <f>[2]!Table3[[#This Row],[CLM $ Collected ]]/'[2]1.) CLM Reference'!$B$4</f>
        <v>3.6895697482981207E-3</v>
      </c>
      <c r="F161" s="89">
        <f>[2]!Table3[[#This Row],[Residential Incentive Disbursements]]+[2]!Table3[[#This Row],[C&amp;I Incentive Disbursements]]</f>
        <v>28551.343514075052</v>
      </c>
      <c r="G161" s="198">
        <f>[2]!Table3[[#This Row],[Incentive Disbursements]]/'[2]1.) CLM Reference'!$B$5</f>
        <v>1.699384796004651E-3</v>
      </c>
      <c r="H161" s="88">
        <v>83005.870799999801</v>
      </c>
      <c r="I161" s="197">
        <f>[2]!Table3[[#This Row],[Residential CLM $ Collected]]/'[2]1.) CLM Reference'!$B$4</f>
        <v>2.8523753759246845E-3</v>
      </c>
      <c r="J161" s="89">
        <v>28551.343514075052</v>
      </c>
      <c r="K161" s="198">
        <f>[2]!Table3[[#This Row],[Residential Incentive Disbursements]]/'[2]1.) CLM Reference'!$B$5</f>
        <v>1.699384796004651E-3</v>
      </c>
      <c r="L161" s="88">
        <v>24362.8691</v>
      </c>
      <c r="M161" s="197">
        <f>[2]!Table3[[#This Row],[C&amp;I CLM $ Collected]]/'[2]1.) CLM Reference'!$B$4</f>
        <v>8.3719437237343632E-4</v>
      </c>
      <c r="N161" s="89">
        <v>0</v>
      </c>
      <c r="O161" s="198">
        <f>[2]!Table3[[#This Row],[C&amp;I Incentive Disbursements]]/'[2]1.) CLM Reference'!$B$5</f>
        <v>0</v>
      </c>
      <c r="P161" t="str">
        <f t="shared" si="2"/>
        <v>NO</v>
      </c>
      <c r="Q161" t="str">
        <f>VLOOKUP(Table8[[#This Row],[Census Tract]],'UI EnergyBurden'!$A$2:$B$184,2,FALSE)</f>
        <v>No</v>
      </c>
      <c r="R161">
        <f>VLOOKUP(Table8[[#This Row],[Census Tract]],'Population and Diversity Data'!$B$2:$K$823,10,FALSE)</f>
        <v>3</v>
      </c>
    </row>
    <row r="162" spans="1:18" ht="15.75" hidden="1" customHeight="1" x14ac:dyDescent="0.2">
      <c r="A162" s="195">
        <v>9009150800</v>
      </c>
      <c r="B162" s="195" t="s">
        <v>2989</v>
      </c>
      <c r="C162" s="195" t="s">
        <v>944</v>
      </c>
      <c r="D162" s="88">
        <f>[2]!Table3[[#This Row],[Residential CLM $ Collected]]+[2]!Table3[[#This Row],[C&amp;I CLM $ Collected]]</f>
        <v>190234.08669999999</v>
      </c>
      <c r="E162" s="197">
        <f>[2]!Table3[[#This Row],[CLM $ Collected ]]/'[2]1.) CLM Reference'!$B$4</f>
        <v>6.5371162224419771E-3</v>
      </c>
      <c r="F162" s="89">
        <f>[2]!Table3[[#This Row],[Residential Incentive Disbursements]]+[2]!Table3[[#This Row],[C&amp;I Incentive Disbursements]]</f>
        <v>158260.29580499331</v>
      </c>
      <c r="G162" s="198">
        <f>[2]!Table3[[#This Row],[Incentive Disbursements]]/'[2]1.) CLM Reference'!$B$5</f>
        <v>9.4197017513246439E-3</v>
      </c>
      <c r="H162" s="88">
        <v>69671.752900000007</v>
      </c>
      <c r="I162" s="197">
        <f>[2]!Table3[[#This Row],[Residential CLM $ Collected]]/'[2]1.) CLM Reference'!$B$4</f>
        <v>2.3941679119095479E-3</v>
      </c>
      <c r="J162" s="89">
        <v>14513.343881338336</v>
      </c>
      <c r="K162" s="198">
        <f>[2]!Table3[[#This Row],[Residential Incentive Disbursements]]/'[2]1.) CLM Reference'!$B$5</f>
        <v>8.63838716345342E-4</v>
      </c>
      <c r="L162" s="88">
        <v>120562.33379999999</v>
      </c>
      <c r="M162" s="197">
        <f>[2]!Table3[[#This Row],[C&amp;I CLM $ Collected]]/'[2]1.) CLM Reference'!$B$4</f>
        <v>4.1429483105324292E-3</v>
      </c>
      <c r="N162" s="89">
        <v>143746.95192365497</v>
      </c>
      <c r="O162" s="198">
        <f>[2]!Table3[[#This Row],[C&amp;I Incentive Disbursements]]/'[2]1.) CLM Reference'!$B$5</f>
        <v>8.5558630349793028E-3</v>
      </c>
      <c r="P162" t="str">
        <f t="shared" si="2"/>
        <v>YES</v>
      </c>
      <c r="Q162" t="str">
        <f>VLOOKUP(Table8[[#This Row],[Census Tract]],'UI EnergyBurden'!$A$2:$B$184,2,FALSE)</f>
        <v>No</v>
      </c>
      <c r="R162">
        <f>VLOOKUP(Table8[[#This Row],[Census Tract]],'Population and Diversity Data'!$B$2:$K$823,10,FALSE)</f>
        <v>4</v>
      </c>
    </row>
    <row r="163" spans="1:18" ht="15.75" hidden="1" customHeight="1" x14ac:dyDescent="0.2">
      <c r="A163" s="195">
        <v>9009150900</v>
      </c>
      <c r="B163" s="195" t="s">
        <v>2989</v>
      </c>
      <c r="C163" s="195" t="s">
        <v>944</v>
      </c>
      <c r="D163" s="88">
        <f>[2]!Table3[[#This Row],[Residential CLM $ Collected]]+[2]!Table3[[#This Row],[C&amp;I CLM $ Collected]]</f>
        <v>124130.36009999999</v>
      </c>
      <c r="E163" s="197">
        <f>[2]!Table3[[#This Row],[CLM $ Collected ]]/'[2]1.) CLM Reference'!$B$4</f>
        <v>4.2655583170377962E-3</v>
      </c>
      <c r="F163" s="89">
        <f>[2]!Table3[[#This Row],[Residential Incentive Disbursements]]+[2]!Table3[[#This Row],[C&amp;I Incentive Disbursements]]</f>
        <v>33078.493969333409</v>
      </c>
      <c r="G163" s="198">
        <f>[2]!Table3[[#This Row],[Incentive Disbursements]]/'[2]1.) CLM Reference'!$B$5</f>
        <v>1.968842191209152E-3</v>
      </c>
      <c r="H163" s="88">
        <v>80824.2261</v>
      </c>
      <c r="I163" s="197">
        <f>[2]!Table3[[#This Row],[Residential CLM $ Collected]]/'[2]1.) CLM Reference'!$B$4</f>
        <v>2.7774063458871606E-3</v>
      </c>
      <c r="J163" s="89">
        <v>27171.67268529339</v>
      </c>
      <c r="K163" s="198">
        <f>[2]!Table3[[#This Row],[Residential Incentive Disbursements]]/'[2]1.) CLM Reference'!$B$5</f>
        <v>1.6172663615860792E-3</v>
      </c>
      <c r="L163" s="88">
        <v>43306.133999999998</v>
      </c>
      <c r="M163" s="197">
        <f>[2]!Table3[[#This Row],[C&amp;I CLM $ Collected]]/'[2]1.) CLM Reference'!$B$4</f>
        <v>1.4881519711506363E-3</v>
      </c>
      <c r="N163" s="89">
        <v>5906.8212840400165</v>
      </c>
      <c r="O163" s="198">
        <f>[2]!Table3[[#This Row],[C&amp;I Incentive Disbursements]]/'[2]1.) CLM Reference'!$B$5</f>
        <v>3.5157582962307279E-4</v>
      </c>
      <c r="P163" t="str">
        <f t="shared" si="2"/>
        <v>NO</v>
      </c>
      <c r="Q163" t="str">
        <f>VLOOKUP(Table8[[#This Row],[Census Tract]],'UI EnergyBurden'!$A$2:$B$184,2,FALSE)</f>
        <v>No</v>
      </c>
      <c r="R163">
        <f>VLOOKUP(Table8[[#This Row],[Census Tract]],'Population and Diversity Data'!$B$2:$K$823,10,FALSE)</f>
        <v>1</v>
      </c>
    </row>
    <row r="164" spans="1:18" ht="15.75" hidden="1" customHeight="1" x14ac:dyDescent="0.2">
      <c r="A164" s="195">
        <v>9009151000</v>
      </c>
      <c r="B164" s="195" t="s">
        <v>2989</v>
      </c>
      <c r="C164" s="195" t="s">
        <v>944</v>
      </c>
      <c r="D164" s="88">
        <f>[2]!Table3[[#This Row],[Residential CLM $ Collected]]+[2]!Table3[[#This Row],[C&amp;I CLM $ Collected]]</f>
        <v>80815.845700000093</v>
      </c>
      <c r="E164" s="197">
        <f>[2]!Table3[[#This Row],[CLM $ Collected ]]/'[2]1.) CLM Reference'!$B$4</f>
        <v>2.7771183656952808E-3</v>
      </c>
      <c r="F164" s="89">
        <f>[2]!Table3[[#This Row],[Residential Incentive Disbursements]]+[2]!Table3[[#This Row],[C&amp;I Incentive Disbursements]]</f>
        <v>17467.888820815067</v>
      </c>
      <c r="G164" s="198">
        <f>[2]!Table3[[#This Row],[Incentive Disbursements]]/'[2]1.) CLM Reference'!$B$5</f>
        <v>1.0396941448923057E-3</v>
      </c>
      <c r="H164" s="88">
        <v>77262.277400000094</v>
      </c>
      <c r="I164" s="197">
        <f>[2]!Table3[[#This Row],[Residential CLM $ Collected]]/'[2]1.) CLM Reference'!$B$4</f>
        <v>2.6550051872189146E-3</v>
      </c>
      <c r="J164" s="89">
        <v>17322.008636431503</v>
      </c>
      <c r="K164" s="198">
        <f>[2]!Table3[[#This Row],[Residential Incentive Disbursements]]/'[2]1.) CLM Reference'!$B$5</f>
        <v>1.0310113112015698E-3</v>
      </c>
      <c r="L164" s="88">
        <v>3553.5682999999999</v>
      </c>
      <c r="M164" s="197">
        <f>[2]!Table3[[#This Row],[C&amp;I CLM $ Collected]]/'[2]1.) CLM Reference'!$B$4</f>
        <v>1.2211317847636588E-4</v>
      </c>
      <c r="N164" s="89">
        <v>145.88018438356573</v>
      </c>
      <c r="O164" s="198">
        <f>[2]!Table3[[#This Row],[C&amp;I Incentive Disbursements]]/'[2]1.) CLM Reference'!$B$5</f>
        <v>8.6828336907359693E-6</v>
      </c>
      <c r="P164" t="str">
        <f t="shared" si="2"/>
        <v>NO</v>
      </c>
      <c r="Q164" t="str">
        <f>VLOOKUP(Table8[[#This Row],[Census Tract]],'UI EnergyBurden'!$A$2:$B$184,2,FALSE)</f>
        <v>No</v>
      </c>
      <c r="R164">
        <f>VLOOKUP(Table8[[#This Row],[Census Tract]],'Population and Diversity Data'!$B$2:$K$823,10,FALSE)</f>
        <v>3</v>
      </c>
    </row>
    <row r="165" spans="1:18" ht="15.75" hidden="1" customHeight="1" x14ac:dyDescent="0.2">
      <c r="A165" s="195">
        <v>9009151100</v>
      </c>
      <c r="B165" s="195" t="s">
        <v>2989</v>
      </c>
      <c r="C165" s="195" t="s">
        <v>944</v>
      </c>
      <c r="D165" s="88">
        <f>[2]!Table3[[#This Row],[Residential CLM $ Collected]]+[2]!Table3[[#This Row],[C&amp;I CLM $ Collected]]</f>
        <v>167726.98670000001</v>
      </c>
      <c r="E165" s="197">
        <f>[2]!Table3[[#This Row],[CLM $ Collected ]]/'[2]1.) CLM Reference'!$B$4</f>
        <v>5.763692641618889E-3</v>
      </c>
      <c r="F165" s="89">
        <f>[2]!Table3[[#This Row],[Residential Incentive Disbursements]]+[2]!Table3[[#This Row],[C&amp;I Incentive Disbursements]]</f>
        <v>46965.605474209602</v>
      </c>
      <c r="G165" s="198">
        <f>[2]!Table3[[#This Row],[Incentive Disbursements]]/'[2]1.) CLM Reference'!$B$5</f>
        <v>2.7954073628331747E-3</v>
      </c>
      <c r="H165" s="88">
        <v>116407.5059</v>
      </c>
      <c r="I165" s="197">
        <f>[2]!Table3[[#This Row],[Residential CLM $ Collected]]/'[2]1.) CLM Reference'!$B$4</f>
        <v>4.0001737250850962E-3</v>
      </c>
      <c r="J165" s="89">
        <v>34321.772038637639</v>
      </c>
      <c r="K165" s="198">
        <f>[2]!Table3[[#This Row],[Residential Incentive Disbursements]]/'[2]1.) CLM Reference'!$B$5</f>
        <v>2.0428424864015679E-3</v>
      </c>
      <c r="L165" s="88">
        <v>51319.480799999998</v>
      </c>
      <c r="M165" s="197">
        <f>[2]!Table3[[#This Row],[C&amp;I CLM $ Collected]]/'[2]1.) CLM Reference'!$B$4</f>
        <v>1.7635189165337926E-3</v>
      </c>
      <c r="N165" s="89">
        <v>12643.833435571962</v>
      </c>
      <c r="O165" s="198">
        <f>[2]!Table3[[#This Row],[C&amp;I Incentive Disbursements]]/'[2]1.) CLM Reference'!$B$5</f>
        <v>7.525648764316066E-4</v>
      </c>
      <c r="P165" t="str">
        <f t="shared" si="2"/>
        <v>NO</v>
      </c>
      <c r="Q165" t="str">
        <f>VLOOKUP(Table8[[#This Row],[Census Tract]],'UI EnergyBurden'!$A$2:$B$184,2,FALSE)</f>
        <v>No</v>
      </c>
      <c r="R165">
        <f>VLOOKUP(Table8[[#This Row],[Census Tract]],'Population and Diversity Data'!$B$2:$K$823,10,FALSE)</f>
        <v>3</v>
      </c>
    </row>
    <row r="166" spans="1:18" ht="15.75" hidden="1" customHeight="1" x14ac:dyDescent="0.2">
      <c r="A166" s="195">
        <v>9009151200</v>
      </c>
      <c r="B166" s="195" t="s">
        <v>2989</v>
      </c>
      <c r="C166" s="195" t="s">
        <v>944</v>
      </c>
      <c r="D166" s="88">
        <f>[2]!Table3[[#This Row],[Residential CLM $ Collected]]+[2]!Table3[[#This Row],[C&amp;I CLM $ Collected]]</f>
        <v>100733.4038000001</v>
      </c>
      <c r="E166" s="197">
        <f>[2]!Table3[[#This Row],[CLM $ Collected ]]/'[2]1.) CLM Reference'!$B$4</f>
        <v>3.4615561256445371E-3</v>
      </c>
      <c r="F166" s="89">
        <f>[2]!Table3[[#This Row],[Residential Incentive Disbursements]]+[2]!Table3[[#This Row],[C&amp;I Incentive Disbursements]]</f>
        <v>34373.160907637597</v>
      </c>
      <c r="G166" s="198">
        <f>[2]!Table3[[#This Row],[Incentive Disbursements]]/'[2]1.) CLM Reference'!$B$5</f>
        <v>2.0459011677774323E-3</v>
      </c>
      <c r="H166" s="88">
        <v>55146.045800000102</v>
      </c>
      <c r="I166" s="197">
        <f>[2]!Table3[[#This Row],[Residential CLM $ Collected]]/'[2]1.) CLM Reference'!$B$4</f>
        <v>1.8950132274202409E-3</v>
      </c>
      <c r="J166" s="89">
        <v>31569.609000484343</v>
      </c>
      <c r="K166" s="198">
        <f>[2]!Table3[[#This Row],[Residential Incentive Disbursements]]/'[2]1.) CLM Reference'!$B$5</f>
        <v>1.8790328912118338E-3</v>
      </c>
      <c r="L166" s="88">
        <v>45587.358</v>
      </c>
      <c r="M166" s="197">
        <f>[2]!Table3[[#This Row],[C&amp;I CLM $ Collected]]/'[2]1.) CLM Reference'!$B$4</f>
        <v>1.5665428982242964E-3</v>
      </c>
      <c r="N166" s="89">
        <v>2803.5519071532544</v>
      </c>
      <c r="O166" s="198">
        <f>[2]!Table3[[#This Row],[C&amp;I Incentive Disbursements]]/'[2]1.) CLM Reference'!$B$5</f>
        <v>1.6686827656559855E-4</v>
      </c>
      <c r="P166" t="str">
        <f t="shared" si="2"/>
        <v>NO</v>
      </c>
      <c r="Q166" t="str">
        <f>VLOOKUP(Table8[[#This Row],[Census Tract]],'UI EnergyBurden'!$A$2:$B$184,2,FALSE)</f>
        <v>No</v>
      </c>
      <c r="R166">
        <f>VLOOKUP(Table8[[#This Row],[Census Tract]],'Population and Diversity Data'!$B$2:$K$823,10,FALSE)</f>
        <v>2</v>
      </c>
    </row>
    <row r="167" spans="1:18" ht="15.75" hidden="1" customHeight="1" x14ac:dyDescent="0.2">
      <c r="A167" s="195">
        <v>9009157100</v>
      </c>
      <c r="B167" s="195" t="s">
        <v>2989</v>
      </c>
      <c r="C167" s="195" t="s">
        <v>944</v>
      </c>
      <c r="D167" s="88">
        <f>[2]!Table3[[#This Row],[Residential CLM $ Collected]]+[2]!Table3[[#This Row],[C&amp;I CLM $ Collected]]</f>
        <v>104.54689999999999</v>
      </c>
      <c r="E167" s="197">
        <f>[2]!Table3[[#This Row],[CLM $ Collected ]]/'[2]1.) CLM Reference'!$B$4</f>
        <v>3.5926013463286396E-6</v>
      </c>
      <c r="F167" s="89">
        <f>[2]!Table3[[#This Row],[Residential Incentive Disbursements]]+[2]!Table3[[#This Row],[C&amp;I Incentive Disbursements]]</f>
        <v>0</v>
      </c>
      <c r="G167" s="198">
        <f>[2]!Table3[[#This Row],[Incentive Disbursements]]/'[2]1.) CLM Reference'!$B$5</f>
        <v>0</v>
      </c>
      <c r="H167" s="88">
        <v>104.54689999999999</v>
      </c>
      <c r="I167" s="197">
        <f>[2]!Table3[[#This Row],[Residential CLM $ Collected]]/'[2]1.) CLM Reference'!$B$4</f>
        <v>3.5926013463286396E-6</v>
      </c>
      <c r="J167" s="89">
        <v>0</v>
      </c>
      <c r="K167" s="198">
        <f>[2]!Table3[[#This Row],[Residential Incentive Disbursements]]/'[2]1.) CLM Reference'!$B$5</f>
        <v>0</v>
      </c>
      <c r="L167" s="88">
        <v>0</v>
      </c>
      <c r="M167" s="197">
        <f>[2]!Table3[[#This Row],[C&amp;I CLM $ Collected]]/'[2]1.) CLM Reference'!$B$4</f>
        <v>0</v>
      </c>
      <c r="N167" s="89">
        <v>0</v>
      </c>
      <c r="O167" s="198">
        <f>[2]!Table3[[#This Row],[C&amp;I Incentive Disbursements]]/'[2]1.) CLM Reference'!$B$5</f>
        <v>0</v>
      </c>
      <c r="P167" t="str">
        <f t="shared" si="2"/>
        <v>N/A</v>
      </c>
      <c r="Q167" t="str">
        <f>VLOOKUP(Table8[[#This Row],[Census Tract]],'UI EnergyBurden'!$A$2:$B$184,2,FALSE)</f>
        <v>No</v>
      </c>
      <c r="R167">
        <f>VLOOKUP(Table8[[#This Row],[Census Tract]],'Population and Diversity Data'!$B$2:$K$823,10,FALSE)</f>
        <v>5</v>
      </c>
    </row>
    <row r="168" spans="1:18" ht="15.75" hidden="1" customHeight="1" x14ac:dyDescent="0.2">
      <c r="A168" s="195">
        <v>9009157200</v>
      </c>
      <c r="B168" s="195" t="s">
        <v>2989</v>
      </c>
      <c r="C168" s="195" t="s">
        <v>944</v>
      </c>
      <c r="D168" s="88">
        <f>[2]!Table3[[#This Row],[Residential CLM $ Collected]]+[2]!Table3[[#This Row],[C&amp;I CLM $ Collected]]</f>
        <v>71.1738</v>
      </c>
      <c r="E168" s="197">
        <f>[2]!Table3[[#This Row],[CLM $ Collected ]]/'[2]1.) CLM Reference'!$B$4</f>
        <v>2.445783564154703E-6</v>
      </c>
      <c r="F168" s="89">
        <f>[2]!Table3[[#This Row],[Residential Incentive Disbursements]]+[2]!Table3[[#This Row],[C&amp;I Incentive Disbursements]]</f>
        <v>0</v>
      </c>
      <c r="G168" s="198">
        <f>[2]!Table3[[#This Row],[Incentive Disbursements]]/'[2]1.) CLM Reference'!$B$5</f>
        <v>0</v>
      </c>
      <c r="H168" s="88">
        <v>71.1738</v>
      </c>
      <c r="I168" s="197">
        <f>[2]!Table3[[#This Row],[Residential CLM $ Collected]]/'[2]1.) CLM Reference'!$B$4</f>
        <v>2.445783564154703E-6</v>
      </c>
      <c r="J168" s="89">
        <v>0</v>
      </c>
      <c r="K168" s="198">
        <f>[2]!Table3[[#This Row],[Residential Incentive Disbursements]]/'[2]1.) CLM Reference'!$B$5</f>
        <v>0</v>
      </c>
      <c r="L168" s="88">
        <v>0</v>
      </c>
      <c r="M168" s="197">
        <f>[2]!Table3[[#This Row],[C&amp;I CLM $ Collected]]/'[2]1.) CLM Reference'!$B$4</f>
        <v>0</v>
      </c>
      <c r="N168" s="89">
        <v>0</v>
      </c>
      <c r="O168" s="198">
        <f>[2]!Table3[[#This Row],[C&amp;I Incentive Disbursements]]/'[2]1.) CLM Reference'!$B$5</f>
        <v>0</v>
      </c>
      <c r="P168" t="str">
        <f t="shared" si="2"/>
        <v>N/A</v>
      </c>
      <c r="Q168" t="str">
        <f>VLOOKUP(Table8[[#This Row],[Census Tract]],'UI EnergyBurden'!$A$2:$B$184,2,FALSE)</f>
        <v>No</v>
      </c>
      <c r="R168">
        <f>VLOOKUP(Table8[[#This Row],[Census Tract]],'Population and Diversity Data'!$B$2:$K$823,10,FALSE)</f>
        <v>2</v>
      </c>
    </row>
    <row r="169" spans="1:18" ht="15.75" customHeight="1" x14ac:dyDescent="0.2">
      <c r="A169" s="195">
        <v>9009140100</v>
      </c>
      <c r="B169" s="195" t="s">
        <v>943</v>
      </c>
      <c r="C169" s="195" t="s">
        <v>936</v>
      </c>
      <c r="D169" s="88">
        <f>[2]!Table3[[#This Row],[Residential CLM $ Collected]]+[2]!Table3[[#This Row],[C&amp;I CLM $ Collected]]</f>
        <v>223658.3899999999</v>
      </c>
      <c r="E169" s="197">
        <f>[2]!Table3[[#This Row],[CLM $ Collected ]]/'[2]1.) CLM Reference'!$B$4</f>
        <v>7.6856935311491355E-3</v>
      </c>
      <c r="F169" s="89">
        <f>[2]!Table3[[#This Row],[Residential Incentive Disbursements]]+[2]!Table3[[#This Row],[C&amp;I Incentive Disbursements]]</f>
        <v>604730.94451868429</v>
      </c>
      <c r="G169" s="198">
        <f>[2]!Table3[[#This Row],[Incentive Disbursements]]/'[2]1.) CLM Reference'!$B$5</f>
        <v>3.5993772842317216E-2</v>
      </c>
      <c r="H169" s="88">
        <v>53179.4405999999</v>
      </c>
      <c r="I169" s="197">
        <f>[2]!Table3[[#This Row],[Residential CLM $ Collected]]/'[2]1.) CLM Reference'!$B$4</f>
        <v>1.8274337153618477E-3</v>
      </c>
      <c r="J169" s="89">
        <v>934.0638205089158</v>
      </c>
      <c r="K169" s="198">
        <f>[2]!Table3[[#This Row],[Residential Incentive Disbursements]]/'[2]1.) CLM Reference'!$B$5</f>
        <v>5.5595767473721706E-5</v>
      </c>
      <c r="L169" s="88">
        <v>170478.94940000001</v>
      </c>
      <c r="M169" s="197">
        <f>[2]!Table3[[#This Row],[C&amp;I CLM $ Collected]]/'[2]1.) CLM Reference'!$B$4</f>
        <v>5.8582598157872886E-3</v>
      </c>
      <c r="N169" s="89">
        <v>603796.8806981754</v>
      </c>
      <c r="O169" s="198">
        <f>[2]!Table3[[#This Row],[C&amp;I Incentive Disbursements]]/'[2]1.) CLM Reference'!$B$5</f>
        <v>3.5938177074843494E-2</v>
      </c>
      <c r="P169" t="str">
        <f t="shared" si="2"/>
        <v>YES</v>
      </c>
      <c r="Q169" t="str">
        <f>VLOOKUP(Table8[[#This Row],[Census Tract]],'UI EnergyBurden'!$A$2:$B$184,2,FALSE)</f>
        <v>No</v>
      </c>
      <c r="R169">
        <f>VLOOKUP(Table8[[#This Row],[Census Tract]],'Population and Diversity Data'!$B$2:$K$823,10,FALSE)</f>
        <v>5</v>
      </c>
    </row>
    <row r="170" spans="1:18" ht="15.75" customHeight="1" x14ac:dyDescent="0.2">
      <c r="A170" s="195">
        <v>9009140200</v>
      </c>
      <c r="B170" s="195" t="s">
        <v>943</v>
      </c>
      <c r="C170" s="195" t="s">
        <v>936</v>
      </c>
      <c r="D170" s="88">
        <f>[2]!Table3[[#This Row],[Residential CLM $ Collected]]+[2]!Table3[[#This Row],[C&amp;I CLM $ Collected]]</f>
        <v>64359.294299999994</v>
      </c>
      <c r="E170" s="197">
        <f>[2]!Table3[[#This Row],[CLM $ Collected ]]/'[2]1.) CLM Reference'!$B$4</f>
        <v>2.2116130401852291E-3</v>
      </c>
      <c r="F170" s="89">
        <f>[2]!Table3[[#This Row],[Residential Incentive Disbursements]]+[2]!Table3[[#This Row],[C&amp;I Incentive Disbursements]]</f>
        <v>6563.3203628363508</v>
      </c>
      <c r="G170" s="198">
        <f>[2]!Table3[[#This Row],[Incentive Disbursements]]/'[2]1.) CLM Reference'!$B$5</f>
        <v>3.9065085782787745E-4</v>
      </c>
      <c r="H170" s="88">
        <v>5569.7996999999996</v>
      </c>
      <c r="I170" s="197">
        <f>[2]!Table3[[#This Row],[Residential CLM $ Collected]]/'[2]1.) CLM Reference'!$B$4</f>
        <v>1.9139802233256894E-4</v>
      </c>
      <c r="J170" s="89">
        <v>0</v>
      </c>
      <c r="K170" s="198">
        <f>[2]!Table3[[#This Row],[Residential Incentive Disbursements]]/'[2]1.) CLM Reference'!$B$5</f>
        <v>0</v>
      </c>
      <c r="L170" s="88">
        <v>58789.494599999998</v>
      </c>
      <c r="M170" s="197">
        <f>[2]!Table3[[#This Row],[C&amp;I CLM $ Collected]]/'[2]1.) CLM Reference'!$B$4</f>
        <v>2.02021501785266E-3</v>
      </c>
      <c r="N170" s="89">
        <v>6563.3203628363508</v>
      </c>
      <c r="O170" s="198">
        <f>[2]!Table3[[#This Row],[C&amp;I Incentive Disbursements]]/'[2]1.) CLM Reference'!$B$5</f>
        <v>3.9065085782787745E-4</v>
      </c>
      <c r="P170" t="str">
        <f t="shared" si="2"/>
        <v>NO</v>
      </c>
      <c r="Q170" t="str">
        <f>VLOOKUP(Table8[[#This Row],[Census Tract]],'UI EnergyBurden'!$A$2:$B$184,2,FALSE)</f>
        <v>Yes</v>
      </c>
      <c r="R170">
        <f>VLOOKUP(Table8[[#This Row],[Census Tract]],'Population and Diversity Data'!$B$2:$K$823,10,FALSE)</f>
        <v>3</v>
      </c>
    </row>
    <row r="171" spans="1:18" ht="15.75" customHeight="1" x14ac:dyDescent="0.2">
      <c r="A171" s="195">
        <v>9009140300</v>
      </c>
      <c r="B171" s="195" t="s">
        <v>943</v>
      </c>
      <c r="C171" s="195" t="s">
        <v>936</v>
      </c>
      <c r="D171" s="88">
        <f>[2]!Table3[[#This Row],[Residential CLM $ Collected]]+[2]!Table3[[#This Row],[C&amp;I CLM $ Collected]]</f>
        <v>53310.823499999999</v>
      </c>
      <c r="E171" s="197">
        <f>[2]!Table3[[#This Row],[CLM $ Collected ]]/'[2]1.) CLM Reference'!$B$4</f>
        <v>1.8319484966076323E-3</v>
      </c>
      <c r="F171" s="89">
        <f>[2]!Table3[[#This Row],[Residential Incentive Disbursements]]+[2]!Table3[[#This Row],[C&amp;I Incentive Disbursements]]</f>
        <v>9544.7766069216595</v>
      </c>
      <c r="G171" s="198">
        <f>[2]!Table3[[#This Row],[Incentive Disbursements]]/'[2]1.) CLM Reference'!$B$5</f>
        <v>5.6810805554797724E-4</v>
      </c>
      <c r="H171" s="88">
        <v>27566.794900000001</v>
      </c>
      <c r="I171" s="197">
        <f>[2]!Table3[[#This Row],[Residential CLM $ Collected]]/'[2]1.) CLM Reference'!$B$4</f>
        <v>9.4729259759692038E-4</v>
      </c>
      <c r="J171" s="89">
        <v>5483.3159863546116</v>
      </c>
      <c r="K171" s="198">
        <f>[2]!Table3[[#This Row],[Residential Incentive Disbursements]]/'[2]1.) CLM Reference'!$B$5</f>
        <v>3.2636866332775612E-4</v>
      </c>
      <c r="L171" s="88">
        <v>25744.028600000001</v>
      </c>
      <c r="M171" s="197">
        <f>[2]!Table3[[#This Row],[C&amp;I CLM $ Collected]]/'[2]1.) CLM Reference'!$B$4</f>
        <v>8.8465589901071204E-4</v>
      </c>
      <c r="N171" s="89">
        <v>4061.4606205670489</v>
      </c>
      <c r="O171" s="198">
        <f>[2]!Table3[[#This Row],[C&amp;I Incentive Disbursements]]/'[2]1.) CLM Reference'!$B$5</f>
        <v>2.4173939222022121E-4</v>
      </c>
      <c r="P171" t="str">
        <f t="shared" si="2"/>
        <v>NO</v>
      </c>
      <c r="Q171" t="str">
        <f>VLOOKUP(Table8[[#This Row],[Census Tract]],'UI EnergyBurden'!$A$2:$B$184,2,FALSE)</f>
        <v>Yes</v>
      </c>
      <c r="R171">
        <f>VLOOKUP(Table8[[#This Row],[Census Tract]],'Population and Diversity Data'!$B$2:$K$823,10,FALSE)</f>
        <v>5</v>
      </c>
    </row>
    <row r="172" spans="1:18" ht="15.75" customHeight="1" x14ac:dyDescent="0.2">
      <c r="A172" s="195">
        <v>9009140400</v>
      </c>
      <c r="B172" s="195" t="s">
        <v>943</v>
      </c>
      <c r="C172" s="195" t="s">
        <v>936</v>
      </c>
      <c r="D172" s="88">
        <f>[2]!Table3[[#This Row],[Residential CLM $ Collected]]+[2]!Table3[[#This Row],[C&amp;I CLM $ Collected]]</f>
        <v>59717.657400000098</v>
      </c>
      <c r="E172" s="197">
        <f>[2]!Table3[[#This Row],[CLM $ Collected ]]/'[2]1.) CLM Reference'!$B$4</f>
        <v>2.0521099752822207E-3</v>
      </c>
      <c r="F172" s="89">
        <f>[2]!Table3[[#This Row],[Residential Incentive Disbursements]]+[2]!Table3[[#This Row],[C&amp;I Incentive Disbursements]]</f>
        <v>11723.469763708428</v>
      </c>
      <c r="G172" s="198">
        <f>[2]!Table3[[#This Row],[Incentive Disbursements]]/'[2]1.) CLM Reference'!$B$5</f>
        <v>6.9778454604229006E-4</v>
      </c>
      <c r="H172" s="88">
        <v>41243.352400000098</v>
      </c>
      <c r="I172" s="197">
        <f>[2]!Table3[[#This Row],[Residential CLM $ Collected]]/'[2]1.) CLM Reference'!$B$4</f>
        <v>1.417267497738784E-3</v>
      </c>
      <c r="J172" s="89">
        <v>3866.9803392835288</v>
      </c>
      <c r="K172" s="198">
        <f>[2]!Table3[[#This Row],[Residential Incentive Disbursements]]/'[2]1.) CLM Reference'!$B$5</f>
        <v>2.3016386573149414E-4</v>
      </c>
      <c r="L172" s="88">
        <v>18474.305</v>
      </c>
      <c r="M172" s="197">
        <f>[2]!Table3[[#This Row],[C&amp;I CLM $ Collected]]/'[2]1.) CLM Reference'!$B$4</f>
        <v>6.348424775434367E-4</v>
      </c>
      <c r="N172" s="89">
        <v>7856.489424424899</v>
      </c>
      <c r="O172" s="198">
        <f>[2]!Table3[[#This Row],[C&amp;I Incentive Disbursements]]/'[2]1.) CLM Reference'!$B$5</f>
        <v>4.676206803107959E-4</v>
      </c>
      <c r="P172" t="str">
        <f t="shared" si="2"/>
        <v>NO</v>
      </c>
      <c r="Q172" t="str">
        <f>VLOOKUP(Table8[[#This Row],[Census Tract]],'UI EnergyBurden'!$A$2:$B$184,2,FALSE)</f>
        <v>No</v>
      </c>
      <c r="R172">
        <f>VLOOKUP(Table8[[#This Row],[Census Tract]],'Population and Diversity Data'!$B$2:$K$823,10,FALSE)</f>
        <v>5</v>
      </c>
    </row>
    <row r="173" spans="1:18" ht="15.75" customHeight="1" x14ac:dyDescent="0.2">
      <c r="A173" s="195">
        <v>9009140500</v>
      </c>
      <c r="B173" s="195" t="s">
        <v>943</v>
      </c>
      <c r="C173" s="195" t="s">
        <v>936</v>
      </c>
      <c r="D173" s="88">
        <f>[2]!Table3[[#This Row],[Residential CLM $ Collected]]+[2]!Table3[[#This Row],[C&amp;I CLM $ Collected]]</f>
        <v>65779.7380999999</v>
      </c>
      <c r="E173" s="197">
        <f>[2]!Table3[[#This Row],[CLM $ Collected ]]/'[2]1.) CLM Reference'!$B$4</f>
        <v>2.2604245143491098E-3</v>
      </c>
      <c r="F173" s="89">
        <f>[2]!Table3[[#This Row],[Residential Incentive Disbursements]]+[2]!Table3[[#This Row],[C&amp;I Incentive Disbursements]]</f>
        <v>14743.539873164051</v>
      </c>
      <c r="G173" s="198">
        <f>[2]!Table3[[#This Row],[Incentive Disbursements]]/'[2]1.) CLM Reference'!$B$5</f>
        <v>8.7754005297130443E-4</v>
      </c>
      <c r="H173" s="88">
        <v>40619.569599999901</v>
      </c>
      <c r="I173" s="197">
        <f>[2]!Table3[[#This Row],[Residential CLM $ Collected]]/'[2]1.) CLM Reference'!$B$4</f>
        <v>1.3958321139340289E-3</v>
      </c>
      <c r="J173" s="89">
        <v>5691.3564420442126</v>
      </c>
      <c r="K173" s="198">
        <f>[2]!Table3[[#This Row],[Residential Incentive Disbursements]]/'[2]1.) CLM Reference'!$B$5</f>
        <v>3.3875129559087538E-4</v>
      </c>
      <c r="L173" s="88">
        <v>25160.1685</v>
      </c>
      <c r="M173" s="197">
        <f>[2]!Table3[[#This Row],[C&amp;I CLM $ Collected]]/'[2]1.) CLM Reference'!$B$4</f>
        <v>8.6459240041508094E-4</v>
      </c>
      <c r="N173" s="89">
        <v>9052.1834311198381</v>
      </c>
      <c r="O173" s="198">
        <f>[2]!Table3[[#This Row],[C&amp;I Incentive Disbursements]]/'[2]1.) CLM Reference'!$B$5</f>
        <v>5.3878875738042899E-4</v>
      </c>
      <c r="P173" t="str">
        <f t="shared" si="2"/>
        <v>NO</v>
      </c>
      <c r="Q173" t="str">
        <f>VLOOKUP(Table8[[#This Row],[Census Tract]],'UI EnergyBurden'!$A$2:$B$184,2,FALSE)</f>
        <v>Yes</v>
      </c>
      <c r="R173">
        <f>VLOOKUP(Table8[[#This Row],[Census Tract]],'Population and Diversity Data'!$B$2:$K$823,10,FALSE)</f>
        <v>5</v>
      </c>
    </row>
    <row r="174" spans="1:18" ht="16" x14ac:dyDescent="0.2">
      <c r="A174" s="195">
        <v>9009140600</v>
      </c>
      <c r="B174" s="195" t="s">
        <v>943</v>
      </c>
      <c r="C174" s="195" t="s">
        <v>936</v>
      </c>
      <c r="D174" s="88">
        <f>[2]!Table3[[#This Row],[Residential CLM $ Collected]]+[2]!Table3[[#This Row],[C&amp;I CLM $ Collected]]</f>
        <v>78663.046799999895</v>
      </c>
      <c r="E174" s="197">
        <f>[2]!Table3[[#This Row],[CLM $ Collected ]]/'[2]1.) CLM Reference'!$B$4</f>
        <v>2.7031405793953947E-3</v>
      </c>
      <c r="F174" s="89">
        <f>[2]!Table3[[#This Row],[Residential Incentive Disbursements]]+[2]!Table3[[#This Row],[C&amp;I Incentive Disbursements]]</f>
        <v>41342.92831284058</v>
      </c>
      <c r="G174" s="198">
        <f>[2]!Table3[[#This Row],[Incentive Disbursements]]/'[2]1.) CLM Reference'!$B$5</f>
        <v>2.4607438792684628E-3</v>
      </c>
      <c r="H174" s="88">
        <v>52288.773399999904</v>
      </c>
      <c r="I174" s="197">
        <f>[2]!Table3[[#This Row],[Residential CLM $ Collected]]/'[2]1.) CLM Reference'!$B$4</f>
        <v>1.7968272393988995E-3</v>
      </c>
      <c r="J174" s="89">
        <v>10085.927376956573</v>
      </c>
      <c r="K174" s="198">
        <f>[2]!Table3[[#This Row],[Residential Incentive Disbursements]]/'[2]1.) CLM Reference'!$B$5</f>
        <v>6.0031751674164031E-4</v>
      </c>
      <c r="L174" s="88">
        <v>26374.273399999998</v>
      </c>
      <c r="M174" s="197">
        <f>[2]!Table3[[#This Row],[C&amp;I CLM $ Collected]]/'[2]1.) CLM Reference'!$B$4</f>
        <v>9.0631333999649554E-4</v>
      </c>
      <c r="N174" s="89">
        <v>31257.000935884007</v>
      </c>
      <c r="O174" s="198">
        <f>[2]!Table3[[#This Row],[C&amp;I Incentive Disbursements]]/'[2]1.) CLM Reference'!$B$5</f>
        <v>1.8604263625268225E-3</v>
      </c>
      <c r="P174" t="str">
        <f t="shared" si="2"/>
        <v>YES</v>
      </c>
      <c r="Q174" t="str">
        <f>VLOOKUP(Table8[[#This Row],[Census Tract]],'UI EnergyBurden'!$A$2:$B$184,2,FALSE)</f>
        <v>Yes</v>
      </c>
      <c r="R174">
        <f>VLOOKUP(Table8[[#This Row],[Census Tract]],'Population and Diversity Data'!$B$2:$K$823,10,FALSE)</f>
        <v>5</v>
      </c>
    </row>
    <row r="175" spans="1:18" ht="15.75" customHeight="1" x14ac:dyDescent="0.2">
      <c r="A175" s="195">
        <v>9009140700</v>
      </c>
      <c r="B175" s="195" t="s">
        <v>943</v>
      </c>
      <c r="C175" s="195" t="s">
        <v>936</v>
      </c>
      <c r="D175" s="88">
        <f>[2]!Table3[[#This Row],[Residential CLM $ Collected]]+[2]!Table3[[#This Row],[C&amp;I CLM $ Collected]]</f>
        <v>77617.0153999998</v>
      </c>
      <c r="E175" s="197">
        <f>[2]!Table3[[#This Row],[CLM $ Collected ]]/'[2]1.) CLM Reference'!$B$4</f>
        <v>2.6671952398784663E-3</v>
      </c>
      <c r="F175" s="89">
        <f>[2]!Table3[[#This Row],[Residential Incentive Disbursements]]+[2]!Table3[[#This Row],[C&amp;I Incentive Disbursements]]</f>
        <v>18744.271650408202</v>
      </c>
      <c r="G175" s="198">
        <f>[2]!Table3[[#This Row],[Incentive Disbursements]]/'[2]1.) CLM Reference'!$B$5</f>
        <v>1.115664845655395E-3</v>
      </c>
      <c r="H175" s="88">
        <v>46744.9413999998</v>
      </c>
      <c r="I175" s="197">
        <f>[2]!Table3[[#This Row],[Residential CLM $ Collected]]/'[2]1.) CLM Reference'!$B$4</f>
        <v>1.6063215591059386E-3</v>
      </c>
      <c r="J175" s="89">
        <v>6995.2783672318437</v>
      </c>
      <c r="K175" s="198">
        <f>[2]!Table3[[#This Row],[Residential Incentive Disbursements]]/'[2]1.) CLM Reference'!$B$5</f>
        <v>4.1636113184073914E-4</v>
      </c>
      <c r="L175" s="88">
        <v>30872.074000000001</v>
      </c>
      <c r="M175" s="197">
        <f>[2]!Table3[[#This Row],[C&amp;I CLM $ Collected]]/'[2]1.) CLM Reference'!$B$4</f>
        <v>1.0608736807725279E-3</v>
      </c>
      <c r="N175" s="89">
        <v>11748.993283176358</v>
      </c>
      <c r="O175" s="198">
        <f>[2]!Table3[[#This Row],[C&amp;I Incentive Disbursements]]/'[2]1.) CLM Reference'!$B$5</f>
        <v>6.993037138146559E-4</v>
      </c>
      <c r="P175" t="str">
        <f t="shared" si="2"/>
        <v>NO</v>
      </c>
      <c r="Q175" t="str">
        <f>VLOOKUP(Table8[[#This Row],[Census Tract]],'UI EnergyBurden'!$A$2:$B$184,2,FALSE)</f>
        <v>No</v>
      </c>
      <c r="R175">
        <f>VLOOKUP(Table8[[#This Row],[Census Tract]],'Population and Diversity Data'!$B$2:$K$823,10,FALSE)</f>
        <v>5</v>
      </c>
    </row>
    <row r="176" spans="1:18" ht="15.75" customHeight="1" x14ac:dyDescent="0.2">
      <c r="A176" s="195">
        <v>9009140800</v>
      </c>
      <c r="B176" s="195" t="s">
        <v>943</v>
      </c>
      <c r="C176" s="195" t="s">
        <v>936</v>
      </c>
      <c r="D176" s="88">
        <f>[2]!Table3[[#This Row],[Residential CLM $ Collected]]+[2]!Table3[[#This Row],[C&amp;I CLM $ Collected]]</f>
        <v>79702.388000000006</v>
      </c>
      <c r="E176" s="197">
        <f>[2]!Table3[[#This Row],[CLM $ Collected ]]/'[2]1.) CLM Reference'!$B$4</f>
        <v>2.7388560199719707E-3</v>
      </c>
      <c r="F176" s="89">
        <f>[2]!Table3[[#This Row],[Residential Incentive Disbursements]]+[2]!Table3[[#This Row],[C&amp;I Incentive Disbursements]]</f>
        <v>12069.086071435711</v>
      </c>
      <c r="G176" s="198">
        <f>[2]!Table3[[#This Row],[Incentive Disbursements]]/'[2]1.) CLM Reference'!$B$5</f>
        <v>7.183557355666453E-4</v>
      </c>
      <c r="H176" s="88">
        <v>50564.050300000003</v>
      </c>
      <c r="I176" s="197">
        <f>[2]!Table3[[#This Row],[Residential CLM $ Collected]]/'[2]1.) CLM Reference'!$B$4</f>
        <v>1.7375596520184632E-3</v>
      </c>
      <c r="J176" s="89">
        <v>9715.3884126046942</v>
      </c>
      <c r="K176" s="198">
        <f>[2]!Table3[[#This Row],[Residential Incentive Disbursements]]/'[2]1.) CLM Reference'!$B$5</f>
        <v>5.7826292298718263E-4</v>
      </c>
      <c r="L176" s="88">
        <v>29138.3377</v>
      </c>
      <c r="M176" s="197">
        <f>[2]!Table3[[#This Row],[C&amp;I CLM $ Collected]]/'[2]1.) CLM Reference'!$B$4</f>
        <v>1.0012963679535076E-3</v>
      </c>
      <c r="N176" s="89">
        <v>2353.6976588310163</v>
      </c>
      <c r="O176" s="198">
        <f>[2]!Table3[[#This Row],[C&amp;I Incentive Disbursements]]/'[2]1.) CLM Reference'!$B$5</f>
        <v>1.4009281257946262E-4</v>
      </c>
      <c r="P176" t="str">
        <f t="shared" si="2"/>
        <v>NO</v>
      </c>
      <c r="Q176" t="str">
        <f>VLOOKUP(Table8[[#This Row],[Census Tract]],'UI EnergyBurden'!$A$2:$B$184,2,FALSE)</f>
        <v>No</v>
      </c>
      <c r="R176">
        <f>VLOOKUP(Table8[[#This Row],[Census Tract]],'Population and Diversity Data'!$B$2:$K$823,10,FALSE)</f>
        <v>4</v>
      </c>
    </row>
    <row r="177" spans="1:18" ht="15.75" customHeight="1" x14ac:dyDescent="0.2">
      <c r="A177" s="195">
        <v>9009140900</v>
      </c>
      <c r="B177" s="195" t="s">
        <v>943</v>
      </c>
      <c r="C177" s="195" t="s">
        <v>936</v>
      </c>
      <c r="D177" s="88">
        <f>[2]!Table3[[#This Row],[Residential CLM $ Collected]]+[2]!Table3[[#This Row],[C&amp;I CLM $ Collected]]</f>
        <v>67556.210999999894</v>
      </c>
      <c r="E177" s="197">
        <f>[2]!Table3[[#This Row],[CLM $ Collected ]]/'[2]1.) CLM Reference'!$B$4</f>
        <v>2.3214704079361631E-3</v>
      </c>
      <c r="F177" s="89">
        <f>[2]!Table3[[#This Row],[Residential Incentive Disbursements]]+[2]!Table3[[#This Row],[C&amp;I Incentive Disbursements]]</f>
        <v>21955.418187085754</v>
      </c>
      <c r="G177" s="198">
        <f>[2]!Table3[[#This Row],[Incentive Disbursements]]/'[2]1.) CLM Reference'!$B$5</f>
        <v>1.3067932806266839E-3</v>
      </c>
      <c r="H177" s="88">
        <v>55064.527799999902</v>
      </c>
      <c r="I177" s="197">
        <f>[2]!Table3[[#This Row],[Residential CLM $ Collected]]/'[2]1.) CLM Reference'!$B$4</f>
        <v>1.8922119805487342E-3</v>
      </c>
      <c r="J177" s="89">
        <v>13434.798721985731</v>
      </c>
      <c r="K177" s="198">
        <f>[2]!Table3[[#This Row],[Residential Incentive Disbursements]]/'[2]1.) CLM Reference'!$B$5</f>
        <v>7.996433749000375E-4</v>
      </c>
      <c r="L177" s="88">
        <v>12491.683199999999</v>
      </c>
      <c r="M177" s="197">
        <f>[2]!Table3[[#This Row],[C&amp;I CLM $ Collected]]/'[2]1.) CLM Reference'!$B$4</f>
        <v>4.2925842738742944E-4</v>
      </c>
      <c r="N177" s="89">
        <v>8520.6194651000224</v>
      </c>
      <c r="O177" s="198">
        <f>[2]!Table3[[#This Row],[C&amp;I Incentive Disbursements]]/'[2]1.) CLM Reference'!$B$5</f>
        <v>5.0714990572664649E-4</v>
      </c>
      <c r="P177" t="str">
        <f t="shared" si="2"/>
        <v>YES</v>
      </c>
      <c r="Q177" t="str">
        <f>VLOOKUP(Table8[[#This Row],[Census Tract]],'UI EnergyBurden'!$A$2:$B$184,2,FALSE)</f>
        <v>No</v>
      </c>
      <c r="R177">
        <f>VLOOKUP(Table8[[#This Row],[Census Tract]],'Population and Diversity Data'!$B$2:$K$823,10,FALSE)</f>
        <v>3</v>
      </c>
    </row>
    <row r="178" spans="1:18" ht="15.75" hidden="1" customHeight="1" x14ac:dyDescent="0.2">
      <c r="A178" s="195">
        <v>9009141000</v>
      </c>
      <c r="B178" s="195" t="s">
        <v>943</v>
      </c>
      <c r="C178" s="195" t="s">
        <v>944</v>
      </c>
      <c r="D178" s="88">
        <f>[2]!Table3[[#This Row],[Residential CLM $ Collected]]+[2]!Table3[[#This Row],[C&amp;I CLM $ Collected]]</f>
        <v>65807.797799999898</v>
      </c>
      <c r="E178" s="197">
        <f>[2]!Table3[[#This Row],[CLM $ Collected ]]/'[2]1.) CLM Reference'!$B$4</f>
        <v>2.2613887449097251E-3</v>
      </c>
      <c r="F178" s="89">
        <f>[2]!Table3[[#This Row],[Residential Incentive Disbursements]]+[2]!Table3[[#This Row],[C&amp;I Incentive Disbursements]]</f>
        <v>24087.629975672487</v>
      </c>
      <c r="G178" s="198">
        <f>[2]!Table3[[#This Row],[Incentive Disbursements]]/'[2]1.) CLM Reference'!$B$5</f>
        <v>1.4337031857104821E-3</v>
      </c>
      <c r="H178" s="88">
        <v>59341.469599999902</v>
      </c>
      <c r="I178" s="197">
        <f>[2]!Table3[[#This Row],[Residential CLM $ Collected]]/'[2]1.) CLM Reference'!$B$4</f>
        <v>2.0391828316103076E-3</v>
      </c>
      <c r="J178" s="89">
        <v>22632.002489261256</v>
      </c>
      <c r="K178" s="198">
        <f>[2]!Table3[[#This Row],[Residential Incentive Disbursements]]/'[2]1.) CLM Reference'!$B$5</f>
        <v>1.3470637875387546E-3</v>
      </c>
      <c r="L178" s="88">
        <v>6466.3281999999999</v>
      </c>
      <c r="M178" s="197">
        <f>[2]!Table3[[#This Row],[C&amp;I CLM $ Collected]]/'[2]1.) CLM Reference'!$B$4</f>
        <v>2.2220591329941727E-4</v>
      </c>
      <c r="N178" s="89">
        <v>1455.6274864112302</v>
      </c>
      <c r="O178" s="198">
        <f>[2]!Table3[[#This Row],[C&amp;I Incentive Disbursements]]/'[2]1.) CLM Reference'!$B$5</f>
        <v>8.6639398171727274E-5</v>
      </c>
      <c r="P178" t="str">
        <f t="shared" si="2"/>
        <v>NO</v>
      </c>
      <c r="Q178" t="str">
        <f>VLOOKUP(Table8[[#This Row],[Census Tract]],'UI EnergyBurden'!$A$2:$B$184,2,FALSE)</f>
        <v>No</v>
      </c>
      <c r="R178">
        <f>VLOOKUP(Table8[[#This Row],[Census Tract]],'Population and Diversity Data'!$B$2:$K$823,10,FALSE)</f>
        <v>4</v>
      </c>
    </row>
    <row r="179" spans="1:18" ht="15.75" hidden="1" customHeight="1" x14ac:dyDescent="0.2">
      <c r="A179" s="195">
        <v>9009141100</v>
      </c>
      <c r="B179" s="195" t="s">
        <v>943</v>
      </c>
      <c r="C179" s="195" t="s">
        <v>944</v>
      </c>
      <c r="D179" s="88">
        <f>[2]!Table3[[#This Row],[Residential CLM $ Collected]]+[2]!Table3[[#This Row],[C&amp;I CLM $ Collected]]</f>
        <v>51563.689100000003</v>
      </c>
      <c r="E179" s="197">
        <f>[2]!Table3[[#This Row],[CLM $ Collected ]]/'[2]1.) CLM Reference'!$B$4</f>
        <v>1.7719107776732873E-3</v>
      </c>
      <c r="F179" s="89">
        <f>[2]!Table3[[#This Row],[Residential Incentive Disbursements]]+[2]!Table3[[#This Row],[C&amp;I Incentive Disbursements]]</f>
        <v>65844.451187410043</v>
      </c>
      <c r="G179" s="198">
        <f>[2]!Table3[[#This Row],[Incentive Disbursements]]/'[2]1.) CLM Reference'!$B$5</f>
        <v>3.9190820983255568E-3</v>
      </c>
      <c r="H179" s="88">
        <v>50898.5147</v>
      </c>
      <c r="I179" s="197">
        <f>[2]!Table3[[#This Row],[Residential CLM $ Collected]]/'[2]1.) CLM Reference'!$B$4</f>
        <v>1.749053032058799E-3</v>
      </c>
      <c r="J179" s="89">
        <v>65844.451187410043</v>
      </c>
      <c r="K179" s="198">
        <f>[2]!Table3[[#This Row],[Residential Incentive Disbursements]]/'[2]1.) CLM Reference'!$B$5</f>
        <v>3.9190820983255568E-3</v>
      </c>
      <c r="L179" s="88">
        <v>665.17439999999999</v>
      </c>
      <c r="M179" s="197">
        <f>[2]!Table3[[#This Row],[C&amp;I CLM $ Collected]]/'[2]1.) CLM Reference'!$B$4</f>
        <v>2.2857745614488284E-5</v>
      </c>
      <c r="N179" s="89">
        <v>0</v>
      </c>
      <c r="O179" s="198">
        <f>[2]!Table3[[#This Row],[C&amp;I Incentive Disbursements]]/'[2]1.) CLM Reference'!$B$5</f>
        <v>0</v>
      </c>
      <c r="P179" t="str">
        <f t="shared" si="2"/>
        <v>NO</v>
      </c>
      <c r="Q179" t="str">
        <f>VLOOKUP(Table8[[#This Row],[Census Tract]],'UI EnergyBurden'!$A$2:$B$184,2,FALSE)</f>
        <v>No</v>
      </c>
      <c r="R179">
        <f>VLOOKUP(Table8[[#This Row],[Census Tract]],'Population and Diversity Data'!$B$2:$K$823,10,FALSE)</f>
        <v>4</v>
      </c>
    </row>
    <row r="180" spans="1:18" ht="15.75" hidden="1" customHeight="1" x14ac:dyDescent="0.2">
      <c r="A180" s="195">
        <v>9009141200</v>
      </c>
      <c r="B180" s="195" t="s">
        <v>943</v>
      </c>
      <c r="C180" s="195" t="s">
        <v>944</v>
      </c>
      <c r="D180" s="88">
        <f>[2]!Table3[[#This Row],[Residential CLM $ Collected]]+[2]!Table3[[#This Row],[C&amp;I CLM $ Collected]]</f>
        <v>111323.1893999999</v>
      </c>
      <c r="E180" s="197">
        <f>[2]!Table3[[#This Row],[CLM $ Collected ]]/'[2]1.) CLM Reference'!$B$4</f>
        <v>3.8254586230298342E-3</v>
      </c>
      <c r="F180" s="89">
        <f>[2]!Table3[[#This Row],[Residential Incentive Disbursements]]+[2]!Table3[[#This Row],[C&amp;I Incentive Disbursements]]</f>
        <v>59642.892950518661</v>
      </c>
      <c r="G180" s="198">
        <f>[2]!Table3[[#This Row],[Incentive Disbursements]]/'[2]1.) CLM Reference'!$B$5</f>
        <v>3.5499634341157531E-3</v>
      </c>
      <c r="H180" s="88">
        <v>62230.979699999902</v>
      </c>
      <c r="I180" s="197">
        <f>[2]!Table3[[#This Row],[Residential CLM $ Collected]]/'[2]1.) CLM Reference'!$B$4</f>
        <v>2.1384766210530383E-3</v>
      </c>
      <c r="J180" s="89">
        <v>45394.301346346532</v>
      </c>
      <c r="K180" s="198">
        <f>[2]!Table3[[#This Row],[Residential Incentive Disbursements]]/'[2]1.) CLM Reference'!$B$5</f>
        <v>2.7018828551870289E-3</v>
      </c>
      <c r="L180" s="88">
        <v>49092.209699999999</v>
      </c>
      <c r="M180" s="197">
        <f>[2]!Table3[[#This Row],[C&amp;I CLM $ Collected]]/'[2]1.) CLM Reference'!$B$4</f>
        <v>1.686982001976796E-3</v>
      </c>
      <c r="N180" s="89">
        <v>14248.591604172128</v>
      </c>
      <c r="O180" s="198">
        <f>[2]!Table3[[#This Row],[C&amp;I Incentive Disbursements]]/'[2]1.) CLM Reference'!$B$5</f>
        <v>8.4808057892872394E-4</v>
      </c>
      <c r="P180" t="str">
        <f t="shared" si="2"/>
        <v>NO</v>
      </c>
      <c r="Q180" t="str">
        <f>VLOOKUP(Table8[[#This Row],[Census Tract]],'UI EnergyBurden'!$A$2:$B$184,2,FALSE)</f>
        <v>No</v>
      </c>
      <c r="R180">
        <f>VLOOKUP(Table8[[#This Row],[Census Tract]],'Population and Diversity Data'!$B$2:$K$823,10,FALSE)</f>
        <v>5</v>
      </c>
    </row>
    <row r="181" spans="1:18" ht="15.75" customHeight="1" x14ac:dyDescent="0.2">
      <c r="A181" s="195">
        <v>9009141300</v>
      </c>
      <c r="B181" s="195" t="s">
        <v>943</v>
      </c>
      <c r="C181" s="195" t="s">
        <v>936</v>
      </c>
      <c r="D181" s="88">
        <f>[2]!Table3[[#This Row],[Residential CLM $ Collected]]+[2]!Table3[[#This Row],[C&amp;I CLM $ Collected]]</f>
        <v>122039.11440000001</v>
      </c>
      <c r="E181" s="197">
        <f>[2]!Table3[[#This Row],[CLM $ Collected ]]/'[2]1.) CLM Reference'!$B$4</f>
        <v>4.1936957164506539E-3</v>
      </c>
      <c r="F181" s="89">
        <f>[2]!Table3[[#This Row],[Residential Incentive Disbursements]]+[2]!Table3[[#This Row],[C&amp;I Incentive Disbursements]]</f>
        <v>63605.36485988088</v>
      </c>
      <c r="G181" s="198">
        <f>[2]!Table3[[#This Row],[Incentive Disbursements]]/'[2]1.) CLM Reference'!$B$5</f>
        <v>3.7858109876309177E-3</v>
      </c>
      <c r="H181" s="88">
        <v>76079.437600000005</v>
      </c>
      <c r="I181" s="197">
        <f>[2]!Table3[[#This Row],[Residential CLM $ Collected]]/'[2]1.) CLM Reference'!$B$4</f>
        <v>2.6143586270820631E-3</v>
      </c>
      <c r="J181" s="89">
        <v>13057.400726852327</v>
      </c>
      <c r="K181" s="198">
        <f>[2]!Table3[[#This Row],[Residential Incentive Disbursements]]/'[2]1.) CLM Reference'!$B$5</f>
        <v>7.7718052951217752E-4</v>
      </c>
      <c r="L181" s="88">
        <v>45959.676800000001</v>
      </c>
      <c r="M181" s="197">
        <f>[2]!Table3[[#This Row],[C&amp;I CLM $ Collected]]/'[2]1.) CLM Reference'!$B$4</f>
        <v>1.579337089368591E-3</v>
      </c>
      <c r="N181" s="89">
        <v>50547.964133028552</v>
      </c>
      <c r="O181" s="198">
        <f>[2]!Table3[[#This Row],[C&amp;I Incentive Disbursements]]/'[2]1.) CLM Reference'!$B$5</f>
        <v>3.0086304581187404E-3</v>
      </c>
      <c r="P181" t="str">
        <f t="shared" si="2"/>
        <v>YES</v>
      </c>
      <c r="Q181" t="str">
        <f>VLOOKUP(Table8[[#This Row],[Census Tract]],'UI EnergyBurden'!$A$2:$B$184,2,FALSE)</f>
        <v>No</v>
      </c>
      <c r="R181">
        <f>VLOOKUP(Table8[[#This Row],[Census Tract]],'Population and Diversity Data'!$B$2:$K$823,10,FALSE)</f>
        <v>3</v>
      </c>
    </row>
    <row r="182" spans="1:18" ht="16" hidden="1" x14ac:dyDescent="0.2">
      <c r="A182" s="195">
        <v>9009141400</v>
      </c>
      <c r="B182" s="195" t="s">
        <v>943</v>
      </c>
      <c r="C182" s="195" t="s">
        <v>944</v>
      </c>
      <c r="D182" s="88">
        <f>[2]!Table3[[#This Row],[Residential CLM $ Collected]]+[2]!Table3[[#This Row],[C&amp;I CLM $ Collected]]</f>
        <v>82482.437299999991</v>
      </c>
      <c r="E182" s="197">
        <f>[2]!Table3[[#This Row],[CLM $ Collected ]]/'[2]1.) CLM Reference'!$B$4</f>
        <v>2.8343883490801504E-3</v>
      </c>
      <c r="F182" s="89">
        <f>[2]!Table3[[#This Row],[Residential Incentive Disbursements]]+[2]!Table3[[#This Row],[C&amp;I Incentive Disbursements]]</f>
        <v>38507.257410393111</v>
      </c>
      <c r="G182" s="198">
        <f>[2]!Table3[[#This Row],[Incentive Disbursements]]/'[2]1.) CLM Reference'!$B$5</f>
        <v>2.2919638701695412E-3</v>
      </c>
      <c r="H182" s="88">
        <v>67783.353199999998</v>
      </c>
      <c r="I182" s="197">
        <f>[2]!Table3[[#This Row],[Residential CLM $ Collected]]/'[2]1.) CLM Reference'!$B$4</f>
        <v>2.329275817503816E-3</v>
      </c>
      <c r="J182" s="89">
        <v>31754.185607363866</v>
      </c>
      <c r="K182" s="198">
        <f>[2]!Table3[[#This Row],[Residential Incentive Disbursements]]/'[2]1.) CLM Reference'!$B$5</f>
        <v>1.8900189479371351E-3</v>
      </c>
      <c r="L182" s="88">
        <v>14699.0841</v>
      </c>
      <c r="M182" s="197">
        <f>[2]!Table3[[#This Row],[C&amp;I CLM $ Collected]]/'[2]1.) CLM Reference'!$B$4</f>
        <v>5.0511253157633465E-4</v>
      </c>
      <c r="N182" s="89">
        <v>6753.0718030292428</v>
      </c>
      <c r="O182" s="198">
        <f>[2]!Table3[[#This Row],[C&amp;I Incentive Disbursements]]/'[2]1.) CLM Reference'!$B$5</f>
        <v>4.0194492223240616E-4</v>
      </c>
      <c r="P182" t="str">
        <f t="shared" si="2"/>
        <v>NO</v>
      </c>
      <c r="Q182" t="str">
        <f>VLOOKUP(Table8[[#This Row],[Census Tract]],'UI EnergyBurden'!$A$2:$B$184,2,FALSE)</f>
        <v>No</v>
      </c>
      <c r="R182">
        <f>VLOOKUP(Table8[[#This Row],[Census Tract]],'Population and Diversity Data'!$B$2:$K$823,10,FALSE)</f>
        <v>5</v>
      </c>
    </row>
    <row r="183" spans="1:18" ht="15.75" customHeight="1" x14ac:dyDescent="0.2">
      <c r="A183" s="195">
        <v>9009141500</v>
      </c>
      <c r="B183" s="195" t="s">
        <v>943</v>
      </c>
      <c r="C183" s="195" t="s">
        <v>936</v>
      </c>
      <c r="D183" s="88">
        <f>[2]!Table3[[#This Row],[Residential CLM $ Collected]]+[2]!Table3[[#This Row],[C&amp;I CLM $ Collected]]</f>
        <v>103988.89869999999</v>
      </c>
      <c r="E183" s="197">
        <f>[2]!Table3[[#This Row],[CLM $ Collected ]]/'[2]1.) CLM Reference'!$B$4</f>
        <v>3.5734264475833573E-3</v>
      </c>
      <c r="F183" s="89">
        <f>[2]!Table3[[#This Row],[Residential Incentive Disbursements]]+[2]!Table3[[#This Row],[C&amp;I Incentive Disbursements]]</f>
        <v>121746.08585002643</v>
      </c>
      <c r="G183" s="198">
        <f>[2]!Table3[[#This Row],[Incentive Disbursements]]/'[2]1.) CLM Reference'!$B$5</f>
        <v>7.2463646820899669E-3</v>
      </c>
      <c r="H183" s="88">
        <v>89500.176099999997</v>
      </c>
      <c r="I183" s="197">
        <f>[2]!Table3[[#This Row],[Residential CLM $ Collected]]/'[2]1.) CLM Reference'!$B$4</f>
        <v>3.0755426813565043E-3</v>
      </c>
      <c r="J183" s="89">
        <v>119656.22067310745</v>
      </c>
      <c r="K183" s="198">
        <f>[2]!Table3[[#This Row],[Residential Incentive Disbursements]]/'[2]1.) CLM Reference'!$B$5</f>
        <v>7.1219752604291305E-3</v>
      </c>
      <c r="L183" s="88">
        <v>14488.722599999999</v>
      </c>
      <c r="M183" s="197">
        <f>[2]!Table3[[#This Row],[C&amp;I CLM $ Collected]]/'[2]1.) CLM Reference'!$B$4</f>
        <v>4.9788376622685309E-4</v>
      </c>
      <c r="N183" s="89">
        <v>2089.8651769189805</v>
      </c>
      <c r="O183" s="198">
        <f>[2]!Table3[[#This Row],[C&amp;I Incentive Disbursements]]/'[2]1.) CLM Reference'!$B$5</f>
        <v>1.2438942166083703E-4</v>
      </c>
      <c r="P183" t="str">
        <f t="shared" si="2"/>
        <v>NO</v>
      </c>
      <c r="Q183" t="str">
        <f>VLOOKUP(Table8[[#This Row],[Census Tract]],'UI EnergyBurden'!$A$2:$B$184,2,FALSE)</f>
        <v>Yes</v>
      </c>
      <c r="R183">
        <f>VLOOKUP(Table8[[#This Row],[Census Tract]],'Population and Diversity Data'!$B$2:$K$823,10,FALSE)</f>
        <v>3</v>
      </c>
    </row>
    <row r="184" spans="1:18" ht="16" x14ac:dyDescent="0.2">
      <c r="A184" s="195">
        <v>9009141600</v>
      </c>
      <c r="B184" s="195" t="s">
        <v>943</v>
      </c>
      <c r="C184" s="195" t="s">
        <v>936</v>
      </c>
      <c r="D184" s="88">
        <f>[2]!Table3[[#This Row],[Residential CLM $ Collected]]+[2]!Table3[[#This Row],[C&amp;I CLM $ Collected]]</f>
        <v>92860.256100000101</v>
      </c>
      <c r="E184" s="197">
        <f>[2]!Table3[[#This Row],[CLM $ Collected ]]/'[2]1.) CLM Reference'!$B$4</f>
        <v>3.1910069173288029E-3</v>
      </c>
      <c r="F184" s="89">
        <f>[2]!Table3[[#This Row],[Residential Incentive Disbursements]]+[2]!Table3[[#This Row],[C&amp;I Incentive Disbursements]]</f>
        <v>39504.276565857523</v>
      </c>
      <c r="G184" s="198">
        <f>[2]!Table3[[#This Row],[Incentive Disbursements]]/'[2]1.) CLM Reference'!$B$5</f>
        <v>2.3513067586499506E-3</v>
      </c>
      <c r="H184" s="88">
        <v>59212.536800000104</v>
      </c>
      <c r="I184" s="197">
        <f>[2]!Table3[[#This Row],[Residential CLM $ Collected]]/'[2]1.) CLM Reference'!$B$4</f>
        <v>2.0347522444684107E-3</v>
      </c>
      <c r="J184" s="89">
        <v>27274.406345206029</v>
      </c>
      <c r="K184" s="198">
        <f>[2]!Table3[[#This Row],[Residential Incentive Disbursements]]/'[2]1.) CLM Reference'!$B$5</f>
        <v>1.6233811007964208E-3</v>
      </c>
      <c r="L184" s="88">
        <v>33647.719299999997</v>
      </c>
      <c r="M184" s="197">
        <f>[2]!Table3[[#This Row],[C&amp;I CLM $ Collected]]/'[2]1.) CLM Reference'!$B$4</f>
        <v>1.1562546728603922E-3</v>
      </c>
      <c r="N184" s="89">
        <v>12229.870220651497</v>
      </c>
      <c r="O184" s="198">
        <f>[2]!Table3[[#This Row],[C&amp;I Incentive Disbursements]]/'[2]1.) CLM Reference'!$B$5</f>
        <v>7.2792565785353015E-4</v>
      </c>
      <c r="P184" t="str">
        <f t="shared" si="2"/>
        <v>NO</v>
      </c>
      <c r="Q184" t="str">
        <f>VLOOKUP(Table8[[#This Row],[Census Tract]],'UI EnergyBurden'!$A$2:$B$184,2,FALSE)</f>
        <v>Yes</v>
      </c>
      <c r="R184">
        <f>VLOOKUP(Table8[[#This Row],[Census Tract]],'Population and Diversity Data'!$B$2:$K$823,10,FALSE)</f>
        <v>4</v>
      </c>
    </row>
    <row r="185" spans="1:18" ht="15.75" hidden="1" customHeight="1" x14ac:dyDescent="0.2">
      <c r="A185" s="195">
        <v>9009141800</v>
      </c>
      <c r="B185" s="195" t="s">
        <v>943</v>
      </c>
      <c r="C185" s="195" t="s">
        <v>944</v>
      </c>
      <c r="D185" s="88">
        <f>[2]!Table3[[#This Row],[Residential CLM $ Collected]]+[2]!Table3[[#This Row],[C&amp;I CLM $ Collected]]</f>
        <v>77768.583400000003</v>
      </c>
      <c r="E185" s="197">
        <f>[2]!Table3[[#This Row],[CLM $ Collected ]]/'[2]1.) CLM Reference'!$B$4</f>
        <v>2.6724036525703882E-3</v>
      </c>
      <c r="F185" s="89">
        <f>[2]!Table3[[#This Row],[Residential Incentive Disbursements]]+[2]!Table3[[#This Row],[C&amp;I Incentive Disbursements]]</f>
        <v>31911.214602087399</v>
      </c>
      <c r="G185" s="198">
        <f>[2]!Table3[[#This Row],[Incentive Disbursements]]/'[2]1.) CLM Reference'!$B$5</f>
        <v>1.8993653622672879E-3</v>
      </c>
      <c r="H185" s="88">
        <v>54159.681900000003</v>
      </c>
      <c r="I185" s="197">
        <f>[2]!Table3[[#This Row],[Residential CLM $ Collected]]/'[2]1.) CLM Reference'!$B$4</f>
        <v>1.8611182742928854E-3</v>
      </c>
      <c r="J185" s="89">
        <v>16060.471008987966</v>
      </c>
      <c r="K185" s="198">
        <f>[2]!Table3[[#This Row],[Residential Incentive Disbursements]]/'[2]1.) CLM Reference'!$B$5</f>
        <v>9.5592420146158605E-4</v>
      </c>
      <c r="L185" s="88">
        <v>23608.9015</v>
      </c>
      <c r="M185" s="197">
        <f>[2]!Table3[[#This Row],[C&amp;I CLM $ Collected]]/'[2]1.) CLM Reference'!$B$4</f>
        <v>8.1128537827750266E-4</v>
      </c>
      <c r="N185" s="89">
        <v>15850.743593099432</v>
      </c>
      <c r="O185" s="198">
        <f>[2]!Table3[[#This Row],[C&amp;I Incentive Disbursements]]/'[2]1.) CLM Reference'!$B$5</f>
        <v>9.434411608057017E-4</v>
      </c>
      <c r="P185" t="str">
        <f t="shared" si="2"/>
        <v>YES</v>
      </c>
      <c r="Q185" t="str">
        <f>VLOOKUP(Table8[[#This Row],[Census Tract]],'UI EnergyBurden'!$A$2:$B$184,2,FALSE)</f>
        <v>No</v>
      </c>
      <c r="R185">
        <f>VLOOKUP(Table8[[#This Row],[Census Tract]],'Population and Diversity Data'!$B$2:$K$823,10,FALSE)</f>
        <v>5</v>
      </c>
    </row>
    <row r="186" spans="1:18" ht="16" hidden="1" x14ac:dyDescent="0.2">
      <c r="A186" s="195">
        <v>9009141900</v>
      </c>
      <c r="B186" s="195" t="s">
        <v>943</v>
      </c>
      <c r="C186" s="195" t="s">
        <v>944</v>
      </c>
      <c r="D186" s="88">
        <f>[2]!Table3[[#This Row],[Residential CLM $ Collected]]+[2]!Table3[[#This Row],[C&amp;I CLM $ Collected]]</f>
        <v>91913.4742999999</v>
      </c>
      <c r="E186" s="197">
        <f>[2]!Table3[[#This Row],[CLM $ Collected ]]/'[2]1.) CLM Reference'!$B$4</f>
        <v>3.1584721451895989E-3</v>
      </c>
      <c r="F186" s="89">
        <f>[2]!Table3[[#This Row],[Residential Incentive Disbursements]]+[2]!Table3[[#This Row],[C&amp;I Incentive Disbursements]]</f>
        <v>24569.897159203418</v>
      </c>
      <c r="G186" s="198">
        <f>[2]!Table3[[#This Row],[Incentive Disbursements]]/'[2]1.) CLM Reference'!$B$5</f>
        <v>1.462407877624557E-3</v>
      </c>
      <c r="H186" s="88">
        <v>72665.771399999896</v>
      </c>
      <c r="I186" s="197">
        <f>[2]!Table3[[#This Row],[Residential CLM $ Collected]]/'[2]1.) CLM Reference'!$B$4</f>
        <v>2.4970529797023995E-3</v>
      </c>
      <c r="J186" s="89">
        <v>24250.178979152381</v>
      </c>
      <c r="K186" s="198">
        <f>[2]!Table3[[#This Row],[Residential Incentive Disbursements]]/'[2]1.) CLM Reference'!$B$5</f>
        <v>1.4433781526689811E-3</v>
      </c>
      <c r="L186" s="88">
        <v>19247.7029</v>
      </c>
      <c r="M186" s="197">
        <f>[2]!Table3[[#This Row],[C&amp;I CLM $ Collected]]/'[2]1.) CLM Reference'!$B$4</f>
        <v>6.6141916548719914E-4</v>
      </c>
      <c r="N186" s="89">
        <v>319.71818005103808</v>
      </c>
      <c r="O186" s="198">
        <f>[2]!Table3[[#This Row],[C&amp;I Incentive Disbursements]]/'[2]1.) CLM Reference'!$B$5</f>
        <v>1.9029724955575812E-5</v>
      </c>
      <c r="P186" t="str">
        <f t="shared" si="2"/>
        <v>NO</v>
      </c>
      <c r="Q186" t="str">
        <f>VLOOKUP(Table8[[#This Row],[Census Tract]],'UI EnergyBurden'!$A$2:$B$184,2,FALSE)</f>
        <v>No</v>
      </c>
      <c r="R186">
        <f>VLOOKUP(Table8[[#This Row],[Census Tract]],'Population and Diversity Data'!$B$2:$K$823,10,FALSE)</f>
        <v>5</v>
      </c>
    </row>
    <row r="187" spans="1:18" ht="15.75" hidden="1" customHeight="1" x14ac:dyDescent="0.2">
      <c r="A187" s="195">
        <v>9009142000</v>
      </c>
      <c r="B187" s="195" t="s">
        <v>943</v>
      </c>
      <c r="C187" s="195" t="s">
        <v>944</v>
      </c>
      <c r="D187" s="88">
        <f>[2]!Table3[[#This Row],[Residential CLM $ Collected]]+[2]!Table3[[#This Row],[C&amp;I CLM $ Collected]]</f>
        <v>111628.7067000001</v>
      </c>
      <c r="E187" s="197">
        <f>[2]!Table3[[#This Row],[CLM $ Collected ]]/'[2]1.) CLM Reference'!$B$4</f>
        <v>3.8359572783061495E-3</v>
      </c>
      <c r="F187" s="89">
        <f>[2]!Table3[[#This Row],[Residential Incentive Disbursements]]+[2]!Table3[[#This Row],[C&amp;I Incentive Disbursements]]</f>
        <v>8383.6967927967544</v>
      </c>
      <c r="G187" s="198">
        <f>[2]!Table3[[#This Row],[Incentive Disbursements]]/'[2]1.) CLM Reference'!$B$5</f>
        <v>4.9900022592521103E-4</v>
      </c>
      <c r="H187" s="88">
        <v>47650.880900000098</v>
      </c>
      <c r="I187" s="197">
        <f>[2]!Table3[[#This Row],[Residential CLM $ Collected]]/'[2]1.) CLM Reference'!$B$4</f>
        <v>1.6374528453267003E-3</v>
      </c>
      <c r="J187" s="89">
        <v>6555.0647629926461</v>
      </c>
      <c r="K187" s="198">
        <f>[2]!Table3[[#This Row],[Residential Incentive Disbursements]]/'[2]1.) CLM Reference'!$B$5</f>
        <v>3.9015948197197866E-4</v>
      </c>
      <c r="L187" s="88">
        <v>63977.825799999999</v>
      </c>
      <c r="M187" s="197">
        <f>[2]!Table3[[#This Row],[C&amp;I CLM $ Collected]]/'[2]1.) CLM Reference'!$B$4</f>
        <v>2.1985044329794492E-3</v>
      </c>
      <c r="N187" s="89">
        <v>1828.632029804108</v>
      </c>
      <c r="O187" s="198">
        <f>[2]!Table3[[#This Row],[C&amp;I Incentive Disbursements]]/'[2]1.) CLM Reference'!$B$5</f>
        <v>1.088407439532324E-4</v>
      </c>
      <c r="P187" t="str">
        <f t="shared" si="2"/>
        <v>NO</v>
      </c>
      <c r="Q187" t="str">
        <f>VLOOKUP(Table8[[#This Row],[Census Tract]],'UI EnergyBurden'!$A$2:$B$184,2,FALSE)</f>
        <v>No</v>
      </c>
      <c r="R187">
        <f>VLOOKUP(Table8[[#This Row],[Census Tract]],'Population and Diversity Data'!$B$2:$K$823,10,FALSE)</f>
        <v>5</v>
      </c>
    </row>
    <row r="188" spans="1:18" ht="16" x14ac:dyDescent="0.2">
      <c r="A188" s="195">
        <v>9009142100</v>
      </c>
      <c r="B188" s="195" t="s">
        <v>943</v>
      </c>
      <c r="C188" s="195" t="s">
        <v>936</v>
      </c>
      <c r="D188" s="88">
        <f>[2]!Table3[[#This Row],[Residential CLM $ Collected]]+[2]!Table3[[#This Row],[C&amp;I CLM $ Collected]]</f>
        <v>43050.957000000002</v>
      </c>
      <c r="E188" s="197">
        <f>[2]!Table3[[#This Row],[CLM $ Collected ]]/'[2]1.) CLM Reference'!$B$4</f>
        <v>1.4793831866744627E-3</v>
      </c>
      <c r="F188" s="89">
        <f>[2]!Table3[[#This Row],[Residential Incentive Disbursements]]+[2]!Table3[[#This Row],[C&amp;I Incentive Disbursements]]</f>
        <v>6247.9540135215539</v>
      </c>
      <c r="G188" s="198">
        <f>[2]!Table3[[#This Row],[Incentive Disbursements]]/'[2]1.) CLM Reference'!$B$5</f>
        <v>3.7188015518360929E-4</v>
      </c>
      <c r="H188" s="88">
        <v>14835.8009</v>
      </c>
      <c r="I188" s="197">
        <f>[2]!Table3[[#This Row],[Residential CLM $ Collected]]/'[2]1.) CLM Reference'!$B$4</f>
        <v>5.0981060449619873E-4</v>
      </c>
      <c r="J188" s="89">
        <v>68.035533266732926</v>
      </c>
      <c r="K188" s="198">
        <f>[2]!Table3[[#This Row],[Residential Incentive Disbursements]]/'[2]1.) CLM Reference'!$B$5</f>
        <v>4.0494959813207295E-6</v>
      </c>
      <c r="L188" s="88">
        <v>28215.1561</v>
      </c>
      <c r="M188" s="197">
        <f>[2]!Table3[[#This Row],[C&amp;I CLM $ Collected]]/'[2]1.) CLM Reference'!$B$4</f>
        <v>9.6957258217826386E-4</v>
      </c>
      <c r="N188" s="89">
        <v>6179.9184802548207</v>
      </c>
      <c r="O188" s="198">
        <f>[2]!Table3[[#This Row],[C&amp;I Incentive Disbursements]]/'[2]1.) CLM Reference'!$B$5</f>
        <v>3.6783065920228855E-4</v>
      </c>
      <c r="P188" t="str">
        <f t="shared" si="2"/>
        <v>NO</v>
      </c>
      <c r="Q188" t="str">
        <f>VLOOKUP(Table8[[#This Row],[Census Tract]],'UI EnergyBurden'!$A$2:$B$184,2,FALSE)</f>
        <v>No</v>
      </c>
      <c r="R188">
        <f>VLOOKUP(Table8[[#This Row],[Census Tract]],'Population and Diversity Data'!$B$2:$K$823,10,FALSE)</f>
        <v>5</v>
      </c>
    </row>
    <row r="189" spans="1:18" ht="15.75" hidden="1" customHeight="1" x14ac:dyDescent="0.2">
      <c r="A189" s="195">
        <v>9009142200</v>
      </c>
      <c r="B189" s="195" t="s">
        <v>943</v>
      </c>
      <c r="C189" s="195" t="s">
        <v>944</v>
      </c>
      <c r="D189" s="88">
        <f>[2]!Table3[[#This Row],[Residential CLM $ Collected]]+[2]!Table3[[#This Row],[C&amp;I CLM $ Collected]]</f>
        <v>65092.286600000007</v>
      </c>
      <c r="E189" s="197">
        <f>[2]!Table3[[#This Row],[CLM $ Collected ]]/'[2]1.) CLM Reference'!$B$4</f>
        <v>2.236801248767488E-3</v>
      </c>
      <c r="F189" s="89">
        <f>[2]!Table3[[#This Row],[Residential Incentive Disbursements]]+[2]!Table3[[#This Row],[C&amp;I Incentive Disbursements]]</f>
        <v>69174.85469162646</v>
      </c>
      <c r="G189" s="198">
        <f>[2]!Table3[[#This Row],[Incentive Disbursements]]/'[2]1.) CLM Reference'!$B$5</f>
        <v>4.1173087448872474E-3</v>
      </c>
      <c r="H189" s="88">
        <v>31597.2291</v>
      </c>
      <c r="I189" s="197">
        <f>[2]!Table3[[#This Row],[Residential CLM $ Collected]]/'[2]1.) CLM Reference'!$B$4</f>
        <v>1.0857925754366171E-3</v>
      </c>
      <c r="J189" s="89">
        <v>9450.8618210672466</v>
      </c>
      <c r="K189" s="198">
        <f>[2]!Table3[[#This Row],[Residential Incentive Disbursements]]/'[2]1.) CLM Reference'!$B$5</f>
        <v>5.6251821844898592E-4</v>
      </c>
      <c r="L189" s="88">
        <v>33495.057500000003</v>
      </c>
      <c r="M189" s="197">
        <f>[2]!Table3[[#This Row],[C&amp;I CLM $ Collected]]/'[2]1.) CLM Reference'!$B$4</f>
        <v>1.1510086733308707E-3</v>
      </c>
      <c r="N189" s="89">
        <v>59723.992870559217</v>
      </c>
      <c r="O189" s="198">
        <f>[2]!Table3[[#This Row],[C&amp;I Incentive Disbursements]]/'[2]1.) CLM Reference'!$B$5</f>
        <v>3.5547905264382623E-3</v>
      </c>
      <c r="P189" t="str">
        <f t="shared" si="2"/>
        <v>YES</v>
      </c>
      <c r="Q189" t="str">
        <f>VLOOKUP(Table8[[#This Row],[Census Tract]],'UI EnergyBurden'!$A$2:$B$184,2,FALSE)</f>
        <v>No</v>
      </c>
      <c r="R189">
        <f>VLOOKUP(Table8[[#This Row],[Census Tract]],'Population and Diversity Data'!$B$2:$K$823,10,FALSE)</f>
        <v>4</v>
      </c>
    </row>
    <row r="190" spans="1:18" ht="16" x14ac:dyDescent="0.2">
      <c r="A190" s="195">
        <v>9009142300</v>
      </c>
      <c r="B190" s="195" t="s">
        <v>943</v>
      </c>
      <c r="C190" s="195" t="s">
        <v>936</v>
      </c>
      <c r="D190" s="88">
        <f>[2]!Table3[[#This Row],[Residential CLM $ Collected]]+[2]!Table3[[#This Row],[C&amp;I CLM $ Collected]]</f>
        <v>87668.701799999893</v>
      </c>
      <c r="E190" s="197">
        <f>[2]!Table3[[#This Row],[CLM $ Collected ]]/'[2]1.) CLM Reference'!$B$4</f>
        <v>3.0126067450834378E-3</v>
      </c>
      <c r="F190" s="89">
        <f>[2]!Table3[[#This Row],[Residential Incentive Disbursements]]+[2]!Table3[[#This Row],[C&amp;I Incentive Disbursements]]</f>
        <v>55629.757656772977</v>
      </c>
      <c r="G190" s="198">
        <f>[2]!Table3[[#This Row],[Incentive Disbursements]]/'[2]1.) CLM Reference'!$B$5</f>
        <v>3.3111003802934673E-3</v>
      </c>
      <c r="H190" s="88">
        <v>53392.115599999903</v>
      </c>
      <c r="I190" s="197">
        <f>[2]!Table3[[#This Row],[Residential CLM $ Collected]]/'[2]1.) CLM Reference'!$B$4</f>
        <v>1.834741980755948E-3</v>
      </c>
      <c r="J190" s="89">
        <v>26226.5633082036</v>
      </c>
      <c r="K190" s="198">
        <f>[2]!Table3[[#This Row],[Residential Incentive Disbursements]]/'[2]1.) CLM Reference'!$B$5</f>
        <v>1.5610131591686151E-3</v>
      </c>
      <c r="L190" s="88">
        <v>34276.586199999998</v>
      </c>
      <c r="M190" s="197">
        <f>[2]!Table3[[#This Row],[C&amp;I CLM $ Collected]]/'[2]1.) CLM Reference'!$B$4</f>
        <v>1.17786476432749E-3</v>
      </c>
      <c r="N190" s="89">
        <v>29403.194348569377</v>
      </c>
      <c r="O190" s="198">
        <f>[2]!Table3[[#This Row],[C&amp;I Incentive Disbursements]]/'[2]1.) CLM Reference'!$B$5</f>
        <v>1.7500872211248524E-3</v>
      </c>
      <c r="P190" t="str">
        <f t="shared" si="2"/>
        <v>YES</v>
      </c>
      <c r="Q190" t="str">
        <f>VLOOKUP(Table8[[#This Row],[Census Tract]],'UI EnergyBurden'!$A$2:$B$184,2,FALSE)</f>
        <v>Yes</v>
      </c>
      <c r="R190">
        <f>VLOOKUP(Table8[[#This Row],[Census Tract]],'Population and Diversity Data'!$B$2:$K$823,10,FALSE)</f>
        <v>5</v>
      </c>
    </row>
    <row r="191" spans="1:18" ht="15.75" customHeight="1" x14ac:dyDescent="0.2">
      <c r="A191" s="195">
        <v>9009142400</v>
      </c>
      <c r="B191" s="195" t="s">
        <v>943</v>
      </c>
      <c r="C191" s="195" t="s">
        <v>936</v>
      </c>
      <c r="D191" s="88">
        <f>[2]!Table3[[#This Row],[Residential CLM $ Collected]]+[2]!Table3[[#This Row],[C&amp;I CLM $ Collected]]</f>
        <v>90482.525799999901</v>
      </c>
      <c r="E191" s="197">
        <f>[2]!Table3[[#This Row],[CLM $ Collected ]]/'[2]1.) CLM Reference'!$B$4</f>
        <v>3.1092996923705583E-3</v>
      </c>
      <c r="F191" s="89">
        <f>[2]!Table3[[#This Row],[Residential Incentive Disbursements]]+[2]!Table3[[#This Row],[C&amp;I Incentive Disbursements]]</f>
        <v>32294.969029639651</v>
      </c>
      <c r="G191" s="198">
        <f>[2]!Table3[[#This Row],[Incentive Disbursements]]/'[2]1.) CLM Reference'!$B$5</f>
        <v>1.9222065444785654E-3</v>
      </c>
      <c r="H191" s="88">
        <v>54491.1928999999</v>
      </c>
      <c r="I191" s="197">
        <f>[2]!Table3[[#This Row],[Residential CLM $ Collected]]/'[2]1.) CLM Reference'!$B$4</f>
        <v>1.8725101650607838E-3</v>
      </c>
      <c r="J191" s="89">
        <v>17186.33552113023</v>
      </c>
      <c r="K191" s="198">
        <f>[2]!Table3[[#This Row],[Residential Incentive Disbursements]]/'[2]1.) CLM Reference'!$B$5</f>
        <v>1.0229360054193424E-3</v>
      </c>
      <c r="L191" s="88">
        <v>35991.332900000001</v>
      </c>
      <c r="M191" s="197">
        <f>[2]!Table3[[#This Row],[C&amp;I CLM $ Collected]]/'[2]1.) CLM Reference'!$B$4</f>
        <v>1.2367895273097745E-3</v>
      </c>
      <c r="N191" s="89">
        <v>15108.633508509422</v>
      </c>
      <c r="O191" s="198">
        <f>[2]!Table3[[#This Row],[C&amp;I Incentive Disbursements]]/'[2]1.) CLM Reference'!$B$5</f>
        <v>8.9927053905922291E-4</v>
      </c>
      <c r="P191" t="str">
        <f t="shared" si="2"/>
        <v>NO</v>
      </c>
      <c r="Q191" t="str">
        <f>VLOOKUP(Table8[[#This Row],[Census Tract]],'UI EnergyBurden'!$A$2:$B$184,2,FALSE)</f>
        <v>Yes</v>
      </c>
      <c r="R191">
        <f>VLOOKUP(Table8[[#This Row],[Census Tract]],'Population and Diversity Data'!$B$2:$K$823,10,FALSE)</f>
        <v>5</v>
      </c>
    </row>
    <row r="192" spans="1:18" ht="16" x14ac:dyDescent="0.2">
      <c r="A192" s="195">
        <v>9009142500</v>
      </c>
      <c r="B192" s="195" t="s">
        <v>943</v>
      </c>
      <c r="C192" s="195" t="s">
        <v>936</v>
      </c>
      <c r="D192" s="88">
        <f>[2]!Table3[[#This Row],[Residential CLM $ Collected]]+[2]!Table3[[#This Row],[C&amp;I CLM $ Collected]]</f>
        <v>86699.675800000099</v>
      </c>
      <c r="E192" s="197">
        <f>[2]!Table3[[#This Row],[CLM $ Collected ]]/'[2]1.) CLM Reference'!$B$4</f>
        <v>2.9793075835375027E-3</v>
      </c>
      <c r="F192" s="89">
        <f>[2]!Table3[[#This Row],[Residential Incentive Disbursements]]+[2]!Table3[[#This Row],[C&amp;I Incentive Disbursements]]</f>
        <v>22316.098427613433</v>
      </c>
      <c r="G192" s="198">
        <f>[2]!Table3[[#This Row],[Incentive Disbursements]]/'[2]1.) CLM Reference'!$B$5</f>
        <v>1.3282610800901269E-3</v>
      </c>
      <c r="H192" s="88">
        <v>64777.257400000097</v>
      </c>
      <c r="I192" s="197">
        <f>[2]!Table3[[#This Row],[Residential CLM $ Collected]]/'[2]1.) CLM Reference'!$B$4</f>
        <v>2.2259757309563187E-3</v>
      </c>
      <c r="J192" s="89">
        <v>18540.590628082278</v>
      </c>
      <c r="K192" s="198">
        <f>[2]!Table3[[#This Row],[Residential Incentive Disbursements]]/'[2]1.) CLM Reference'!$B$5</f>
        <v>1.1035416882143197E-3</v>
      </c>
      <c r="L192" s="88">
        <v>21922.418399999999</v>
      </c>
      <c r="M192" s="197">
        <f>[2]!Table3[[#This Row],[C&amp;I CLM $ Collected]]/'[2]1.) CLM Reference'!$B$4</f>
        <v>7.5333185258118348E-4</v>
      </c>
      <c r="N192" s="89">
        <v>3775.5077995311567</v>
      </c>
      <c r="O192" s="198">
        <f>[2]!Table3[[#This Row],[C&amp;I Incentive Disbursements]]/'[2]1.) CLM Reference'!$B$5</f>
        <v>2.2471939187580743E-4</v>
      </c>
      <c r="P192" t="str">
        <f t="shared" si="2"/>
        <v>NO</v>
      </c>
      <c r="Q192" t="str">
        <f>VLOOKUP(Table8[[#This Row],[Census Tract]],'UI EnergyBurden'!$A$2:$B$184,2,FALSE)</f>
        <v>Yes</v>
      </c>
      <c r="R192">
        <f>VLOOKUP(Table8[[#This Row],[Census Tract]],'Population and Diversity Data'!$B$2:$K$823,10,FALSE)</f>
        <v>5</v>
      </c>
    </row>
    <row r="193" spans="1:18" ht="15.75" hidden="1" customHeight="1" x14ac:dyDescent="0.2">
      <c r="A193" s="195">
        <v>9009142601</v>
      </c>
      <c r="B193" s="195" t="s">
        <v>943</v>
      </c>
      <c r="C193" s="195" t="s">
        <v>944</v>
      </c>
      <c r="D193" s="88">
        <f>[2]!Table3[[#This Row],[Residential CLM $ Collected]]+[2]!Table3[[#This Row],[C&amp;I CLM $ Collected]]</f>
        <v>118628.3470000001</v>
      </c>
      <c r="E193" s="197">
        <f>[2]!Table3[[#This Row],[CLM $ Collected ]]/'[2]1.) CLM Reference'!$B$4</f>
        <v>4.0764896820942691E-3</v>
      </c>
      <c r="F193" s="89">
        <f>[2]!Table3[[#This Row],[Residential Incentive Disbursements]]+[2]!Table3[[#This Row],[C&amp;I Incentive Disbursements]]</f>
        <v>75167.501242244849</v>
      </c>
      <c r="G193" s="198">
        <f>[2]!Table3[[#This Row],[Incentive Disbursements]]/'[2]1.) CLM Reference'!$B$5</f>
        <v>4.4739929209201643E-3</v>
      </c>
      <c r="H193" s="88">
        <v>92154.619600000093</v>
      </c>
      <c r="I193" s="197">
        <f>[2]!Table3[[#This Row],[Residential CLM $ Collected]]/'[2]1.) CLM Reference'!$B$4</f>
        <v>3.1667587508129266E-3</v>
      </c>
      <c r="J193" s="89">
        <v>64480.336223709543</v>
      </c>
      <c r="K193" s="198">
        <f>[2]!Table3[[#This Row],[Residential Incentive Disbursements]]/'[2]1.) CLM Reference'!$B$5</f>
        <v>3.8378895538075629E-3</v>
      </c>
      <c r="L193" s="88">
        <v>26473.7274</v>
      </c>
      <c r="M193" s="197">
        <f>[2]!Table3[[#This Row],[C&amp;I CLM $ Collected]]/'[2]1.) CLM Reference'!$B$4</f>
        <v>9.097309312813426E-4</v>
      </c>
      <c r="N193" s="89">
        <v>10687.16501853531</v>
      </c>
      <c r="O193" s="198">
        <f>[2]!Table3[[#This Row],[C&amp;I Incentive Disbursements]]/'[2]1.) CLM Reference'!$B$5</f>
        <v>6.3610336711260134E-4</v>
      </c>
      <c r="P193" t="str">
        <f t="shared" si="2"/>
        <v>NO</v>
      </c>
      <c r="Q193" t="str">
        <f>VLOOKUP(Table8[[#This Row],[Census Tract]],'UI EnergyBurden'!$A$2:$B$184,2,FALSE)</f>
        <v>No</v>
      </c>
      <c r="R193">
        <f>VLOOKUP(Table8[[#This Row],[Census Tract]],'Population and Diversity Data'!$B$2:$K$823,10,FALSE)</f>
        <v>5</v>
      </c>
    </row>
    <row r="194" spans="1:18" ht="16" x14ac:dyDescent="0.2">
      <c r="A194" s="195">
        <v>9009142603</v>
      </c>
      <c r="B194" s="195" t="s">
        <v>943</v>
      </c>
      <c r="C194" s="195" t="s">
        <v>936</v>
      </c>
      <c r="D194" s="88">
        <f>[2]!Table3[[#This Row],[Residential CLM $ Collected]]+[2]!Table3[[#This Row],[C&amp;I CLM $ Collected]]</f>
        <v>54462.847300000001</v>
      </c>
      <c r="E194" s="197">
        <f>[2]!Table3[[#This Row],[CLM $ Collected ]]/'[2]1.) CLM Reference'!$B$4</f>
        <v>1.8715361099647251E-3</v>
      </c>
      <c r="F194" s="89">
        <f>[2]!Table3[[#This Row],[Residential Incentive Disbursements]]+[2]!Table3[[#This Row],[C&amp;I Incentive Disbursements]]</f>
        <v>48842.963202477549</v>
      </c>
      <c r="G194" s="198">
        <f>[2]!Table3[[#This Row],[Incentive Disbursements]]/'[2]1.) CLM Reference'!$B$5</f>
        <v>2.9071482754283256E-3</v>
      </c>
      <c r="H194" s="88">
        <v>45179.0501</v>
      </c>
      <c r="I194" s="197">
        <f>[2]!Table3[[#This Row],[Residential CLM $ Collected]]/'[2]1.) CLM Reference'!$B$4</f>
        <v>1.5525119942830354E-3</v>
      </c>
      <c r="J194" s="89">
        <v>35783.866191509129</v>
      </c>
      <c r="K194" s="198">
        <f>[2]!Table3[[#This Row],[Residential Incentive Disbursements]]/'[2]1.) CLM Reference'!$B$5</f>
        <v>2.1298667825609499E-3</v>
      </c>
      <c r="L194" s="88">
        <v>9283.7972000000009</v>
      </c>
      <c r="M194" s="197">
        <f>[2]!Table3[[#This Row],[C&amp;I CLM $ Collected]]/'[2]1.) CLM Reference'!$B$4</f>
        <v>3.1902411568168981E-4</v>
      </c>
      <c r="N194" s="89">
        <v>13059.097010968424</v>
      </c>
      <c r="O194" s="198">
        <f>[2]!Table3[[#This Row],[C&amp;I Incentive Disbursements]]/'[2]1.) CLM Reference'!$B$5</f>
        <v>7.7728149286737582E-4</v>
      </c>
      <c r="P194" t="str">
        <f t="shared" si="2"/>
        <v>YES</v>
      </c>
      <c r="Q194" t="str">
        <f>VLOOKUP(Table8[[#This Row],[Census Tract]],'UI EnergyBurden'!$A$2:$B$184,2,FALSE)</f>
        <v>No</v>
      </c>
      <c r="R194">
        <f>VLOOKUP(Table8[[#This Row],[Census Tract]],'Population and Diversity Data'!$B$2:$K$823,10,FALSE)</f>
        <v>5</v>
      </c>
    </row>
    <row r="195" spans="1:18" ht="15.75" hidden="1" customHeight="1" x14ac:dyDescent="0.2">
      <c r="A195" s="195">
        <v>9009142604</v>
      </c>
      <c r="B195" s="195" t="s">
        <v>943</v>
      </c>
      <c r="C195" s="195" t="s">
        <v>944</v>
      </c>
      <c r="D195" s="88">
        <f>[2]!Table3[[#This Row],[Residential CLM $ Collected]]+[2]!Table3[[#This Row],[C&amp;I CLM $ Collected]]</f>
        <v>47275.427100000001</v>
      </c>
      <c r="E195" s="197">
        <f>[2]!Table3[[#This Row],[CLM $ Collected ]]/'[2]1.) CLM Reference'!$B$4</f>
        <v>1.62455092449151E-3</v>
      </c>
      <c r="F195" s="89">
        <f>[2]!Table3[[#This Row],[Residential Incentive Disbursements]]+[2]!Table3[[#This Row],[C&amp;I Incentive Disbursements]]</f>
        <v>43205.965182394728</v>
      </c>
      <c r="G195" s="198">
        <f>[2]!Table3[[#This Row],[Incentive Disbursements]]/'[2]1.) CLM Reference'!$B$5</f>
        <v>2.5716324099239697E-3</v>
      </c>
      <c r="H195" s="88">
        <v>40066.7255</v>
      </c>
      <c r="I195" s="197">
        <f>[2]!Table3[[#This Row],[Residential CLM $ Collected]]/'[2]1.) CLM Reference'!$B$4</f>
        <v>1.3768344348257101E-3</v>
      </c>
      <c r="J195" s="89">
        <v>42283.201329401898</v>
      </c>
      <c r="K195" s="198">
        <f>[2]!Table3[[#This Row],[Residential Incentive Disbursements]]/'[2]1.) CLM Reference'!$B$5</f>
        <v>2.5167092200115357E-3</v>
      </c>
      <c r="L195" s="88">
        <v>7208.7016000000003</v>
      </c>
      <c r="M195" s="197">
        <f>[2]!Table3[[#This Row],[C&amp;I CLM $ Collected]]/'[2]1.) CLM Reference'!$B$4</f>
        <v>2.4771648966579992E-4</v>
      </c>
      <c r="N195" s="89">
        <v>922.76385299283345</v>
      </c>
      <c r="O195" s="198">
        <f>[2]!Table3[[#This Row],[C&amp;I Incentive Disbursements]]/'[2]1.) CLM Reference'!$B$5</f>
        <v>5.4923189912434258E-5</v>
      </c>
      <c r="P195" t="str">
        <f t="shared" si="2"/>
        <v>NO</v>
      </c>
      <c r="Q195" t="str">
        <f>VLOOKUP(Table8[[#This Row],[Census Tract]],'UI EnergyBurden'!$A$2:$B$184,2,FALSE)</f>
        <v>No</v>
      </c>
      <c r="R195">
        <f>VLOOKUP(Table8[[#This Row],[Census Tract]],'Population and Diversity Data'!$B$2:$K$823,10,FALSE)</f>
        <v>4</v>
      </c>
    </row>
    <row r="196" spans="1:18" ht="15.75" hidden="1" customHeight="1" x14ac:dyDescent="0.2">
      <c r="A196" s="195">
        <v>9009142700</v>
      </c>
      <c r="B196" s="195" t="s">
        <v>943</v>
      </c>
      <c r="C196" s="195" t="s">
        <v>944</v>
      </c>
      <c r="D196" s="88">
        <f>[2]!Table3[[#This Row],[Residential CLM $ Collected]]+[2]!Table3[[#This Row],[C&amp;I CLM $ Collected]]</f>
        <v>121562.99810000011</v>
      </c>
      <c r="E196" s="197">
        <f>[2]!Table3[[#This Row],[CLM $ Collected ]]/'[2]1.) CLM Reference'!$B$4</f>
        <v>4.177334675995235E-3</v>
      </c>
      <c r="F196" s="89">
        <f>[2]!Table3[[#This Row],[Residential Incentive Disbursements]]+[2]!Table3[[#This Row],[C&amp;I Incentive Disbursements]]</f>
        <v>97922.026960560092</v>
      </c>
      <c r="G196" s="198">
        <f>[2]!Table3[[#This Row],[Incentive Disbursements]]/'[2]1.) CLM Reference'!$B$5</f>
        <v>5.8283493289448549E-3</v>
      </c>
      <c r="H196" s="88">
        <v>83322.580300000103</v>
      </c>
      <c r="I196" s="197">
        <f>[2]!Table3[[#This Row],[Residential CLM $ Collected]]/'[2]1.) CLM Reference'!$B$4</f>
        <v>2.8632586347883729E-3</v>
      </c>
      <c r="J196" s="89">
        <v>75589.192217035656</v>
      </c>
      <c r="K196" s="198">
        <f>[2]!Table3[[#This Row],[Residential Incentive Disbursements]]/'[2]1.) CLM Reference'!$B$5</f>
        <v>4.4990920981556803E-3</v>
      </c>
      <c r="L196" s="88">
        <v>38240.417800000003</v>
      </c>
      <c r="M196" s="197">
        <f>[2]!Table3[[#This Row],[C&amp;I CLM $ Collected]]/'[2]1.) CLM Reference'!$B$4</f>
        <v>1.3140760412068621E-3</v>
      </c>
      <c r="N196" s="89">
        <v>22332.834743524443</v>
      </c>
      <c r="O196" s="198">
        <f>[2]!Table3[[#This Row],[C&amp;I Incentive Disbursements]]/'[2]1.) CLM Reference'!$B$5</f>
        <v>1.3292572307891748E-3</v>
      </c>
      <c r="P196" t="str">
        <f t="shared" si="2"/>
        <v>YES</v>
      </c>
      <c r="Q196" t="str">
        <f>VLOOKUP(Table8[[#This Row],[Census Tract]],'UI EnergyBurden'!$A$2:$B$184,2,FALSE)</f>
        <v>Yes</v>
      </c>
      <c r="R196">
        <f>VLOOKUP(Table8[[#This Row],[Census Tract]],'Population and Diversity Data'!$B$2:$K$823,10,FALSE)</f>
        <v>5</v>
      </c>
    </row>
    <row r="197" spans="1:18" ht="15.75" hidden="1" customHeight="1" x14ac:dyDescent="0.2">
      <c r="A197" s="195">
        <v>9009142800</v>
      </c>
      <c r="B197" s="195" t="s">
        <v>943</v>
      </c>
      <c r="C197" s="195" t="s">
        <v>944</v>
      </c>
      <c r="D197" s="88">
        <f>[2]!Table3[[#This Row],[Residential CLM $ Collected]]+[2]!Table3[[#This Row],[C&amp;I CLM $ Collected]]</f>
        <v>88958.958700000105</v>
      </c>
      <c r="E197" s="197">
        <f>[2]!Table3[[#This Row],[CLM $ Collected ]]/'[2]1.) CLM Reference'!$B$4</f>
        <v>3.0569445367927143E-3</v>
      </c>
      <c r="F197" s="89">
        <f>[2]!Table3[[#This Row],[Residential Incentive Disbursements]]+[2]!Table3[[#This Row],[C&amp;I Incentive Disbursements]]</f>
        <v>170852.75323764206</v>
      </c>
      <c r="G197" s="198">
        <f>[2]!Table3[[#This Row],[Incentive Disbursements]]/'[2]1.) CLM Reference'!$B$5</f>
        <v>1.0169208712173253E-2</v>
      </c>
      <c r="H197" s="88">
        <v>77725.744400000098</v>
      </c>
      <c r="I197" s="197">
        <f>[2]!Table3[[#This Row],[Residential CLM $ Collected]]/'[2]1.) CLM Reference'!$B$4</f>
        <v>2.6709315529760908E-3</v>
      </c>
      <c r="J197" s="89">
        <v>169187.87930005923</v>
      </c>
      <c r="K197" s="198">
        <f>[2]!Table3[[#This Row],[Residential Incentive Disbursements]]/'[2]1.) CLM Reference'!$B$5</f>
        <v>1.0070114900514342E-2</v>
      </c>
      <c r="L197" s="88">
        <v>11233.2143</v>
      </c>
      <c r="M197" s="197">
        <f>[2]!Table3[[#This Row],[C&amp;I CLM $ Collected]]/'[2]1.) CLM Reference'!$B$4</f>
        <v>3.860129838166232E-4</v>
      </c>
      <c r="N197" s="89">
        <v>1664.8739375828445</v>
      </c>
      <c r="O197" s="198">
        <f>[2]!Table3[[#This Row],[C&amp;I Incentive Disbursements]]/'[2]1.) CLM Reference'!$B$5</f>
        <v>9.9093811658913076E-5</v>
      </c>
      <c r="P197" t="str">
        <f t="shared" si="2"/>
        <v>NO</v>
      </c>
      <c r="Q197" t="str">
        <f>VLOOKUP(Table8[[#This Row],[Census Tract]],'UI EnergyBurden'!$A$2:$B$184,2,FALSE)</f>
        <v>No</v>
      </c>
      <c r="R197">
        <f>VLOOKUP(Table8[[#This Row],[Census Tract]],'Population and Diversity Data'!$B$2:$K$823,10,FALSE)</f>
        <v>3</v>
      </c>
    </row>
    <row r="198" spans="1:18" ht="15.75" hidden="1" customHeight="1" x14ac:dyDescent="0.2">
      <c r="A198" s="195">
        <v>9009154100</v>
      </c>
      <c r="B198" s="195" t="s">
        <v>943</v>
      </c>
      <c r="C198" s="195" t="s">
        <v>944</v>
      </c>
      <c r="D198" s="88">
        <f>[2]!Table3[[#This Row],[Residential CLM $ Collected]]+[2]!Table3[[#This Row],[C&amp;I CLM $ Collected]]</f>
        <v>138.0009</v>
      </c>
      <c r="E198" s="197">
        <f>[2]!Table3[[#This Row],[CLM $ Collected ]]/'[2]1.) CLM Reference'!$B$4</f>
        <v>4.7421991387077377E-6</v>
      </c>
      <c r="F198" s="89">
        <f>[2]!Table3[[#This Row],[Residential Incentive Disbursements]]+[2]!Table3[[#This Row],[C&amp;I Incentive Disbursements]]</f>
        <v>0</v>
      </c>
      <c r="G198" s="198">
        <f>[2]!Table3[[#This Row],[Incentive Disbursements]]/'[2]1.) CLM Reference'!$B$5</f>
        <v>0</v>
      </c>
      <c r="H198" s="88">
        <v>138.0009</v>
      </c>
      <c r="I198" s="197">
        <f>[2]!Table3[[#This Row],[Residential CLM $ Collected]]/'[2]1.) CLM Reference'!$B$4</f>
        <v>4.7421991387077377E-6</v>
      </c>
      <c r="J198" s="89">
        <v>0</v>
      </c>
      <c r="K198" s="198">
        <f>[2]!Table3[[#This Row],[Residential Incentive Disbursements]]/'[2]1.) CLM Reference'!$B$5</f>
        <v>0</v>
      </c>
      <c r="L198" s="88">
        <v>0</v>
      </c>
      <c r="M198" s="197">
        <f>[2]!Table3[[#This Row],[C&amp;I CLM $ Collected]]/'[2]1.) CLM Reference'!$B$4</f>
        <v>0</v>
      </c>
      <c r="N198" s="89">
        <v>0</v>
      </c>
      <c r="O198" s="198">
        <f>[2]!Table3[[#This Row],[C&amp;I Incentive Disbursements]]/'[2]1.) CLM Reference'!$B$5</f>
        <v>0</v>
      </c>
      <c r="P198" t="str">
        <f t="shared" ref="P198:P261" si="3">IF(ROUND(M198,5)&lt;0.00001,"N/A",IF(ROUND(M198,5)&lt;=ROUND(O198,5),"YES","NO"))</f>
        <v>N/A</v>
      </c>
      <c r="Q198" t="str">
        <f>VLOOKUP(Table8[[#This Row],[Census Tract]],'UI EnergyBurden'!$A$2:$B$184,2,FALSE)</f>
        <v>No</v>
      </c>
      <c r="R198">
        <f>VLOOKUP(Table8[[#This Row],[Census Tract]],'Population and Diversity Data'!$B$2:$K$823,10,FALSE)</f>
        <v>4</v>
      </c>
    </row>
    <row r="199" spans="1:18" ht="15.75" customHeight="1" x14ac:dyDescent="0.2">
      <c r="A199" s="195">
        <v>9009154500</v>
      </c>
      <c r="B199" s="195" t="s">
        <v>943</v>
      </c>
      <c r="C199" s="195" t="s">
        <v>936</v>
      </c>
      <c r="D199" s="88">
        <f>[2]!Table3[[#This Row],[Residential CLM $ Collected]]+[2]!Table3[[#This Row],[C&amp;I CLM $ Collected]]</f>
        <v>7.0670000000000002</v>
      </c>
      <c r="E199" s="197">
        <f>[2]!Table3[[#This Row],[CLM $ Collected ]]/'[2]1.) CLM Reference'!$B$4</f>
        <v>2.4284712138288649E-7</v>
      </c>
      <c r="F199" s="89">
        <f>[2]!Table3[[#This Row],[Residential Incentive Disbursements]]+[2]!Table3[[#This Row],[C&amp;I Incentive Disbursements]]</f>
        <v>0</v>
      </c>
      <c r="G199" s="198">
        <f>[2]!Table3[[#This Row],[Incentive Disbursements]]/'[2]1.) CLM Reference'!$B$5</f>
        <v>0</v>
      </c>
      <c r="H199" s="88">
        <v>0</v>
      </c>
      <c r="I199" s="197">
        <f>[2]!Table3[[#This Row],[Residential CLM $ Collected]]/'[2]1.) CLM Reference'!$B$4</f>
        <v>0</v>
      </c>
      <c r="J199" s="89">
        <v>0</v>
      </c>
      <c r="K199" s="198">
        <f>[2]!Table3[[#This Row],[Residential Incentive Disbursements]]/'[2]1.) CLM Reference'!$B$5</f>
        <v>0</v>
      </c>
      <c r="L199" s="88">
        <v>7.0670000000000002</v>
      </c>
      <c r="M199" s="197">
        <f>[2]!Table3[[#This Row],[C&amp;I CLM $ Collected]]/'[2]1.) CLM Reference'!$B$4</f>
        <v>2.4284712138288649E-7</v>
      </c>
      <c r="N199" s="89">
        <v>0</v>
      </c>
      <c r="O199" s="198">
        <f>[2]!Table3[[#This Row],[C&amp;I Incentive Disbursements]]/'[2]1.) CLM Reference'!$B$5</f>
        <v>0</v>
      </c>
      <c r="P199" t="str">
        <f t="shared" si="3"/>
        <v>N/A</v>
      </c>
      <c r="Q199" t="str">
        <f>VLOOKUP(Table8[[#This Row],[Census Tract]],'UI EnergyBurden'!$A$2:$B$184,2,FALSE)</f>
        <v>No</v>
      </c>
      <c r="R199">
        <f>VLOOKUP(Table8[[#This Row],[Census Tract]],'Population and Diversity Data'!$B$2:$K$823,10,FALSE)</f>
        <v>4</v>
      </c>
    </row>
    <row r="200" spans="1:18" ht="15.75" hidden="1" customHeight="1" x14ac:dyDescent="0.2">
      <c r="A200" s="195">
        <v>9009154600</v>
      </c>
      <c r="B200" s="195" t="s">
        <v>943</v>
      </c>
      <c r="C200" s="195" t="s">
        <v>944</v>
      </c>
      <c r="D200" s="88">
        <f>[2]!Table3[[#This Row],[Residential CLM $ Collected]]+[2]!Table3[[#This Row],[C&amp;I CLM $ Collected]]</f>
        <v>9.6715999999999998</v>
      </c>
      <c r="E200" s="197">
        <f>[2]!Table3[[#This Row],[CLM $ Collected ]]/'[2]1.) CLM Reference'!$B$4</f>
        <v>3.3235039184473254E-7</v>
      </c>
      <c r="F200" s="89">
        <f>[2]!Table3[[#This Row],[Residential Incentive Disbursements]]+[2]!Table3[[#This Row],[C&amp;I Incentive Disbursements]]</f>
        <v>0</v>
      </c>
      <c r="G200" s="198">
        <f>[2]!Table3[[#This Row],[Incentive Disbursements]]/'[2]1.) CLM Reference'!$B$5</f>
        <v>0</v>
      </c>
      <c r="H200" s="88">
        <v>9.6715999999999998</v>
      </c>
      <c r="I200" s="197">
        <f>[2]!Table3[[#This Row],[Residential CLM $ Collected]]/'[2]1.) CLM Reference'!$B$4</f>
        <v>3.3235039184473254E-7</v>
      </c>
      <c r="J200" s="89">
        <v>0</v>
      </c>
      <c r="K200" s="198">
        <f>[2]!Table3[[#This Row],[Residential Incentive Disbursements]]/'[2]1.) CLM Reference'!$B$5</f>
        <v>0</v>
      </c>
      <c r="L200" s="88">
        <v>0</v>
      </c>
      <c r="M200" s="197">
        <f>[2]!Table3[[#This Row],[C&amp;I CLM $ Collected]]/'[2]1.) CLM Reference'!$B$4</f>
        <v>0</v>
      </c>
      <c r="N200" s="89">
        <v>0</v>
      </c>
      <c r="O200" s="198">
        <f>[2]!Table3[[#This Row],[C&amp;I Incentive Disbursements]]/'[2]1.) CLM Reference'!$B$5</f>
        <v>0</v>
      </c>
      <c r="P200" t="str">
        <f t="shared" si="3"/>
        <v>N/A</v>
      </c>
      <c r="Q200" t="str">
        <f>VLOOKUP(Table8[[#This Row],[Census Tract]],'UI EnergyBurden'!$A$2:$B$184,2,FALSE)</f>
        <v>No</v>
      </c>
      <c r="R200">
        <f>VLOOKUP(Table8[[#This Row],[Census Tract]],'Population and Diversity Data'!$B$2:$K$823,10,FALSE)</f>
        <v>5</v>
      </c>
    </row>
    <row r="201" spans="1:18" ht="16" hidden="1" x14ac:dyDescent="0.2">
      <c r="A201" s="195">
        <v>9009160200</v>
      </c>
      <c r="B201" s="195" t="s">
        <v>943</v>
      </c>
      <c r="C201" s="195" t="s">
        <v>944</v>
      </c>
      <c r="D201" s="88">
        <f>[2]!Table3[[#This Row],[Residential CLM $ Collected]]+[2]!Table3[[#This Row],[C&amp;I CLM $ Collected]]</f>
        <v>161.4941</v>
      </c>
      <c r="E201" s="197">
        <f>[2]!Table3[[#This Row],[CLM $ Collected ]]/'[2]1.) CLM Reference'!$B$4</f>
        <v>5.5495086041205619E-6</v>
      </c>
      <c r="F201" s="89">
        <f>[2]!Table3[[#This Row],[Residential Incentive Disbursements]]+[2]!Table3[[#This Row],[C&amp;I Incentive Disbursements]]</f>
        <v>0</v>
      </c>
      <c r="G201" s="198">
        <f>[2]!Table3[[#This Row],[Incentive Disbursements]]/'[2]1.) CLM Reference'!$B$5</f>
        <v>0</v>
      </c>
      <c r="H201" s="88">
        <v>38.472200000000001</v>
      </c>
      <c r="I201" s="197">
        <f>[2]!Table3[[#This Row],[Residential CLM $ Collected]]/'[2]1.) CLM Reference'!$B$4</f>
        <v>1.3220408975897391E-6</v>
      </c>
      <c r="J201" s="89">
        <v>0</v>
      </c>
      <c r="K201" s="198">
        <f>[2]!Table3[[#This Row],[Residential Incentive Disbursements]]/'[2]1.) CLM Reference'!$B$5</f>
        <v>0</v>
      </c>
      <c r="L201" s="88">
        <v>123.0219</v>
      </c>
      <c r="M201" s="197">
        <f>[2]!Table3[[#This Row],[C&amp;I CLM $ Collected]]/'[2]1.) CLM Reference'!$B$4</f>
        <v>4.227467706530823E-6</v>
      </c>
      <c r="N201" s="89">
        <v>0</v>
      </c>
      <c r="O201" s="198">
        <f>[2]!Table3[[#This Row],[C&amp;I Incentive Disbursements]]/'[2]1.) CLM Reference'!$B$5</f>
        <v>0</v>
      </c>
      <c r="P201" t="str">
        <f t="shared" si="3"/>
        <v>N/A</v>
      </c>
      <c r="Q201" t="str">
        <f>VLOOKUP(Table8[[#This Row],[Census Tract]],'UI EnergyBurden'!$A$2:$B$184,2,FALSE)</f>
        <v>No</v>
      </c>
      <c r="R201">
        <f>VLOOKUP(Table8[[#This Row],[Census Tract]],'Population and Diversity Data'!$B$2:$K$823,10,FALSE)</f>
        <v>4</v>
      </c>
    </row>
    <row r="202" spans="1:18" ht="15.75" hidden="1" customHeight="1" x14ac:dyDescent="0.2">
      <c r="A202" s="195">
        <v>9009165400</v>
      </c>
      <c r="B202" s="195" t="s">
        <v>943</v>
      </c>
      <c r="C202" s="195" t="s">
        <v>944</v>
      </c>
      <c r="D202" s="88">
        <f>[2]!Table3[[#This Row],[Residential CLM $ Collected]]+[2]!Table3[[#This Row],[C&amp;I CLM $ Collected]]</f>
        <v>427.53480000000002</v>
      </c>
      <c r="E202" s="197">
        <f>[2]!Table3[[#This Row],[CLM $ Collected ]]/'[2]1.) CLM Reference'!$B$4</f>
        <v>1.4691608245508434E-5</v>
      </c>
      <c r="F202" s="89">
        <f>[2]!Table3[[#This Row],[Residential Incentive Disbursements]]+[2]!Table3[[#This Row],[C&amp;I Incentive Disbursements]]</f>
        <v>0</v>
      </c>
      <c r="G202" s="198">
        <f>[2]!Table3[[#This Row],[Incentive Disbursements]]/'[2]1.) CLM Reference'!$B$5</f>
        <v>0</v>
      </c>
      <c r="H202" s="88">
        <v>0</v>
      </c>
      <c r="I202" s="197">
        <f>[2]!Table3[[#This Row],[Residential CLM $ Collected]]/'[2]1.) CLM Reference'!$B$4</f>
        <v>0</v>
      </c>
      <c r="J202" s="89">
        <v>0</v>
      </c>
      <c r="K202" s="198">
        <f>[2]!Table3[[#This Row],[Residential Incentive Disbursements]]/'[2]1.) CLM Reference'!$B$5</f>
        <v>0</v>
      </c>
      <c r="L202" s="88">
        <v>427.53480000000002</v>
      </c>
      <c r="M202" s="197">
        <f>[2]!Table3[[#This Row],[C&amp;I CLM $ Collected]]/'[2]1.) CLM Reference'!$B$4</f>
        <v>1.4691608245508434E-5</v>
      </c>
      <c r="N202" s="89">
        <v>0</v>
      </c>
      <c r="O202" s="198">
        <f>[2]!Table3[[#This Row],[C&amp;I Incentive Disbursements]]/'[2]1.) CLM Reference'!$B$5</f>
        <v>0</v>
      </c>
      <c r="P202" t="str">
        <f t="shared" si="3"/>
        <v>NO</v>
      </c>
      <c r="Q202" t="str">
        <f>VLOOKUP(Table8[[#This Row],[Census Tract]],'UI EnergyBurden'!$A$2:$B$184,2,FALSE)</f>
        <v>No</v>
      </c>
      <c r="R202">
        <f>VLOOKUP(Table8[[#This Row],[Census Tract]],'Population and Diversity Data'!$B$2:$K$823,10,FALSE)</f>
        <v>3</v>
      </c>
    </row>
    <row r="203" spans="1:18" ht="15.75" customHeight="1" x14ac:dyDescent="0.2">
      <c r="A203" s="195">
        <v>9009165500</v>
      </c>
      <c r="B203" s="195" t="s">
        <v>943</v>
      </c>
      <c r="C203" s="195" t="s">
        <v>936</v>
      </c>
      <c r="D203" s="88">
        <f>[2]!Table3[[#This Row],[Residential CLM $ Collected]]+[2]!Table3[[#This Row],[C&amp;I CLM $ Collected]]</f>
        <v>1290.6613</v>
      </c>
      <c r="E203" s="197">
        <f>[2]!Table3[[#This Row],[CLM $ Collected ]]/'[2]1.) CLM Reference'!$B$4</f>
        <v>4.4351688323941426E-5</v>
      </c>
      <c r="F203" s="89">
        <f>[2]!Table3[[#This Row],[Residential Incentive Disbursements]]+[2]!Table3[[#This Row],[C&amp;I Incentive Disbursements]]</f>
        <v>34.005609781340084</v>
      </c>
      <c r="G203" s="198">
        <f>[2]!Table3[[#This Row],[Incentive Disbursements]]/'[2]1.) CLM Reference'!$B$5</f>
        <v>2.0240244110680165E-6</v>
      </c>
      <c r="H203" s="88">
        <v>766.12699999999995</v>
      </c>
      <c r="I203" s="197">
        <f>[2]!Table3[[#This Row],[Residential CLM $ Collected]]/'[2]1.) CLM Reference'!$B$4</f>
        <v>2.6326834097029386E-5</v>
      </c>
      <c r="J203" s="89">
        <v>66.497294745876474</v>
      </c>
      <c r="K203" s="198">
        <f>[2]!Table3[[#This Row],[Residential Incentive Disbursements]]/'[2]1.) CLM Reference'!$B$5</f>
        <v>3.9579395488297862E-6</v>
      </c>
      <c r="L203" s="88">
        <v>524.53430000000003</v>
      </c>
      <c r="M203" s="197">
        <f>[2]!Table3[[#This Row],[C&amp;I CLM $ Collected]]/'[2]1.) CLM Reference'!$B$4</f>
        <v>1.8024854226912044E-5</v>
      </c>
      <c r="N203" s="89">
        <v>-32.49168496453639</v>
      </c>
      <c r="O203" s="198">
        <f>[2]!Table3[[#This Row],[C&amp;I Incentive Disbursements]]/'[2]1.) CLM Reference'!$B$5</f>
        <v>-1.9339151377617697E-6</v>
      </c>
      <c r="P203" t="str">
        <f t="shared" si="3"/>
        <v>NO</v>
      </c>
      <c r="Q203" t="str">
        <f>VLOOKUP(Table8[[#This Row],[Census Tract]],'UI EnergyBurden'!$A$2:$B$184,2,FALSE)</f>
        <v>Yes</v>
      </c>
      <c r="R203">
        <f>VLOOKUP(Table8[[#This Row],[Census Tract]],'Population and Diversity Data'!$B$2:$K$823,10,FALSE)</f>
        <v>4</v>
      </c>
    </row>
    <row r="204" spans="1:18" ht="15.75" hidden="1" customHeight="1" x14ac:dyDescent="0.2">
      <c r="A204" s="195">
        <v>9009165700</v>
      </c>
      <c r="B204" s="195" t="s">
        <v>943</v>
      </c>
      <c r="C204" s="195" t="s">
        <v>944</v>
      </c>
      <c r="D204" s="88">
        <f>[2]!Table3[[#This Row],[Residential CLM $ Collected]]+[2]!Table3[[#This Row],[C&amp;I CLM $ Collected]]</f>
        <v>8.9306999999999999</v>
      </c>
      <c r="E204" s="197">
        <f>[2]!Table3[[#This Row],[CLM $ Collected ]]/'[2]1.) CLM Reference'!$B$4</f>
        <v>3.0689044671489236E-7</v>
      </c>
      <c r="F204" s="89">
        <f>[2]!Table3[[#This Row],[Residential Incentive Disbursements]]+[2]!Table3[[#This Row],[C&amp;I Incentive Disbursements]]</f>
        <v>0</v>
      </c>
      <c r="G204" s="198">
        <f>[2]!Table3[[#This Row],[Incentive Disbursements]]/'[2]1.) CLM Reference'!$B$5</f>
        <v>0</v>
      </c>
      <c r="H204" s="88">
        <v>0</v>
      </c>
      <c r="I204" s="197">
        <f>[2]!Table3[[#This Row],[Residential CLM $ Collected]]/'[2]1.) CLM Reference'!$B$4</f>
        <v>0</v>
      </c>
      <c r="J204" s="89">
        <v>0</v>
      </c>
      <c r="K204" s="198">
        <f>[2]!Table3[[#This Row],[Residential Incentive Disbursements]]/'[2]1.) CLM Reference'!$B$5</f>
        <v>0</v>
      </c>
      <c r="L204" s="88">
        <v>8.9306999999999999</v>
      </c>
      <c r="M204" s="197">
        <f>[2]!Table3[[#This Row],[C&amp;I CLM $ Collected]]/'[2]1.) CLM Reference'!$B$4</f>
        <v>3.0689044671489236E-7</v>
      </c>
      <c r="N204" s="89">
        <v>0</v>
      </c>
      <c r="O204" s="198">
        <f>[2]!Table3[[#This Row],[C&amp;I Incentive Disbursements]]/'[2]1.) CLM Reference'!$B$5</f>
        <v>0</v>
      </c>
      <c r="P204" t="str">
        <f t="shared" si="3"/>
        <v>N/A</v>
      </c>
      <c r="Q204" t="str">
        <f>VLOOKUP(Table8[[#This Row],[Census Tract]],'UI EnergyBurden'!$A$2:$B$184,2,FALSE)</f>
        <v>No</v>
      </c>
      <c r="R204">
        <f>VLOOKUP(Table8[[#This Row],[Census Tract]],'Population and Diversity Data'!$B$2:$K$823,10,FALSE)</f>
        <v>4</v>
      </c>
    </row>
    <row r="205" spans="1:18" ht="15.75" hidden="1" customHeight="1" x14ac:dyDescent="0.2">
      <c r="A205" s="195">
        <v>9009165802</v>
      </c>
      <c r="B205" s="195" t="s">
        <v>943</v>
      </c>
      <c r="C205" s="195" t="s">
        <v>944</v>
      </c>
      <c r="D205" s="88">
        <f>[2]!Table3[[#This Row],[Residential CLM $ Collected]]+[2]!Table3[[#This Row],[C&amp;I CLM $ Collected]]</f>
        <v>218.60890000000001</v>
      </c>
      <c r="E205" s="197">
        <f>[2]!Table3[[#This Row],[CLM $ Collected ]]/'[2]1.) CLM Reference'!$B$4</f>
        <v>7.5121751908418422E-6</v>
      </c>
      <c r="F205" s="89">
        <f>[2]!Table3[[#This Row],[Residential Incentive Disbursements]]+[2]!Table3[[#This Row],[C&amp;I Incentive Disbursements]]</f>
        <v>0</v>
      </c>
      <c r="G205" s="198">
        <f>[2]!Table3[[#This Row],[Incentive Disbursements]]/'[2]1.) CLM Reference'!$B$5</f>
        <v>0</v>
      </c>
      <c r="H205" s="88">
        <v>0</v>
      </c>
      <c r="I205" s="197">
        <f>[2]!Table3[[#This Row],[Residential CLM $ Collected]]/'[2]1.) CLM Reference'!$B$4</f>
        <v>0</v>
      </c>
      <c r="J205" s="89">
        <v>0</v>
      </c>
      <c r="K205" s="198">
        <f>[2]!Table3[[#This Row],[Residential Incentive Disbursements]]/'[2]1.) CLM Reference'!$B$5</f>
        <v>0</v>
      </c>
      <c r="L205" s="88">
        <v>218.60890000000001</v>
      </c>
      <c r="M205" s="197">
        <f>[2]!Table3[[#This Row],[C&amp;I CLM $ Collected]]/'[2]1.) CLM Reference'!$B$4</f>
        <v>7.5121751908418422E-6</v>
      </c>
      <c r="N205" s="89">
        <v>0</v>
      </c>
      <c r="O205" s="198">
        <f>[2]!Table3[[#This Row],[C&amp;I Incentive Disbursements]]/'[2]1.) CLM Reference'!$B$5</f>
        <v>0</v>
      </c>
      <c r="P205" t="str">
        <f t="shared" si="3"/>
        <v>NO</v>
      </c>
      <c r="Q205" t="str">
        <f>VLOOKUP(Table8[[#This Row],[Census Tract]],'UI EnergyBurden'!$A$2:$B$184,2,FALSE)</f>
        <v>No</v>
      </c>
      <c r="R205">
        <f>VLOOKUP(Table8[[#This Row],[Census Tract]],'Population and Diversity Data'!$B$2:$K$823,10,FALSE)</f>
        <v>3</v>
      </c>
    </row>
    <row r="206" spans="1:18" ht="15.75" hidden="1" customHeight="1" x14ac:dyDescent="0.2">
      <c r="A206" s="195">
        <v>9009166002</v>
      </c>
      <c r="B206" s="195" t="s">
        <v>943</v>
      </c>
      <c r="C206" s="195" t="s">
        <v>944</v>
      </c>
      <c r="D206" s="88">
        <f>[2]!Table3[[#This Row],[Residential CLM $ Collected]]+[2]!Table3[[#This Row],[C&amp;I CLM $ Collected]]</f>
        <v>459.02100000000002</v>
      </c>
      <c r="E206" s="197">
        <f>[2]!Table3[[#This Row],[CLM $ Collected ]]/'[2]1.) CLM Reference'!$B$4</f>
        <v>1.5773585468274226E-5</v>
      </c>
      <c r="F206" s="89">
        <f>[2]!Table3[[#This Row],[Residential Incentive Disbursements]]+[2]!Table3[[#This Row],[C&amp;I Incentive Disbursements]]</f>
        <v>0</v>
      </c>
      <c r="G206" s="198">
        <f>[2]!Table3[[#This Row],[Incentive Disbursements]]/'[2]1.) CLM Reference'!$B$5</f>
        <v>0</v>
      </c>
      <c r="H206" s="88">
        <v>0</v>
      </c>
      <c r="I206" s="197">
        <f>[2]!Table3[[#This Row],[Residential CLM $ Collected]]/'[2]1.) CLM Reference'!$B$4</f>
        <v>0</v>
      </c>
      <c r="J206" s="89">
        <v>0</v>
      </c>
      <c r="K206" s="198">
        <f>[2]!Table3[[#This Row],[Residential Incentive Disbursements]]/'[2]1.) CLM Reference'!$B$5</f>
        <v>0</v>
      </c>
      <c r="L206" s="88">
        <v>459.02100000000002</v>
      </c>
      <c r="M206" s="197">
        <f>[2]!Table3[[#This Row],[C&amp;I CLM $ Collected]]/'[2]1.) CLM Reference'!$B$4</f>
        <v>1.5773585468274226E-5</v>
      </c>
      <c r="N206" s="89">
        <v>0</v>
      </c>
      <c r="O206" s="198">
        <f>[2]!Table3[[#This Row],[C&amp;I Incentive Disbursements]]/'[2]1.) CLM Reference'!$B$5</f>
        <v>0</v>
      </c>
      <c r="P206" t="str">
        <f t="shared" si="3"/>
        <v>NO</v>
      </c>
      <c r="Q206" t="str">
        <f>VLOOKUP(Table8[[#This Row],[Census Tract]],'UI EnergyBurden'!$A$2:$B$184,2,FALSE)</f>
        <v>No</v>
      </c>
      <c r="R206">
        <f>VLOOKUP(Table8[[#This Row],[Census Tract]],'Population and Diversity Data'!$B$2:$K$823,10,FALSE)</f>
        <v>3</v>
      </c>
    </row>
    <row r="207" spans="1:18" ht="15.75" hidden="1" customHeight="1" x14ac:dyDescent="0.2">
      <c r="A207" s="195">
        <v>9009167202</v>
      </c>
      <c r="B207" s="195" t="s">
        <v>943</v>
      </c>
      <c r="C207" s="195" t="s">
        <v>944</v>
      </c>
      <c r="D207" s="88">
        <f>[2]!Table3[[#This Row],[Residential CLM $ Collected]]+[2]!Table3[[#This Row],[C&amp;I CLM $ Collected]]</f>
        <v>0.1389</v>
      </c>
      <c r="E207" s="197">
        <f>[2]!Table3[[#This Row],[CLM $ Collected ]]/'[2]1.) CLM Reference'!$B$4</f>
        <v>4.7730953955119477E-9</v>
      </c>
      <c r="F207" s="89">
        <f>[2]!Table3[[#This Row],[Residential Incentive Disbursements]]+[2]!Table3[[#This Row],[C&amp;I Incentive Disbursements]]</f>
        <v>0</v>
      </c>
      <c r="G207" s="198">
        <f>[2]!Table3[[#This Row],[Incentive Disbursements]]/'[2]1.) CLM Reference'!$B$5</f>
        <v>0</v>
      </c>
      <c r="H207" s="88">
        <v>0.1389</v>
      </c>
      <c r="I207" s="197">
        <f>[2]!Table3[[#This Row],[Residential CLM $ Collected]]/'[2]1.) CLM Reference'!$B$4</f>
        <v>4.7730953955119477E-9</v>
      </c>
      <c r="J207" s="89">
        <v>0</v>
      </c>
      <c r="K207" s="198">
        <f>[2]!Table3[[#This Row],[Residential Incentive Disbursements]]/'[2]1.) CLM Reference'!$B$5</f>
        <v>0</v>
      </c>
      <c r="L207" s="88">
        <v>0</v>
      </c>
      <c r="M207" s="197">
        <f>[2]!Table3[[#This Row],[C&amp;I CLM $ Collected]]/'[2]1.) CLM Reference'!$B$4</f>
        <v>0</v>
      </c>
      <c r="N207" s="89">
        <v>0</v>
      </c>
      <c r="O207" s="198">
        <f>[2]!Table3[[#This Row],[C&amp;I Incentive Disbursements]]/'[2]1.) CLM Reference'!$B$5</f>
        <v>0</v>
      </c>
      <c r="P207" t="str">
        <f t="shared" si="3"/>
        <v>N/A</v>
      </c>
      <c r="Q207" t="str">
        <f>VLOOKUP(Table8[[#This Row],[Census Tract]],'UI EnergyBurden'!$A$2:$B$184,2,FALSE)</f>
        <v>No</v>
      </c>
      <c r="R207">
        <f>VLOOKUP(Table8[[#This Row],[Census Tract]],'Population and Diversity Data'!$B$2:$K$823,10,FALSE)</f>
        <v>4</v>
      </c>
    </row>
    <row r="208" spans="1:18" ht="16" hidden="1" x14ac:dyDescent="0.2">
      <c r="A208" s="195">
        <v>9009167300</v>
      </c>
      <c r="B208" s="195" t="s">
        <v>943</v>
      </c>
      <c r="C208" s="195" t="s">
        <v>944</v>
      </c>
      <c r="D208" s="88">
        <f>[2]!Table3[[#This Row],[Residential CLM $ Collected]]+[2]!Table3[[#This Row],[C&amp;I CLM $ Collected]]</f>
        <v>19.053799999999999</v>
      </c>
      <c r="E208" s="197">
        <f>[2]!Table3[[#This Row],[CLM $ Collected ]]/'[2]1.) CLM Reference'!$B$4</f>
        <v>6.547559758603711E-7</v>
      </c>
      <c r="F208" s="89">
        <f>[2]!Table3[[#This Row],[Residential Incentive Disbursements]]+[2]!Table3[[#This Row],[C&amp;I Incentive Disbursements]]</f>
        <v>0</v>
      </c>
      <c r="G208" s="198">
        <f>[2]!Table3[[#This Row],[Incentive Disbursements]]/'[2]1.) CLM Reference'!$B$5</f>
        <v>0</v>
      </c>
      <c r="H208" s="88">
        <v>19.053799999999999</v>
      </c>
      <c r="I208" s="197">
        <f>[2]!Table3[[#This Row],[Residential CLM $ Collected]]/'[2]1.) CLM Reference'!$B$4</f>
        <v>6.547559758603711E-7</v>
      </c>
      <c r="J208" s="89">
        <v>0</v>
      </c>
      <c r="K208" s="198">
        <f>[2]!Table3[[#This Row],[Residential Incentive Disbursements]]/'[2]1.) CLM Reference'!$B$5</f>
        <v>0</v>
      </c>
      <c r="L208" s="88">
        <v>0</v>
      </c>
      <c r="M208" s="197">
        <f>[2]!Table3[[#This Row],[C&amp;I CLM $ Collected]]/'[2]1.) CLM Reference'!$B$4</f>
        <v>0</v>
      </c>
      <c r="N208" s="89">
        <v>0</v>
      </c>
      <c r="O208" s="198">
        <f>[2]!Table3[[#This Row],[C&amp;I Incentive Disbursements]]/'[2]1.) CLM Reference'!$B$5</f>
        <v>0</v>
      </c>
      <c r="P208" t="str">
        <f t="shared" si="3"/>
        <v>N/A</v>
      </c>
      <c r="Q208" t="str">
        <f>VLOOKUP(Table8[[#This Row],[Census Tract]],'UI EnergyBurden'!$A$2:$B$184,2,FALSE)</f>
        <v>No</v>
      </c>
      <c r="R208">
        <f>VLOOKUP(Table8[[#This Row],[Census Tract]],'Population and Diversity Data'!$B$2:$K$823,10,FALSE)</f>
        <v>2</v>
      </c>
    </row>
    <row r="209" spans="1:18" ht="15.75" hidden="1" customHeight="1" x14ac:dyDescent="0.2">
      <c r="A209" s="195">
        <v>9009180100</v>
      </c>
      <c r="B209" s="195" t="s">
        <v>943</v>
      </c>
      <c r="C209" s="195" t="s">
        <v>944</v>
      </c>
      <c r="D209" s="88">
        <f>[2]!Table3[[#This Row],[Residential CLM $ Collected]]+[2]!Table3[[#This Row],[C&amp;I CLM $ Collected]]</f>
        <v>41.904400000000003</v>
      </c>
      <c r="E209" s="197">
        <f>[2]!Table3[[#This Row],[CLM $ Collected ]]/'[2]1.) CLM Reference'!$B$4</f>
        <v>1.4399834319056219E-6</v>
      </c>
      <c r="F209" s="89">
        <f>[2]!Table3[[#This Row],[Residential Incentive Disbursements]]+[2]!Table3[[#This Row],[C&amp;I Incentive Disbursements]]</f>
        <v>0</v>
      </c>
      <c r="G209" s="198">
        <f>[2]!Table3[[#This Row],[Incentive Disbursements]]/'[2]1.) CLM Reference'!$B$5</f>
        <v>0</v>
      </c>
      <c r="H209" s="88">
        <v>0</v>
      </c>
      <c r="I209" s="197">
        <f>[2]!Table3[[#This Row],[Residential CLM $ Collected]]/'[2]1.) CLM Reference'!$B$4</f>
        <v>0</v>
      </c>
      <c r="J209" s="89">
        <v>0</v>
      </c>
      <c r="K209" s="198">
        <f>[2]!Table3[[#This Row],[Residential Incentive Disbursements]]/'[2]1.) CLM Reference'!$B$5</f>
        <v>0</v>
      </c>
      <c r="L209" s="88">
        <v>41.904400000000003</v>
      </c>
      <c r="M209" s="197">
        <f>[2]!Table3[[#This Row],[C&amp;I CLM $ Collected]]/'[2]1.) CLM Reference'!$B$4</f>
        <v>1.4399834319056219E-6</v>
      </c>
      <c r="N209" s="89">
        <v>0</v>
      </c>
      <c r="O209" s="198">
        <f>[2]!Table3[[#This Row],[C&amp;I Incentive Disbursements]]/'[2]1.) CLM Reference'!$B$5</f>
        <v>0</v>
      </c>
      <c r="P209" t="str">
        <f t="shared" si="3"/>
        <v>N/A</v>
      </c>
      <c r="Q209" t="str">
        <f>VLOOKUP(Table8[[#This Row],[Census Tract]],'UI EnergyBurden'!$A$2:$B$184,2,FALSE)</f>
        <v>No</v>
      </c>
      <c r="R209">
        <f>VLOOKUP(Table8[[#This Row],[Census Tract]],'Population and Diversity Data'!$B$2:$K$823,10,FALSE)</f>
        <v>5</v>
      </c>
    </row>
    <row r="210" spans="1:18" ht="15.75" hidden="1" customHeight="1" x14ac:dyDescent="0.2">
      <c r="A210" s="195">
        <v>9009180200</v>
      </c>
      <c r="B210" s="195" t="s">
        <v>943</v>
      </c>
      <c r="C210" s="195" t="s">
        <v>944</v>
      </c>
      <c r="D210" s="88">
        <f>[2]!Table3[[#This Row],[Residential CLM $ Collected]]+[2]!Table3[[#This Row],[C&amp;I CLM $ Collected]]</f>
        <v>2792.2855</v>
      </c>
      <c r="E210" s="197">
        <f>[2]!Table3[[#This Row],[CLM $ Collected ]]/'[2]1.) CLM Reference'!$B$4</f>
        <v>9.5952808228976075E-5</v>
      </c>
      <c r="F210" s="89">
        <f>[2]!Table3[[#This Row],[Residential Incentive Disbursements]]+[2]!Table3[[#This Row],[C&amp;I Incentive Disbursements]]</f>
        <v>21.434471192262045</v>
      </c>
      <c r="G210" s="198">
        <f>[2]!Table3[[#This Row],[Incentive Disbursements]]/'[2]1.) CLM Reference'!$B$5</f>
        <v>1.2757863543819943E-6</v>
      </c>
      <c r="H210" s="88">
        <v>174.75399999999999</v>
      </c>
      <c r="I210" s="197">
        <f>[2]!Table3[[#This Row],[Residential CLM $ Collected]]/'[2]1.) CLM Reference'!$B$4</f>
        <v>6.0051656785262412E-6</v>
      </c>
      <c r="J210" s="89">
        <v>21.434471192262045</v>
      </c>
      <c r="K210" s="198">
        <f>[2]!Table3[[#This Row],[Residential Incentive Disbursements]]/'[2]1.) CLM Reference'!$B$5</f>
        <v>1.2757863543819943E-6</v>
      </c>
      <c r="L210" s="88">
        <v>2617.5315000000001</v>
      </c>
      <c r="M210" s="197">
        <f>[2]!Table3[[#This Row],[C&amp;I CLM $ Collected]]/'[2]1.) CLM Reference'!$B$4</f>
        <v>8.994764255044983E-5</v>
      </c>
      <c r="N210" s="89">
        <v>0</v>
      </c>
      <c r="O210" s="198">
        <f>[2]!Table3[[#This Row],[C&amp;I Incentive Disbursements]]/'[2]1.) CLM Reference'!$B$5</f>
        <v>0</v>
      </c>
      <c r="P210" t="str">
        <f t="shared" si="3"/>
        <v>NO</v>
      </c>
      <c r="Q210" t="str">
        <f>VLOOKUP(Table8[[#This Row],[Census Tract]],'UI EnergyBurden'!$A$2:$B$184,2,FALSE)</f>
        <v>No</v>
      </c>
      <c r="R210">
        <f>VLOOKUP(Table8[[#This Row],[Census Tract]],'Population and Diversity Data'!$B$2:$K$823,10,FALSE)</f>
        <v>5</v>
      </c>
    </row>
    <row r="211" spans="1:18" ht="16" hidden="1" x14ac:dyDescent="0.2">
      <c r="A211" s="195">
        <v>9009180300</v>
      </c>
      <c r="B211" s="195" t="s">
        <v>943</v>
      </c>
      <c r="C211" s="195" t="s">
        <v>944</v>
      </c>
      <c r="D211" s="88">
        <f>[2]!Table3[[#This Row],[Residential CLM $ Collected]]+[2]!Table3[[#This Row],[C&amp;I CLM $ Collected]]</f>
        <v>958.25630000000001</v>
      </c>
      <c r="E211" s="197">
        <f>[2]!Table3[[#This Row],[CLM $ Collected ]]/'[2]1.) CLM Reference'!$B$4</f>
        <v>3.2929076553278008E-5</v>
      </c>
      <c r="F211" s="89">
        <f>[2]!Table3[[#This Row],[Residential Incentive Disbursements]]+[2]!Table3[[#This Row],[C&amp;I Incentive Disbursements]]</f>
        <v>0</v>
      </c>
      <c r="G211" s="198">
        <f>[2]!Table3[[#This Row],[Incentive Disbursements]]/'[2]1.) CLM Reference'!$B$5</f>
        <v>0</v>
      </c>
      <c r="H211" s="88">
        <v>541.58529999999996</v>
      </c>
      <c r="I211" s="197">
        <f>[2]!Table3[[#This Row],[Residential CLM $ Collected]]/'[2]1.) CLM Reference'!$B$4</f>
        <v>1.861078690933734E-5</v>
      </c>
      <c r="J211" s="89">
        <v>0</v>
      </c>
      <c r="K211" s="198">
        <f>[2]!Table3[[#This Row],[Residential Incentive Disbursements]]/'[2]1.) CLM Reference'!$B$5</f>
        <v>0</v>
      </c>
      <c r="L211" s="88">
        <v>416.67099999999999</v>
      </c>
      <c r="M211" s="197">
        <f>[2]!Table3[[#This Row],[C&amp;I CLM $ Collected]]/'[2]1.) CLM Reference'!$B$4</f>
        <v>1.4318289643940667E-5</v>
      </c>
      <c r="N211" s="89">
        <v>0</v>
      </c>
      <c r="O211" s="198">
        <f>[2]!Table3[[#This Row],[C&amp;I Incentive Disbursements]]/'[2]1.) CLM Reference'!$B$5</f>
        <v>0</v>
      </c>
      <c r="P211" t="str">
        <f t="shared" si="3"/>
        <v>NO</v>
      </c>
      <c r="Q211" t="str">
        <f>VLOOKUP(Table8[[#This Row],[Census Tract]],'UI EnergyBurden'!$A$2:$B$184,2,FALSE)</f>
        <v>No</v>
      </c>
      <c r="R211">
        <f>VLOOKUP(Table8[[#This Row],[Census Tract]],'Population and Diversity Data'!$B$2:$K$823,10,FALSE)</f>
        <v>3</v>
      </c>
    </row>
    <row r="212" spans="1:18" ht="15.75" hidden="1" customHeight="1" x14ac:dyDescent="0.2">
      <c r="A212" s="195">
        <v>9009180500</v>
      </c>
      <c r="B212" s="195" t="s">
        <v>943</v>
      </c>
      <c r="C212" s="195" t="s">
        <v>944</v>
      </c>
      <c r="D212" s="88">
        <f>[2]!Table3[[#This Row],[Residential CLM $ Collected]]+[2]!Table3[[#This Row],[C&amp;I CLM $ Collected]]</f>
        <v>3387.4261999999999</v>
      </c>
      <c r="E212" s="197">
        <f>[2]!Table3[[#This Row],[CLM $ Collected ]]/'[2]1.) CLM Reference'!$B$4</f>
        <v>1.1640394814871514E-4</v>
      </c>
      <c r="F212" s="89">
        <f>[2]!Table3[[#This Row],[Residential Incentive Disbursements]]+[2]!Table3[[#This Row],[C&amp;I Incentive Disbursements]]</f>
        <v>0</v>
      </c>
      <c r="G212" s="198">
        <f>[2]!Table3[[#This Row],[Incentive Disbursements]]/'[2]1.) CLM Reference'!$B$5</f>
        <v>0</v>
      </c>
      <c r="H212" s="88">
        <v>433.71039999999999</v>
      </c>
      <c r="I212" s="197">
        <f>[2]!Table3[[#This Row],[Residential CLM $ Collected]]/'[2]1.) CLM Reference'!$B$4</f>
        <v>1.4903823709327898E-5</v>
      </c>
      <c r="J212" s="89">
        <v>0</v>
      </c>
      <c r="K212" s="198">
        <f>[2]!Table3[[#This Row],[Residential Incentive Disbursements]]/'[2]1.) CLM Reference'!$B$5</f>
        <v>0</v>
      </c>
      <c r="L212" s="88">
        <v>2953.7157999999999</v>
      </c>
      <c r="M212" s="197">
        <f>[2]!Table3[[#This Row],[C&amp;I CLM $ Collected]]/'[2]1.) CLM Reference'!$B$4</f>
        <v>1.0150012443938725E-4</v>
      </c>
      <c r="N212" s="89">
        <v>0</v>
      </c>
      <c r="O212" s="198">
        <f>[2]!Table3[[#This Row],[C&amp;I Incentive Disbursements]]/'[2]1.) CLM Reference'!$B$5</f>
        <v>0</v>
      </c>
      <c r="P212" t="str">
        <f t="shared" si="3"/>
        <v>NO</v>
      </c>
      <c r="Q212" t="str">
        <f>VLOOKUP(Table8[[#This Row],[Census Tract]],'UI EnergyBurden'!$A$2:$B$184,2,FALSE)</f>
        <v>No</v>
      </c>
      <c r="R212">
        <f>VLOOKUP(Table8[[#This Row],[Census Tract]],'Population and Diversity Data'!$B$2:$K$823,10,FALSE)</f>
        <v>5</v>
      </c>
    </row>
    <row r="213" spans="1:18" ht="15.75" hidden="1" customHeight="1" x14ac:dyDescent="0.2">
      <c r="A213" s="195">
        <v>9009180601</v>
      </c>
      <c r="B213" s="195" t="s">
        <v>943</v>
      </c>
      <c r="C213" s="195" t="s">
        <v>944</v>
      </c>
      <c r="D213" s="88">
        <f>[2]!Table3[[#This Row],[Residential CLM $ Collected]]+[2]!Table3[[#This Row],[C&amp;I CLM $ Collected]]</f>
        <v>1589.913</v>
      </c>
      <c r="E213" s="197">
        <f>[2]!Table3[[#This Row],[CLM $ Collected ]]/'[2]1.) CLM Reference'!$B$4</f>
        <v>5.4635035418031587E-5</v>
      </c>
      <c r="F213" s="89">
        <f>[2]!Table3[[#This Row],[Residential Incentive Disbursements]]+[2]!Table3[[#This Row],[C&amp;I Incentive Disbursements]]</f>
        <v>0</v>
      </c>
      <c r="G213" s="198">
        <f>[2]!Table3[[#This Row],[Incentive Disbursements]]/'[2]1.) CLM Reference'!$B$5</f>
        <v>0</v>
      </c>
      <c r="H213" s="88">
        <v>0</v>
      </c>
      <c r="I213" s="197">
        <f>[2]!Table3[[#This Row],[Residential CLM $ Collected]]/'[2]1.) CLM Reference'!$B$4</f>
        <v>0</v>
      </c>
      <c r="J213" s="89">
        <v>0</v>
      </c>
      <c r="K213" s="198">
        <f>[2]!Table3[[#This Row],[Residential Incentive Disbursements]]/'[2]1.) CLM Reference'!$B$5</f>
        <v>0</v>
      </c>
      <c r="L213" s="88">
        <v>1589.913</v>
      </c>
      <c r="M213" s="197">
        <f>[2]!Table3[[#This Row],[C&amp;I CLM $ Collected]]/'[2]1.) CLM Reference'!$B$4</f>
        <v>5.4635035418031587E-5</v>
      </c>
      <c r="N213" s="89">
        <v>0</v>
      </c>
      <c r="O213" s="198">
        <f>[2]!Table3[[#This Row],[C&amp;I Incentive Disbursements]]/'[2]1.) CLM Reference'!$B$5</f>
        <v>0</v>
      </c>
      <c r="P213" t="str">
        <f t="shared" si="3"/>
        <v>NO</v>
      </c>
      <c r="Q213" t="str">
        <f>VLOOKUP(Table8[[#This Row],[Census Tract]],'UI EnergyBurden'!$A$2:$B$184,2,FALSE)</f>
        <v>No</v>
      </c>
      <c r="R213">
        <f>VLOOKUP(Table8[[#This Row],[Census Tract]],'Population and Diversity Data'!$B$2:$K$823,10,FALSE)</f>
        <v>1</v>
      </c>
    </row>
    <row r="214" spans="1:18" ht="15.75" hidden="1" customHeight="1" x14ac:dyDescent="0.2">
      <c r="A214" s="195">
        <v>9009180602</v>
      </c>
      <c r="B214" s="195" t="s">
        <v>943</v>
      </c>
      <c r="C214" s="195" t="s">
        <v>944</v>
      </c>
      <c r="D214" s="88">
        <f>[2]!Table3[[#This Row],[Residential CLM $ Collected]]+[2]!Table3[[#This Row],[C&amp;I CLM $ Collected]]</f>
        <v>1251.5754999999999</v>
      </c>
      <c r="E214" s="197">
        <f>[2]!Table3[[#This Row],[CLM $ Collected ]]/'[2]1.) CLM Reference'!$B$4</f>
        <v>4.3008561959579293E-5</v>
      </c>
      <c r="F214" s="89">
        <f>[2]!Table3[[#This Row],[Residential Incentive Disbursements]]+[2]!Table3[[#This Row],[C&amp;I Incentive Disbursements]]</f>
        <v>0</v>
      </c>
      <c r="G214" s="198">
        <f>[2]!Table3[[#This Row],[Incentive Disbursements]]/'[2]1.) CLM Reference'!$B$5</f>
        <v>0</v>
      </c>
      <c r="H214" s="88">
        <v>0</v>
      </c>
      <c r="I214" s="197">
        <f>[2]!Table3[[#This Row],[Residential CLM $ Collected]]/'[2]1.) CLM Reference'!$B$4</f>
        <v>0</v>
      </c>
      <c r="J214" s="89">
        <v>0</v>
      </c>
      <c r="K214" s="198">
        <f>[2]!Table3[[#This Row],[Residential Incentive Disbursements]]/'[2]1.) CLM Reference'!$B$5</f>
        <v>0</v>
      </c>
      <c r="L214" s="88">
        <v>1251.5754999999999</v>
      </c>
      <c r="M214" s="197">
        <f>[2]!Table3[[#This Row],[C&amp;I CLM $ Collected]]/'[2]1.) CLM Reference'!$B$4</f>
        <v>4.3008561959579293E-5</v>
      </c>
      <c r="N214" s="89">
        <v>0</v>
      </c>
      <c r="O214" s="198">
        <f>[2]!Table3[[#This Row],[C&amp;I Incentive Disbursements]]/'[2]1.) CLM Reference'!$B$5</f>
        <v>0</v>
      </c>
      <c r="P214" t="str">
        <f t="shared" si="3"/>
        <v>NO</v>
      </c>
      <c r="Q214" t="str">
        <f>VLOOKUP(Table8[[#This Row],[Census Tract]],'UI EnergyBurden'!$A$2:$B$184,2,FALSE)</f>
        <v>No</v>
      </c>
      <c r="R214">
        <f>VLOOKUP(Table8[[#This Row],[Census Tract]],'Population and Diversity Data'!$B$2:$K$823,10,FALSE)</f>
        <v>1</v>
      </c>
    </row>
    <row r="215" spans="1:18" ht="15.75" customHeight="1" x14ac:dyDescent="0.2">
      <c r="A215" s="195">
        <v>9009361401</v>
      </c>
      <c r="B215" s="195" t="s">
        <v>943</v>
      </c>
      <c r="C215" s="195" t="s">
        <v>936</v>
      </c>
      <c r="D215" s="88">
        <f>[2]!Table3[[#This Row],[Residential CLM $ Collected]]+[2]!Table3[[#This Row],[C&amp;I CLM $ Collected]]</f>
        <v>110617.02419999999</v>
      </c>
      <c r="E215" s="197">
        <f>[2]!Table3[[#This Row],[CLM $ Collected ]]/'[2]1.) CLM Reference'!$B$4</f>
        <v>3.8011922885115451E-3</v>
      </c>
      <c r="F215" s="89">
        <f>[2]!Table3[[#This Row],[Residential Incentive Disbursements]]+[2]!Table3[[#This Row],[C&amp;I Incentive Disbursements]]</f>
        <v>12998.948403762073</v>
      </c>
      <c r="G215" s="198">
        <f>[2]!Table3[[#This Row],[Incentive Disbursements]]/'[2]1.) CLM Reference'!$B$5</f>
        <v>7.737014291643512E-4</v>
      </c>
      <c r="H215" s="88">
        <v>22608.335299999999</v>
      </c>
      <c r="I215" s="197">
        <f>[2]!Table3[[#This Row],[Residential CLM $ Collected]]/'[2]1.) CLM Reference'!$B$4</f>
        <v>7.7690238387775543E-4</v>
      </c>
      <c r="J215" s="89">
        <v>0</v>
      </c>
      <c r="K215" s="198">
        <f>[2]!Table3[[#This Row],[Residential Incentive Disbursements]]/'[2]1.) CLM Reference'!$B$5</f>
        <v>0</v>
      </c>
      <c r="L215" s="88">
        <v>88008.688899999994</v>
      </c>
      <c r="M215" s="197">
        <f>[2]!Table3[[#This Row],[C&amp;I CLM $ Collected]]/'[2]1.) CLM Reference'!$B$4</f>
        <v>3.0242899046337901E-3</v>
      </c>
      <c r="N215" s="89">
        <v>12998.948403762073</v>
      </c>
      <c r="O215" s="198">
        <f>[2]!Table3[[#This Row],[C&amp;I Incentive Disbursements]]/'[2]1.) CLM Reference'!$B$5</f>
        <v>7.737014291643512E-4</v>
      </c>
      <c r="P215" t="str">
        <f t="shared" si="3"/>
        <v>NO</v>
      </c>
      <c r="Q215" t="str">
        <f>VLOOKUP(Table8[[#This Row],[Census Tract]],'UI EnergyBurden'!$A$2:$B$184,2,FALSE)</f>
        <v>No</v>
      </c>
      <c r="R215">
        <f>VLOOKUP(Table8[[#This Row],[Census Tract]],'Population and Diversity Data'!$B$2:$K$823,10,FALSE)</f>
        <v>5</v>
      </c>
    </row>
    <row r="216" spans="1:18" ht="15.75" customHeight="1" x14ac:dyDescent="0.2">
      <c r="A216" s="195">
        <v>9009361402</v>
      </c>
      <c r="B216" s="195" t="s">
        <v>943</v>
      </c>
      <c r="C216" s="195" t="s">
        <v>936</v>
      </c>
      <c r="D216" s="88">
        <f>[2]!Table3[[#This Row],[Residential CLM $ Collected]]+[2]!Table3[[#This Row],[C&amp;I CLM $ Collected]]</f>
        <v>40495.7889</v>
      </c>
      <c r="E216" s="197">
        <f>[2]!Table3[[#This Row],[CLM $ Collected ]]/'[2]1.) CLM Reference'!$B$4</f>
        <v>1.3915785711750457E-3</v>
      </c>
      <c r="F216" s="89">
        <f>[2]!Table3[[#This Row],[Residential Incentive Disbursements]]+[2]!Table3[[#This Row],[C&amp;I Incentive Disbursements]]</f>
        <v>10206.162933618074</v>
      </c>
      <c r="G216" s="198">
        <f>[2]!Table3[[#This Row],[Incentive Disbursements]]/'[2]1.) CLM Reference'!$B$5</f>
        <v>6.0747397425926926E-4</v>
      </c>
      <c r="H216" s="88">
        <v>4781.3608999999997</v>
      </c>
      <c r="I216" s="197">
        <f>[2]!Table3[[#This Row],[Residential CLM $ Collected]]/'[2]1.) CLM Reference'!$B$4</f>
        <v>1.6430447585364191E-4</v>
      </c>
      <c r="J216" s="89">
        <v>7359.8913307246867</v>
      </c>
      <c r="K216" s="198">
        <f>[2]!Table3[[#This Row],[Residential Incentive Disbursements]]/'[2]1.) CLM Reference'!$B$5</f>
        <v>4.3806300819133827E-4</v>
      </c>
      <c r="L216" s="88">
        <v>35714.428</v>
      </c>
      <c r="M216" s="197">
        <f>[2]!Table3[[#This Row],[C&amp;I CLM $ Collected]]/'[2]1.) CLM Reference'!$B$4</f>
        <v>1.2272740953214038E-3</v>
      </c>
      <c r="N216" s="89">
        <v>2846.2716028933878</v>
      </c>
      <c r="O216" s="198">
        <f>[2]!Table3[[#This Row],[C&amp;I Incentive Disbursements]]/'[2]1.) CLM Reference'!$B$5</f>
        <v>1.6941096606793102E-4</v>
      </c>
      <c r="P216" t="str">
        <f t="shared" si="3"/>
        <v>NO</v>
      </c>
      <c r="Q216" t="str">
        <f>VLOOKUP(Table8[[#This Row],[Census Tract]],'UI EnergyBurden'!$A$2:$B$184,2,FALSE)</f>
        <v>No</v>
      </c>
      <c r="R216">
        <f>VLOOKUP(Table8[[#This Row],[Census Tract]],'Population and Diversity Data'!$B$2:$K$823,10,FALSE)</f>
        <v>5</v>
      </c>
    </row>
    <row r="217" spans="1:18" ht="16" hidden="1" x14ac:dyDescent="0.2">
      <c r="A217" s="195">
        <v>9009180601</v>
      </c>
      <c r="B217" s="195" t="s">
        <v>3006</v>
      </c>
      <c r="C217" s="195" t="s">
        <v>944</v>
      </c>
      <c r="D217" s="88">
        <f>[2]!Table3[[#This Row],[Residential CLM $ Collected]]+[2]!Table3[[#This Row],[C&amp;I CLM $ Collected]]</f>
        <v>95.268799999999999</v>
      </c>
      <c r="E217" s="197">
        <f>[2]!Table3[[#This Row],[CLM $ Collected ]]/'[2]1.) CLM Reference'!$B$4</f>
        <v>3.2737730065943025E-6</v>
      </c>
      <c r="F217" s="89">
        <f>[2]!Table3[[#This Row],[Residential Incentive Disbursements]]+[2]!Table3[[#This Row],[C&amp;I Incentive Disbursements]]</f>
        <v>0</v>
      </c>
      <c r="G217" s="198">
        <f>[2]!Table3[[#This Row],[Incentive Disbursements]]/'[2]1.) CLM Reference'!$B$5</f>
        <v>0</v>
      </c>
      <c r="H217" s="88">
        <v>0</v>
      </c>
      <c r="I217" s="197">
        <f>[2]!Table3[[#This Row],[Residential CLM $ Collected]]/'[2]1.) CLM Reference'!$B$4</f>
        <v>0</v>
      </c>
      <c r="J217" s="89">
        <v>0</v>
      </c>
      <c r="K217" s="198">
        <f>[2]!Table3[[#This Row],[Residential Incentive Disbursements]]/'[2]1.) CLM Reference'!$B$5</f>
        <v>0</v>
      </c>
      <c r="L217" s="88">
        <v>95.268799999999999</v>
      </c>
      <c r="M217" s="197">
        <f>[2]!Table3[[#This Row],[C&amp;I CLM $ Collected]]/'[2]1.) CLM Reference'!$B$4</f>
        <v>3.2737730065943025E-6</v>
      </c>
      <c r="N217" s="89">
        <v>0</v>
      </c>
      <c r="O217" s="198">
        <f>[2]!Table3[[#This Row],[C&amp;I Incentive Disbursements]]/'[2]1.) CLM Reference'!$B$5</f>
        <v>0</v>
      </c>
      <c r="P217" t="str">
        <f t="shared" si="3"/>
        <v>N/A</v>
      </c>
      <c r="Q217" t="str">
        <f>VLOOKUP(Table8[[#This Row],[Census Tract]],'UI EnergyBurden'!$A$2:$B$184,2,FALSE)</f>
        <v>No</v>
      </c>
      <c r="R217">
        <f>VLOOKUP(Table8[[#This Row],[Census Tract]],'Population and Diversity Data'!$B$2:$K$823,10,FALSE)</f>
        <v>1</v>
      </c>
    </row>
    <row r="218" spans="1:18" ht="15.75" hidden="1" customHeight="1" x14ac:dyDescent="0.2">
      <c r="A218" s="195">
        <v>9009184700</v>
      </c>
      <c r="B218" s="195" t="s">
        <v>3006</v>
      </c>
      <c r="C218" s="195" t="s">
        <v>944</v>
      </c>
      <c r="D218" s="88">
        <f>[2]!Table3[[#This Row],[Residential CLM $ Collected]]+[2]!Table3[[#This Row],[C&amp;I CLM $ Collected]]</f>
        <v>2855.0379000000003</v>
      </c>
      <c r="E218" s="197">
        <f>[2]!Table3[[#This Row],[CLM $ Collected ]]/'[2]1.) CLM Reference'!$B$4</f>
        <v>9.8109202696199444E-5</v>
      </c>
      <c r="F218" s="89">
        <f>[2]!Table3[[#This Row],[Residential Incentive Disbursements]]+[2]!Table3[[#This Row],[C&amp;I Incentive Disbursements]]</f>
        <v>2443.3072219839542</v>
      </c>
      <c r="G218" s="198">
        <f>[2]!Table3[[#This Row],[Incentive Disbursements]]/'[2]1.) CLM Reference'!$B$5</f>
        <v>1.4542640149179E-4</v>
      </c>
      <c r="H218" s="88">
        <v>2754.6410000000001</v>
      </c>
      <c r="I218" s="197">
        <f>[2]!Table3[[#This Row],[Residential CLM $ Collected]]/'[2]1.) CLM Reference'!$B$4</f>
        <v>9.4659210031594143E-5</v>
      </c>
      <c r="J218" s="89">
        <v>2443.3072219839542</v>
      </c>
      <c r="K218" s="198">
        <f>[2]!Table3[[#This Row],[Residential Incentive Disbursements]]/'[2]1.) CLM Reference'!$B$5</f>
        <v>1.4542640149179E-4</v>
      </c>
      <c r="L218" s="88">
        <v>100.3969</v>
      </c>
      <c r="M218" s="197">
        <f>[2]!Table3[[#This Row],[C&amp;I CLM $ Collected]]/'[2]1.) CLM Reference'!$B$4</f>
        <v>3.4499926646052805E-6</v>
      </c>
      <c r="N218" s="89">
        <v>0</v>
      </c>
      <c r="O218" s="198">
        <f>[2]!Table3[[#This Row],[C&amp;I Incentive Disbursements]]/'[2]1.) CLM Reference'!$B$5</f>
        <v>0</v>
      </c>
      <c r="P218" t="str">
        <f t="shared" si="3"/>
        <v>N/A</v>
      </c>
      <c r="Q218" t="str">
        <f>VLOOKUP(Table8[[#This Row],[Census Tract]],'UI EnergyBurden'!$A$2:$B$184,2,FALSE)</f>
        <v>No</v>
      </c>
      <c r="R218">
        <f>VLOOKUP(Table8[[#This Row],[Census Tract]],'Population and Diversity Data'!$B$2:$K$823,10,FALSE)</f>
        <v>4</v>
      </c>
    </row>
    <row r="219" spans="1:18" ht="16" hidden="1" x14ac:dyDescent="0.2">
      <c r="A219" s="195">
        <v>9009186100</v>
      </c>
      <c r="B219" s="195" t="s">
        <v>3006</v>
      </c>
      <c r="C219" s="195" t="s">
        <v>944</v>
      </c>
      <c r="D219" s="88">
        <f>[2]!Table3[[#This Row],[Residential CLM $ Collected]]+[2]!Table3[[#This Row],[C&amp;I CLM $ Collected]]</f>
        <v>187335.72399999999</v>
      </c>
      <c r="E219" s="197">
        <f>[2]!Table3[[#This Row],[CLM $ Collected ]]/'[2]1.) CLM Reference'!$B$4</f>
        <v>6.4375182263448306E-3</v>
      </c>
      <c r="F219" s="89">
        <f>[2]!Table3[[#This Row],[Residential Incentive Disbursements]]+[2]!Table3[[#This Row],[C&amp;I Incentive Disbursements]]</f>
        <v>169204.66599779652</v>
      </c>
      <c r="G219" s="198">
        <f>[2]!Table3[[#This Row],[Incentive Disbursements]]/'[2]1.) CLM Reference'!$B$5</f>
        <v>1.0071114049955272E-2</v>
      </c>
      <c r="H219" s="88">
        <v>137173.78909999999</v>
      </c>
      <c r="I219" s="197">
        <f>[2]!Table3[[#This Row],[Residential CLM $ Collected]]/'[2]1.) CLM Reference'!$B$4</f>
        <v>4.7137766820600216E-3</v>
      </c>
      <c r="J219" s="89">
        <v>85426.695997796531</v>
      </c>
      <c r="K219" s="198">
        <f>[2]!Table3[[#This Row],[Residential Incentive Disbursements]]/'[2]1.) CLM Reference'!$B$5</f>
        <v>5.084623365622023E-3</v>
      </c>
      <c r="L219" s="88">
        <v>50161.9349</v>
      </c>
      <c r="M219" s="197">
        <f>[2]!Table3[[#This Row],[C&amp;I CLM $ Collected]]/'[2]1.) CLM Reference'!$B$4</f>
        <v>1.7237415442848097E-3</v>
      </c>
      <c r="N219" s="89">
        <v>83777.97</v>
      </c>
      <c r="O219" s="198">
        <f>[2]!Table3[[#This Row],[C&amp;I Incentive Disbursements]]/'[2]1.) CLM Reference'!$B$5</f>
        <v>4.9864906843332495E-3</v>
      </c>
      <c r="P219" t="str">
        <f t="shared" si="3"/>
        <v>YES</v>
      </c>
      <c r="Q219" t="str">
        <f>VLOOKUP(Table8[[#This Row],[Census Tract]],'UI EnergyBurden'!$A$2:$B$184,2,FALSE)</f>
        <v>No</v>
      </c>
      <c r="R219">
        <f>VLOOKUP(Table8[[#This Row],[Census Tract]],'Population and Diversity Data'!$B$2:$K$823,10,FALSE)</f>
        <v>2</v>
      </c>
    </row>
    <row r="220" spans="1:18" ht="15.75" hidden="1" customHeight="1" x14ac:dyDescent="0.2">
      <c r="A220" s="195">
        <v>9009186200</v>
      </c>
      <c r="B220" s="195" t="s">
        <v>3006</v>
      </c>
      <c r="C220" s="195" t="s">
        <v>944</v>
      </c>
      <c r="D220" s="88">
        <f>[2]!Table3[[#This Row],[Residential CLM $ Collected]]+[2]!Table3[[#This Row],[C&amp;I CLM $ Collected]]</f>
        <v>11969.2673</v>
      </c>
      <c r="E220" s="197">
        <f>[2]!Table3[[#This Row],[CLM $ Collected ]]/'[2]1.) CLM Reference'!$B$4</f>
        <v>4.1130636887891809E-4</v>
      </c>
      <c r="F220" s="89">
        <f>[2]!Table3[[#This Row],[Residential Incentive Disbursements]]+[2]!Table3[[#This Row],[C&amp;I Incentive Disbursements]]</f>
        <v>8120.4790142167167</v>
      </c>
      <c r="G220" s="198">
        <f>[2]!Table3[[#This Row],[Incentive Disbursements]]/'[2]1.) CLM Reference'!$B$5</f>
        <v>4.8333342233901469E-4</v>
      </c>
      <c r="H220" s="88">
        <v>10810.026099999999</v>
      </c>
      <c r="I220" s="197">
        <f>[2]!Table3[[#This Row],[Residential CLM $ Collected]]/'[2]1.) CLM Reference'!$B$4</f>
        <v>3.7147074012436267E-4</v>
      </c>
      <c r="J220" s="89">
        <v>8120.4790142167167</v>
      </c>
      <c r="K220" s="198">
        <f>[2]!Table3[[#This Row],[Residential Incentive Disbursements]]/'[2]1.) CLM Reference'!$B$5</f>
        <v>4.8333342233901469E-4</v>
      </c>
      <c r="L220" s="88">
        <v>1159.2411999999999</v>
      </c>
      <c r="M220" s="197">
        <f>[2]!Table3[[#This Row],[C&amp;I CLM $ Collected]]/'[2]1.) CLM Reference'!$B$4</f>
        <v>3.9835628754555393E-5</v>
      </c>
      <c r="N220" s="89">
        <v>0</v>
      </c>
      <c r="O220" s="198">
        <f>[2]!Table3[[#This Row],[C&amp;I Incentive Disbursements]]/'[2]1.) CLM Reference'!$B$5</f>
        <v>0</v>
      </c>
      <c r="P220" t="str">
        <f t="shared" si="3"/>
        <v>NO</v>
      </c>
      <c r="Q220" t="str">
        <f>VLOOKUP(Table8[[#This Row],[Census Tract]],'UI EnergyBurden'!$A$2:$B$184,2,FALSE)</f>
        <v>No</v>
      </c>
      <c r="R220">
        <f>VLOOKUP(Table8[[#This Row],[Census Tract]],'Population and Diversity Data'!$B$2:$K$823,10,FALSE)</f>
        <v>1</v>
      </c>
    </row>
    <row r="221" spans="1:18" ht="15.75" hidden="1" customHeight="1" x14ac:dyDescent="0.2">
      <c r="A221" s="195">
        <v>9009190302</v>
      </c>
      <c r="B221" s="195" t="s">
        <v>3006</v>
      </c>
      <c r="C221" s="195" t="s">
        <v>944</v>
      </c>
      <c r="D221" s="88">
        <f>[2]!Table3[[#This Row],[Residential CLM $ Collected]]+[2]!Table3[[#This Row],[C&amp;I CLM $ Collected]]</f>
        <v>283.57240000000002</v>
      </c>
      <c r="E221" s="197">
        <f>[2]!Table3[[#This Row],[CLM $ Collected ]]/'[2]1.) CLM Reference'!$B$4</f>
        <v>9.744550876416647E-6</v>
      </c>
      <c r="F221" s="89">
        <f>[2]!Table3[[#This Row],[Residential Incentive Disbursements]]+[2]!Table3[[#This Row],[C&amp;I Incentive Disbursements]]</f>
        <v>0</v>
      </c>
      <c r="G221" s="198">
        <f>[2]!Table3[[#This Row],[Incentive Disbursements]]/'[2]1.) CLM Reference'!$B$5</f>
        <v>0</v>
      </c>
      <c r="H221" s="88">
        <v>283.57240000000002</v>
      </c>
      <c r="I221" s="197">
        <f>[2]!Table3[[#This Row],[Residential CLM $ Collected]]/'[2]1.) CLM Reference'!$B$4</f>
        <v>9.744550876416647E-6</v>
      </c>
      <c r="J221" s="89">
        <v>0</v>
      </c>
      <c r="K221" s="198">
        <f>[2]!Table3[[#This Row],[Residential Incentive Disbursements]]/'[2]1.) CLM Reference'!$B$5</f>
        <v>0</v>
      </c>
      <c r="L221" s="88">
        <v>0</v>
      </c>
      <c r="M221" s="197">
        <f>[2]!Table3[[#This Row],[C&amp;I CLM $ Collected]]/'[2]1.) CLM Reference'!$B$4</f>
        <v>0</v>
      </c>
      <c r="N221" s="89">
        <v>0</v>
      </c>
      <c r="O221" s="198">
        <f>[2]!Table3[[#This Row],[C&amp;I Incentive Disbursements]]/'[2]1.) CLM Reference'!$B$5</f>
        <v>0</v>
      </c>
      <c r="P221" t="str">
        <f t="shared" si="3"/>
        <v>N/A</v>
      </c>
      <c r="Q221" t="str">
        <f>VLOOKUP(Table8[[#This Row],[Census Tract]],'UI EnergyBurden'!$A$2:$B$184,2,FALSE)</f>
        <v>No</v>
      </c>
      <c r="R221">
        <f>VLOOKUP(Table8[[#This Row],[Census Tract]],'Population and Diversity Data'!$B$2:$K$823,10,FALSE)</f>
        <v>2</v>
      </c>
    </row>
    <row r="222" spans="1:18" ht="16" x14ac:dyDescent="0.2">
      <c r="A222" s="195">
        <v>9009140800</v>
      </c>
      <c r="B222" s="195" t="s">
        <v>3000</v>
      </c>
      <c r="C222" s="195" t="s">
        <v>936</v>
      </c>
      <c r="D222" s="88">
        <f>[2]!Table3[[#This Row],[Residential CLM $ Collected]]+[2]!Table3[[#This Row],[C&amp;I CLM $ Collected]]</f>
        <v>0</v>
      </c>
      <c r="E222" s="197">
        <f>[2]!Table3[[#This Row],[CLM $ Collected ]]/'[2]1.) CLM Reference'!$B$4</f>
        <v>0</v>
      </c>
      <c r="F222" s="89">
        <f>[2]!Table3[[#This Row],[Residential Incentive Disbursements]]+[2]!Table3[[#This Row],[C&amp;I Incentive Disbursements]]</f>
        <v>34.795916003075511</v>
      </c>
      <c r="G222" s="198">
        <f>[2]!Table3[[#This Row],[Incentive Disbursements]]/'[2]1.) CLM Reference'!$B$5</f>
        <v>2.0710636818029642E-6</v>
      </c>
      <c r="H222" s="88">
        <v>0</v>
      </c>
      <c r="I222" s="197">
        <f>[2]!Table3[[#This Row],[Residential CLM $ Collected]]/'[2]1.) CLM Reference'!$B$4</f>
        <v>0</v>
      </c>
      <c r="J222" s="89">
        <v>34.795916003075511</v>
      </c>
      <c r="K222" s="198">
        <f>[2]!Table3[[#This Row],[Residential Incentive Disbursements]]/'[2]1.) CLM Reference'!$B$5</f>
        <v>2.0710636818029642E-6</v>
      </c>
      <c r="L222" s="88">
        <v>0</v>
      </c>
      <c r="M222" s="197">
        <f>[2]!Table3[[#This Row],[C&amp;I CLM $ Collected]]/'[2]1.) CLM Reference'!$B$4</f>
        <v>0</v>
      </c>
      <c r="N222" s="89">
        <v>0</v>
      </c>
      <c r="O222" s="198">
        <f>[2]!Table3[[#This Row],[C&amp;I Incentive Disbursements]]/'[2]1.) CLM Reference'!$B$5</f>
        <v>0</v>
      </c>
      <c r="P222" t="str">
        <f t="shared" si="3"/>
        <v>N/A</v>
      </c>
      <c r="Q222" t="str">
        <f>VLOOKUP(Table8[[#This Row],[Census Tract]],'UI EnergyBurden'!$A$2:$B$184,2,FALSE)</f>
        <v>No</v>
      </c>
      <c r="R222">
        <f>VLOOKUP(Table8[[#This Row],[Census Tract]],'Population and Diversity Data'!$B$2:$K$823,10,FALSE)</f>
        <v>4</v>
      </c>
    </row>
    <row r="223" spans="1:18" ht="15.75" hidden="1" customHeight="1" x14ac:dyDescent="0.2">
      <c r="A223" s="195">
        <v>9009142601</v>
      </c>
      <c r="B223" s="195" t="s">
        <v>3005</v>
      </c>
      <c r="C223" s="195" t="s">
        <v>944</v>
      </c>
      <c r="D223" s="88">
        <f>[2]!Table3[[#This Row],[Residential CLM $ Collected]]+[2]!Table3[[#This Row],[C&amp;I CLM $ Collected]]</f>
        <v>529.9402</v>
      </c>
      <c r="E223" s="197">
        <f>[2]!Table3[[#This Row],[CLM $ Collected ]]/'[2]1.) CLM Reference'!$B$4</f>
        <v>1.8210620075714045E-5</v>
      </c>
      <c r="F223" s="89">
        <f>[2]!Table3[[#This Row],[Residential Incentive Disbursements]]+[2]!Table3[[#This Row],[C&amp;I Incentive Disbursements]]</f>
        <v>0</v>
      </c>
      <c r="G223" s="198">
        <f>[2]!Table3[[#This Row],[Incentive Disbursements]]/'[2]1.) CLM Reference'!$B$5</f>
        <v>0</v>
      </c>
      <c r="H223" s="88">
        <v>529.9402</v>
      </c>
      <c r="I223" s="197">
        <f>[2]!Table3[[#This Row],[Residential CLM $ Collected]]/'[2]1.) CLM Reference'!$B$4</f>
        <v>1.8210620075714045E-5</v>
      </c>
      <c r="J223" s="89">
        <v>0</v>
      </c>
      <c r="K223" s="198">
        <f>[2]!Table3[[#This Row],[Residential Incentive Disbursements]]/'[2]1.) CLM Reference'!$B$5</f>
        <v>0</v>
      </c>
      <c r="L223" s="88">
        <v>0</v>
      </c>
      <c r="M223" s="197">
        <f>[2]!Table3[[#This Row],[C&amp;I CLM $ Collected]]/'[2]1.) CLM Reference'!$B$4</f>
        <v>0</v>
      </c>
      <c r="N223" s="89">
        <v>0</v>
      </c>
      <c r="O223" s="198">
        <f>[2]!Table3[[#This Row],[C&amp;I Incentive Disbursements]]/'[2]1.) CLM Reference'!$B$5</f>
        <v>0</v>
      </c>
      <c r="P223" t="str">
        <f t="shared" si="3"/>
        <v>N/A</v>
      </c>
      <c r="Q223" t="str">
        <f>VLOOKUP(Table8[[#This Row],[Census Tract]],'UI EnergyBurden'!$A$2:$B$184,2,FALSE)</f>
        <v>No</v>
      </c>
      <c r="R223">
        <f>VLOOKUP(Table8[[#This Row],[Census Tract]],'Population and Diversity Data'!$B$2:$K$823,10,FALSE)</f>
        <v>5</v>
      </c>
    </row>
    <row r="224" spans="1:18" ht="16" hidden="1" x14ac:dyDescent="0.2">
      <c r="A224" s="195">
        <v>9009142604</v>
      </c>
      <c r="B224" s="195" t="s">
        <v>3005</v>
      </c>
      <c r="C224" s="195" t="s">
        <v>944</v>
      </c>
      <c r="D224" s="88">
        <f>[2]!Table3[[#This Row],[Residential CLM $ Collected]]+[2]!Table3[[#This Row],[C&amp;I CLM $ Collected]]</f>
        <v>8.3750999999999998</v>
      </c>
      <c r="E224" s="197">
        <f>[2]!Table3[[#This Row],[CLM $ Collected ]]/'[2]1.) CLM Reference'!$B$4</f>
        <v>2.8779806513284456E-7</v>
      </c>
      <c r="F224" s="89">
        <f>[2]!Table3[[#This Row],[Residential Incentive Disbursements]]+[2]!Table3[[#This Row],[C&amp;I Incentive Disbursements]]</f>
        <v>0</v>
      </c>
      <c r="G224" s="198">
        <f>[2]!Table3[[#This Row],[Incentive Disbursements]]/'[2]1.) CLM Reference'!$B$5</f>
        <v>0</v>
      </c>
      <c r="H224" s="88">
        <v>8.3750999999999998</v>
      </c>
      <c r="I224" s="197">
        <f>[2]!Table3[[#This Row],[Residential CLM $ Collected]]/'[2]1.) CLM Reference'!$B$4</f>
        <v>2.8779806513284456E-7</v>
      </c>
      <c r="J224" s="89">
        <v>0</v>
      </c>
      <c r="K224" s="198">
        <f>[2]!Table3[[#This Row],[Residential Incentive Disbursements]]/'[2]1.) CLM Reference'!$B$5</f>
        <v>0</v>
      </c>
      <c r="L224" s="88">
        <v>0</v>
      </c>
      <c r="M224" s="197">
        <f>[2]!Table3[[#This Row],[C&amp;I CLM $ Collected]]/'[2]1.) CLM Reference'!$B$4</f>
        <v>0</v>
      </c>
      <c r="N224" s="89">
        <v>0</v>
      </c>
      <c r="O224" s="198">
        <f>[2]!Table3[[#This Row],[C&amp;I Incentive Disbursements]]/'[2]1.) CLM Reference'!$B$5</f>
        <v>0</v>
      </c>
      <c r="P224" t="str">
        <f t="shared" si="3"/>
        <v>N/A</v>
      </c>
      <c r="Q224" t="str">
        <f>VLOOKUP(Table8[[#This Row],[Census Tract]],'UI EnergyBurden'!$A$2:$B$184,2,FALSE)</f>
        <v>No</v>
      </c>
      <c r="R224">
        <f>VLOOKUP(Table8[[#This Row],[Census Tract]],'Population and Diversity Data'!$B$2:$K$823,10,FALSE)</f>
        <v>4</v>
      </c>
    </row>
    <row r="225" spans="1:18" ht="15.75" hidden="1" customHeight="1" x14ac:dyDescent="0.2">
      <c r="A225" s="195">
        <v>9009154200</v>
      </c>
      <c r="B225" s="195" t="s">
        <v>3005</v>
      </c>
      <c r="C225" s="195" t="s">
        <v>944</v>
      </c>
      <c r="D225" s="88">
        <f>[2]!Table3[[#This Row],[Residential CLM $ Collected]]+[2]!Table3[[#This Row],[C&amp;I CLM $ Collected]]</f>
        <v>495.87259999999998</v>
      </c>
      <c r="E225" s="197">
        <f>[2]!Table3[[#This Row],[CLM $ Collected ]]/'[2]1.) CLM Reference'!$B$4</f>
        <v>1.7039936816562547E-5</v>
      </c>
      <c r="F225" s="89">
        <f>[2]!Table3[[#This Row],[Residential Incentive Disbursements]]+[2]!Table3[[#This Row],[C&amp;I Incentive Disbursements]]</f>
        <v>2033.2923924565166</v>
      </c>
      <c r="G225" s="198">
        <f>[2]!Table3[[#This Row],[Incentive Disbursements]]/'[2]1.) CLM Reference'!$B$5</f>
        <v>1.2102219203341983E-4</v>
      </c>
      <c r="H225" s="88">
        <v>476.2285</v>
      </c>
      <c r="I225" s="197">
        <f>[2]!Table3[[#This Row],[Residential CLM $ Collected]]/'[2]1.) CLM Reference'!$B$4</f>
        <v>1.6364896044359694E-5</v>
      </c>
      <c r="J225" s="89">
        <v>2033.2923924565166</v>
      </c>
      <c r="K225" s="198">
        <f>[2]!Table3[[#This Row],[Residential Incentive Disbursements]]/'[2]1.) CLM Reference'!$B$5</f>
        <v>1.2102219203341983E-4</v>
      </c>
      <c r="L225" s="88">
        <v>19.644100000000002</v>
      </c>
      <c r="M225" s="197">
        <f>[2]!Table3[[#This Row],[C&amp;I CLM $ Collected]]/'[2]1.) CLM Reference'!$B$4</f>
        <v>6.7504077220285283E-7</v>
      </c>
      <c r="N225" s="89">
        <v>0</v>
      </c>
      <c r="O225" s="198">
        <f>[2]!Table3[[#This Row],[C&amp;I Incentive Disbursements]]/'[2]1.) CLM Reference'!$B$5</f>
        <v>0</v>
      </c>
      <c r="P225" t="str">
        <f t="shared" si="3"/>
        <v>N/A</v>
      </c>
      <c r="Q225" t="str">
        <f>VLOOKUP(Table8[[#This Row],[Census Tract]],'UI EnergyBurden'!$A$2:$B$184,2,FALSE)</f>
        <v>No</v>
      </c>
      <c r="R225">
        <f>VLOOKUP(Table8[[#This Row],[Census Tract]],'Population and Diversity Data'!$B$2:$K$823,10,FALSE)</f>
        <v>4</v>
      </c>
    </row>
    <row r="226" spans="1:18" ht="16" x14ac:dyDescent="0.2">
      <c r="A226" s="195">
        <v>9009154500</v>
      </c>
      <c r="B226" s="195" t="s">
        <v>3005</v>
      </c>
      <c r="C226" s="195" t="s">
        <v>936</v>
      </c>
      <c r="D226" s="88">
        <f>[2]!Table3[[#This Row],[Residential CLM $ Collected]]+[2]!Table3[[#This Row],[C&amp;I CLM $ Collected]]</f>
        <v>36.828400000000002</v>
      </c>
      <c r="E226" s="197">
        <f>[2]!Table3[[#This Row],[CLM $ Collected ]]/'[2]1.) CLM Reference'!$B$4</f>
        <v>1.265554114212183E-6</v>
      </c>
      <c r="F226" s="89">
        <f>[2]!Table3[[#This Row],[Residential Incentive Disbursements]]+[2]!Table3[[#This Row],[C&amp;I Incentive Disbursements]]</f>
        <v>0</v>
      </c>
      <c r="G226" s="198">
        <f>[2]!Table3[[#This Row],[Incentive Disbursements]]/'[2]1.) CLM Reference'!$B$5</f>
        <v>0</v>
      </c>
      <c r="H226" s="88">
        <v>0</v>
      </c>
      <c r="I226" s="197">
        <f>[2]!Table3[[#This Row],[Residential CLM $ Collected]]/'[2]1.) CLM Reference'!$B$4</f>
        <v>0</v>
      </c>
      <c r="J226" s="89">
        <v>0</v>
      </c>
      <c r="K226" s="198">
        <f>[2]!Table3[[#This Row],[Residential Incentive Disbursements]]/'[2]1.) CLM Reference'!$B$5</f>
        <v>0</v>
      </c>
      <c r="L226" s="88">
        <v>36.828400000000002</v>
      </c>
      <c r="M226" s="197">
        <f>[2]!Table3[[#This Row],[C&amp;I CLM $ Collected]]/'[2]1.) CLM Reference'!$B$4</f>
        <v>1.265554114212183E-6</v>
      </c>
      <c r="N226" s="89">
        <v>0</v>
      </c>
      <c r="O226" s="198">
        <f>[2]!Table3[[#This Row],[C&amp;I Incentive Disbursements]]/'[2]1.) CLM Reference'!$B$5</f>
        <v>0</v>
      </c>
      <c r="P226" t="str">
        <f t="shared" si="3"/>
        <v>N/A</v>
      </c>
      <c r="Q226" t="str">
        <f>VLOOKUP(Table8[[#This Row],[Census Tract]],'UI EnergyBurden'!$A$2:$B$184,2,FALSE)</f>
        <v>No</v>
      </c>
      <c r="R226">
        <f>VLOOKUP(Table8[[#This Row],[Census Tract]],'Population and Diversity Data'!$B$2:$K$823,10,FALSE)</f>
        <v>4</v>
      </c>
    </row>
    <row r="227" spans="1:18" ht="15.75" hidden="1" customHeight="1" x14ac:dyDescent="0.2">
      <c r="A227" s="195">
        <v>9009154600</v>
      </c>
      <c r="B227" s="195" t="s">
        <v>3005</v>
      </c>
      <c r="C227" s="195" t="s">
        <v>944</v>
      </c>
      <c r="D227" s="88">
        <f>[2]!Table3[[#This Row],[Residential CLM $ Collected]]+[2]!Table3[[#This Row],[C&amp;I CLM $ Collected]]</f>
        <v>174.66720000000001</v>
      </c>
      <c r="E227" s="197">
        <f>[2]!Table3[[#This Row],[CLM $ Collected ]]/'[2]1.) CLM Reference'!$B$4</f>
        <v>6.0021829234482684E-6</v>
      </c>
      <c r="F227" s="89">
        <f>[2]!Table3[[#This Row],[Residential Incentive Disbursements]]+[2]!Table3[[#This Row],[C&amp;I Incentive Disbursements]]</f>
        <v>0</v>
      </c>
      <c r="G227" s="198">
        <f>[2]!Table3[[#This Row],[Incentive Disbursements]]/'[2]1.) CLM Reference'!$B$5</f>
        <v>0</v>
      </c>
      <c r="H227" s="88">
        <v>174.66720000000001</v>
      </c>
      <c r="I227" s="197">
        <f>[2]!Table3[[#This Row],[Residential CLM $ Collected]]/'[2]1.) CLM Reference'!$B$4</f>
        <v>6.0021829234482684E-6</v>
      </c>
      <c r="J227" s="89">
        <v>0</v>
      </c>
      <c r="K227" s="198">
        <f>[2]!Table3[[#This Row],[Residential Incentive Disbursements]]/'[2]1.) CLM Reference'!$B$5</f>
        <v>0</v>
      </c>
      <c r="L227" s="88">
        <v>0</v>
      </c>
      <c r="M227" s="197">
        <f>[2]!Table3[[#This Row],[C&amp;I CLM $ Collected]]/'[2]1.) CLM Reference'!$B$4</f>
        <v>0</v>
      </c>
      <c r="N227" s="89">
        <v>0</v>
      </c>
      <c r="O227" s="198">
        <f>[2]!Table3[[#This Row],[C&amp;I Incentive Disbursements]]/'[2]1.) CLM Reference'!$B$5</f>
        <v>0</v>
      </c>
      <c r="P227" t="str">
        <f t="shared" si="3"/>
        <v>N/A</v>
      </c>
      <c r="Q227" t="str">
        <f>VLOOKUP(Table8[[#This Row],[Census Tract]],'UI EnergyBurden'!$A$2:$B$184,2,FALSE)</f>
        <v>No</v>
      </c>
      <c r="R227">
        <f>VLOOKUP(Table8[[#This Row],[Census Tract]],'Population and Diversity Data'!$B$2:$K$823,10,FALSE)</f>
        <v>5</v>
      </c>
    </row>
    <row r="228" spans="1:18" ht="15.75" hidden="1" customHeight="1" x14ac:dyDescent="0.2">
      <c r="A228" s="195">
        <v>9009154700</v>
      </c>
      <c r="B228" s="195" t="s">
        <v>3005</v>
      </c>
      <c r="C228" s="195" t="s">
        <v>944</v>
      </c>
      <c r="D228" s="88">
        <f>[2]!Table3[[#This Row],[Residential CLM $ Collected]]+[2]!Table3[[#This Row],[C&amp;I CLM $ Collected]]</f>
        <v>313.58850000000001</v>
      </c>
      <c r="E228" s="197">
        <f>[2]!Table3[[#This Row],[CLM $ Collected ]]/'[2]1.) CLM Reference'!$B$4</f>
        <v>1.0776010262314603E-5</v>
      </c>
      <c r="F228" s="89">
        <f>[2]!Table3[[#This Row],[Residential Incentive Disbursements]]+[2]!Table3[[#This Row],[C&amp;I Incentive Disbursements]]</f>
        <v>0</v>
      </c>
      <c r="G228" s="198">
        <f>[2]!Table3[[#This Row],[Incentive Disbursements]]/'[2]1.) CLM Reference'!$B$5</f>
        <v>0</v>
      </c>
      <c r="H228" s="88">
        <v>313.58850000000001</v>
      </c>
      <c r="I228" s="197">
        <f>[2]!Table3[[#This Row],[Residential CLM $ Collected]]/'[2]1.) CLM Reference'!$B$4</f>
        <v>1.0776010262314603E-5</v>
      </c>
      <c r="J228" s="89">
        <v>0</v>
      </c>
      <c r="K228" s="198">
        <f>[2]!Table3[[#This Row],[Residential Incentive Disbursements]]/'[2]1.) CLM Reference'!$B$5</f>
        <v>0</v>
      </c>
      <c r="L228" s="88">
        <v>0</v>
      </c>
      <c r="M228" s="197">
        <f>[2]!Table3[[#This Row],[C&amp;I CLM $ Collected]]/'[2]1.) CLM Reference'!$B$4</f>
        <v>0</v>
      </c>
      <c r="N228" s="89">
        <v>0</v>
      </c>
      <c r="O228" s="198">
        <f>[2]!Table3[[#This Row],[C&amp;I Incentive Disbursements]]/'[2]1.) CLM Reference'!$B$5</f>
        <v>0</v>
      </c>
      <c r="P228" t="str">
        <f t="shared" si="3"/>
        <v>N/A</v>
      </c>
      <c r="Q228" t="str">
        <f>VLOOKUP(Table8[[#This Row],[Census Tract]],'UI EnergyBurden'!$A$2:$B$184,2,FALSE)</f>
        <v>No</v>
      </c>
      <c r="R228">
        <f>VLOOKUP(Table8[[#This Row],[Census Tract]],'Population and Diversity Data'!$B$2:$K$823,10,FALSE)</f>
        <v>3</v>
      </c>
    </row>
    <row r="229" spans="1:18" ht="15.75" hidden="1" customHeight="1" x14ac:dyDescent="0.2">
      <c r="A229" s="195">
        <v>9009154800</v>
      </c>
      <c r="B229" s="195" t="s">
        <v>3005</v>
      </c>
      <c r="C229" s="195" t="s">
        <v>944</v>
      </c>
      <c r="D229" s="88">
        <f>[2]!Table3[[#This Row],[Residential CLM $ Collected]]+[2]!Table3[[#This Row],[C&amp;I CLM $ Collected]]</f>
        <v>110.60680000000001</v>
      </c>
      <c r="E229" s="197">
        <f>[2]!Table3[[#This Row],[CLM $ Collected ]]/'[2]1.) CLM Reference'!$B$4</f>
        <v>3.8008409488287324E-6</v>
      </c>
      <c r="F229" s="89">
        <f>[2]!Table3[[#This Row],[Residential Incentive Disbursements]]+[2]!Table3[[#This Row],[C&amp;I Incentive Disbursements]]</f>
        <v>1365.2108051974669</v>
      </c>
      <c r="G229" s="198">
        <f>[2]!Table3[[#This Row],[Incentive Disbursements]]/'[2]1.) CLM Reference'!$B$5</f>
        <v>8.1257769342802923E-5</v>
      </c>
      <c r="H229" s="88">
        <v>110.60680000000001</v>
      </c>
      <c r="I229" s="197">
        <f>[2]!Table3[[#This Row],[Residential CLM $ Collected]]/'[2]1.) CLM Reference'!$B$4</f>
        <v>3.8008409488287324E-6</v>
      </c>
      <c r="J229" s="89">
        <v>1365.2108051974669</v>
      </c>
      <c r="K229" s="198">
        <f>[2]!Table3[[#This Row],[Residential Incentive Disbursements]]/'[2]1.) CLM Reference'!$B$5</f>
        <v>8.1257769342802923E-5</v>
      </c>
      <c r="L229" s="88">
        <v>0</v>
      </c>
      <c r="M229" s="197">
        <f>[2]!Table3[[#This Row],[C&amp;I CLM $ Collected]]/'[2]1.) CLM Reference'!$B$4</f>
        <v>0</v>
      </c>
      <c r="N229" s="89">
        <v>0</v>
      </c>
      <c r="O229" s="198">
        <f>[2]!Table3[[#This Row],[C&amp;I Incentive Disbursements]]/'[2]1.) CLM Reference'!$B$5</f>
        <v>0</v>
      </c>
      <c r="P229" t="str">
        <f t="shared" si="3"/>
        <v>N/A</v>
      </c>
      <c r="Q229" t="str">
        <f>VLOOKUP(Table8[[#This Row],[Census Tract]],'UI EnergyBurden'!$A$2:$B$184,2,FALSE)</f>
        <v>No</v>
      </c>
      <c r="R229">
        <f>VLOOKUP(Table8[[#This Row],[Census Tract]],'Population and Diversity Data'!$B$2:$K$823,10,FALSE)</f>
        <v>2</v>
      </c>
    </row>
    <row r="230" spans="1:18" ht="15.75" hidden="1" customHeight="1" x14ac:dyDescent="0.2">
      <c r="A230" s="195">
        <v>9009155000</v>
      </c>
      <c r="B230" s="195" t="s">
        <v>3005</v>
      </c>
      <c r="C230" s="195" t="s">
        <v>944</v>
      </c>
      <c r="D230" s="88">
        <f>[2]!Table3[[#This Row],[Residential CLM $ Collected]]+[2]!Table3[[#This Row],[C&amp;I CLM $ Collected]]</f>
        <v>975.27269999999999</v>
      </c>
      <c r="E230" s="197">
        <f>[2]!Table3[[#This Row],[CLM $ Collected ]]/'[2]1.) CLM Reference'!$B$4</f>
        <v>3.3513820257296651E-5</v>
      </c>
      <c r="F230" s="89">
        <f>[2]!Table3[[#This Row],[Residential Incentive Disbursements]]+[2]!Table3[[#This Row],[C&amp;I Incentive Disbursements]]</f>
        <v>0</v>
      </c>
      <c r="G230" s="198">
        <f>[2]!Table3[[#This Row],[Incentive Disbursements]]/'[2]1.) CLM Reference'!$B$5</f>
        <v>0</v>
      </c>
      <c r="H230" s="88">
        <v>7.1828000000000003</v>
      </c>
      <c r="I230" s="197">
        <f>[2]!Table3[[#This Row],[Residential CLM $ Collected]]/'[2]1.) CLM Reference'!$B$4</f>
        <v>2.468264190560347E-7</v>
      </c>
      <c r="J230" s="89">
        <v>0</v>
      </c>
      <c r="K230" s="198">
        <f>[2]!Table3[[#This Row],[Residential Incentive Disbursements]]/'[2]1.) CLM Reference'!$B$5</f>
        <v>0</v>
      </c>
      <c r="L230" s="88">
        <v>968.08989999999994</v>
      </c>
      <c r="M230" s="197">
        <f>[2]!Table3[[#This Row],[C&amp;I CLM $ Collected]]/'[2]1.) CLM Reference'!$B$4</f>
        <v>3.3266993838240616E-5</v>
      </c>
      <c r="N230" s="89">
        <v>0</v>
      </c>
      <c r="O230" s="198">
        <f>[2]!Table3[[#This Row],[C&amp;I Incentive Disbursements]]/'[2]1.) CLM Reference'!$B$5</f>
        <v>0</v>
      </c>
      <c r="P230" t="str">
        <f t="shared" si="3"/>
        <v>NO</v>
      </c>
      <c r="Q230" t="str">
        <f>VLOOKUP(Table8[[#This Row],[Census Tract]],'UI EnergyBurden'!$A$2:$B$184,2,FALSE)</f>
        <v>No</v>
      </c>
      <c r="R230">
        <f>VLOOKUP(Table8[[#This Row],[Census Tract]],'Population and Diversity Data'!$B$2:$K$823,10,FALSE)</f>
        <v>5</v>
      </c>
    </row>
    <row r="231" spans="1:18" ht="15.75" customHeight="1" x14ac:dyDescent="0.2">
      <c r="A231" s="195">
        <v>9009155100</v>
      </c>
      <c r="B231" s="195" t="s">
        <v>3005</v>
      </c>
      <c r="C231" s="195" t="s">
        <v>936</v>
      </c>
      <c r="D231" s="88">
        <f>[2]!Table3[[#This Row],[Residential CLM $ Collected]]+[2]!Table3[[#This Row],[C&amp;I CLM $ Collected]]</f>
        <v>2413.5888999999997</v>
      </c>
      <c r="E231" s="197">
        <f>[2]!Table3[[#This Row],[CLM $ Collected ]]/'[2]1.) CLM Reference'!$B$4</f>
        <v>8.293945331352589E-5</v>
      </c>
      <c r="F231" s="89">
        <f>[2]!Table3[[#This Row],[Residential Incentive Disbursements]]+[2]!Table3[[#This Row],[C&amp;I Incentive Disbursements]]</f>
        <v>5654.6337702091632</v>
      </c>
      <c r="G231" s="198">
        <f>[2]!Table3[[#This Row],[Incentive Disbursements]]/'[2]1.) CLM Reference'!$B$5</f>
        <v>3.3656555080606741E-4</v>
      </c>
      <c r="H231" s="88">
        <v>231.11080000000001</v>
      </c>
      <c r="I231" s="197">
        <f>[2]!Table3[[#This Row],[Residential CLM $ Collected]]/'[2]1.) CLM Reference'!$B$4</f>
        <v>7.941784703621906E-6</v>
      </c>
      <c r="J231" s="89">
        <v>0</v>
      </c>
      <c r="K231" s="198">
        <f>[2]!Table3[[#This Row],[Residential Incentive Disbursements]]/'[2]1.) CLM Reference'!$B$5</f>
        <v>0</v>
      </c>
      <c r="L231" s="88">
        <v>2182.4780999999998</v>
      </c>
      <c r="M231" s="197">
        <f>[2]!Table3[[#This Row],[C&amp;I CLM $ Collected]]/'[2]1.) CLM Reference'!$B$4</f>
        <v>7.4997668609903988E-5</v>
      </c>
      <c r="N231" s="89">
        <v>5654.6337702091632</v>
      </c>
      <c r="O231" s="198">
        <f>[2]!Table3[[#This Row],[C&amp;I Incentive Disbursements]]/'[2]1.) CLM Reference'!$B$5</f>
        <v>3.3656555080606741E-4</v>
      </c>
      <c r="P231" t="str">
        <f t="shared" si="3"/>
        <v>YES</v>
      </c>
      <c r="Q231" t="str">
        <f>VLOOKUP(Table8[[#This Row],[Census Tract]],'UI EnergyBurden'!$A$2:$B$184,2,FALSE)</f>
        <v>No</v>
      </c>
      <c r="R231">
        <f>VLOOKUP(Table8[[#This Row],[Census Tract]],'Population and Diversity Data'!$B$2:$K$823,10,FALSE)</f>
        <v>4</v>
      </c>
    </row>
    <row r="232" spans="1:18" ht="15.75" hidden="1" customHeight="1" x14ac:dyDescent="0.2">
      <c r="A232" s="195">
        <v>9009165100</v>
      </c>
      <c r="B232" s="195" t="s">
        <v>3005</v>
      </c>
      <c r="C232" s="195" t="s">
        <v>944</v>
      </c>
      <c r="D232" s="88">
        <f>[2]!Table3[[#This Row],[Residential CLM $ Collected]]+[2]!Table3[[#This Row],[C&amp;I CLM $ Collected]]</f>
        <v>154.1491</v>
      </c>
      <c r="E232" s="197">
        <f>[2]!Table3[[#This Row],[CLM $ Collected ]]/'[2]1.) CLM Reference'!$B$4</f>
        <v>5.2971084192390986E-6</v>
      </c>
      <c r="F232" s="89">
        <f>[2]!Table3[[#This Row],[Residential Incentive Disbursements]]+[2]!Table3[[#This Row],[C&amp;I Incentive Disbursements]]</f>
        <v>0</v>
      </c>
      <c r="G232" s="198">
        <f>[2]!Table3[[#This Row],[Incentive Disbursements]]/'[2]1.) CLM Reference'!$B$5</f>
        <v>0</v>
      </c>
      <c r="H232" s="88">
        <v>0</v>
      </c>
      <c r="I232" s="197">
        <f>[2]!Table3[[#This Row],[Residential CLM $ Collected]]/'[2]1.) CLM Reference'!$B$4</f>
        <v>0</v>
      </c>
      <c r="J232" s="89">
        <v>0</v>
      </c>
      <c r="K232" s="198">
        <f>[2]!Table3[[#This Row],[Residential Incentive Disbursements]]/'[2]1.) CLM Reference'!$B$5</f>
        <v>0</v>
      </c>
      <c r="L232" s="88">
        <v>154.1491</v>
      </c>
      <c r="M232" s="197">
        <f>[2]!Table3[[#This Row],[C&amp;I CLM $ Collected]]/'[2]1.) CLM Reference'!$B$4</f>
        <v>5.2971084192390986E-6</v>
      </c>
      <c r="N232" s="89">
        <v>0</v>
      </c>
      <c r="O232" s="198">
        <f>[2]!Table3[[#This Row],[C&amp;I Incentive Disbursements]]/'[2]1.) CLM Reference'!$B$5</f>
        <v>0</v>
      </c>
      <c r="P232" t="str">
        <f t="shared" si="3"/>
        <v>NO</v>
      </c>
      <c r="Q232" t="str">
        <f>VLOOKUP(Table8[[#This Row],[Census Tract]],'UI EnergyBurden'!$A$2:$B$184,2,FALSE)</f>
        <v>No</v>
      </c>
      <c r="R232">
        <f>VLOOKUP(Table8[[#This Row],[Census Tract]],'Population and Diversity Data'!$B$2:$K$823,10,FALSE)</f>
        <v>5</v>
      </c>
    </row>
    <row r="233" spans="1:18" ht="16" hidden="1" x14ac:dyDescent="0.2">
      <c r="A233" s="195">
        <v>9009165200</v>
      </c>
      <c r="B233" s="195" t="s">
        <v>3005</v>
      </c>
      <c r="C233" s="195" t="s">
        <v>944</v>
      </c>
      <c r="D233" s="88">
        <f>[2]!Table3[[#This Row],[Residential CLM $ Collected]]+[2]!Table3[[#This Row],[C&amp;I CLM $ Collected]]</f>
        <v>132.12629999999999</v>
      </c>
      <c r="E233" s="197">
        <f>[2]!Table3[[#This Row],[CLM $ Collected ]]/'[2]1.) CLM Reference'!$B$4</f>
        <v>4.540327099755437E-6</v>
      </c>
      <c r="F233" s="89">
        <f>[2]!Table3[[#This Row],[Residential Incentive Disbursements]]+[2]!Table3[[#This Row],[C&amp;I Incentive Disbursements]]</f>
        <v>0</v>
      </c>
      <c r="G233" s="198">
        <f>[2]!Table3[[#This Row],[Incentive Disbursements]]/'[2]1.) CLM Reference'!$B$5</f>
        <v>0</v>
      </c>
      <c r="H233" s="88">
        <v>0</v>
      </c>
      <c r="I233" s="197">
        <f>[2]!Table3[[#This Row],[Residential CLM $ Collected]]/'[2]1.) CLM Reference'!$B$4</f>
        <v>0</v>
      </c>
      <c r="J233" s="89">
        <v>0</v>
      </c>
      <c r="K233" s="198">
        <f>[2]!Table3[[#This Row],[Residential Incentive Disbursements]]/'[2]1.) CLM Reference'!$B$5</f>
        <v>0</v>
      </c>
      <c r="L233" s="88">
        <v>132.12629999999999</v>
      </c>
      <c r="M233" s="197">
        <f>[2]!Table3[[#This Row],[C&amp;I CLM $ Collected]]/'[2]1.) CLM Reference'!$B$4</f>
        <v>4.540327099755437E-6</v>
      </c>
      <c r="N233" s="89">
        <v>0</v>
      </c>
      <c r="O233" s="198">
        <f>[2]!Table3[[#This Row],[C&amp;I Incentive Disbursements]]/'[2]1.) CLM Reference'!$B$5</f>
        <v>0</v>
      </c>
      <c r="P233" t="str">
        <f t="shared" si="3"/>
        <v>N/A</v>
      </c>
      <c r="Q233" t="str">
        <f>VLOOKUP(Table8[[#This Row],[Census Tract]],'UI EnergyBurden'!$A$2:$B$184,2,FALSE)</f>
        <v>No</v>
      </c>
      <c r="R233">
        <f>VLOOKUP(Table8[[#This Row],[Census Tract]],'Population and Diversity Data'!$B$2:$K$823,10,FALSE)</f>
        <v>3</v>
      </c>
    </row>
    <row r="234" spans="1:18" ht="15.75" hidden="1" customHeight="1" x14ac:dyDescent="0.2">
      <c r="A234" s="195">
        <v>9009165700</v>
      </c>
      <c r="B234" s="195" t="s">
        <v>3000</v>
      </c>
      <c r="C234" s="195" t="s">
        <v>944</v>
      </c>
      <c r="D234" s="88">
        <f>[2]!Table3[[#This Row],[Residential CLM $ Collected]]+[2]!Table3[[#This Row],[C&amp;I CLM $ Collected]]</f>
        <v>0</v>
      </c>
      <c r="E234" s="197">
        <f>[2]!Table3[[#This Row],[CLM $ Collected ]]/'[2]1.) CLM Reference'!$B$4</f>
        <v>0</v>
      </c>
      <c r="F234" s="89">
        <f>[2]!Table3[[#This Row],[Residential Incentive Disbursements]]+[2]!Table3[[#This Row],[C&amp;I Incentive Disbursements]]</f>
        <v>1286.1544840384795</v>
      </c>
      <c r="G234" s="198">
        <f>[2]!Table3[[#This Row],[Incentive Disbursements]]/'[2]1.) CLM Reference'!$B$5</f>
        <v>7.6552312657746598E-5</v>
      </c>
      <c r="H234" s="88">
        <v>0</v>
      </c>
      <c r="I234" s="197">
        <f>[2]!Table3[[#This Row],[Residential CLM $ Collected]]/'[2]1.) CLM Reference'!$B$4</f>
        <v>0</v>
      </c>
      <c r="J234" s="89">
        <v>1286.1544840384795</v>
      </c>
      <c r="K234" s="198">
        <f>[2]!Table3[[#This Row],[Residential Incentive Disbursements]]/'[2]1.) CLM Reference'!$B$5</f>
        <v>7.6552312657746598E-5</v>
      </c>
      <c r="L234" s="88">
        <v>0</v>
      </c>
      <c r="M234" s="197">
        <f>[2]!Table3[[#This Row],[C&amp;I CLM $ Collected]]/'[2]1.) CLM Reference'!$B$4</f>
        <v>0</v>
      </c>
      <c r="N234" s="89">
        <v>0</v>
      </c>
      <c r="O234" s="198">
        <f>[2]!Table3[[#This Row],[C&amp;I Incentive Disbursements]]/'[2]1.) CLM Reference'!$B$5</f>
        <v>0</v>
      </c>
      <c r="P234" t="str">
        <f t="shared" si="3"/>
        <v>N/A</v>
      </c>
      <c r="Q234" t="str">
        <f>VLOOKUP(Table8[[#This Row],[Census Tract]],'UI EnergyBurden'!$A$2:$B$184,2,FALSE)</f>
        <v>No</v>
      </c>
      <c r="R234">
        <f>VLOOKUP(Table8[[#This Row],[Census Tract]],'Population and Diversity Data'!$B$2:$K$823,10,FALSE)</f>
        <v>4</v>
      </c>
    </row>
    <row r="235" spans="1:18" ht="16" hidden="1" x14ac:dyDescent="0.2">
      <c r="A235" s="195">
        <v>9009166002</v>
      </c>
      <c r="B235" s="195" t="s">
        <v>3005</v>
      </c>
      <c r="C235" s="195" t="s">
        <v>944</v>
      </c>
      <c r="D235" s="88">
        <f>[2]!Table3[[#This Row],[Residential CLM $ Collected]]+[2]!Table3[[#This Row],[C&amp;I CLM $ Collected]]</f>
        <v>227.32550000000001</v>
      </c>
      <c r="E235" s="197">
        <f>[2]!Table3[[#This Row],[CLM $ Collected ]]/'[2]1.) CLM Reference'!$B$4</f>
        <v>7.8117084041213202E-6</v>
      </c>
      <c r="F235" s="89">
        <f>[2]!Table3[[#This Row],[Residential Incentive Disbursements]]+[2]!Table3[[#This Row],[C&amp;I Incentive Disbursements]]</f>
        <v>0</v>
      </c>
      <c r="G235" s="198">
        <f>[2]!Table3[[#This Row],[Incentive Disbursements]]/'[2]1.) CLM Reference'!$B$5</f>
        <v>0</v>
      </c>
      <c r="H235" s="88">
        <v>227.32550000000001</v>
      </c>
      <c r="I235" s="197">
        <f>[2]!Table3[[#This Row],[Residential CLM $ Collected]]/'[2]1.) CLM Reference'!$B$4</f>
        <v>7.8117084041213202E-6</v>
      </c>
      <c r="J235" s="89">
        <v>0</v>
      </c>
      <c r="K235" s="198">
        <f>[2]!Table3[[#This Row],[Residential Incentive Disbursements]]/'[2]1.) CLM Reference'!$B$5</f>
        <v>0</v>
      </c>
      <c r="L235" s="88">
        <v>0</v>
      </c>
      <c r="M235" s="197">
        <f>[2]!Table3[[#This Row],[C&amp;I CLM $ Collected]]/'[2]1.) CLM Reference'!$B$4</f>
        <v>0</v>
      </c>
      <c r="N235" s="89">
        <v>0</v>
      </c>
      <c r="O235" s="198">
        <f>[2]!Table3[[#This Row],[C&amp;I Incentive Disbursements]]/'[2]1.) CLM Reference'!$B$5</f>
        <v>0</v>
      </c>
      <c r="P235" t="str">
        <f t="shared" si="3"/>
        <v>N/A</v>
      </c>
      <c r="Q235" t="str">
        <f>VLOOKUP(Table8[[#This Row],[Census Tract]],'UI EnergyBurden'!$A$2:$B$184,2,FALSE)</f>
        <v>No</v>
      </c>
      <c r="R235">
        <f>VLOOKUP(Table8[[#This Row],[Census Tract]],'Population and Diversity Data'!$B$2:$K$823,10,FALSE)</f>
        <v>3</v>
      </c>
    </row>
    <row r="236" spans="1:18" ht="15.75" hidden="1" customHeight="1" x14ac:dyDescent="0.2">
      <c r="A236" s="195">
        <v>9009167100</v>
      </c>
      <c r="B236" s="195" t="s">
        <v>3005</v>
      </c>
      <c r="C236" s="195" t="s">
        <v>944</v>
      </c>
      <c r="D236" s="88">
        <f>[2]!Table3[[#This Row],[Residential CLM $ Collected]]+[2]!Table3[[#This Row],[C&amp;I CLM $ Collected]]</f>
        <v>246281.63460000002</v>
      </c>
      <c r="E236" s="197">
        <f>[2]!Table3[[#This Row],[CLM $ Collected ]]/'[2]1.) CLM Reference'!$B$4</f>
        <v>8.4631082513204909E-3</v>
      </c>
      <c r="F236" s="89">
        <f>[2]!Table3[[#This Row],[Residential Incentive Disbursements]]+[2]!Table3[[#This Row],[C&amp;I Incentive Disbursements]]</f>
        <v>212398.65363790002</v>
      </c>
      <c r="G236" s="198">
        <f>[2]!Table3[[#This Row],[Incentive Disbursements]]/'[2]1.) CLM Reference'!$B$5</f>
        <v>1.2642033552857784E-2</v>
      </c>
      <c r="H236" s="88">
        <v>175927.88690000001</v>
      </c>
      <c r="I236" s="197">
        <f>[2]!Table3[[#This Row],[Residential CLM $ Collected]]/'[2]1.) CLM Reference'!$B$4</f>
        <v>6.0455045853458371E-3</v>
      </c>
      <c r="J236" s="89">
        <v>129750.10146960904</v>
      </c>
      <c r="K236" s="198">
        <f>[2]!Table3[[#This Row],[Residential Incentive Disbursements]]/'[2]1.) CLM Reference'!$B$5</f>
        <v>7.7227661671618363E-3</v>
      </c>
      <c r="L236" s="88">
        <v>70353.747700000007</v>
      </c>
      <c r="M236" s="197">
        <f>[2]!Table3[[#This Row],[C&amp;I CLM $ Collected]]/'[2]1.) CLM Reference'!$B$4</f>
        <v>2.417603665974653E-3</v>
      </c>
      <c r="N236" s="89">
        <v>82648.552168290975</v>
      </c>
      <c r="O236" s="198">
        <f>[2]!Table3[[#This Row],[C&amp;I Incentive Disbursements]]/'[2]1.) CLM Reference'!$B$5</f>
        <v>4.9192673856959471E-3</v>
      </c>
      <c r="P236" t="str">
        <f t="shared" si="3"/>
        <v>YES</v>
      </c>
      <c r="Q236" t="str">
        <f>VLOOKUP(Table8[[#This Row],[Census Tract]],'UI EnergyBurden'!$A$2:$B$184,2,FALSE)</f>
        <v>No</v>
      </c>
      <c r="R236">
        <f>VLOOKUP(Table8[[#This Row],[Census Tract]],'Population and Diversity Data'!$B$2:$K$823,10,FALSE)</f>
        <v>3</v>
      </c>
    </row>
    <row r="237" spans="1:18" ht="16" hidden="1" x14ac:dyDescent="0.2">
      <c r="A237" s="195">
        <v>9009167201</v>
      </c>
      <c r="B237" s="195" t="s">
        <v>3005</v>
      </c>
      <c r="C237" s="195" t="s">
        <v>944</v>
      </c>
      <c r="D237" s="88">
        <f>[2]!Table3[[#This Row],[Residential CLM $ Collected]]+[2]!Table3[[#This Row],[C&amp;I CLM $ Collected]]</f>
        <v>149986.28679999991</v>
      </c>
      <c r="E237" s="197">
        <f>[2]!Table3[[#This Row],[CLM $ Collected ]]/'[2]1.) CLM Reference'!$B$4</f>
        <v>5.1540594306336502E-3</v>
      </c>
      <c r="F237" s="89">
        <f>[2]!Table3[[#This Row],[Residential Incentive Disbursements]]+[2]!Table3[[#This Row],[C&amp;I Incentive Disbursements]]</f>
        <v>92062.063263929565</v>
      </c>
      <c r="G237" s="198">
        <f>[2]!Table3[[#This Row],[Incentive Disbursements]]/'[2]1.) CLM Reference'!$B$5</f>
        <v>5.4795624774159959E-3</v>
      </c>
      <c r="H237" s="88">
        <v>81742.303499999907</v>
      </c>
      <c r="I237" s="197">
        <f>[2]!Table3[[#This Row],[Residential CLM $ Collected]]/'[2]1.) CLM Reference'!$B$4</f>
        <v>2.8089547332929427E-3</v>
      </c>
      <c r="J237" s="89">
        <v>47240.508341178647</v>
      </c>
      <c r="K237" s="198">
        <f>[2]!Table3[[#This Row],[Residential Incentive Disbursements]]/'[2]1.) CLM Reference'!$B$5</f>
        <v>2.8117696664941212E-3</v>
      </c>
      <c r="L237" s="88">
        <v>68243.983300000007</v>
      </c>
      <c r="M237" s="197">
        <f>[2]!Table3[[#This Row],[C&amp;I CLM $ Collected]]/'[2]1.) CLM Reference'!$B$4</f>
        <v>2.3451046973407075E-3</v>
      </c>
      <c r="N237" s="89">
        <v>44821.554922750918</v>
      </c>
      <c r="O237" s="198">
        <f>[2]!Table3[[#This Row],[C&amp;I Incentive Disbursements]]/'[2]1.) CLM Reference'!$B$5</f>
        <v>2.6677928109218752E-3</v>
      </c>
      <c r="P237" t="str">
        <f t="shared" si="3"/>
        <v>YES</v>
      </c>
      <c r="Q237" t="str">
        <f>VLOOKUP(Table8[[#This Row],[Census Tract]],'UI EnergyBurden'!$A$2:$B$184,2,FALSE)</f>
        <v>No</v>
      </c>
      <c r="R237">
        <f>VLOOKUP(Table8[[#This Row],[Census Tract]],'Population and Diversity Data'!$B$2:$K$823,10,FALSE)</f>
        <v>2</v>
      </c>
    </row>
    <row r="238" spans="1:18" ht="15.75" hidden="1" customHeight="1" x14ac:dyDescent="0.2">
      <c r="A238" s="195">
        <v>9009167202</v>
      </c>
      <c r="B238" s="195" t="s">
        <v>3005</v>
      </c>
      <c r="C238" s="195" t="s">
        <v>944</v>
      </c>
      <c r="D238" s="88">
        <f>[2]!Table3[[#This Row],[Residential CLM $ Collected]]+[2]!Table3[[#This Row],[C&amp;I CLM $ Collected]]</f>
        <v>179562.57229999988</v>
      </c>
      <c r="E238" s="197">
        <f>[2]!Table3[[#This Row],[CLM $ Collected ]]/'[2]1.) CLM Reference'!$B$4</f>
        <v>6.1704052343514084E-3</v>
      </c>
      <c r="F238" s="89">
        <f>[2]!Table3[[#This Row],[Residential Incentive Disbursements]]+[2]!Table3[[#This Row],[C&amp;I Incentive Disbursements]]</f>
        <v>93267.901756905194</v>
      </c>
      <c r="G238" s="198">
        <f>[2]!Table3[[#This Row],[Incentive Disbursements]]/'[2]1.) CLM Reference'!$B$5</f>
        <v>5.5513343574464316E-3</v>
      </c>
      <c r="H238" s="88">
        <v>87141.806999999899</v>
      </c>
      <c r="I238" s="197">
        <f>[2]!Table3[[#This Row],[Residential CLM $ Collected]]/'[2]1.) CLM Reference'!$B$4</f>
        <v>2.9945007757256324E-3</v>
      </c>
      <c r="J238" s="89">
        <v>53267.648135735377</v>
      </c>
      <c r="K238" s="198">
        <f>[2]!Table3[[#This Row],[Residential Incentive Disbursements]]/'[2]1.) CLM Reference'!$B$5</f>
        <v>3.1705068910739403E-3</v>
      </c>
      <c r="L238" s="88">
        <v>92420.765299999999</v>
      </c>
      <c r="M238" s="197">
        <f>[2]!Table3[[#This Row],[C&amp;I CLM $ Collected]]/'[2]1.) CLM Reference'!$B$4</f>
        <v>3.1759044586257769E-3</v>
      </c>
      <c r="N238" s="89">
        <v>40000.25362116981</v>
      </c>
      <c r="O238" s="198">
        <f>[2]!Table3[[#This Row],[C&amp;I Incentive Disbursements]]/'[2]1.) CLM Reference'!$B$5</f>
        <v>2.3808274663724913E-3</v>
      </c>
      <c r="P238" t="str">
        <f t="shared" si="3"/>
        <v>NO</v>
      </c>
      <c r="Q238" t="str">
        <f>VLOOKUP(Table8[[#This Row],[Census Tract]],'UI EnergyBurden'!$A$2:$B$184,2,FALSE)</f>
        <v>No</v>
      </c>
      <c r="R238">
        <f>VLOOKUP(Table8[[#This Row],[Census Tract]],'Population and Diversity Data'!$B$2:$K$823,10,FALSE)</f>
        <v>4</v>
      </c>
    </row>
    <row r="239" spans="1:18" ht="16" hidden="1" x14ac:dyDescent="0.2">
      <c r="A239" s="195">
        <v>9009167300</v>
      </c>
      <c r="B239" s="195" t="s">
        <v>3005</v>
      </c>
      <c r="C239" s="195" t="s">
        <v>944</v>
      </c>
      <c r="D239" s="88">
        <f>[2]!Table3[[#This Row],[Residential CLM $ Collected]]+[2]!Table3[[#This Row],[C&amp;I CLM $ Collected]]</f>
        <v>198502.89509999999</v>
      </c>
      <c r="E239" s="197">
        <f>[2]!Table3[[#This Row],[CLM $ Collected ]]/'[2]1.) CLM Reference'!$B$4</f>
        <v>6.8212617321641552E-3</v>
      </c>
      <c r="F239" s="89">
        <f>[2]!Table3[[#This Row],[Residential Incentive Disbursements]]+[2]!Table3[[#This Row],[C&amp;I Incentive Disbursements]]</f>
        <v>104991.12260265101</v>
      </c>
      <c r="G239" s="198">
        <f>[2]!Table3[[#This Row],[Incentive Disbursements]]/'[2]1.) CLM Reference'!$B$5</f>
        <v>6.2491040878146047E-3</v>
      </c>
      <c r="H239" s="88">
        <v>148627.13149999999</v>
      </c>
      <c r="I239" s="197">
        <f>[2]!Table3[[#This Row],[Residential CLM $ Collected]]/'[2]1.) CLM Reference'!$B$4</f>
        <v>5.1073540461540586E-3</v>
      </c>
      <c r="J239" s="89">
        <v>95161.91708507188</v>
      </c>
      <c r="K239" s="198">
        <f>[2]!Table3[[#This Row],[Residential Incentive Disbursements]]/'[2]1.) CLM Reference'!$B$5</f>
        <v>5.6640667355392351E-3</v>
      </c>
      <c r="L239" s="88">
        <v>49875.763599999998</v>
      </c>
      <c r="M239" s="197">
        <f>[2]!Table3[[#This Row],[C&amp;I CLM $ Collected]]/'[2]1.) CLM Reference'!$B$4</f>
        <v>1.7139076860100964E-3</v>
      </c>
      <c r="N239" s="89">
        <v>9829.2055175791338</v>
      </c>
      <c r="O239" s="198">
        <f>[2]!Table3[[#This Row],[C&amp;I Incentive Disbursements]]/'[2]1.) CLM Reference'!$B$5</f>
        <v>5.8503735227536931E-4</v>
      </c>
      <c r="P239" t="str">
        <f t="shared" si="3"/>
        <v>NO</v>
      </c>
      <c r="Q239" t="str">
        <f>VLOOKUP(Table8[[#This Row],[Census Tract]],'UI EnergyBurden'!$A$2:$B$184,2,FALSE)</f>
        <v>No</v>
      </c>
      <c r="R239">
        <f>VLOOKUP(Table8[[#This Row],[Census Tract]],'Population and Diversity Data'!$B$2:$K$823,10,FALSE)</f>
        <v>2</v>
      </c>
    </row>
    <row r="240" spans="1:18" ht="16" hidden="1" x14ac:dyDescent="0.2">
      <c r="A240" s="195">
        <v>9009180100</v>
      </c>
      <c r="B240" s="195" t="s">
        <v>3005</v>
      </c>
      <c r="C240" s="195" t="s">
        <v>944</v>
      </c>
      <c r="D240" s="88">
        <f>[2]!Table3[[#This Row],[Residential CLM $ Collected]]+[2]!Table3[[#This Row],[C&amp;I CLM $ Collected]]</f>
        <v>54.371499999999997</v>
      </c>
      <c r="E240" s="197">
        <f>[2]!Table3[[#This Row],[CLM $ Collected ]]/'[2]1.) CLM Reference'!$B$4</f>
        <v>1.8683970935714748E-6</v>
      </c>
      <c r="F240" s="89">
        <f>[2]!Table3[[#This Row],[Residential Incentive Disbursements]]+[2]!Table3[[#This Row],[C&amp;I Incentive Disbursements]]</f>
        <v>0</v>
      </c>
      <c r="G240" s="198">
        <f>[2]!Table3[[#This Row],[Incentive Disbursements]]/'[2]1.) CLM Reference'!$B$5</f>
        <v>0</v>
      </c>
      <c r="H240" s="88">
        <v>54.371499999999997</v>
      </c>
      <c r="I240" s="197">
        <f>[2]!Table3[[#This Row],[Residential CLM $ Collected]]/'[2]1.) CLM Reference'!$B$4</f>
        <v>1.8683970935714748E-6</v>
      </c>
      <c r="J240" s="89">
        <v>0</v>
      </c>
      <c r="K240" s="198">
        <f>[2]!Table3[[#This Row],[Residential Incentive Disbursements]]/'[2]1.) CLM Reference'!$B$5</f>
        <v>0</v>
      </c>
      <c r="L240" s="88">
        <v>0</v>
      </c>
      <c r="M240" s="197">
        <f>[2]!Table3[[#This Row],[C&amp;I CLM $ Collected]]/'[2]1.) CLM Reference'!$B$4</f>
        <v>0</v>
      </c>
      <c r="N240" s="89">
        <v>0</v>
      </c>
      <c r="O240" s="198">
        <f>[2]!Table3[[#This Row],[C&amp;I Incentive Disbursements]]/'[2]1.) CLM Reference'!$B$5</f>
        <v>0</v>
      </c>
      <c r="P240" t="str">
        <f t="shared" si="3"/>
        <v>N/A</v>
      </c>
      <c r="Q240" t="str">
        <f>VLOOKUP(Table8[[#This Row],[Census Tract]],'UI EnergyBurden'!$A$2:$B$184,2,FALSE)</f>
        <v>No</v>
      </c>
      <c r="R240">
        <f>VLOOKUP(Table8[[#This Row],[Census Tract]],'Population and Diversity Data'!$B$2:$K$823,10,FALSE)</f>
        <v>5</v>
      </c>
    </row>
    <row r="241" spans="1:18" ht="15.75" hidden="1" customHeight="1" x14ac:dyDescent="0.2">
      <c r="A241" s="195">
        <v>9009180200</v>
      </c>
      <c r="B241" s="195" t="s">
        <v>3005</v>
      </c>
      <c r="C241" s="195" t="s">
        <v>944</v>
      </c>
      <c r="D241" s="88">
        <f>[2]!Table3[[#This Row],[Residential CLM $ Collected]]+[2]!Table3[[#This Row],[C&amp;I CLM $ Collected]]</f>
        <v>312.34399999999999</v>
      </c>
      <c r="E241" s="197">
        <f>[2]!Table3[[#This Row],[CLM $ Collected ]]/'[2]1.) CLM Reference'!$B$4</f>
        <v>1.0733244839566478E-5</v>
      </c>
      <c r="F241" s="89">
        <f>[2]!Table3[[#This Row],[Residential Incentive Disbursements]]+[2]!Table3[[#This Row],[C&amp;I Incentive Disbursements]]</f>
        <v>0</v>
      </c>
      <c r="G241" s="198">
        <f>[2]!Table3[[#This Row],[Incentive Disbursements]]/'[2]1.) CLM Reference'!$B$5</f>
        <v>0</v>
      </c>
      <c r="H241" s="88">
        <v>137.0864</v>
      </c>
      <c r="I241" s="197">
        <f>[2]!Table3[[#This Row],[Residential CLM $ Collected]]/'[2]1.) CLM Reference'!$B$4</f>
        <v>4.7107736834219514E-6</v>
      </c>
      <c r="J241" s="89">
        <v>0</v>
      </c>
      <c r="K241" s="198">
        <f>[2]!Table3[[#This Row],[Residential Incentive Disbursements]]/'[2]1.) CLM Reference'!$B$5</f>
        <v>0</v>
      </c>
      <c r="L241" s="88">
        <v>175.2576</v>
      </c>
      <c r="M241" s="197">
        <f>[2]!Table3[[#This Row],[C&amp;I CLM $ Collected]]/'[2]1.) CLM Reference'!$B$4</f>
        <v>6.0224711561445262E-6</v>
      </c>
      <c r="N241" s="89">
        <v>0</v>
      </c>
      <c r="O241" s="198">
        <f>[2]!Table3[[#This Row],[C&amp;I Incentive Disbursements]]/'[2]1.) CLM Reference'!$B$5</f>
        <v>0</v>
      </c>
      <c r="P241" t="str">
        <f t="shared" si="3"/>
        <v>NO</v>
      </c>
      <c r="Q241" t="str">
        <f>VLOOKUP(Table8[[#This Row],[Census Tract]],'UI EnergyBurden'!$A$2:$B$184,2,FALSE)</f>
        <v>No</v>
      </c>
      <c r="R241">
        <f>VLOOKUP(Table8[[#This Row],[Census Tract]],'Population and Diversity Data'!$B$2:$K$823,10,FALSE)</f>
        <v>5</v>
      </c>
    </row>
    <row r="242" spans="1:18" ht="16" hidden="1" x14ac:dyDescent="0.2">
      <c r="A242" s="195">
        <v>9009180300</v>
      </c>
      <c r="B242" s="195" t="s">
        <v>3005</v>
      </c>
      <c r="C242" s="195" t="s">
        <v>944</v>
      </c>
      <c r="D242" s="88">
        <f>[2]!Table3[[#This Row],[Residential CLM $ Collected]]+[2]!Table3[[#This Row],[C&amp;I CLM $ Collected]]</f>
        <v>186.86240000000001</v>
      </c>
      <c r="E242" s="197">
        <f>[2]!Table3[[#This Row],[CLM $ Collected ]]/'[2]1.) CLM Reference'!$B$4</f>
        <v>6.4212531391959096E-6</v>
      </c>
      <c r="F242" s="89">
        <f>[2]!Table3[[#This Row],[Residential Incentive Disbursements]]+[2]!Table3[[#This Row],[C&amp;I Incentive Disbursements]]</f>
        <v>0</v>
      </c>
      <c r="G242" s="198">
        <f>[2]!Table3[[#This Row],[Incentive Disbursements]]/'[2]1.) CLM Reference'!$B$5</f>
        <v>0</v>
      </c>
      <c r="H242" s="88">
        <v>0</v>
      </c>
      <c r="I242" s="197">
        <f>[2]!Table3[[#This Row],[Residential CLM $ Collected]]/'[2]1.) CLM Reference'!$B$4</f>
        <v>0</v>
      </c>
      <c r="J242" s="89">
        <v>0</v>
      </c>
      <c r="K242" s="198">
        <f>[2]!Table3[[#This Row],[Residential Incentive Disbursements]]/'[2]1.) CLM Reference'!$B$5</f>
        <v>0</v>
      </c>
      <c r="L242" s="88">
        <v>186.86240000000001</v>
      </c>
      <c r="M242" s="197">
        <f>[2]!Table3[[#This Row],[C&amp;I CLM $ Collected]]/'[2]1.) CLM Reference'!$B$4</f>
        <v>6.4212531391959096E-6</v>
      </c>
      <c r="N242" s="89">
        <v>0</v>
      </c>
      <c r="O242" s="198">
        <f>[2]!Table3[[#This Row],[C&amp;I Incentive Disbursements]]/'[2]1.) CLM Reference'!$B$5</f>
        <v>0</v>
      </c>
      <c r="P242" t="str">
        <f t="shared" si="3"/>
        <v>NO</v>
      </c>
      <c r="Q242" t="str">
        <f>VLOOKUP(Table8[[#This Row],[Census Tract]],'UI EnergyBurden'!$A$2:$B$184,2,FALSE)</f>
        <v>No</v>
      </c>
      <c r="R242">
        <f>VLOOKUP(Table8[[#This Row],[Census Tract]],'Population and Diversity Data'!$B$2:$K$823,10,FALSE)</f>
        <v>3</v>
      </c>
    </row>
    <row r="243" spans="1:18" ht="15.75" hidden="1" customHeight="1" x14ac:dyDescent="0.2">
      <c r="A243" s="195">
        <v>9009180601</v>
      </c>
      <c r="B243" s="195" t="s">
        <v>3005</v>
      </c>
      <c r="C243" s="195" t="s">
        <v>944</v>
      </c>
      <c r="D243" s="88">
        <f>[2]!Table3[[#This Row],[Residential CLM $ Collected]]+[2]!Table3[[#This Row],[C&amp;I CLM $ Collected]]</f>
        <v>55.563800000000001</v>
      </c>
      <c r="E243" s="197">
        <f>[2]!Table3[[#This Row],[CLM $ Collected ]]/'[2]1.) CLM Reference'!$B$4</f>
        <v>1.9093687396482848E-6</v>
      </c>
      <c r="F243" s="89">
        <f>[2]!Table3[[#This Row],[Residential Incentive Disbursements]]+[2]!Table3[[#This Row],[C&amp;I Incentive Disbursements]]</f>
        <v>0</v>
      </c>
      <c r="G243" s="198">
        <f>[2]!Table3[[#This Row],[Incentive Disbursements]]/'[2]1.) CLM Reference'!$B$5</f>
        <v>0</v>
      </c>
      <c r="H243" s="88">
        <v>55.563800000000001</v>
      </c>
      <c r="I243" s="197">
        <f>[2]!Table3[[#This Row],[Residential CLM $ Collected]]/'[2]1.) CLM Reference'!$B$4</f>
        <v>1.9093687396482848E-6</v>
      </c>
      <c r="J243" s="89">
        <v>0</v>
      </c>
      <c r="K243" s="198">
        <f>[2]!Table3[[#This Row],[Residential Incentive Disbursements]]/'[2]1.) CLM Reference'!$B$5</f>
        <v>0</v>
      </c>
      <c r="L243" s="88">
        <v>0</v>
      </c>
      <c r="M243" s="197">
        <f>[2]!Table3[[#This Row],[C&amp;I CLM $ Collected]]/'[2]1.) CLM Reference'!$B$4</f>
        <v>0</v>
      </c>
      <c r="N243" s="89">
        <v>0</v>
      </c>
      <c r="O243" s="198">
        <f>[2]!Table3[[#This Row],[C&amp;I Incentive Disbursements]]/'[2]1.) CLM Reference'!$B$5</f>
        <v>0</v>
      </c>
      <c r="P243" t="str">
        <f t="shared" si="3"/>
        <v>N/A</v>
      </c>
      <c r="Q243" t="str">
        <f>VLOOKUP(Table8[[#This Row],[Census Tract]],'UI EnergyBurden'!$A$2:$B$184,2,FALSE)</f>
        <v>No</v>
      </c>
      <c r="R243">
        <f>VLOOKUP(Table8[[#This Row],[Census Tract]],'Population and Diversity Data'!$B$2:$K$823,10,FALSE)</f>
        <v>1</v>
      </c>
    </row>
    <row r="244" spans="1:18" ht="15.75" hidden="1" customHeight="1" x14ac:dyDescent="0.2">
      <c r="A244" s="195">
        <v>9009180602</v>
      </c>
      <c r="B244" s="195" t="s">
        <v>3005</v>
      </c>
      <c r="C244" s="195" t="s">
        <v>944</v>
      </c>
      <c r="D244" s="88">
        <f>[2]!Table3[[#This Row],[Residential CLM $ Collected]]+[2]!Table3[[#This Row],[C&amp;I CLM $ Collected]]</f>
        <v>1282.3207</v>
      </c>
      <c r="E244" s="197">
        <f>[2]!Table3[[#This Row],[CLM $ Collected ]]/'[2]1.) CLM Reference'!$B$4</f>
        <v>4.4065075800861463E-5</v>
      </c>
      <c r="F244" s="89">
        <f>[2]!Table3[[#This Row],[Residential Incentive Disbursements]]+[2]!Table3[[#This Row],[C&amp;I Incentive Disbursements]]</f>
        <v>0</v>
      </c>
      <c r="G244" s="198">
        <f>[2]!Table3[[#This Row],[Incentive Disbursements]]/'[2]1.) CLM Reference'!$B$5</f>
        <v>0</v>
      </c>
      <c r="H244" s="88">
        <v>1270.8086000000001</v>
      </c>
      <c r="I244" s="197">
        <f>[2]!Table3[[#This Row],[Residential CLM $ Collected]]/'[2]1.) CLM Reference'!$B$4</f>
        <v>4.3669479317760868E-5</v>
      </c>
      <c r="J244" s="89">
        <v>0</v>
      </c>
      <c r="K244" s="198">
        <f>[2]!Table3[[#This Row],[Residential Incentive Disbursements]]/'[2]1.) CLM Reference'!$B$5</f>
        <v>0</v>
      </c>
      <c r="L244" s="88">
        <v>11.5121</v>
      </c>
      <c r="M244" s="197">
        <f>[2]!Table3[[#This Row],[C&amp;I CLM $ Collected]]/'[2]1.) CLM Reference'!$B$4</f>
        <v>3.9559648310059821E-7</v>
      </c>
      <c r="N244" s="89">
        <v>0</v>
      </c>
      <c r="O244" s="198">
        <f>[2]!Table3[[#This Row],[C&amp;I Incentive Disbursements]]/'[2]1.) CLM Reference'!$B$5</f>
        <v>0</v>
      </c>
      <c r="P244" t="str">
        <f t="shared" si="3"/>
        <v>N/A</v>
      </c>
      <c r="Q244" t="str">
        <f>VLOOKUP(Table8[[#This Row],[Census Tract]],'UI EnergyBurden'!$A$2:$B$184,2,FALSE)</f>
        <v>No</v>
      </c>
      <c r="R244">
        <f>VLOOKUP(Table8[[#This Row],[Census Tract]],'Population and Diversity Data'!$B$2:$K$823,10,FALSE)</f>
        <v>1</v>
      </c>
    </row>
    <row r="245" spans="1:18" ht="15.75" hidden="1" customHeight="1" x14ac:dyDescent="0.2">
      <c r="A245" s="195">
        <v>9009186200</v>
      </c>
      <c r="B245" s="195" t="s">
        <v>3005</v>
      </c>
      <c r="C245" s="195" t="s">
        <v>944</v>
      </c>
      <c r="D245" s="88">
        <f>[2]!Table3[[#This Row],[Residential CLM $ Collected]]+[2]!Table3[[#This Row],[C&amp;I CLM $ Collected]]</f>
        <v>75.867800000000003</v>
      </c>
      <c r="E245" s="197">
        <f>[2]!Table3[[#This Row],[CLM $ Collected ]]/'[2]1.) CLM Reference'!$B$4</f>
        <v>2.6070860104220399E-6</v>
      </c>
      <c r="F245" s="89">
        <f>[2]!Table3[[#This Row],[Residential Incentive Disbursements]]+[2]!Table3[[#This Row],[C&amp;I Incentive Disbursements]]</f>
        <v>0</v>
      </c>
      <c r="G245" s="198">
        <f>[2]!Table3[[#This Row],[Incentive Disbursements]]/'[2]1.) CLM Reference'!$B$5</f>
        <v>0</v>
      </c>
      <c r="H245" s="88">
        <v>75.867800000000003</v>
      </c>
      <c r="I245" s="197">
        <f>[2]!Table3[[#This Row],[Residential CLM $ Collected]]/'[2]1.) CLM Reference'!$B$4</f>
        <v>2.6070860104220399E-6</v>
      </c>
      <c r="J245" s="89">
        <v>0</v>
      </c>
      <c r="K245" s="198">
        <f>[2]!Table3[[#This Row],[Residential Incentive Disbursements]]/'[2]1.) CLM Reference'!$B$5</f>
        <v>0</v>
      </c>
      <c r="L245" s="88">
        <v>0</v>
      </c>
      <c r="M245" s="197">
        <f>[2]!Table3[[#This Row],[C&amp;I CLM $ Collected]]/'[2]1.) CLM Reference'!$B$4</f>
        <v>0</v>
      </c>
      <c r="N245" s="89">
        <v>0</v>
      </c>
      <c r="O245" s="198">
        <f>[2]!Table3[[#This Row],[C&amp;I Incentive Disbursements]]/'[2]1.) CLM Reference'!$B$5</f>
        <v>0</v>
      </c>
      <c r="P245" t="str">
        <f t="shared" si="3"/>
        <v>N/A</v>
      </c>
      <c r="Q245" t="str">
        <f>VLOOKUP(Table8[[#This Row],[Census Tract]],'UI EnergyBurden'!$A$2:$B$184,2,FALSE)</f>
        <v>No</v>
      </c>
      <c r="R245">
        <f>VLOOKUP(Table8[[#This Row],[Census Tract]],'Population and Diversity Data'!$B$2:$K$823,10,FALSE)</f>
        <v>1</v>
      </c>
    </row>
    <row r="246" spans="1:18" ht="16" hidden="1" x14ac:dyDescent="0.2">
      <c r="A246" s="195">
        <v>9009120100</v>
      </c>
      <c r="B246" s="195" t="s">
        <v>2993</v>
      </c>
      <c r="C246" s="195" t="s">
        <v>944</v>
      </c>
      <c r="D246" s="88">
        <f>[2]!Table3[[#This Row],[Residential CLM $ Collected]]+[2]!Table3[[#This Row],[C&amp;I CLM $ Collected]]</f>
        <v>106.81569999999999</v>
      </c>
      <c r="E246" s="197">
        <f>[2]!Table3[[#This Row],[CLM $ Collected ]]/'[2]1.) CLM Reference'!$B$4</f>
        <v>3.670565340809111E-6</v>
      </c>
      <c r="F246" s="89">
        <f>[2]!Table3[[#This Row],[Residential Incentive Disbursements]]+[2]!Table3[[#This Row],[C&amp;I Incentive Disbursements]]</f>
        <v>0</v>
      </c>
      <c r="G246" s="198">
        <f>[2]!Table3[[#This Row],[Incentive Disbursements]]/'[2]1.) CLM Reference'!$B$5</f>
        <v>0</v>
      </c>
      <c r="H246" s="88">
        <v>94.284899999999993</v>
      </c>
      <c r="I246" s="197">
        <f>[2]!Table3[[#This Row],[Residential CLM $ Collected]]/'[2]1.) CLM Reference'!$B$4</f>
        <v>3.2399627217876488E-6</v>
      </c>
      <c r="J246" s="89">
        <v>0</v>
      </c>
      <c r="K246" s="198">
        <f>[2]!Table3[[#This Row],[Residential Incentive Disbursements]]/'[2]1.) CLM Reference'!$B$5</f>
        <v>0</v>
      </c>
      <c r="L246" s="88">
        <v>12.530799999999999</v>
      </c>
      <c r="M246" s="197">
        <f>[2]!Table3[[#This Row],[C&amp;I CLM $ Collected]]/'[2]1.) CLM Reference'!$B$4</f>
        <v>4.3060261902146226E-7</v>
      </c>
      <c r="N246" s="89">
        <v>0</v>
      </c>
      <c r="O246" s="198">
        <f>[2]!Table3[[#This Row],[C&amp;I Incentive Disbursements]]/'[2]1.) CLM Reference'!$B$5</f>
        <v>0</v>
      </c>
      <c r="P246" t="str">
        <f t="shared" si="3"/>
        <v>N/A</v>
      </c>
      <c r="Q246" t="str">
        <f>VLOOKUP(Table8[[#This Row],[Census Tract]],'UI EnergyBurden'!$A$2:$B$184,2,FALSE)</f>
        <v>No</v>
      </c>
      <c r="R246">
        <f>VLOOKUP(Table8[[#This Row],[Census Tract]],'Population and Diversity Data'!$B$2:$K$823,10,FALSE)</f>
        <v>2</v>
      </c>
    </row>
    <row r="247" spans="1:18" ht="15.75" customHeight="1" x14ac:dyDescent="0.2">
      <c r="A247" s="195">
        <v>9009140800</v>
      </c>
      <c r="B247" s="195" t="s">
        <v>3001</v>
      </c>
      <c r="C247" s="195" t="s">
        <v>936</v>
      </c>
      <c r="D247" s="88">
        <f>[2]!Table3[[#This Row],[Residential CLM $ Collected]]+[2]!Table3[[#This Row],[C&amp;I CLM $ Collected]]</f>
        <v>0</v>
      </c>
      <c r="E247" s="197">
        <f>[2]!Table3[[#This Row],[CLM $ Collected ]]/'[2]1.) CLM Reference'!$B$4</f>
        <v>0</v>
      </c>
      <c r="F247" s="89">
        <f>[2]!Table3[[#This Row],[Residential Incentive Disbursements]]+[2]!Table3[[#This Row],[C&amp;I Incentive Disbursements]]</f>
        <v>588.14430265508872</v>
      </c>
      <c r="G247" s="198">
        <f>[2]!Table3[[#This Row],[Incentive Disbursements]]/'[2]1.) CLM Reference'!$B$5</f>
        <v>3.5006530788861021E-5</v>
      </c>
      <c r="H247" s="88">
        <v>0</v>
      </c>
      <c r="I247" s="197">
        <f>[2]!Table3[[#This Row],[Residential CLM $ Collected]]/'[2]1.) CLM Reference'!$B$4</f>
        <v>0</v>
      </c>
      <c r="J247" s="89">
        <v>588.14430265508872</v>
      </c>
      <c r="K247" s="198">
        <f>[2]!Table3[[#This Row],[Residential Incentive Disbursements]]/'[2]1.) CLM Reference'!$B$5</f>
        <v>3.5006530788861021E-5</v>
      </c>
      <c r="L247" s="88">
        <v>0</v>
      </c>
      <c r="M247" s="197">
        <f>[2]!Table3[[#This Row],[C&amp;I CLM $ Collected]]/'[2]1.) CLM Reference'!$B$4</f>
        <v>0</v>
      </c>
      <c r="N247" s="89">
        <v>0</v>
      </c>
      <c r="O247" s="198">
        <f>[2]!Table3[[#This Row],[C&amp;I Incentive Disbursements]]/'[2]1.) CLM Reference'!$B$5</f>
        <v>0</v>
      </c>
      <c r="P247" t="str">
        <f t="shared" si="3"/>
        <v>N/A</v>
      </c>
      <c r="Q247" t="str">
        <f>VLOOKUP(Table8[[#This Row],[Census Tract]],'UI EnergyBurden'!$A$2:$B$184,2,FALSE)</f>
        <v>No</v>
      </c>
      <c r="R247">
        <f>VLOOKUP(Table8[[#This Row],[Census Tract]],'Population and Diversity Data'!$B$2:$K$823,10,FALSE)</f>
        <v>4</v>
      </c>
    </row>
    <row r="248" spans="1:18" ht="16" hidden="1" x14ac:dyDescent="0.2">
      <c r="A248" s="195">
        <v>9009150700</v>
      </c>
      <c r="B248" s="195" t="s">
        <v>2993</v>
      </c>
      <c r="C248" s="195" t="s">
        <v>944</v>
      </c>
      <c r="D248" s="88">
        <f>[2]!Table3[[#This Row],[Residential CLM $ Collected]]+[2]!Table3[[#This Row],[C&amp;I CLM $ Collected]]</f>
        <v>728.59849999999994</v>
      </c>
      <c r="E248" s="197">
        <f>[2]!Table3[[#This Row],[CLM $ Collected ]]/'[2]1.) CLM Reference'!$B$4</f>
        <v>2.5037222070028163E-5</v>
      </c>
      <c r="F248" s="89">
        <f>[2]!Table3[[#This Row],[Residential Incentive Disbursements]]+[2]!Table3[[#This Row],[C&amp;I Incentive Disbursements]]</f>
        <v>2462.699211142939</v>
      </c>
      <c r="G248" s="198">
        <f>[2]!Table3[[#This Row],[Incentive Disbursements]]/'[2]1.) CLM Reference'!$B$5</f>
        <v>1.4658061868387485E-4</v>
      </c>
      <c r="H248" s="88">
        <v>728.59849999999994</v>
      </c>
      <c r="I248" s="197">
        <f>[2]!Table3[[#This Row],[Residential CLM $ Collected]]/'[2]1.) CLM Reference'!$B$4</f>
        <v>2.5037222070028163E-5</v>
      </c>
      <c r="J248" s="89">
        <v>2462.699211142939</v>
      </c>
      <c r="K248" s="198">
        <f>[2]!Table3[[#This Row],[Residential Incentive Disbursements]]/'[2]1.) CLM Reference'!$B$5</f>
        <v>1.4658061868387485E-4</v>
      </c>
      <c r="L248" s="88">
        <v>0</v>
      </c>
      <c r="M248" s="197">
        <f>[2]!Table3[[#This Row],[C&amp;I CLM $ Collected]]/'[2]1.) CLM Reference'!$B$4</f>
        <v>0</v>
      </c>
      <c r="N248" s="89">
        <v>0</v>
      </c>
      <c r="O248" s="198">
        <f>[2]!Table3[[#This Row],[C&amp;I Incentive Disbursements]]/'[2]1.) CLM Reference'!$B$5</f>
        <v>0</v>
      </c>
      <c r="P248" t="str">
        <f t="shared" si="3"/>
        <v>N/A</v>
      </c>
      <c r="Q248" t="str">
        <f>VLOOKUP(Table8[[#This Row],[Census Tract]],'UI EnergyBurden'!$A$2:$B$184,2,FALSE)</f>
        <v>No</v>
      </c>
      <c r="R248">
        <f>VLOOKUP(Table8[[#This Row],[Census Tract]],'Population and Diversity Data'!$B$2:$K$823,10,FALSE)</f>
        <v>3</v>
      </c>
    </row>
    <row r="249" spans="1:18" ht="15.75" hidden="1" customHeight="1" x14ac:dyDescent="0.2">
      <c r="A249" s="195">
        <v>9009151200</v>
      </c>
      <c r="B249" s="195" t="s">
        <v>2993</v>
      </c>
      <c r="C249" s="195" t="s">
        <v>944</v>
      </c>
      <c r="D249" s="88">
        <f>[2]!Table3[[#This Row],[Residential CLM $ Collected]]+[2]!Table3[[#This Row],[C&amp;I CLM $ Collected]]</f>
        <v>10.418200000000001</v>
      </c>
      <c r="E249" s="197">
        <f>[2]!Table3[[#This Row],[CLM $ Collected ]]/'[2]1.) CLM Reference'!$B$4</f>
        <v>3.5800620913983135E-7</v>
      </c>
      <c r="F249" s="89">
        <f>[2]!Table3[[#This Row],[Residential Incentive Disbursements]]+[2]!Table3[[#This Row],[C&amp;I Incentive Disbursements]]</f>
        <v>0</v>
      </c>
      <c r="G249" s="198">
        <f>[2]!Table3[[#This Row],[Incentive Disbursements]]/'[2]1.) CLM Reference'!$B$5</f>
        <v>0</v>
      </c>
      <c r="H249" s="88">
        <v>0</v>
      </c>
      <c r="I249" s="197">
        <f>[2]!Table3[[#This Row],[Residential CLM $ Collected]]/'[2]1.) CLM Reference'!$B$4</f>
        <v>0</v>
      </c>
      <c r="J249" s="89">
        <v>0</v>
      </c>
      <c r="K249" s="198">
        <f>[2]!Table3[[#This Row],[Residential Incentive Disbursements]]/'[2]1.) CLM Reference'!$B$5</f>
        <v>0</v>
      </c>
      <c r="L249" s="88">
        <v>10.418200000000001</v>
      </c>
      <c r="M249" s="197">
        <f>[2]!Table3[[#This Row],[C&amp;I CLM $ Collected]]/'[2]1.) CLM Reference'!$B$4</f>
        <v>3.5800620913983135E-7</v>
      </c>
      <c r="N249" s="89">
        <v>0</v>
      </c>
      <c r="O249" s="198">
        <f>[2]!Table3[[#This Row],[C&amp;I Incentive Disbursements]]/'[2]1.) CLM Reference'!$B$5</f>
        <v>0</v>
      </c>
      <c r="P249" t="str">
        <f t="shared" si="3"/>
        <v>N/A</v>
      </c>
      <c r="Q249" t="str">
        <f>VLOOKUP(Table8[[#This Row],[Census Tract]],'UI EnergyBurden'!$A$2:$B$184,2,FALSE)</f>
        <v>No</v>
      </c>
      <c r="R249">
        <f>VLOOKUP(Table8[[#This Row],[Census Tract]],'Population and Diversity Data'!$B$2:$K$823,10,FALSE)</f>
        <v>2</v>
      </c>
    </row>
    <row r="250" spans="1:18" ht="15.75" hidden="1" customHeight="1" x14ac:dyDescent="0.2">
      <c r="A250" s="195">
        <v>9009157100</v>
      </c>
      <c r="B250" s="195" t="s">
        <v>2993</v>
      </c>
      <c r="C250" s="195" t="s">
        <v>944</v>
      </c>
      <c r="D250" s="88">
        <f>[2]!Table3[[#This Row],[Residential CLM $ Collected]]+[2]!Table3[[#This Row],[C&amp;I CLM $ Collected]]</f>
        <v>217535.91900000011</v>
      </c>
      <c r="E250" s="197">
        <f>[2]!Table3[[#This Row],[CLM $ Collected ]]/'[2]1.) CLM Reference'!$B$4</f>
        <v>7.4753037677275777E-3</v>
      </c>
      <c r="F250" s="89">
        <f>[2]!Table3[[#This Row],[Residential Incentive Disbursements]]+[2]!Table3[[#This Row],[C&amp;I Incentive Disbursements]]</f>
        <v>97460.415597074985</v>
      </c>
      <c r="G250" s="198">
        <f>[2]!Table3[[#This Row],[Incentive Disbursements]]/'[2]1.) CLM Reference'!$B$5</f>
        <v>5.800874077828113E-3</v>
      </c>
      <c r="H250" s="88">
        <v>54371.503700000103</v>
      </c>
      <c r="I250" s="197">
        <f>[2]!Table3[[#This Row],[Residential CLM $ Collected]]/'[2]1.) CLM Reference'!$B$4</f>
        <v>1.8683972207165682E-3</v>
      </c>
      <c r="J250" s="89">
        <v>30604.377514042484</v>
      </c>
      <c r="K250" s="198">
        <f>[2]!Table3[[#This Row],[Residential Incentive Disbursements]]/'[2]1.) CLM Reference'!$B$5</f>
        <v>1.8215820146225889E-3</v>
      </c>
      <c r="L250" s="88">
        <v>163164.41529999999</v>
      </c>
      <c r="M250" s="197">
        <f>[2]!Table3[[#This Row],[C&amp;I CLM $ Collected]]/'[2]1.) CLM Reference'!$B$4</f>
        <v>5.6069065470110094E-3</v>
      </c>
      <c r="N250" s="89">
        <v>66856.038083032501</v>
      </c>
      <c r="O250" s="198">
        <f>[2]!Table3[[#This Row],[C&amp;I Incentive Disbursements]]/'[2]1.) CLM Reference'!$B$5</f>
        <v>3.9792920632055239E-3</v>
      </c>
      <c r="P250" t="str">
        <f t="shared" si="3"/>
        <v>NO</v>
      </c>
      <c r="Q250" t="str">
        <f>VLOOKUP(Table8[[#This Row],[Census Tract]],'UI EnergyBurden'!$A$2:$B$184,2,FALSE)</f>
        <v>No</v>
      </c>
      <c r="R250">
        <f>VLOOKUP(Table8[[#This Row],[Census Tract]],'Population and Diversity Data'!$B$2:$K$823,10,FALSE)</f>
        <v>5</v>
      </c>
    </row>
    <row r="251" spans="1:18" ht="15.75" hidden="1" customHeight="1" x14ac:dyDescent="0.2">
      <c r="A251" s="195">
        <v>9009157200</v>
      </c>
      <c r="B251" s="195" t="s">
        <v>2993</v>
      </c>
      <c r="C251" s="195" t="s">
        <v>944</v>
      </c>
      <c r="D251" s="88">
        <f>[2]!Table3[[#This Row],[Residential CLM $ Collected]]+[2]!Table3[[#This Row],[C&amp;I CLM $ Collected]]</f>
        <v>101114.48050000009</v>
      </c>
      <c r="E251" s="197">
        <f>[2]!Table3[[#This Row],[CLM $ Collected ]]/'[2]1.) CLM Reference'!$B$4</f>
        <v>3.4746512692162205E-3</v>
      </c>
      <c r="F251" s="89">
        <f>[2]!Table3[[#This Row],[Residential Incentive Disbursements]]+[2]!Table3[[#This Row],[C&amp;I Incentive Disbursements]]</f>
        <v>133909.80695591928</v>
      </c>
      <c r="G251" s="198">
        <f>[2]!Table3[[#This Row],[Incentive Disbursements]]/'[2]1.) CLM Reference'!$B$5</f>
        <v>7.9703531241751887E-3</v>
      </c>
      <c r="H251" s="88">
        <v>81277.952100000097</v>
      </c>
      <c r="I251" s="197">
        <f>[2]!Table3[[#This Row],[Residential CLM $ Collected]]/'[2]1.) CLM Reference'!$B$4</f>
        <v>2.7929979764229739E-3</v>
      </c>
      <c r="J251" s="89">
        <v>133909.80695591928</v>
      </c>
      <c r="K251" s="198">
        <f>[2]!Table3[[#This Row],[Residential Incentive Disbursements]]/'[2]1.) CLM Reference'!$B$5</f>
        <v>7.9703531241751887E-3</v>
      </c>
      <c r="L251" s="88">
        <v>19836.528399999999</v>
      </c>
      <c r="M251" s="197">
        <f>[2]!Table3[[#This Row],[C&amp;I CLM $ Collected]]/'[2]1.) CLM Reference'!$B$4</f>
        <v>6.8165329279324684E-4</v>
      </c>
      <c r="N251" s="89">
        <v>0</v>
      </c>
      <c r="O251" s="198">
        <f>[2]!Table3[[#This Row],[C&amp;I Incentive Disbursements]]/'[2]1.) CLM Reference'!$B$5</f>
        <v>0</v>
      </c>
      <c r="P251" t="str">
        <f t="shared" si="3"/>
        <v>NO</v>
      </c>
      <c r="Q251" t="str">
        <f>VLOOKUP(Table8[[#This Row],[Census Tract]],'UI EnergyBurden'!$A$2:$B$184,2,FALSE)</f>
        <v>No</v>
      </c>
      <c r="R251">
        <f>VLOOKUP(Table8[[#This Row],[Census Tract]],'Population and Diversity Data'!$B$2:$K$823,10,FALSE)</f>
        <v>2</v>
      </c>
    </row>
    <row r="252" spans="1:18" ht="15.75" hidden="1" customHeight="1" x14ac:dyDescent="0.2">
      <c r="A252" s="195">
        <v>9009157300</v>
      </c>
      <c r="B252" s="195" t="s">
        <v>2993</v>
      </c>
      <c r="C252" s="195" t="s">
        <v>944</v>
      </c>
      <c r="D252" s="88">
        <f>[2]!Table3[[#This Row],[Residential CLM $ Collected]]+[2]!Table3[[#This Row],[C&amp;I CLM $ Collected]]</f>
        <v>82969.595099999904</v>
      </c>
      <c r="E252" s="197">
        <f>[2]!Table3[[#This Row],[CLM $ Collected ]]/'[2]1.) CLM Reference'!$B$4</f>
        <v>2.8511288145377984E-3</v>
      </c>
      <c r="F252" s="89">
        <f>[2]!Table3[[#This Row],[Residential Incentive Disbursements]]+[2]!Table3[[#This Row],[C&amp;I Incentive Disbursements]]</f>
        <v>95582.260652458994</v>
      </c>
      <c r="G252" s="198">
        <f>[2]!Table3[[#This Row],[Incentive Disbursements]]/'[2]1.) CLM Reference'!$B$5</f>
        <v>5.6890857146693723E-3</v>
      </c>
      <c r="H252" s="88">
        <v>77580.580099999905</v>
      </c>
      <c r="I252" s="197">
        <f>[2]!Table3[[#This Row],[Residential CLM $ Collected]]/'[2]1.) CLM Reference'!$B$4</f>
        <v>2.6659431940709529E-3</v>
      </c>
      <c r="J252" s="89">
        <v>95582.260652458994</v>
      </c>
      <c r="K252" s="198">
        <f>[2]!Table3[[#This Row],[Residential Incentive Disbursements]]/'[2]1.) CLM Reference'!$B$5</f>
        <v>5.6890857146693723E-3</v>
      </c>
      <c r="L252" s="88">
        <v>5389.0150000000003</v>
      </c>
      <c r="M252" s="197">
        <f>[2]!Table3[[#This Row],[C&amp;I CLM $ Collected]]/'[2]1.) CLM Reference'!$B$4</f>
        <v>1.8518562046684537E-4</v>
      </c>
      <c r="N252" s="89">
        <v>0</v>
      </c>
      <c r="O252" s="198">
        <f>[2]!Table3[[#This Row],[C&amp;I Incentive Disbursements]]/'[2]1.) CLM Reference'!$B$5</f>
        <v>0</v>
      </c>
      <c r="P252" t="str">
        <f t="shared" si="3"/>
        <v>NO</v>
      </c>
      <c r="Q252" t="str">
        <f>VLOOKUP(Table8[[#This Row],[Census Tract]],'UI EnergyBurden'!$A$2:$B$184,2,FALSE)</f>
        <v>No</v>
      </c>
      <c r="R252">
        <f>VLOOKUP(Table8[[#This Row],[Census Tract]],'Population and Diversity Data'!$B$2:$K$823,10,FALSE)</f>
        <v>3</v>
      </c>
    </row>
    <row r="253" spans="1:18" ht="15.75" hidden="1" customHeight="1" x14ac:dyDescent="0.2">
      <c r="A253" s="195">
        <v>9009157400</v>
      </c>
      <c r="B253" s="195" t="s">
        <v>2993</v>
      </c>
      <c r="C253" s="195" t="s">
        <v>944</v>
      </c>
      <c r="D253" s="88">
        <f>[2]!Table3[[#This Row],[Residential CLM $ Collected]]+[2]!Table3[[#This Row],[C&amp;I CLM $ Collected]]</f>
        <v>107625.53199999999</v>
      </c>
      <c r="E253" s="197">
        <f>[2]!Table3[[#This Row],[CLM $ Collected ]]/'[2]1.) CLM Reference'!$B$4</f>
        <v>3.6983940333241449E-3</v>
      </c>
      <c r="F253" s="89">
        <f>[2]!Table3[[#This Row],[Residential Incentive Disbursements]]+[2]!Table3[[#This Row],[C&amp;I Incentive Disbursements]]</f>
        <v>172701.96560311175</v>
      </c>
      <c r="G253" s="198">
        <f>[2]!Table3[[#This Row],[Incentive Disbursements]]/'[2]1.) CLM Reference'!$B$5</f>
        <v>1.0279274404070162E-2</v>
      </c>
      <c r="H253" s="88">
        <v>93459.739199999996</v>
      </c>
      <c r="I253" s="197">
        <f>[2]!Table3[[#This Row],[Residential CLM $ Collected]]/'[2]1.) CLM Reference'!$B$4</f>
        <v>3.2116072774749276E-3</v>
      </c>
      <c r="J253" s="89">
        <v>135707.60368614426</v>
      </c>
      <c r="K253" s="198">
        <f>[2]!Table3[[#This Row],[Residential Incentive Disbursements]]/'[2]1.) CLM Reference'!$B$5</f>
        <v>8.0773585415610666E-3</v>
      </c>
      <c r="L253" s="88">
        <v>14165.792799999999</v>
      </c>
      <c r="M253" s="197">
        <f>[2]!Table3[[#This Row],[C&amp;I CLM $ Collected]]/'[2]1.) CLM Reference'!$B$4</f>
        <v>4.8678675584921743E-4</v>
      </c>
      <c r="N253" s="89">
        <v>36994.361916967493</v>
      </c>
      <c r="O253" s="198">
        <f>[2]!Table3[[#This Row],[C&amp;I Incentive Disbursements]]/'[2]1.) CLM Reference'!$B$5</f>
        <v>2.2019158625090954E-3</v>
      </c>
      <c r="P253" t="str">
        <f t="shared" si="3"/>
        <v>YES</v>
      </c>
      <c r="Q253" t="str">
        <f>VLOOKUP(Table8[[#This Row],[Census Tract]],'UI EnergyBurden'!$A$2:$B$184,2,FALSE)</f>
        <v>No</v>
      </c>
      <c r="R253">
        <f>VLOOKUP(Table8[[#This Row],[Census Tract]],'Population and Diversity Data'!$B$2:$K$823,10,FALSE)</f>
        <v>3</v>
      </c>
    </row>
    <row r="254" spans="1:18" ht="15.75" hidden="1" customHeight="1" x14ac:dyDescent="0.2">
      <c r="A254" s="195">
        <v>9001090500</v>
      </c>
      <c r="B254" s="195" t="s">
        <v>2990</v>
      </c>
      <c r="C254" s="195" t="s">
        <v>944</v>
      </c>
      <c r="D254" s="88">
        <f>[2]!Table3[[#This Row],[Residential CLM $ Collected]]+[2]!Table3[[#This Row],[C&amp;I CLM $ Collected]]</f>
        <v>43.634999999999998</v>
      </c>
      <c r="E254" s="197">
        <f>[2]!Table3[[#This Row],[CLM $ Collected ]]/'[2]1.) CLM Reference'!$B$4</f>
        <v>1.4994529703611506E-6</v>
      </c>
      <c r="F254" s="89">
        <f>[2]!Table3[[#This Row],[Residential Incentive Disbursements]]+[2]!Table3[[#This Row],[C&amp;I Incentive Disbursements]]</f>
        <v>0</v>
      </c>
      <c r="G254" s="198">
        <f>[2]!Table3[[#This Row],[Incentive Disbursements]]/'[2]1.) CLM Reference'!$B$5</f>
        <v>0</v>
      </c>
      <c r="H254" s="88">
        <v>0</v>
      </c>
      <c r="I254" s="197">
        <f>[2]!Table3[[#This Row],[Residential CLM $ Collected]]/'[2]1.) CLM Reference'!$B$4</f>
        <v>0</v>
      </c>
      <c r="J254" s="89">
        <v>0</v>
      </c>
      <c r="K254" s="198">
        <f>[2]!Table3[[#This Row],[Residential Incentive Disbursements]]/'[2]1.) CLM Reference'!$B$5</f>
        <v>0</v>
      </c>
      <c r="L254" s="88">
        <v>43.634999999999998</v>
      </c>
      <c r="M254" s="197">
        <f>[2]!Table3[[#This Row],[C&amp;I CLM $ Collected]]/'[2]1.) CLM Reference'!$B$4</f>
        <v>1.4994529703611506E-6</v>
      </c>
      <c r="N254" s="89">
        <v>0</v>
      </c>
      <c r="O254" s="198">
        <f>[2]!Table3[[#This Row],[C&amp;I Incentive Disbursements]]/'[2]1.) CLM Reference'!$B$5</f>
        <v>0</v>
      </c>
      <c r="P254" t="str">
        <f t="shared" si="3"/>
        <v>N/A</v>
      </c>
      <c r="Q254" t="str">
        <f>VLOOKUP(Table8[[#This Row],[Census Tract]],'UI EnergyBurden'!$A$2:$B$184,2,FALSE)</f>
        <v>No</v>
      </c>
      <c r="R254">
        <f>VLOOKUP(Table8[[#This Row],[Census Tract]],'Population and Diversity Data'!$B$2:$K$823,10,FALSE)</f>
        <v>3</v>
      </c>
    </row>
    <row r="255" spans="1:18" ht="15.75" hidden="1" customHeight="1" x14ac:dyDescent="0.2">
      <c r="A255" s="195">
        <v>9001090600</v>
      </c>
      <c r="B255" s="195" t="s">
        <v>2990</v>
      </c>
      <c r="C255" s="195" t="s">
        <v>944</v>
      </c>
      <c r="D255" s="88">
        <f>[2]!Table3[[#This Row],[Residential CLM $ Collected]]+[2]!Table3[[#This Row],[C&amp;I CLM $ Collected]]</f>
        <v>46.748899999999999</v>
      </c>
      <c r="E255" s="197">
        <f>[2]!Table3[[#This Row],[CLM $ Collected ]]/'[2]1.) CLM Reference'!$B$4</f>
        <v>1.6064575906065405E-6</v>
      </c>
      <c r="F255" s="89">
        <f>[2]!Table3[[#This Row],[Residential Incentive Disbursements]]+[2]!Table3[[#This Row],[C&amp;I Incentive Disbursements]]</f>
        <v>1047.234684684478</v>
      </c>
      <c r="G255" s="198">
        <f>[2]!Table3[[#This Row],[Incentive Disbursements]]/'[2]1.) CLM Reference'!$B$5</f>
        <v>6.2331732309696888E-5</v>
      </c>
      <c r="H255" s="88">
        <v>46.748899999999999</v>
      </c>
      <c r="I255" s="197">
        <f>[2]!Table3[[#This Row],[Residential CLM $ Collected]]/'[2]1.) CLM Reference'!$B$4</f>
        <v>1.6064575906065405E-6</v>
      </c>
      <c r="J255" s="89">
        <v>1047.234684684478</v>
      </c>
      <c r="K255" s="198">
        <f>[2]!Table3[[#This Row],[Residential Incentive Disbursements]]/'[2]1.) CLM Reference'!$B$5</f>
        <v>6.2331732309696888E-5</v>
      </c>
      <c r="L255" s="88">
        <v>0</v>
      </c>
      <c r="M255" s="197">
        <f>[2]!Table3[[#This Row],[C&amp;I CLM $ Collected]]/'[2]1.) CLM Reference'!$B$4</f>
        <v>0</v>
      </c>
      <c r="N255" s="89">
        <v>0</v>
      </c>
      <c r="O255" s="198">
        <f>[2]!Table3[[#This Row],[C&amp;I Incentive Disbursements]]/'[2]1.) CLM Reference'!$B$5</f>
        <v>0</v>
      </c>
      <c r="P255" t="str">
        <f t="shared" si="3"/>
        <v>N/A</v>
      </c>
      <c r="Q255" t="str">
        <f>VLOOKUP(Table8[[#This Row],[Census Tract]],'UI EnergyBurden'!$A$2:$B$184,2,FALSE)</f>
        <v>No</v>
      </c>
      <c r="R255">
        <f>VLOOKUP(Table8[[#This Row],[Census Tract]],'Population and Diversity Data'!$B$2:$K$823,10,FALSE)</f>
        <v>2</v>
      </c>
    </row>
    <row r="256" spans="1:18" ht="15.75" hidden="1" customHeight="1" x14ac:dyDescent="0.2">
      <c r="A256" s="195">
        <v>9001090700</v>
      </c>
      <c r="B256" s="195" t="s">
        <v>2990</v>
      </c>
      <c r="C256" s="195" t="s">
        <v>944</v>
      </c>
      <c r="D256" s="88">
        <f>[2]!Table3[[#This Row],[Residential CLM $ Collected]]+[2]!Table3[[#This Row],[C&amp;I CLM $ Collected]]</f>
        <v>415.14870000000002</v>
      </c>
      <c r="E256" s="197">
        <f>[2]!Table3[[#This Row],[CLM $ Collected ]]/'[2]1.) CLM Reference'!$B$4</f>
        <v>1.4265978030401519E-5</v>
      </c>
      <c r="F256" s="89">
        <f>[2]!Table3[[#This Row],[Residential Incentive Disbursements]]+[2]!Table3[[#This Row],[C&amp;I Incentive Disbursements]]</f>
        <v>-1820.0379764817783</v>
      </c>
      <c r="G256" s="198">
        <f>[2]!Table3[[#This Row],[Incentive Disbursements]]/'[2]1.) CLM Reference'!$B$5</f>
        <v>-1.0832922324161261E-4</v>
      </c>
      <c r="H256" s="88">
        <v>415.14870000000002</v>
      </c>
      <c r="I256" s="197">
        <f>[2]!Table3[[#This Row],[Residential CLM $ Collected]]/'[2]1.) CLM Reference'!$B$4</f>
        <v>1.4265978030401519E-5</v>
      </c>
      <c r="J256" s="89">
        <v>-1820.0379764817783</v>
      </c>
      <c r="K256" s="198">
        <f>[2]!Table3[[#This Row],[Residential Incentive Disbursements]]/'[2]1.) CLM Reference'!$B$5</f>
        <v>-1.0832922324161261E-4</v>
      </c>
      <c r="L256" s="88">
        <v>0</v>
      </c>
      <c r="M256" s="197">
        <f>[2]!Table3[[#This Row],[C&amp;I CLM $ Collected]]/'[2]1.) CLM Reference'!$B$4</f>
        <v>0</v>
      </c>
      <c r="N256" s="89">
        <v>0</v>
      </c>
      <c r="O256" s="198">
        <f>[2]!Table3[[#This Row],[C&amp;I Incentive Disbursements]]/'[2]1.) CLM Reference'!$B$5</f>
        <v>0</v>
      </c>
      <c r="P256" t="str">
        <f t="shared" si="3"/>
        <v>N/A</v>
      </c>
      <c r="Q256" t="str">
        <f>VLOOKUP(Table8[[#This Row],[Census Tract]],'UI EnergyBurden'!$A$2:$B$184,2,FALSE)</f>
        <v>No</v>
      </c>
      <c r="R256">
        <f>VLOOKUP(Table8[[#This Row],[Census Tract]],'Population and Diversity Data'!$B$2:$K$823,10,FALSE)</f>
        <v>3</v>
      </c>
    </row>
    <row r="257" spans="1:18" ht="15.75" hidden="1" customHeight="1" x14ac:dyDescent="0.2">
      <c r="A257" s="195">
        <v>9001100100</v>
      </c>
      <c r="B257" s="195" t="s">
        <v>2990</v>
      </c>
      <c r="C257" s="195" t="s">
        <v>944</v>
      </c>
      <c r="D257" s="88">
        <f>[2]!Table3[[#This Row],[Residential CLM $ Collected]]+[2]!Table3[[#This Row],[C&amp;I CLM $ Collected]]</f>
        <v>278.06810000000002</v>
      </c>
      <c r="E257" s="197">
        <f>[2]!Table3[[#This Row],[CLM $ Collected ]]/'[2]1.) CLM Reference'!$B$4</f>
        <v>9.5554036554986028E-6</v>
      </c>
      <c r="F257" s="89">
        <f>[2]!Table3[[#This Row],[Residential Incentive Disbursements]]+[2]!Table3[[#This Row],[C&amp;I Incentive Disbursements]]</f>
        <v>0</v>
      </c>
      <c r="G257" s="198">
        <f>[2]!Table3[[#This Row],[Incentive Disbursements]]/'[2]1.) CLM Reference'!$B$5</f>
        <v>0</v>
      </c>
      <c r="H257" s="88">
        <v>278.06810000000002</v>
      </c>
      <c r="I257" s="197">
        <f>[2]!Table3[[#This Row],[Residential CLM $ Collected]]/'[2]1.) CLM Reference'!$B$4</f>
        <v>9.5554036554986028E-6</v>
      </c>
      <c r="J257" s="89">
        <v>0</v>
      </c>
      <c r="K257" s="198">
        <f>[2]!Table3[[#This Row],[Residential Incentive Disbursements]]/'[2]1.) CLM Reference'!$B$5</f>
        <v>0</v>
      </c>
      <c r="L257" s="88">
        <v>0</v>
      </c>
      <c r="M257" s="197">
        <f>[2]!Table3[[#This Row],[C&amp;I CLM $ Collected]]/'[2]1.) CLM Reference'!$B$4</f>
        <v>0</v>
      </c>
      <c r="N257" s="89">
        <v>0</v>
      </c>
      <c r="O257" s="198">
        <f>[2]!Table3[[#This Row],[C&amp;I Incentive Disbursements]]/'[2]1.) CLM Reference'!$B$5</f>
        <v>0</v>
      </c>
      <c r="P257" t="str">
        <f t="shared" si="3"/>
        <v>N/A</v>
      </c>
      <c r="Q257" t="str">
        <f>VLOOKUP(Table8[[#This Row],[Census Tract]],'UI EnergyBurden'!$A$2:$B$184,2,FALSE)</f>
        <v>No</v>
      </c>
      <c r="R257">
        <f>VLOOKUP(Table8[[#This Row],[Census Tract]],'Population and Diversity Data'!$B$2:$K$823,10,FALSE)</f>
        <v>3</v>
      </c>
    </row>
    <row r="258" spans="1:18" ht="15.75" hidden="1" customHeight="1" x14ac:dyDescent="0.2">
      <c r="A258" s="195">
        <v>9001100200</v>
      </c>
      <c r="B258" s="195" t="s">
        <v>2990</v>
      </c>
      <c r="C258" s="195" t="s">
        <v>944</v>
      </c>
      <c r="D258" s="88">
        <f>[2]!Table3[[#This Row],[Residential CLM $ Collected]]+[2]!Table3[[#This Row],[C&amp;I CLM $ Collected]]</f>
        <v>569.35</v>
      </c>
      <c r="E258" s="197">
        <f>[2]!Table3[[#This Row],[CLM $ Collected ]]/'[2]1.) CLM Reference'!$B$4</f>
        <v>1.9564880226311935E-5</v>
      </c>
      <c r="F258" s="89">
        <f>[2]!Table3[[#This Row],[Residential Incentive Disbursements]]+[2]!Table3[[#This Row],[C&amp;I Incentive Disbursements]]</f>
        <v>0</v>
      </c>
      <c r="G258" s="198">
        <f>[2]!Table3[[#This Row],[Incentive Disbursements]]/'[2]1.) CLM Reference'!$B$5</f>
        <v>0</v>
      </c>
      <c r="H258" s="88">
        <v>569.35</v>
      </c>
      <c r="I258" s="197">
        <f>[2]!Table3[[#This Row],[Residential CLM $ Collected]]/'[2]1.) CLM Reference'!$B$4</f>
        <v>1.9564880226311935E-5</v>
      </c>
      <c r="J258" s="89">
        <v>0</v>
      </c>
      <c r="K258" s="198">
        <f>[2]!Table3[[#This Row],[Residential Incentive Disbursements]]/'[2]1.) CLM Reference'!$B$5</f>
        <v>0</v>
      </c>
      <c r="L258" s="88">
        <v>0</v>
      </c>
      <c r="M258" s="197">
        <f>[2]!Table3[[#This Row],[C&amp;I CLM $ Collected]]/'[2]1.) CLM Reference'!$B$4</f>
        <v>0</v>
      </c>
      <c r="N258" s="89">
        <v>0</v>
      </c>
      <c r="O258" s="198">
        <f>[2]!Table3[[#This Row],[C&amp;I Incentive Disbursements]]/'[2]1.) CLM Reference'!$B$5</f>
        <v>0</v>
      </c>
      <c r="P258" t="str">
        <f t="shared" si="3"/>
        <v>N/A</v>
      </c>
      <c r="Q258" t="str">
        <f>VLOOKUP(Table8[[#This Row],[Census Tract]],'UI EnergyBurden'!$A$2:$B$184,2,FALSE)</f>
        <v>No</v>
      </c>
      <c r="R258">
        <f>VLOOKUP(Table8[[#This Row],[Census Tract]],'Population and Diversity Data'!$B$2:$K$823,10,FALSE)</f>
        <v>4</v>
      </c>
    </row>
    <row r="259" spans="1:18" ht="15.75" hidden="1" customHeight="1" x14ac:dyDescent="0.2">
      <c r="A259" s="195">
        <v>9001110100</v>
      </c>
      <c r="B259" s="195" t="s">
        <v>2990</v>
      </c>
      <c r="C259" s="195" t="s">
        <v>944</v>
      </c>
      <c r="D259" s="88">
        <f>[2]!Table3[[#This Row],[Residential CLM $ Collected]]+[2]!Table3[[#This Row],[C&amp;I CLM $ Collected]]</f>
        <v>76802.463000000003</v>
      </c>
      <c r="E259" s="197">
        <f>[2]!Table3[[#This Row],[CLM $ Collected ]]/'[2]1.) CLM Reference'!$B$4</f>
        <v>2.6392043377197749E-3</v>
      </c>
      <c r="F259" s="89">
        <f>[2]!Table3[[#This Row],[Residential Incentive Disbursements]]+[2]!Table3[[#This Row],[C&amp;I Incentive Disbursements]]</f>
        <v>-1049.8108775504779</v>
      </c>
      <c r="G259" s="198">
        <f>[2]!Table3[[#This Row],[Incentive Disbursements]]/'[2]1.) CLM Reference'!$B$5</f>
        <v>-6.2485068105817937E-5</v>
      </c>
      <c r="H259" s="88">
        <v>47814.0262</v>
      </c>
      <c r="I259" s="197">
        <f>[2]!Table3[[#This Row],[Residential CLM $ Collected]]/'[2]1.) CLM Reference'!$B$4</f>
        <v>1.6430590950043747E-3</v>
      </c>
      <c r="J259" s="89">
        <v>-7541.1908527040123</v>
      </c>
      <c r="K259" s="198">
        <f>[2]!Table3[[#This Row],[Residential Incentive Disbursements]]/'[2]1.) CLM Reference'!$B$5</f>
        <v>-4.4885401180987875E-4</v>
      </c>
      <c r="L259" s="88">
        <v>28988.436799999999</v>
      </c>
      <c r="M259" s="197">
        <f>[2]!Table3[[#This Row],[C&amp;I CLM $ Collected]]/'[2]1.) CLM Reference'!$B$4</f>
        <v>9.9614524271540023E-4</v>
      </c>
      <c r="N259" s="89">
        <v>6491.3799751535344</v>
      </c>
      <c r="O259" s="198">
        <f>[2]!Table3[[#This Row],[C&amp;I Incentive Disbursements]]/'[2]1.) CLM Reference'!$B$5</f>
        <v>3.8636894370406086E-4</v>
      </c>
      <c r="P259" t="str">
        <f t="shared" si="3"/>
        <v>NO</v>
      </c>
      <c r="Q259" t="str">
        <f>VLOOKUP(Table8[[#This Row],[Census Tract]],'UI EnergyBurden'!$A$2:$B$184,2,FALSE)</f>
        <v>No</v>
      </c>
      <c r="R259">
        <f>VLOOKUP(Table8[[#This Row],[Census Tract]],'Population and Diversity Data'!$B$2:$K$823,10,FALSE)</f>
        <v>3</v>
      </c>
    </row>
    <row r="260" spans="1:18" ht="15.75" hidden="1" customHeight="1" x14ac:dyDescent="0.2">
      <c r="A260" s="195">
        <v>9001110201</v>
      </c>
      <c r="B260" s="195" t="s">
        <v>2990</v>
      </c>
      <c r="C260" s="195" t="s">
        <v>944</v>
      </c>
      <c r="D260" s="88">
        <f>[2]!Table3[[#This Row],[Residential CLM $ Collected]]+[2]!Table3[[#This Row],[C&amp;I CLM $ Collected]]</f>
        <v>100583.50819999989</v>
      </c>
      <c r="E260" s="197">
        <f>[2]!Table3[[#This Row],[CLM $ Collected ]]/'[2]1.) CLM Reference'!$B$4</f>
        <v>3.4564051825331731E-3</v>
      </c>
      <c r="F260" s="89">
        <f>[2]!Table3[[#This Row],[Residential Incentive Disbursements]]+[2]!Table3[[#This Row],[C&amp;I Incentive Disbursements]]</f>
        <v>81556.083729946142</v>
      </c>
      <c r="G260" s="198">
        <f>[2]!Table3[[#This Row],[Incentive Disbursements]]/'[2]1.) CLM Reference'!$B$5</f>
        <v>4.8542433263789857E-3</v>
      </c>
      <c r="H260" s="88">
        <v>91460.939399999901</v>
      </c>
      <c r="I260" s="197">
        <f>[2]!Table3[[#This Row],[Residential CLM $ Collected]]/'[2]1.) CLM Reference'!$B$4</f>
        <v>3.14292144506362E-3</v>
      </c>
      <c r="J260" s="89">
        <v>81556.083729946142</v>
      </c>
      <c r="K260" s="198">
        <f>[2]!Table3[[#This Row],[Residential Incentive Disbursements]]/'[2]1.) CLM Reference'!$B$5</f>
        <v>4.8542433263789857E-3</v>
      </c>
      <c r="L260" s="88">
        <v>9122.5687999999991</v>
      </c>
      <c r="M260" s="197">
        <f>[2]!Table3[[#This Row],[C&amp;I CLM $ Collected]]/'[2]1.) CLM Reference'!$B$4</f>
        <v>3.1348373746955329E-4</v>
      </c>
      <c r="N260" s="89">
        <v>0</v>
      </c>
      <c r="O260" s="198">
        <f>[2]!Table3[[#This Row],[C&amp;I Incentive Disbursements]]/'[2]1.) CLM Reference'!$B$5</f>
        <v>0</v>
      </c>
      <c r="P260" t="str">
        <f t="shared" si="3"/>
        <v>NO</v>
      </c>
      <c r="Q260" t="str">
        <f>VLOOKUP(Table8[[#This Row],[Census Tract]],'UI EnergyBurden'!$A$2:$B$184,2,FALSE)</f>
        <v>No</v>
      </c>
      <c r="R260">
        <f>VLOOKUP(Table8[[#This Row],[Census Tract]],'Population and Diversity Data'!$B$2:$K$823,10,FALSE)</f>
        <v>4</v>
      </c>
    </row>
    <row r="261" spans="1:18" ht="15.75" hidden="1" customHeight="1" x14ac:dyDescent="0.2">
      <c r="A261" s="195">
        <v>9001110202</v>
      </c>
      <c r="B261" s="195" t="s">
        <v>2990</v>
      </c>
      <c r="C261" s="195" t="s">
        <v>944</v>
      </c>
      <c r="D261" s="88">
        <f>[2]!Table3[[#This Row],[Residential CLM $ Collected]]+[2]!Table3[[#This Row],[C&amp;I CLM $ Collected]]</f>
        <v>150544.62339999981</v>
      </c>
      <c r="E261" s="197">
        <f>[2]!Table3[[#This Row],[CLM $ Collected ]]/'[2]1.) CLM Reference'!$B$4</f>
        <v>5.1732458514731411E-3</v>
      </c>
      <c r="F261" s="89">
        <f>[2]!Table3[[#This Row],[Residential Incentive Disbursements]]+[2]!Table3[[#This Row],[C&amp;I Incentive Disbursements]]</f>
        <v>100117.68126745708</v>
      </c>
      <c r="G261" s="198">
        <f>[2]!Table3[[#This Row],[Incentive Disbursements]]/'[2]1.) CLM Reference'!$B$5</f>
        <v>5.9590353523392868E-3</v>
      </c>
      <c r="H261" s="88">
        <v>88933.272799999802</v>
      </c>
      <c r="I261" s="197">
        <f>[2]!Table3[[#This Row],[Residential CLM $ Collected]]/'[2]1.) CLM Reference'!$B$4</f>
        <v>3.0560618783980345E-3</v>
      </c>
      <c r="J261" s="89">
        <v>94809.873280382904</v>
      </c>
      <c r="K261" s="198">
        <f>[2]!Table3[[#This Row],[Residential Incentive Disbursements]]/'[2]1.) CLM Reference'!$B$5</f>
        <v>5.6431129794078947E-3</v>
      </c>
      <c r="L261" s="88">
        <v>61611.350599999998</v>
      </c>
      <c r="M261" s="197">
        <f>[2]!Table3[[#This Row],[C&amp;I CLM $ Collected]]/'[2]1.) CLM Reference'!$B$4</f>
        <v>2.1171839730751065E-3</v>
      </c>
      <c r="N261" s="89">
        <v>5307.8079870741767</v>
      </c>
      <c r="O261" s="198">
        <f>[2]!Table3[[#This Row],[C&amp;I Incentive Disbursements]]/'[2]1.) CLM Reference'!$B$5</f>
        <v>3.1592237293139231E-4</v>
      </c>
      <c r="P261" t="str">
        <f t="shared" si="3"/>
        <v>NO</v>
      </c>
      <c r="Q261" t="str">
        <f>VLOOKUP(Table8[[#This Row],[Census Tract]],'UI EnergyBurden'!$A$2:$B$184,2,FALSE)</f>
        <v>No</v>
      </c>
      <c r="R261">
        <f>VLOOKUP(Table8[[#This Row],[Census Tract]],'Population and Diversity Data'!$B$2:$K$823,10,FALSE)</f>
        <v>2</v>
      </c>
    </row>
    <row r="262" spans="1:18" ht="15.75" hidden="1" customHeight="1" x14ac:dyDescent="0.2">
      <c r="A262" s="195">
        <v>9001110301</v>
      </c>
      <c r="B262" s="195" t="s">
        <v>2990</v>
      </c>
      <c r="C262" s="195" t="s">
        <v>944</v>
      </c>
      <c r="D262" s="88">
        <f>[2]!Table3[[#This Row],[Residential CLM $ Collected]]+[2]!Table3[[#This Row],[C&amp;I CLM $ Collected]]</f>
        <v>155648.57490000001</v>
      </c>
      <c r="E262" s="197">
        <f>[2]!Table3[[#This Row],[CLM $ Collected ]]/'[2]1.) CLM Reference'!$B$4</f>
        <v>5.3486356815924153E-3</v>
      </c>
      <c r="F262" s="89">
        <f>[2]!Table3[[#This Row],[Residential Incentive Disbursements]]+[2]!Table3[[#This Row],[C&amp;I Incentive Disbursements]]</f>
        <v>46707.867021806618</v>
      </c>
      <c r="G262" s="198">
        <f>[2]!Table3[[#This Row],[Incentive Disbursements]]/'[2]1.) CLM Reference'!$B$5</f>
        <v>2.7800666904356226E-3</v>
      </c>
      <c r="H262" s="88">
        <v>119372.9991</v>
      </c>
      <c r="I262" s="197">
        <f>[2]!Table3[[#This Row],[Residential CLM $ Collected]]/'[2]1.) CLM Reference'!$B$4</f>
        <v>4.1020785626541536E-3</v>
      </c>
      <c r="J262" s="89">
        <v>39454.631584340619</v>
      </c>
      <c r="K262" s="198">
        <f>[2]!Table3[[#This Row],[Residential Incentive Disbursements]]/'[2]1.) CLM Reference'!$B$5</f>
        <v>2.3483518739964085E-3</v>
      </c>
      <c r="L262" s="88">
        <v>36275.575799999999</v>
      </c>
      <c r="M262" s="197">
        <f>[2]!Table3[[#This Row],[C&amp;I CLM $ Collected]]/'[2]1.) CLM Reference'!$B$4</f>
        <v>1.2465571189382624E-3</v>
      </c>
      <c r="N262" s="89">
        <v>7253.2354374659963</v>
      </c>
      <c r="O262" s="198">
        <f>[2]!Table3[[#This Row],[C&amp;I Incentive Disbursements]]/'[2]1.) CLM Reference'!$B$5</f>
        <v>4.3171481643921418E-4</v>
      </c>
      <c r="P262" t="str">
        <f t="shared" ref="P262:P325" si="4">IF(ROUND(M262,5)&lt;0.00001,"N/A",IF(ROUND(M262,5)&lt;=ROUND(O262,5),"YES","NO"))</f>
        <v>NO</v>
      </c>
      <c r="Q262" t="str">
        <f>VLOOKUP(Table8[[#This Row],[Census Tract]],'UI EnergyBurden'!$A$2:$B$184,2,FALSE)</f>
        <v>No</v>
      </c>
      <c r="R262">
        <f>VLOOKUP(Table8[[#This Row],[Census Tract]],'Population and Diversity Data'!$B$2:$K$823,10,FALSE)</f>
        <v>3</v>
      </c>
    </row>
    <row r="263" spans="1:18" ht="15.75" hidden="1" customHeight="1" x14ac:dyDescent="0.2">
      <c r="A263" s="195">
        <v>9001110302</v>
      </c>
      <c r="B263" s="195" t="s">
        <v>2990</v>
      </c>
      <c r="C263" s="195" t="s">
        <v>944</v>
      </c>
      <c r="D263" s="88">
        <f>[2]!Table3[[#This Row],[Residential CLM $ Collected]]+[2]!Table3[[#This Row],[C&amp;I CLM $ Collected]]</f>
        <v>161465.7861</v>
      </c>
      <c r="E263" s="197">
        <f>[2]!Table3[[#This Row],[CLM $ Collected ]]/'[2]1.) CLM Reference'!$B$4</f>
        <v>5.5485356383486468E-3</v>
      </c>
      <c r="F263" s="89">
        <f>[2]!Table3[[#This Row],[Residential Incentive Disbursements]]+[2]!Table3[[#This Row],[C&amp;I Incentive Disbursements]]</f>
        <v>55140.827186299786</v>
      </c>
      <c r="G263" s="198">
        <f>[2]!Table3[[#This Row],[Incentive Disbursements]]/'[2]1.) CLM Reference'!$B$5</f>
        <v>3.2819990874798405E-3</v>
      </c>
      <c r="H263" s="88">
        <v>65182.709900000002</v>
      </c>
      <c r="I263" s="197">
        <f>[2]!Table3[[#This Row],[Residential CLM $ Collected]]/'[2]1.) CLM Reference'!$B$4</f>
        <v>2.2399085132518435E-3</v>
      </c>
      <c r="J263" s="89">
        <v>35606.419121783234</v>
      </c>
      <c r="K263" s="198">
        <f>[2]!Table3[[#This Row],[Residential Incentive Disbursements]]/'[2]1.) CLM Reference'!$B$5</f>
        <v>2.1193050780919779E-3</v>
      </c>
      <c r="L263" s="88">
        <v>96283.076199999996</v>
      </c>
      <c r="M263" s="197">
        <f>[2]!Table3[[#This Row],[C&amp;I CLM $ Collected]]/'[2]1.) CLM Reference'!$B$4</f>
        <v>3.3086271250968033E-3</v>
      </c>
      <c r="N263" s="89">
        <v>19534.408064516552</v>
      </c>
      <c r="O263" s="198">
        <f>[2]!Table3[[#This Row],[C&amp;I Incentive Disbursements]]/'[2]1.) CLM Reference'!$B$5</f>
        <v>1.1626940093878628E-3</v>
      </c>
      <c r="P263" t="str">
        <f t="shared" si="4"/>
        <v>NO</v>
      </c>
      <c r="Q263" t="str">
        <f>VLOOKUP(Table8[[#This Row],[Census Tract]],'UI EnergyBurden'!$A$2:$B$184,2,FALSE)</f>
        <v>No</v>
      </c>
      <c r="R263">
        <f>VLOOKUP(Table8[[#This Row],[Census Tract]],'Population and Diversity Data'!$B$2:$K$823,10,FALSE)</f>
        <v>3</v>
      </c>
    </row>
    <row r="264" spans="1:18" ht="15.75" hidden="1" customHeight="1" x14ac:dyDescent="0.2">
      <c r="A264" s="195">
        <v>9001110400</v>
      </c>
      <c r="B264" s="195" t="s">
        <v>2990</v>
      </c>
      <c r="C264" s="195" t="s">
        <v>944</v>
      </c>
      <c r="D264" s="88">
        <f>[2]!Table3[[#This Row],[Residential CLM $ Collected]]+[2]!Table3[[#This Row],[C&amp;I CLM $ Collected]]</f>
        <v>106295.3988</v>
      </c>
      <c r="E264" s="197">
        <f>[2]!Table3[[#This Row],[CLM $ Collected ]]/'[2]1.) CLM Reference'!$B$4</f>
        <v>3.6526859508739106E-3</v>
      </c>
      <c r="F264" s="89">
        <f>[2]!Table3[[#This Row],[Residential Incentive Disbursements]]+[2]!Table3[[#This Row],[C&amp;I Incentive Disbursements]]</f>
        <v>46133.91311931541</v>
      </c>
      <c r="G264" s="198">
        <f>[2]!Table3[[#This Row],[Incentive Disbursements]]/'[2]1.) CLM Reference'!$B$5</f>
        <v>2.7459047766531675E-3</v>
      </c>
      <c r="H264" s="88">
        <v>94505.718299999993</v>
      </c>
      <c r="I264" s="197">
        <f>[2]!Table3[[#This Row],[Residential CLM $ Collected]]/'[2]1.) CLM Reference'!$B$4</f>
        <v>3.2475508197788278E-3</v>
      </c>
      <c r="J264" s="89">
        <v>46133.91311931541</v>
      </c>
      <c r="K264" s="198">
        <f>[2]!Table3[[#This Row],[Residential Incentive Disbursements]]/'[2]1.) CLM Reference'!$B$5</f>
        <v>2.7459047766531675E-3</v>
      </c>
      <c r="L264" s="88">
        <v>11789.6805</v>
      </c>
      <c r="M264" s="197">
        <f>[2]!Table3[[#This Row],[C&amp;I CLM $ Collected]]/'[2]1.) CLM Reference'!$B$4</f>
        <v>4.051351310950828E-4</v>
      </c>
      <c r="N264" s="89">
        <v>0</v>
      </c>
      <c r="O264" s="198">
        <f>[2]!Table3[[#This Row],[C&amp;I Incentive Disbursements]]/'[2]1.) CLM Reference'!$B$5</f>
        <v>0</v>
      </c>
      <c r="P264" t="str">
        <f t="shared" si="4"/>
        <v>NO</v>
      </c>
      <c r="Q264" t="str">
        <f>VLOOKUP(Table8[[#This Row],[Census Tract]],'UI EnergyBurden'!$A$2:$B$184,2,FALSE)</f>
        <v>No</v>
      </c>
      <c r="R264">
        <f>VLOOKUP(Table8[[#This Row],[Census Tract]],'Population and Diversity Data'!$B$2:$K$823,10,FALSE)</f>
        <v>2</v>
      </c>
    </row>
    <row r="265" spans="1:18" ht="15.75" hidden="1" customHeight="1" x14ac:dyDescent="0.2">
      <c r="A265" s="195">
        <v>9001110500</v>
      </c>
      <c r="B265" s="195" t="s">
        <v>2990</v>
      </c>
      <c r="C265" s="195" t="s">
        <v>944</v>
      </c>
      <c r="D265" s="88">
        <f>[2]!Table3[[#This Row],[Residential CLM $ Collected]]+[2]!Table3[[#This Row],[C&amp;I CLM $ Collected]]</f>
        <v>126502.59270000001</v>
      </c>
      <c r="E265" s="197">
        <f>[2]!Table3[[#This Row],[CLM $ Collected ]]/'[2]1.) CLM Reference'!$B$4</f>
        <v>4.3470766215744664E-3</v>
      </c>
      <c r="F265" s="89">
        <f>[2]!Table3[[#This Row],[Residential Incentive Disbursements]]+[2]!Table3[[#This Row],[C&amp;I Incentive Disbursements]]</f>
        <v>63176.11823074209</v>
      </c>
      <c r="G265" s="198">
        <f>[2]!Table3[[#This Row],[Incentive Disbursements]]/'[2]1.) CLM Reference'!$B$5</f>
        <v>3.7602620955118795E-3</v>
      </c>
      <c r="H265" s="88">
        <v>117735.0469</v>
      </c>
      <c r="I265" s="197">
        <f>[2]!Table3[[#This Row],[Residential CLM $ Collected]]/'[2]1.) CLM Reference'!$B$4</f>
        <v>4.0457927303727374E-3</v>
      </c>
      <c r="J265" s="89">
        <v>62975.558699773857</v>
      </c>
      <c r="K265" s="198">
        <f>[2]!Table3[[#This Row],[Residential Incentive Disbursements]]/'[2]1.) CLM Reference'!$B$5</f>
        <v>3.7483247302017948E-3</v>
      </c>
      <c r="L265" s="88">
        <v>8767.5457999999999</v>
      </c>
      <c r="M265" s="197">
        <f>[2]!Table3[[#This Row],[C&amp;I CLM $ Collected]]/'[2]1.) CLM Reference'!$B$4</f>
        <v>3.0128389120172869E-4</v>
      </c>
      <c r="N265" s="89">
        <v>200.55953096822884</v>
      </c>
      <c r="O265" s="198">
        <f>[2]!Table3[[#This Row],[C&amp;I Incentive Disbursements]]/'[2]1.) CLM Reference'!$B$5</f>
        <v>1.1937365310084726E-5</v>
      </c>
      <c r="P265" t="str">
        <f t="shared" si="4"/>
        <v>NO</v>
      </c>
      <c r="Q265" t="str">
        <f>VLOOKUP(Table8[[#This Row],[Census Tract]],'UI EnergyBurden'!$A$2:$B$184,2,FALSE)</f>
        <v>No</v>
      </c>
      <c r="R265">
        <f>VLOOKUP(Table8[[#This Row],[Census Tract]],'Population and Diversity Data'!$B$2:$K$823,10,FALSE)</f>
        <v>1</v>
      </c>
    </row>
    <row r="266" spans="1:18" ht="15.75" hidden="1" customHeight="1" x14ac:dyDescent="0.2">
      <c r="A266" s="195">
        <v>9001110600</v>
      </c>
      <c r="B266" s="195" t="s">
        <v>2990</v>
      </c>
      <c r="C266" s="195" t="s">
        <v>944</v>
      </c>
      <c r="D266" s="88">
        <f>[2]!Table3[[#This Row],[Residential CLM $ Collected]]+[2]!Table3[[#This Row],[C&amp;I CLM $ Collected]]</f>
        <v>165474.9019</v>
      </c>
      <c r="E266" s="197">
        <f>[2]!Table3[[#This Row],[CLM $ Collected ]]/'[2]1.) CLM Reference'!$B$4</f>
        <v>5.6863030405448611E-3</v>
      </c>
      <c r="F266" s="89">
        <f>[2]!Table3[[#This Row],[Residential Incentive Disbursements]]+[2]!Table3[[#This Row],[C&amp;I Incentive Disbursements]]</f>
        <v>81095.087985214515</v>
      </c>
      <c r="G266" s="198">
        <f>[2]!Table3[[#This Row],[Incentive Disbursements]]/'[2]1.) CLM Reference'!$B$5</f>
        <v>4.8268047170808431E-3</v>
      </c>
      <c r="H266" s="88">
        <v>151887.48259999999</v>
      </c>
      <c r="I266" s="197">
        <f>[2]!Table3[[#This Row],[Residential CLM $ Collected]]/'[2]1.) CLM Reference'!$B$4</f>
        <v>5.219391244304975E-3</v>
      </c>
      <c r="J266" s="89">
        <v>58947.29898039301</v>
      </c>
      <c r="K266" s="198">
        <f>[2]!Table3[[#This Row],[Residential Incentive Disbursements]]/'[2]1.) CLM Reference'!$B$5</f>
        <v>3.5085614658881873E-3</v>
      </c>
      <c r="L266" s="88">
        <v>13587.4193</v>
      </c>
      <c r="M266" s="197">
        <f>[2]!Table3[[#This Row],[C&amp;I CLM $ Collected]]/'[2]1.) CLM Reference'!$B$4</f>
        <v>4.6691179623988601E-4</v>
      </c>
      <c r="N266" s="89">
        <v>22147.789004821512</v>
      </c>
      <c r="O266" s="198">
        <f>[2]!Table3[[#This Row],[C&amp;I Incentive Disbursements]]/'[2]1.) CLM Reference'!$B$5</f>
        <v>1.3182432511926565E-3</v>
      </c>
      <c r="P266" t="str">
        <f t="shared" si="4"/>
        <v>YES</v>
      </c>
      <c r="Q266" t="str">
        <f>VLOOKUP(Table8[[#This Row],[Census Tract]],'UI EnergyBurden'!$A$2:$B$184,2,FALSE)</f>
        <v>No</v>
      </c>
      <c r="R266">
        <f>VLOOKUP(Table8[[#This Row],[Census Tract]],'Population and Diversity Data'!$B$2:$K$823,10,FALSE)</f>
        <v>2</v>
      </c>
    </row>
    <row r="267" spans="1:18" ht="15.75" hidden="1" customHeight="1" x14ac:dyDescent="0.2">
      <c r="A267" s="195">
        <v>9009120200</v>
      </c>
      <c r="B267" s="195" t="s">
        <v>2990</v>
      </c>
      <c r="C267" s="195" t="s">
        <v>944</v>
      </c>
      <c r="D267" s="88">
        <f>[2]!Table3[[#This Row],[Residential CLM $ Collected]]+[2]!Table3[[#This Row],[C&amp;I CLM $ Collected]]</f>
        <v>4.3757000000000001</v>
      </c>
      <c r="E267" s="197">
        <f>[2]!Table3[[#This Row],[CLM $ Collected ]]/'[2]1.) CLM Reference'!$B$4</f>
        <v>1.5036453219684398E-7</v>
      </c>
      <c r="F267" s="89">
        <f>[2]!Table3[[#This Row],[Residential Incentive Disbursements]]+[2]!Table3[[#This Row],[C&amp;I Incentive Disbursements]]</f>
        <v>0</v>
      </c>
      <c r="G267" s="198">
        <f>[2]!Table3[[#This Row],[Incentive Disbursements]]/'[2]1.) CLM Reference'!$B$5</f>
        <v>0</v>
      </c>
      <c r="H267" s="88">
        <v>0</v>
      </c>
      <c r="I267" s="197">
        <f>[2]!Table3[[#This Row],[Residential CLM $ Collected]]/'[2]1.) CLM Reference'!$B$4</f>
        <v>0</v>
      </c>
      <c r="J267" s="89">
        <v>0</v>
      </c>
      <c r="K267" s="198">
        <f>[2]!Table3[[#This Row],[Residential Incentive Disbursements]]/'[2]1.) CLM Reference'!$B$5</f>
        <v>0</v>
      </c>
      <c r="L267" s="88">
        <v>4.3757000000000001</v>
      </c>
      <c r="M267" s="197">
        <f>[2]!Table3[[#This Row],[C&amp;I CLM $ Collected]]/'[2]1.) CLM Reference'!$B$4</f>
        <v>1.5036453219684398E-7</v>
      </c>
      <c r="N267" s="89">
        <v>0</v>
      </c>
      <c r="O267" s="198">
        <f>[2]!Table3[[#This Row],[C&amp;I Incentive Disbursements]]/'[2]1.) CLM Reference'!$B$5</f>
        <v>0</v>
      </c>
      <c r="P267" t="str">
        <f t="shared" si="4"/>
        <v>N/A</v>
      </c>
      <c r="Q267" t="str">
        <f>VLOOKUP(Table8[[#This Row],[Census Tract]],'UI EnergyBurden'!$A$2:$B$184,2,FALSE)</f>
        <v>Yes</v>
      </c>
      <c r="R267">
        <f>VLOOKUP(Table8[[#This Row],[Census Tract]],'Population and Diversity Data'!$B$2:$K$823,10,FALSE)</f>
        <v>4</v>
      </c>
    </row>
    <row r="268" spans="1:18" ht="15.75" customHeight="1" x14ac:dyDescent="0.2">
      <c r="A268" s="195">
        <v>9009140800</v>
      </c>
      <c r="B268" s="195" t="s">
        <v>3002</v>
      </c>
      <c r="C268" s="195" t="s">
        <v>936</v>
      </c>
      <c r="D268" s="88">
        <f>[2]!Table3[[#This Row],[Residential CLM $ Collected]]+[2]!Table3[[#This Row],[C&amp;I CLM $ Collected]]</f>
        <v>0</v>
      </c>
      <c r="E268" s="197">
        <f>[2]!Table3[[#This Row],[CLM $ Collected ]]/'[2]1.) CLM Reference'!$B$4</f>
        <v>0</v>
      </c>
      <c r="F268" s="89">
        <f>[2]!Table3[[#This Row],[Residential Incentive Disbursements]]+[2]!Table3[[#This Row],[C&amp;I Incentive Disbursements]]</f>
        <v>902.43549667221509</v>
      </c>
      <c r="G268" s="198">
        <f>[2]!Table3[[#This Row],[Incentive Disbursements]]/'[2]1.) CLM Reference'!$B$5</f>
        <v>5.3713239857299589E-5</v>
      </c>
      <c r="H268" s="88">
        <v>0</v>
      </c>
      <c r="I268" s="197">
        <f>[2]!Table3[[#This Row],[Residential CLM $ Collected]]/'[2]1.) CLM Reference'!$B$4</f>
        <v>0</v>
      </c>
      <c r="J268" s="89">
        <v>902.43549667221509</v>
      </c>
      <c r="K268" s="198">
        <f>[2]!Table3[[#This Row],[Residential Incentive Disbursements]]/'[2]1.) CLM Reference'!$B$5</f>
        <v>5.3713239857299589E-5</v>
      </c>
      <c r="L268" s="88">
        <v>0</v>
      </c>
      <c r="M268" s="197">
        <f>[2]!Table3[[#This Row],[C&amp;I CLM $ Collected]]/'[2]1.) CLM Reference'!$B$4</f>
        <v>0</v>
      </c>
      <c r="N268" s="89">
        <v>0</v>
      </c>
      <c r="O268" s="198">
        <f>[2]!Table3[[#This Row],[C&amp;I Incentive Disbursements]]/'[2]1.) CLM Reference'!$B$5</f>
        <v>0</v>
      </c>
      <c r="P268" t="str">
        <f t="shared" si="4"/>
        <v>N/A</v>
      </c>
      <c r="Q268" t="str">
        <f>VLOOKUP(Table8[[#This Row],[Census Tract]],'UI EnergyBurden'!$A$2:$B$184,2,FALSE)</f>
        <v>No</v>
      </c>
      <c r="R268">
        <f>VLOOKUP(Table8[[#This Row],[Census Tract]],'Population and Diversity Data'!$B$2:$K$823,10,FALSE)</f>
        <v>4</v>
      </c>
    </row>
    <row r="269" spans="1:18" ht="15.75" hidden="1" customHeight="1" x14ac:dyDescent="0.2">
      <c r="A269" s="195">
        <v>9009150500</v>
      </c>
      <c r="B269" s="195" t="s">
        <v>3002</v>
      </c>
      <c r="C269" s="195" t="s">
        <v>944</v>
      </c>
      <c r="D269" s="88">
        <f>[2]!Table3[[#This Row],[Residential CLM $ Collected]]+[2]!Table3[[#This Row],[C&amp;I CLM $ Collected]]</f>
        <v>0</v>
      </c>
      <c r="E269" s="197">
        <f>[2]!Table3[[#This Row],[CLM $ Collected ]]/'[2]1.) CLM Reference'!$B$4</f>
        <v>0</v>
      </c>
      <c r="F269" s="89">
        <f>[2]!Table3[[#This Row],[Residential Incentive Disbursements]]+[2]!Table3[[#This Row],[C&amp;I Incentive Disbursements]]</f>
        <v>275.06840617894613</v>
      </c>
      <c r="G269" s="198">
        <f>[2]!Table3[[#This Row],[Incentive Disbursements]]/'[2]1.) CLM Reference'!$B$5</f>
        <v>1.6372156605915724E-5</v>
      </c>
      <c r="H269" s="88">
        <v>0</v>
      </c>
      <c r="I269" s="197">
        <f>[2]!Table3[[#This Row],[Residential CLM $ Collected]]/'[2]1.) CLM Reference'!$B$4</f>
        <v>0</v>
      </c>
      <c r="J269" s="89">
        <v>275.06840617894613</v>
      </c>
      <c r="K269" s="198">
        <f>[2]!Table3[[#This Row],[Residential Incentive Disbursements]]/'[2]1.) CLM Reference'!$B$5</f>
        <v>1.6372156605915724E-5</v>
      </c>
      <c r="L269" s="88">
        <v>0</v>
      </c>
      <c r="M269" s="197">
        <f>[2]!Table3[[#This Row],[C&amp;I CLM $ Collected]]/'[2]1.) CLM Reference'!$B$4</f>
        <v>0</v>
      </c>
      <c r="N269" s="89">
        <v>0</v>
      </c>
      <c r="O269" s="198">
        <f>[2]!Table3[[#This Row],[C&amp;I Incentive Disbursements]]/'[2]1.) CLM Reference'!$B$5</f>
        <v>0</v>
      </c>
      <c r="P269" t="str">
        <f t="shared" si="4"/>
        <v>N/A</v>
      </c>
      <c r="Q269" t="str">
        <f>VLOOKUP(Table8[[#This Row],[Census Tract]],'UI EnergyBurden'!$A$2:$B$184,2,FALSE)</f>
        <v>No</v>
      </c>
      <c r="R269">
        <f>VLOOKUP(Table8[[#This Row],[Census Tract]],'Population and Diversity Data'!$B$2:$K$823,10,FALSE)</f>
        <v>2</v>
      </c>
    </row>
    <row r="270" spans="1:18" ht="15.75" customHeight="1" x14ac:dyDescent="0.2">
      <c r="A270" s="195">
        <v>9001070400</v>
      </c>
      <c r="B270" s="195" t="s">
        <v>956</v>
      </c>
      <c r="C270" s="195" t="s">
        <v>936</v>
      </c>
      <c r="D270" s="88">
        <f>[2]!Table3[[#This Row],[Residential CLM $ Collected]]+[2]!Table3[[#This Row],[C&amp;I CLM $ Collected]]</f>
        <v>50.864100000000001</v>
      </c>
      <c r="E270" s="197">
        <f>[2]!Table3[[#This Row],[CLM $ Collected ]]/'[2]1.) CLM Reference'!$B$4</f>
        <v>1.7478704212156895E-6</v>
      </c>
      <c r="F270" s="89">
        <f>[2]!Table3[[#This Row],[Residential Incentive Disbursements]]+[2]!Table3[[#This Row],[C&amp;I Incentive Disbursements]]</f>
        <v>0</v>
      </c>
      <c r="G270" s="198">
        <f>[2]!Table3[[#This Row],[Incentive Disbursements]]/'[2]1.) CLM Reference'!$B$5</f>
        <v>0</v>
      </c>
      <c r="H270" s="88">
        <v>50.864100000000001</v>
      </c>
      <c r="I270" s="197">
        <f>[2]!Table3[[#This Row],[Residential CLM $ Collected]]/'[2]1.) CLM Reference'!$B$4</f>
        <v>1.7478704212156895E-6</v>
      </c>
      <c r="J270" s="89">
        <v>0</v>
      </c>
      <c r="K270" s="198">
        <f>[2]!Table3[[#This Row],[Residential Incentive Disbursements]]/'[2]1.) CLM Reference'!$B$5</f>
        <v>0</v>
      </c>
      <c r="L270" s="88">
        <v>0</v>
      </c>
      <c r="M270" s="197">
        <f>[2]!Table3[[#This Row],[C&amp;I CLM $ Collected]]/'[2]1.) CLM Reference'!$B$4</f>
        <v>0</v>
      </c>
      <c r="N270" s="89">
        <v>0</v>
      </c>
      <c r="O270" s="198">
        <f>[2]!Table3[[#This Row],[C&amp;I Incentive Disbursements]]/'[2]1.) CLM Reference'!$B$5</f>
        <v>0</v>
      </c>
      <c r="P270" t="str">
        <f t="shared" si="4"/>
        <v>N/A</v>
      </c>
      <c r="Q270" t="str">
        <f>VLOOKUP(Table8[[#This Row],[Census Tract]],'UI EnergyBurden'!$A$2:$B$184,2,FALSE)</f>
        <v>Yes</v>
      </c>
      <c r="R270">
        <f>VLOOKUP(Table8[[#This Row],[Census Tract]],'Population and Diversity Data'!$B$2:$K$823,10,FALSE)</f>
        <v>5</v>
      </c>
    </row>
    <row r="271" spans="1:18" ht="15.75" hidden="1" customHeight="1" x14ac:dyDescent="0.2">
      <c r="A271" s="195">
        <v>9001072900</v>
      </c>
      <c r="B271" s="195" t="s">
        <v>956</v>
      </c>
      <c r="C271" s="195" t="s">
        <v>944</v>
      </c>
      <c r="D271" s="88">
        <f>[2]!Table3[[#This Row],[Residential CLM $ Collected]]+[2]!Table3[[#This Row],[C&amp;I CLM $ Collected]]</f>
        <v>18.556000000000001</v>
      </c>
      <c r="E271" s="197">
        <f>[2]!Table3[[#This Row],[CLM $ Collected ]]/'[2]1.) CLM Reference'!$B$4</f>
        <v>6.3764980676112102E-7</v>
      </c>
      <c r="F271" s="89">
        <f>[2]!Table3[[#This Row],[Residential Incentive Disbursements]]+[2]!Table3[[#This Row],[C&amp;I Incentive Disbursements]]</f>
        <v>0</v>
      </c>
      <c r="G271" s="198">
        <f>[2]!Table3[[#This Row],[Incentive Disbursements]]/'[2]1.) CLM Reference'!$B$5</f>
        <v>0</v>
      </c>
      <c r="H271" s="88">
        <v>18.556000000000001</v>
      </c>
      <c r="I271" s="197">
        <f>[2]!Table3[[#This Row],[Residential CLM $ Collected]]/'[2]1.) CLM Reference'!$B$4</f>
        <v>6.3764980676112102E-7</v>
      </c>
      <c r="J271" s="89">
        <v>0</v>
      </c>
      <c r="K271" s="198">
        <f>[2]!Table3[[#This Row],[Residential Incentive Disbursements]]/'[2]1.) CLM Reference'!$B$5</f>
        <v>0</v>
      </c>
      <c r="L271" s="88">
        <v>0</v>
      </c>
      <c r="M271" s="197">
        <f>[2]!Table3[[#This Row],[C&amp;I CLM $ Collected]]/'[2]1.) CLM Reference'!$B$4</f>
        <v>0</v>
      </c>
      <c r="N271" s="89">
        <v>0</v>
      </c>
      <c r="O271" s="198">
        <f>[2]!Table3[[#This Row],[C&amp;I Incentive Disbursements]]/'[2]1.) CLM Reference'!$B$5</f>
        <v>0</v>
      </c>
      <c r="P271" t="str">
        <f t="shared" si="4"/>
        <v>N/A</v>
      </c>
      <c r="Q271" t="str">
        <f>VLOOKUP(Table8[[#This Row],[Census Tract]],'UI EnergyBurden'!$A$2:$B$184,2,FALSE)</f>
        <v>No</v>
      </c>
      <c r="R271">
        <f>VLOOKUP(Table8[[#This Row],[Census Tract]],'Population and Diversity Data'!$B$2:$K$823,10,FALSE)</f>
        <v>4</v>
      </c>
    </row>
    <row r="272" spans="1:18" ht="15.75" hidden="1" customHeight="1" x14ac:dyDescent="0.2">
      <c r="A272" s="195">
        <v>9001073200</v>
      </c>
      <c r="B272" s="195" t="s">
        <v>956</v>
      </c>
      <c r="C272" s="195" t="s">
        <v>944</v>
      </c>
      <c r="D272" s="88">
        <f>[2]!Table3[[#This Row],[Residential CLM $ Collected]]+[2]!Table3[[#This Row],[C&amp;I CLM $ Collected]]</f>
        <v>37.274000000000001</v>
      </c>
      <c r="E272" s="197">
        <f>[2]!Table3[[#This Row],[CLM $ Collected ]]/'[2]1.) CLM Reference'!$B$4</f>
        <v>1.2808665066401176E-6</v>
      </c>
      <c r="F272" s="89">
        <f>[2]!Table3[[#This Row],[Residential Incentive Disbursements]]+[2]!Table3[[#This Row],[C&amp;I Incentive Disbursements]]</f>
        <v>0</v>
      </c>
      <c r="G272" s="198">
        <f>[2]!Table3[[#This Row],[Incentive Disbursements]]/'[2]1.) CLM Reference'!$B$5</f>
        <v>0</v>
      </c>
      <c r="H272" s="88">
        <v>37.274000000000001</v>
      </c>
      <c r="I272" s="197">
        <f>[2]!Table3[[#This Row],[Residential CLM $ Collected]]/'[2]1.) CLM Reference'!$B$4</f>
        <v>1.2808665066401176E-6</v>
      </c>
      <c r="J272" s="89">
        <v>0</v>
      </c>
      <c r="K272" s="198">
        <f>[2]!Table3[[#This Row],[Residential Incentive Disbursements]]/'[2]1.) CLM Reference'!$B$5</f>
        <v>0</v>
      </c>
      <c r="L272" s="88">
        <v>0</v>
      </c>
      <c r="M272" s="197">
        <f>[2]!Table3[[#This Row],[C&amp;I CLM $ Collected]]/'[2]1.) CLM Reference'!$B$4</f>
        <v>0</v>
      </c>
      <c r="N272" s="89">
        <v>0</v>
      </c>
      <c r="O272" s="198">
        <f>[2]!Table3[[#This Row],[C&amp;I Incentive Disbursements]]/'[2]1.) CLM Reference'!$B$5</f>
        <v>0</v>
      </c>
      <c r="P272" t="str">
        <f t="shared" si="4"/>
        <v>N/A</v>
      </c>
      <c r="Q272" t="str">
        <f>VLOOKUP(Table8[[#This Row],[Census Tract]],'UI EnergyBurden'!$A$2:$B$184,2,FALSE)</f>
        <v>No</v>
      </c>
      <c r="R272">
        <f>VLOOKUP(Table8[[#This Row],[Census Tract]],'Population and Diversity Data'!$B$2:$K$823,10,FALSE)</f>
        <v>5</v>
      </c>
    </row>
    <row r="273" spans="1:18" ht="15.75" customHeight="1" x14ac:dyDescent="0.2">
      <c r="A273" s="195">
        <v>9001073700</v>
      </c>
      <c r="B273" s="195" t="s">
        <v>956</v>
      </c>
      <c r="C273" s="195" t="s">
        <v>936</v>
      </c>
      <c r="D273" s="88">
        <f>[2]!Table3[[#This Row],[Residential CLM $ Collected]]+[2]!Table3[[#This Row],[C&amp;I CLM $ Collected]]</f>
        <v>0.98970000000000002</v>
      </c>
      <c r="E273" s="197">
        <f>[2]!Table3[[#This Row],[CLM $ Collected ]]/'[2]1.) CLM Reference'!$B$4</f>
        <v>3.4009593325688805E-8</v>
      </c>
      <c r="F273" s="89">
        <f>[2]!Table3[[#This Row],[Residential Incentive Disbursements]]+[2]!Table3[[#This Row],[C&amp;I Incentive Disbursements]]</f>
        <v>0</v>
      </c>
      <c r="G273" s="198">
        <f>[2]!Table3[[#This Row],[Incentive Disbursements]]/'[2]1.) CLM Reference'!$B$5</f>
        <v>0</v>
      </c>
      <c r="H273" s="88">
        <v>0</v>
      </c>
      <c r="I273" s="197">
        <f>[2]!Table3[[#This Row],[Residential CLM $ Collected]]/'[2]1.) CLM Reference'!$B$4</f>
        <v>0</v>
      </c>
      <c r="J273" s="89">
        <v>0</v>
      </c>
      <c r="K273" s="198">
        <f>[2]!Table3[[#This Row],[Residential Incentive Disbursements]]/'[2]1.) CLM Reference'!$B$5</f>
        <v>0</v>
      </c>
      <c r="L273" s="88">
        <v>0.98970000000000002</v>
      </c>
      <c r="M273" s="197">
        <f>[2]!Table3[[#This Row],[C&amp;I CLM $ Collected]]/'[2]1.) CLM Reference'!$B$4</f>
        <v>3.4009593325688805E-8</v>
      </c>
      <c r="N273" s="89">
        <v>0</v>
      </c>
      <c r="O273" s="198">
        <f>[2]!Table3[[#This Row],[C&amp;I Incentive Disbursements]]/'[2]1.) CLM Reference'!$B$5</f>
        <v>0</v>
      </c>
      <c r="P273" t="str">
        <f t="shared" si="4"/>
        <v>N/A</v>
      </c>
      <c r="Q273" t="str">
        <f>VLOOKUP(Table8[[#This Row],[Census Tract]],'UI EnergyBurden'!$A$2:$B$184,2,FALSE)</f>
        <v>Yes</v>
      </c>
      <c r="R273">
        <f>VLOOKUP(Table8[[#This Row],[Census Tract]],'Population and Diversity Data'!$B$2:$K$823,10,FALSE)</f>
        <v>5</v>
      </c>
    </row>
    <row r="274" spans="1:18" ht="15.75" customHeight="1" x14ac:dyDescent="0.2">
      <c r="A274" s="195">
        <v>9001074300</v>
      </c>
      <c r="B274" s="195" t="s">
        <v>956</v>
      </c>
      <c r="C274" s="195" t="s">
        <v>936</v>
      </c>
      <c r="D274" s="88">
        <f>[2]!Table3[[#This Row],[Residential CLM $ Collected]]+[2]!Table3[[#This Row],[C&amp;I CLM $ Collected]]</f>
        <v>78.454899999999995</v>
      </c>
      <c r="E274" s="197">
        <f>[2]!Table3[[#This Row],[CLM $ Collected ]]/'[2]1.) CLM Reference'!$B$4</f>
        <v>2.6959879189730042E-6</v>
      </c>
      <c r="F274" s="89">
        <f>[2]!Table3[[#This Row],[Residential Incentive Disbursements]]+[2]!Table3[[#This Row],[C&amp;I Incentive Disbursements]]</f>
        <v>0</v>
      </c>
      <c r="G274" s="198">
        <f>[2]!Table3[[#This Row],[Incentive Disbursements]]/'[2]1.) CLM Reference'!$B$5</f>
        <v>0</v>
      </c>
      <c r="H274" s="88">
        <v>69.194299999999998</v>
      </c>
      <c r="I274" s="197">
        <f>[2]!Table3[[#This Row],[Residential CLM $ Collected]]/'[2]1.) CLM Reference'!$B$4</f>
        <v>2.3777609411495492E-6</v>
      </c>
      <c r="J274" s="89">
        <v>0</v>
      </c>
      <c r="K274" s="198">
        <f>[2]!Table3[[#This Row],[Residential Incentive Disbursements]]/'[2]1.) CLM Reference'!$B$5</f>
        <v>0</v>
      </c>
      <c r="L274" s="88">
        <v>9.2606000000000002</v>
      </c>
      <c r="M274" s="197">
        <f>[2]!Table3[[#This Row],[C&amp;I CLM $ Collected]]/'[2]1.) CLM Reference'!$B$4</f>
        <v>3.1822697782345531E-7</v>
      </c>
      <c r="N274" s="89">
        <v>0</v>
      </c>
      <c r="O274" s="198">
        <f>[2]!Table3[[#This Row],[C&amp;I Incentive Disbursements]]/'[2]1.) CLM Reference'!$B$5</f>
        <v>0</v>
      </c>
      <c r="P274" t="str">
        <f t="shared" si="4"/>
        <v>N/A</v>
      </c>
      <c r="Q274" t="str">
        <f>VLOOKUP(Table8[[#This Row],[Census Tract]],'UI EnergyBurden'!$A$2:$B$184,2,FALSE)</f>
        <v>Yes</v>
      </c>
      <c r="R274">
        <f>VLOOKUP(Table8[[#This Row],[Census Tract]],'Population and Diversity Data'!$B$2:$K$823,10,FALSE)</f>
        <v>5</v>
      </c>
    </row>
    <row r="275" spans="1:18" ht="15.75" hidden="1" customHeight="1" x14ac:dyDescent="0.2">
      <c r="A275" s="195">
        <v>9001080100</v>
      </c>
      <c r="B275" s="195" t="s">
        <v>956</v>
      </c>
      <c r="C275" s="195" t="s">
        <v>944</v>
      </c>
      <c r="D275" s="88">
        <f>[2]!Table3[[#This Row],[Residential CLM $ Collected]]+[2]!Table3[[#This Row],[C&amp;I CLM $ Collected]]</f>
        <v>77396.962000000101</v>
      </c>
      <c r="E275" s="197">
        <f>[2]!Table3[[#This Row],[CLM $ Collected ]]/'[2]1.) CLM Reference'!$B$4</f>
        <v>2.6596334265573339E-3</v>
      </c>
      <c r="F275" s="89">
        <f>[2]!Table3[[#This Row],[Residential Incentive Disbursements]]+[2]!Table3[[#This Row],[C&amp;I Incentive Disbursements]]</f>
        <v>40297.799787740019</v>
      </c>
      <c r="G275" s="198">
        <f>[2]!Table3[[#This Row],[Incentive Disbursements]]/'[2]1.) CLM Reference'!$B$5</f>
        <v>2.3985375062285704E-3</v>
      </c>
      <c r="H275" s="88">
        <v>59251.9010000001</v>
      </c>
      <c r="I275" s="197">
        <f>[2]!Table3[[#This Row],[Residential CLM $ Collected]]/'[2]1.) CLM Reference'!$B$4</f>
        <v>2.0361049376416865E-3</v>
      </c>
      <c r="J275" s="89">
        <v>37022.553489558923</v>
      </c>
      <c r="K275" s="198">
        <f>[2]!Table3[[#This Row],[Residential Incentive Disbursements]]/'[2]1.) CLM Reference'!$B$5</f>
        <v>2.2035938336285184E-3</v>
      </c>
      <c r="L275" s="88">
        <v>18145.061000000002</v>
      </c>
      <c r="M275" s="197">
        <f>[2]!Table3[[#This Row],[C&amp;I CLM $ Collected]]/'[2]1.) CLM Reference'!$B$4</f>
        <v>6.2352848891564737E-4</v>
      </c>
      <c r="N275" s="89">
        <v>3275.2462981811</v>
      </c>
      <c r="O275" s="198">
        <f>[2]!Table3[[#This Row],[C&amp;I Incentive Disbursements]]/'[2]1.) CLM Reference'!$B$5</f>
        <v>1.9494367260005242E-4</v>
      </c>
      <c r="P275" t="str">
        <f t="shared" si="4"/>
        <v>NO</v>
      </c>
      <c r="Q275" t="str">
        <f>VLOOKUP(Table8[[#This Row],[Census Tract]],'UI EnergyBurden'!$A$2:$B$184,2,FALSE)</f>
        <v>No</v>
      </c>
      <c r="R275">
        <f>VLOOKUP(Table8[[#This Row],[Census Tract]],'Population and Diversity Data'!$B$2:$K$823,10,FALSE)</f>
        <v>5</v>
      </c>
    </row>
    <row r="276" spans="1:18" ht="15.75" hidden="1" customHeight="1" x14ac:dyDescent="0.2">
      <c r="A276" s="195">
        <v>9001080200</v>
      </c>
      <c r="B276" s="195" t="s">
        <v>956</v>
      </c>
      <c r="C276" s="195" t="s">
        <v>944</v>
      </c>
      <c r="D276" s="88">
        <f>[2]!Table3[[#This Row],[Residential CLM $ Collected]]+[2]!Table3[[#This Row],[C&amp;I CLM $ Collected]]</f>
        <v>85393.182599999898</v>
      </c>
      <c r="E276" s="197">
        <f>[2]!Table3[[#This Row],[CLM $ Collected ]]/'[2]1.) CLM Reference'!$B$4</f>
        <v>2.9344118551200178E-3</v>
      </c>
      <c r="F276" s="89">
        <f>[2]!Table3[[#This Row],[Residential Incentive Disbursements]]+[2]!Table3[[#This Row],[C&amp;I Incentive Disbursements]]</f>
        <v>54809.384113239568</v>
      </c>
      <c r="G276" s="198">
        <f>[2]!Table3[[#This Row],[Incentive Disbursements]]/'[2]1.) CLM Reference'!$B$5</f>
        <v>3.2622714932662119E-3</v>
      </c>
      <c r="H276" s="88">
        <v>57737.786099999903</v>
      </c>
      <c r="I276" s="197">
        <f>[2]!Table3[[#This Row],[Residential CLM $ Collected]]/'[2]1.) CLM Reference'!$B$4</f>
        <v>1.9840745930954878E-3</v>
      </c>
      <c r="J276" s="89">
        <v>53122.323284176477</v>
      </c>
      <c r="K276" s="198">
        <f>[2]!Table3[[#This Row],[Residential Incentive Disbursements]]/'[2]1.) CLM Reference'!$B$5</f>
        <v>3.1618571109646755E-3</v>
      </c>
      <c r="L276" s="88">
        <v>27655.396499999999</v>
      </c>
      <c r="M276" s="197">
        <f>[2]!Table3[[#This Row],[C&amp;I CLM $ Collected]]/'[2]1.) CLM Reference'!$B$4</f>
        <v>9.503372620245301E-4</v>
      </c>
      <c r="N276" s="89">
        <v>1687.0608290630948</v>
      </c>
      <c r="O276" s="198">
        <f>[2]!Table3[[#This Row],[C&amp;I Incentive Disbursements]]/'[2]1.) CLM Reference'!$B$5</f>
        <v>1.0041438230153643E-4</v>
      </c>
      <c r="P276" t="str">
        <f t="shared" si="4"/>
        <v>NO</v>
      </c>
      <c r="Q276" t="str">
        <f>VLOOKUP(Table8[[#This Row],[Census Tract]],'UI EnergyBurden'!$A$2:$B$184,2,FALSE)</f>
        <v>No</v>
      </c>
      <c r="R276">
        <f>VLOOKUP(Table8[[#This Row],[Census Tract]],'Population and Diversity Data'!$B$2:$K$823,10,FALSE)</f>
        <v>4</v>
      </c>
    </row>
    <row r="277" spans="1:18" ht="15.75" hidden="1" customHeight="1" x14ac:dyDescent="0.2">
      <c r="A277" s="195">
        <v>9001080400</v>
      </c>
      <c r="B277" s="195" t="s">
        <v>956</v>
      </c>
      <c r="C277" s="195" t="s">
        <v>944</v>
      </c>
      <c r="D277" s="88">
        <f>[2]!Table3[[#This Row],[Residential CLM $ Collected]]+[2]!Table3[[#This Row],[C&amp;I CLM $ Collected]]</f>
        <v>165136.2267</v>
      </c>
      <c r="E277" s="197">
        <f>[2]!Table3[[#This Row],[CLM $ Collected ]]/'[2]1.) CLM Reference'!$B$4</f>
        <v>5.6746649625197057E-3</v>
      </c>
      <c r="F277" s="89">
        <f>[2]!Table3[[#This Row],[Residential Incentive Disbursements]]+[2]!Table3[[#This Row],[C&amp;I Incentive Disbursements]]</f>
        <v>50305.815402868837</v>
      </c>
      <c r="G277" s="198">
        <f>[2]!Table3[[#This Row],[Incentive Disbursements]]/'[2]1.) CLM Reference'!$B$5</f>
        <v>2.9942176908105259E-3</v>
      </c>
      <c r="H277" s="88">
        <v>78832.451199999996</v>
      </c>
      <c r="I277" s="197">
        <f>[2]!Table3[[#This Row],[Residential CLM $ Collected]]/'[2]1.) CLM Reference'!$B$4</f>
        <v>2.7089619138922988E-3</v>
      </c>
      <c r="J277" s="89">
        <v>29930.870136326874</v>
      </c>
      <c r="K277" s="198">
        <f>[2]!Table3[[#This Row],[Residential Incentive Disbursements]]/'[2]1.) CLM Reference'!$B$5</f>
        <v>1.7814946472059685E-3</v>
      </c>
      <c r="L277" s="88">
        <v>86303.775500000003</v>
      </c>
      <c r="M277" s="197">
        <f>[2]!Table3[[#This Row],[C&amp;I CLM $ Collected]]/'[2]1.) CLM Reference'!$B$4</f>
        <v>2.9657030486274073E-3</v>
      </c>
      <c r="N277" s="89">
        <v>20374.945266541963</v>
      </c>
      <c r="O277" s="198">
        <f>[2]!Table3[[#This Row],[C&amp;I Incentive Disbursements]]/'[2]1.) CLM Reference'!$B$5</f>
        <v>1.2127230436045577E-3</v>
      </c>
      <c r="P277" t="str">
        <f t="shared" si="4"/>
        <v>NO</v>
      </c>
      <c r="Q277" t="str">
        <f>VLOOKUP(Table8[[#This Row],[Census Tract]],'UI EnergyBurden'!$A$2:$B$184,2,FALSE)</f>
        <v>No</v>
      </c>
      <c r="R277">
        <f>VLOOKUP(Table8[[#This Row],[Census Tract]],'Population and Diversity Data'!$B$2:$K$823,10,FALSE)</f>
        <v>3</v>
      </c>
    </row>
    <row r="278" spans="1:18" ht="15.75" hidden="1" customHeight="1" x14ac:dyDescent="0.2">
      <c r="A278" s="195">
        <v>9001080500</v>
      </c>
      <c r="B278" s="195" t="s">
        <v>956</v>
      </c>
      <c r="C278" s="195" t="s">
        <v>944</v>
      </c>
      <c r="D278" s="88">
        <f>[2]!Table3[[#This Row],[Residential CLM $ Collected]]+[2]!Table3[[#This Row],[C&amp;I CLM $ Collected]]</f>
        <v>108865.58459999991</v>
      </c>
      <c r="E278" s="197">
        <f>[2]!Table3[[#This Row],[CLM $ Collected ]]/'[2]1.) CLM Reference'!$B$4</f>
        <v>3.7410066276744132E-3</v>
      </c>
      <c r="F278" s="89">
        <f>[2]!Table3[[#This Row],[Residential Incentive Disbursements]]+[2]!Table3[[#This Row],[C&amp;I Incentive Disbursements]]</f>
        <v>26875.199695113239</v>
      </c>
      <c r="G278" s="198">
        <f>[2]!Table3[[#This Row],[Incentive Disbursements]]/'[2]1.) CLM Reference'!$B$5</f>
        <v>1.5996201975206363E-3</v>
      </c>
      <c r="H278" s="88">
        <v>67513.527999999904</v>
      </c>
      <c r="I278" s="197">
        <f>[2]!Table3[[#This Row],[Residential CLM $ Collected]]/'[2]1.) CLM Reference'!$B$4</f>
        <v>2.3200036690537544E-3</v>
      </c>
      <c r="J278" s="89">
        <v>17937.794112576605</v>
      </c>
      <c r="K278" s="198">
        <f>[2]!Table3[[#This Row],[Residential Incentive Disbursements]]/'[2]1.) CLM Reference'!$B$5</f>
        <v>1.067663053185116E-3</v>
      </c>
      <c r="L278" s="88">
        <v>41352.056600000004</v>
      </c>
      <c r="M278" s="197">
        <f>[2]!Table3[[#This Row],[C&amp;I CLM $ Collected]]/'[2]1.) CLM Reference'!$B$4</f>
        <v>1.4210029586206585E-3</v>
      </c>
      <c r="N278" s="89">
        <v>8937.405582536634</v>
      </c>
      <c r="O278" s="198">
        <f>[2]!Table3[[#This Row],[C&amp;I Incentive Disbursements]]/'[2]1.) CLM Reference'!$B$5</f>
        <v>5.3195714433552043E-4</v>
      </c>
      <c r="P278" t="str">
        <f t="shared" si="4"/>
        <v>NO</v>
      </c>
      <c r="Q278" t="str">
        <f>VLOOKUP(Table8[[#This Row],[Census Tract]],'UI EnergyBurden'!$A$2:$B$184,2,FALSE)</f>
        <v>No</v>
      </c>
      <c r="R278">
        <f>VLOOKUP(Table8[[#This Row],[Census Tract]],'Population and Diversity Data'!$B$2:$K$823,10,FALSE)</f>
        <v>1</v>
      </c>
    </row>
    <row r="279" spans="1:18" ht="15.75" hidden="1" customHeight="1" x14ac:dyDescent="0.2">
      <c r="A279" s="195">
        <v>9001080600</v>
      </c>
      <c r="B279" s="195" t="s">
        <v>956</v>
      </c>
      <c r="C279" s="195" t="s">
        <v>944</v>
      </c>
      <c r="D279" s="88">
        <f>[2]!Table3[[#This Row],[Residential CLM $ Collected]]+[2]!Table3[[#This Row],[C&amp;I CLM $ Collected]]</f>
        <v>63605.251900000098</v>
      </c>
      <c r="E279" s="197">
        <f>[2]!Table3[[#This Row],[CLM $ Collected ]]/'[2]1.) CLM Reference'!$B$4</f>
        <v>2.1857014756966739E-3</v>
      </c>
      <c r="F279" s="89">
        <f>[2]!Table3[[#This Row],[Residential Incentive Disbursements]]+[2]!Table3[[#This Row],[C&amp;I Incentive Disbursements]]</f>
        <v>17997.120345503838</v>
      </c>
      <c r="G279" s="198">
        <f>[2]!Table3[[#This Row],[Incentive Disbursements]]/'[2]1.) CLM Reference'!$B$5</f>
        <v>1.0711941689167126E-3</v>
      </c>
      <c r="H279" s="88">
        <v>43535.777800000098</v>
      </c>
      <c r="I279" s="197">
        <f>[2]!Table3[[#This Row],[Residential CLM $ Collected]]/'[2]1.) CLM Reference'!$B$4</f>
        <v>1.496043344544361E-3</v>
      </c>
      <c r="J279" s="89">
        <v>16970.847078216633</v>
      </c>
      <c r="K279" s="198">
        <f>[2]!Table3[[#This Row],[Residential Incentive Disbursements]]/'[2]1.) CLM Reference'!$B$5</f>
        <v>1.010110066653219E-3</v>
      </c>
      <c r="L279" s="88">
        <v>20069.474099999999</v>
      </c>
      <c r="M279" s="197">
        <f>[2]!Table3[[#This Row],[C&amp;I CLM $ Collected]]/'[2]1.) CLM Reference'!$B$4</f>
        <v>6.8965813115231308E-4</v>
      </c>
      <c r="N279" s="89">
        <v>1026.2732672872044</v>
      </c>
      <c r="O279" s="198">
        <f>[2]!Table3[[#This Row],[C&amp;I Incentive Disbursements]]/'[2]1.) CLM Reference'!$B$5</f>
        <v>6.1084102263493504E-5</v>
      </c>
      <c r="P279" t="str">
        <f t="shared" si="4"/>
        <v>NO</v>
      </c>
      <c r="Q279" t="str">
        <f>VLOOKUP(Table8[[#This Row],[Census Tract]],'UI EnergyBurden'!$A$2:$B$184,2,FALSE)</f>
        <v>No</v>
      </c>
      <c r="R279">
        <f>VLOOKUP(Table8[[#This Row],[Census Tract]],'Population and Diversity Data'!$B$2:$K$823,10,FALSE)</f>
        <v>2</v>
      </c>
    </row>
    <row r="280" spans="1:18" ht="15.75" hidden="1" customHeight="1" x14ac:dyDescent="0.2">
      <c r="A280" s="195">
        <v>9001080700</v>
      </c>
      <c r="B280" s="195" t="s">
        <v>956</v>
      </c>
      <c r="C280" s="195" t="s">
        <v>944</v>
      </c>
      <c r="D280" s="88">
        <f>[2]!Table3[[#This Row],[Residential CLM $ Collected]]+[2]!Table3[[#This Row],[C&amp;I CLM $ Collected]]</f>
        <v>91634.058700000111</v>
      </c>
      <c r="E280" s="197">
        <f>[2]!Table3[[#This Row],[CLM $ Collected ]]/'[2]1.) CLM Reference'!$B$4</f>
        <v>3.1488704366669693E-3</v>
      </c>
      <c r="F280" s="89">
        <f>[2]!Table3[[#This Row],[Residential Incentive Disbursements]]+[2]!Table3[[#This Row],[C&amp;I Incentive Disbursements]]</f>
        <v>111119.08716181362</v>
      </c>
      <c r="G280" s="198">
        <f>[2]!Table3[[#This Row],[Incentive Disbursements]]/'[2]1.) CLM Reference'!$B$5</f>
        <v>6.6138424335657449E-3</v>
      </c>
      <c r="H280" s="88">
        <v>36457.738700000104</v>
      </c>
      <c r="I280" s="197">
        <f>[2]!Table3[[#This Row],[Residential CLM $ Collected]]/'[2]1.) CLM Reference'!$B$4</f>
        <v>1.2528168806317367E-3</v>
      </c>
      <c r="J280" s="89">
        <v>5276.0600548075745</v>
      </c>
      <c r="K280" s="198">
        <f>[2]!Table3[[#This Row],[Residential Incentive Disbursements]]/'[2]1.) CLM Reference'!$B$5</f>
        <v>3.140327261842313E-4</v>
      </c>
      <c r="L280" s="88">
        <v>55176.32</v>
      </c>
      <c r="M280" s="197">
        <f>[2]!Table3[[#This Row],[C&amp;I CLM $ Collected]]/'[2]1.) CLM Reference'!$B$4</f>
        <v>1.8960535560352324E-3</v>
      </c>
      <c r="N280" s="89">
        <v>105843.02710700604</v>
      </c>
      <c r="O280" s="198">
        <f>[2]!Table3[[#This Row],[C&amp;I Incentive Disbursements]]/'[2]1.) CLM Reference'!$B$5</f>
        <v>6.2998097073815136E-3</v>
      </c>
      <c r="P280" t="str">
        <f t="shared" si="4"/>
        <v>YES</v>
      </c>
      <c r="Q280" t="str">
        <f>VLOOKUP(Table8[[#This Row],[Census Tract]],'UI EnergyBurden'!$A$2:$B$184,2,FALSE)</f>
        <v>No</v>
      </c>
      <c r="R280">
        <f>VLOOKUP(Table8[[#This Row],[Census Tract]],'Population and Diversity Data'!$B$2:$K$823,10,FALSE)</f>
        <v>1</v>
      </c>
    </row>
    <row r="281" spans="1:18" ht="16" hidden="1" x14ac:dyDescent="0.2">
      <c r="A281" s="195">
        <v>9001080800</v>
      </c>
      <c r="B281" s="195" t="s">
        <v>956</v>
      </c>
      <c r="C281" s="195" t="s">
        <v>944</v>
      </c>
      <c r="D281" s="88">
        <f>[2]!Table3[[#This Row],[Residential CLM $ Collected]]+[2]!Table3[[#This Row],[C&amp;I CLM $ Collected]]</f>
        <v>121063.7563999999</v>
      </c>
      <c r="E281" s="197">
        <f>[2]!Table3[[#This Row],[CLM $ Collected ]]/'[2]1.) CLM Reference'!$B$4</f>
        <v>4.1601789649835822E-3</v>
      </c>
      <c r="F281" s="89">
        <f>[2]!Table3[[#This Row],[Residential Incentive Disbursements]]+[2]!Table3[[#This Row],[C&amp;I Incentive Disbursements]]</f>
        <v>30360.837454448811</v>
      </c>
      <c r="G281" s="198">
        <f>[2]!Table3[[#This Row],[Incentive Disbursements]]/'[2]1.) CLM Reference'!$B$5</f>
        <v>1.8070864349561703E-3</v>
      </c>
      <c r="H281" s="88">
        <v>81784.641399999906</v>
      </c>
      <c r="I281" s="197">
        <f>[2]!Table3[[#This Row],[Residential CLM $ Collected]]/'[2]1.) CLM Reference'!$B$4</f>
        <v>2.8104096133184692E-3</v>
      </c>
      <c r="J281" s="89">
        <v>30360.837454448811</v>
      </c>
      <c r="K281" s="198">
        <f>[2]!Table3[[#This Row],[Residential Incentive Disbursements]]/'[2]1.) CLM Reference'!$B$5</f>
        <v>1.8070864349561703E-3</v>
      </c>
      <c r="L281" s="88">
        <v>39279.114999999998</v>
      </c>
      <c r="M281" s="197">
        <f>[2]!Table3[[#This Row],[C&amp;I CLM $ Collected]]/'[2]1.) CLM Reference'!$B$4</f>
        <v>1.3497693516651135E-3</v>
      </c>
      <c r="N281" s="89">
        <v>0</v>
      </c>
      <c r="O281" s="198">
        <f>[2]!Table3[[#This Row],[C&amp;I Incentive Disbursements]]/'[2]1.) CLM Reference'!$B$5</f>
        <v>0</v>
      </c>
      <c r="P281" t="str">
        <f t="shared" si="4"/>
        <v>NO</v>
      </c>
      <c r="Q281" t="str">
        <f>VLOOKUP(Table8[[#This Row],[Census Tract]],'UI EnergyBurden'!$A$2:$B$184,2,FALSE)</f>
        <v>No</v>
      </c>
      <c r="R281">
        <f>VLOOKUP(Table8[[#This Row],[Census Tract]],'Population and Diversity Data'!$B$2:$K$823,10,FALSE)</f>
        <v>2</v>
      </c>
    </row>
    <row r="282" spans="1:18" ht="16" hidden="1" x14ac:dyDescent="0.2">
      <c r="A282" s="195">
        <v>9001080900</v>
      </c>
      <c r="B282" s="195" t="s">
        <v>956</v>
      </c>
      <c r="C282" s="195" t="s">
        <v>944</v>
      </c>
      <c r="D282" s="88">
        <f>[2]!Table3[[#This Row],[Residential CLM $ Collected]]+[2]!Table3[[#This Row],[C&amp;I CLM $ Collected]]</f>
        <v>99349.360500000097</v>
      </c>
      <c r="E282" s="197">
        <f>[2]!Table3[[#This Row],[CLM $ Collected ]]/'[2]1.) CLM Reference'!$B$4</f>
        <v>3.4139955014370559E-3</v>
      </c>
      <c r="F282" s="89">
        <f>[2]!Table3[[#This Row],[Residential Incentive Disbursements]]+[2]!Table3[[#This Row],[C&amp;I Incentive Disbursements]]</f>
        <v>89283.581855733559</v>
      </c>
      <c r="G282" s="198">
        <f>[2]!Table3[[#This Row],[Incentive Disbursements]]/'[2]1.) CLM Reference'!$B$5</f>
        <v>5.3141864047018626E-3</v>
      </c>
      <c r="H282" s="88">
        <v>79381.614400000093</v>
      </c>
      <c r="I282" s="197">
        <f>[2]!Table3[[#This Row],[Residential CLM $ Collected]]/'[2]1.) CLM Reference'!$B$4</f>
        <v>2.7278331042544664E-3</v>
      </c>
      <c r="J282" s="89">
        <v>76383.459308290461</v>
      </c>
      <c r="K282" s="198">
        <f>[2]!Table3[[#This Row],[Residential Incentive Disbursements]]/'[2]1.) CLM Reference'!$B$5</f>
        <v>4.5463671210693958E-3</v>
      </c>
      <c r="L282" s="88">
        <v>19967.7461</v>
      </c>
      <c r="M282" s="197">
        <f>[2]!Table3[[#This Row],[C&amp;I CLM $ Collected]]/'[2]1.) CLM Reference'!$B$4</f>
        <v>6.8616239718258926E-4</v>
      </c>
      <c r="N282" s="89">
        <v>12900.12254744309</v>
      </c>
      <c r="O282" s="198">
        <f>[2]!Table3[[#This Row],[C&amp;I Incentive Disbursements]]/'[2]1.) CLM Reference'!$B$5</f>
        <v>7.6781928363246657E-4</v>
      </c>
      <c r="P282" t="str">
        <f t="shared" si="4"/>
        <v>YES</v>
      </c>
      <c r="Q282" t="str">
        <f>VLOOKUP(Table8[[#This Row],[Census Tract]],'UI EnergyBurden'!$A$2:$B$184,2,FALSE)</f>
        <v>No</v>
      </c>
      <c r="R282">
        <f>VLOOKUP(Table8[[#This Row],[Census Tract]],'Population and Diversity Data'!$B$2:$K$823,10,FALSE)</f>
        <v>4</v>
      </c>
    </row>
    <row r="283" spans="1:18" ht="16" hidden="1" x14ac:dyDescent="0.2">
      <c r="A283" s="195">
        <v>9001081000</v>
      </c>
      <c r="B283" s="195" t="s">
        <v>956</v>
      </c>
      <c r="C283" s="195" t="s">
        <v>944</v>
      </c>
      <c r="D283" s="88">
        <f>[2]!Table3[[#This Row],[Residential CLM $ Collected]]+[2]!Table3[[#This Row],[C&amp;I CLM $ Collected]]</f>
        <v>73983.143899999894</v>
      </c>
      <c r="E283" s="197">
        <f>[2]!Table3[[#This Row],[CLM $ Collected ]]/'[2]1.) CLM Reference'!$B$4</f>
        <v>2.5423225593562801E-3</v>
      </c>
      <c r="F283" s="89">
        <f>[2]!Table3[[#This Row],[Residential Incentive Disbursements]]+[2]!Table3[[#This Row],[C&amp;I Incentive Disbursements]]</f>
        <v>52988.859497680074</v>
      </c>
      <c r="G283" s="198">
        <f>[2]!Table3[[#This Row],[Incentive Disbursements]]/'[2]1.) CLM Reference'!$B$5</f>
        <v>3.1539133051161909E-3</v>
      </c>
      <c r="H283" s="88">
        <v>69046.922199999899</v>
      </c>
      <c r="I283" s="197">
        <f>[2]!Table3[[#This Row],[Residential CLM $ Collected]]/'[2]1.) CLM Reference'!$B$4</f>
        <v>2.3726965185535721E-3</v>
      </c>
      <c r="J283" s="89">
        <v>52988.859497680074</v>
      </c>
      <c r="K283" s="198">
        <f>[2]!Table3[[#This Row],[Residential Incentive Disbursements]]/'[2]1.) CLM Reference'!$B$5</f>
        <v>3.1539133051161909E-3</v>
      </c>
      <c r="L283" s="88">
        <v>4936.2217000000001</v>
      </c>
      <c r="M283" s="197">
        <f>[2]!Table3[[#This Row],[C&amp;I CLM $ Collected]]/'[2]1.) CLM Reference'!$B$4</f>
        <v>1.6962604080270814E-4</v>
      </c>
      <c r="N283" s="89">
        <v>0</v>
      </c>
      <c r="O283" s="198">
        <f>[2]!Table3[[#This Row],[C&amp;I Incentive Disbursements]]/'[2]1.) CLM Reference'!$B$5</f>
        <v>0</v>
      </c>
      <c r="P283" t="str">
        <f t="shared" si="4"/>
        <v>NO</v>
      </c>
      <c r="Q283" t="str">
        <f>VLOOKUP(Table8[[#This Row],[Census Tract]],'UI EnergyBurden'!$A$2:$B$184,2,FALSE)</f>
        <v>No</v>
      </c>
      <c r="R283">
        <f>VLOOKUP(Table8[[#This Row],[Census Tract]],'Population and Diversity Data'!$B$2:$K$823,10,FALSE)</f>
        <v>2</v>
      </c>
    </row>
    <row r="284" spans="1:18" ht="15.75" hidden="1" customHeight="1" x14ac:dyDescent="0.2">
      <c r="A284" s="195">
        <v>9001081100</v>
      </c>
      <c r="B284" s="195" t="s">
        <v>956</v>
      </c>
      <c r="C284" s="195" t="s">
        <v>944</v>
      </c>
      <c r="D284" s="88">
        <f>[2]!Table3[[#This Row],[Residential CLM $ Collected]]+[2]!Table3[[#This Row],[C&amp;I CLM $ Collected]]</f>
        <v>100324.87719999999</v>
      </c>
      <c r="E284" s="197">
        <f>[2]!Table3[[#This Row],[CLM $ Collected ]]/'[2]1.) CLM Reference'!$B$4</f>
        <v>3.447517706397563E-3</v>
      </c>
      <c r="F284" s="89">
        <f>[2]!Table3[[#This Row],[Residential Incentive Disbursements]]+[2]!Table3[[#This Row],[C&amp;I Incentive Disbursements]]</f>
        <v>69610.056296001116</v>
      </c>
      <c r="G284" s="198">
        <f>[2]!Table3[[#This Row],[Incentive Disbursements]]/'[2]1.) CLM Reference'!$B$5</f>
        <v>4.1432120789740142E-3</v>
      </c>
      <c r="H284" s="88">
        <v>77966.711299999995</v>
      </c>
      <c r="I284" s="197">
        <f>[2]!Table3[[#This Row],[Residential CLM $ Collected]]/'[2]1.) CLM Reference'!$B$4</f>
        <v>2.6792120281442715E-3</v>
      </c>
      <c r="J284" s="89">
        <v>63960.035727710274</v>
      </c>
      <c r="K284" s="198">
        <f>[2]!Table3[[#This Row],[Residential Incentive Disbursements]]/'[2]1.) CLM Reference'!$B$5</f>
        <v>3.8069211073728459E-3</v>
      </c>
      <c r="L284" s="88">
        <v>22358.1659</v>
      </c>
      <c r="M284" s="197">
        <f>[2]!Table3[[#This Row],[C&amp;I CLM $ Collected]]/'[2]1.) CLM Reference'!$B$4</f>
        <v>7.6830567825329191E-4</v>
      </c>
      <c r="N284" s="89">
        <v>5650.0205682908463</v>
      </c>
      <c r="O284" s="198">
        <f>[2]!Table3[[#This Row],[C&amp;I Incentive Disbursements]]/'[2]1.) CLM Reference'!$B$5</f>
        <v>3.362909716011686E-4</v>
      </c>
      <c r="P284" t="str">
        <f t="shared" si="4"/>
        <v>NO</v>
      </c>
      <c r="Q284" t="str">
        <f>VLOOKUP(Table8[[#This Row],[Census Tract]],'UI EnergyBurden'!$A$2:$B$184,2,FALSE)</f>
        <v>No</v>
      </c>
      <c r="R284">
        <f>VLOOKUP(Table8[[#This Row],[Census Tract]],'Population and Diversity Data'!$B$2:$K$823,10,FALSE)</f>
        <v>1</v>
      </c>
    </row>
    <row r="285" spans="1:18" ht="16" hidden="1" x14ac:dyDescent="0.2">
      <c r="A285" s="195">
        <v>9001081200</v>
      </c>
      <c r="B285" s="195" t="s">
        <v>956</v>
      </c>
      <c r="C285" s="195" t="s">
        <v>944</v>
      </c>
      <c r="D285" s="88">
        <f>[2]!Table3[[#This Row],[Residential CLM $ Collected]]+[2]!Table3[[#This Row],[C&amp;I CLM $ Collected]]</f>
        <v>120023.7007</v>
      </c>
      <c r="E285" s="197">
        <f>[2]!Table3[[#This Row],[CLM $ Collected ]]/'[2]1.) CLM Reference'!$B$4</f>
        <v>4.124438971659281E-3</v>
      </c>
      <c r="F285" s="89">
        <f>[2]!Table3[[#This Row],[Residential Incentive Disbursements]]+[2]!Table3[[#This Row],[C&amp;I Incentive Disbursements]]</f>
        <v>76003.472114323653</v>
      </c>
      <c r="G285" s="198">
        <f>[2]!Table3[[#This Row],[Incentive Disbursements]]/'[2]1.) CLM Reference'!$B$5</f>
        <v>4.5237501657662124E-3</v>
      </c>
      <c r="H285" s="88">
        <v>102590.0885</v>
      </c>
      <c r="I285" s="197">
        <f>[2]!Table3[[#This Row],[Residential CLM $ Collected]]/'[2]1.) CLM Reference'!$B$4</f>
        <v>3.5253583804500592E-3</v>
      </c>
      <c r="J285" s="89">
        <v>68814.196137851919</v>
      </c>
      <c r="K285" s="198">
        <f>[2]!Table3[[#This Row],[Residential Incentive Disbursements]]/'[2]1.) CLM Reference'!$B$5</f>
        <v>4.0958422362260584E-3</v>
      </c>
      <c r="L285" s="88">
        <v>17433.6122</v>
      </c>
      <c r="M285" s="197">
        <f>[2]!Table3[[#This Row],[C&amp;I CLM $ Collected]]/'[2]1.) CLM Reference'!$B$4</f>
        <v>5.9908059120922187E-4</v>
      </c>
      <c r="N285" s="89">
        <v>7189.2759764717384</v>
      </c>
      <c r="O285" s="198">
        <f>[2]!Table3[[#This Row],[C&amp;I Incentive Disbursements]]/'[2]1.) CLM Reference'!$B$5</f>
        <v>4.2790792954015415E-4</v>
      </c>
      <c r="P285" t="str">
        <f t="shared" si="4"/>
        <v>NO</v>
      </c>
      <c r="Q285" t="str">
        <f>VLOOKUP(Table8[[#This Row],[Census Tract]],'UI EnergyBurden'!$A$2:$B$184,2,FALSE)</f>
        <v>No</v>
      </c>
      <c r="R285">
        <f>VLOOKUP(Table8[[#This Row],[Census Tract]],'Population and Diversity Data'!$B$2:$K$823,10,FALSE)</f>
        <v>3</v>
      </c>
    </row>
    <row r="286" spans="1:18" ht="15.75" hidden="1" customHeight="1" x14ac:dyDescent="0.2">
      <c r="A286" s="195">
        <v>9001081300</v>
      </c>
      <c r="B286" s="195" t="s">
        <v>956</v>
      </c>
      <c r="C286" s="195" t="s">
        <v>944</v>
      </c>
      <c r="D286" s="88">
        <f>[2]!Table3[[#This Row],[Residential CLM $ Collected]]+[2]!Table3[[#This Row],[C&amp;I CLM $ Collected]]</f>
        <v>113193.0867</v>
      </c>
      <c r="E286" s="197">
        <f>[2]!Table3[[#This Row],[CLM $ Collected ]]/'[2]1.) CLM Reference'!$B$4</f>
        <v>3.8897149095144324E-3</v>
      </c>
      <c r="F286" s="89">
        <f>[2]!Table3[[#This Row],[Residential Incentive Disbursements]]+[2]!Table3[[#This Row],[C&amp;I Incentive Disbursements]]</f>
        <v>33546.479337474433</v>
      </c>
      <c r="G286" s="198">
        <f>[2]!Table3[[#This Row],[Incentive Disbursements]]/'[2]1.) CLM Reference'!$B$5</f>
        <v>1.9966968250542962E-3</v>
      </c>
      <c r="H286" s="88">
        <v>100014.4032</v>
      </c>
      <c r="I286" s="197">
        <f>[2]!Table3[[#This Row],[Residential CLM $ Collected]]/'[2]1.) CLM Reference'!$B$4</f>
        <v>3.4368487213736173E-3</v>
      </c>
      <c r="J286" s="89">
        <v>27951.016780296144</v>
      </c>
      <c r="K286" s="198">
        <f>[2]!Table3[[#This Row],[Residential Incentive Disbursements]]/'[2]1.) CLM Reference'!$B$5</f>
        <v>1.6636531631476514E-3</v>
      </c>
      <c r="L286" s="88">
        <v>13178.683499999999</v>
      </c>
      <c r="M286" s="197">
        <f>[2]!Table3[[#This Row],[C&amp;I CLM $ Collected]]/'[2]1.) CLM Reference'!$B$4</f>
        <v>4.5286618814081549E-4</v>
      </c>
      <c r="N286" s="89">
        <v>5595.4625571782881</v>
      </c>
      <c r="O286" s="198">
        <f>[2]!Table3[[#This Row],[C&amp;I Incentive Disbursements]]/'[2]1.) CLM Reference'!$B$5</f>
        <v>3.3304366190664483E-4</v>
      </c>
      <c r="P286" t="str">
        <f t="shared" si="4"/>
        <v>NO</v>
      </c>
      <c r="Q286" t="str">
        <f>VLOOKUP(Table8[[#This Row],[Census Tract]],'UI EnergyBurden'!$A$2:$B$184,2,FALSE)</f>
        <v>No</v>
      </c>
      <c r="R286">
        <f>VLOOKUP(Table8[[#This Row],[Census Tract]],'Population and Diversity Data'!$B$2:$K$823,10,FALSE)</f>
        <v>4</v>
      </c>
    </row>
    <row r="287" spans="1:18" ht="15.75" hidden="1" customHeight="1" x14ac:dyDescent="0.2">
      <c r="A287" s="195">
        <v>9001090500</v>
      </c>
      <c r="B287" s="195" t="s">
        <v>956</v>
      </c>
      <c r="C287" s="195" t="s">
        <v>944</v>
      </c>
      <c r="D287" s="88">
        <f>[2]!Table3[[#This Row],[Residential CLM $ Collected]]+[2]!Table3[[#This Row],[C&amp;I CLM $ Collected]]</f>
        <v>183.69639999999998</v>
      </c>
      <c r="E287" s="197">
        <f>[2]!Table3[[#This Row],[CLM $ Collected ]]/'[2]1.) CLM Reference'!$B$4</f>
        <v>6.3124581786329799E-6</v>
      </c>
      <c r="F287" s="89">
        <f>[2]!Table3[[#This Row],[Residential Incentive Disbursements]]+[2]!Table3[[#This Row],[C&amp;I Incentive Disbursements]]</f>
        <v>0</v>
      </c>
      <c r="G287" s="198">
        <f>[2]!Table3[[#This Row],[Incentive Disbursements]]/'[2]1.) CLM Reference'!$B$5</f>
        <v>0</v>
      </c>
      <c r="H287" s="88">
        <v>171.0093</v>
      </c>
      <c r="I287" s="197">
        <f>[2]!Table3[[#This Row],[Residential CLM $ Collected]]/'[2]1.) CLM Reference'!$B$4</f>
        <v>5.876484538658901E-6</v>
      </c>
      <c r="J287" s="89">
        <v>0</v>
      </c>
      <c r="K287" s="198">
        <f>[2]!Table3[[#This Row],[Residential Incentive Disbursements]]/'[2]1.) CLM Reference'!$B$5</f>
        <v>0</v>
      </c>
      <c r="L287" s="88">
        <v>12.687099999999999</v>
      </c>
      <c r="M287" s="197">
        <f>[2]!Table3[[#This Row],[C&amp;I CLM $ Collected]]/'[2]1.) CLM Reference'!$B$4</f>
        <v>4.3597363997407939E-7</v>
      </c>
      <c r="N287" s="89">
        <v>0</v>
      </c>
      <c r="O287" s="198">
        <f>[2]!Table3[[#This Row],[C&amp;I Incentive Disbursements]]/'[2]1.) CLM Reference'!$B$5</f>
        <v>0</v>
      </c>
      <c r="P287" t="str">
        <f t="shared" si="4"/>
        <v>N/A</v>
      </c>
      <c r="Q287" t="str">
        <f>VLOOKUP(Table8[[#This Row],[Census Tract]],'UI EnergyBurden'!$A$2:$B$184,2,FALSE)</f>
        <v>No</v>
      </c>
      <c r="R287">
        <f>VLOOKUP(Table8[[#This Row],[Census Tract]],'Population and Diversity Data'!$B$2:$K$823,10,FALSE)</f>
        <v>3</v>
      </c>
    </row>
    <row r="288" spans="1:18" ht="15.75" hidden="1" customHeight="1" x14ac:dyDescent="0.2">
      <c r="A288" s="195">
        <v>9001110202</v>
      </c>
      <c r="B288" s="195" t="s">
        <v>956</v>
      </c>
      <c r="C288" s="195" t="s">
        <v>944</v>
      </c>
      <c r="D288" s="88">
        <f>[2]!Table3[[#This Row],[Residential CLM $ Collected]]+[2]!Table3[[#This Row],[C&amp;I CLM $ Collected]]</f>
        <v>112.0247</v>
      </c>
      <c r="E288" s="197">
        <f>[2]!Table3[[#This Row],[CLM $ Collected ]]/'[2]1.) CLM Reference'!$B$4</f>
        <v>3.84956500902525E-6</v>
      </c>
      <c r="F288" s="89">
        <f>[2]!Table3[[#This Row],[Residential Incentive Disbursements]]+[2]!Table3[[#This Row],[C&amp;I Incentive Disbursements]]</f>
        <v>0</v>
      </c>
      <c r="G288" s="198">
        <f>[2]!Table3[[#This Row],[Incentive Disbursements]]/'[2]1.) CLM Reference'!$B$5</f>
        <v>0</v>
      </c>
      <c r="H288" s="88">
        <v>112.0247</v>
      </c>
      <c r="I288" s="197">
        <f>[2]!Table3[[#This Row],[Residential CLM $ Collected]]/'[2]1.) CLM Reference'!$B$4</f>
        <v>3.84956500902525E-6</v>
      </c>
      <c r="J288" s="89">
        <v>0</v>
      </c>
      <c r="K288" s="198">
        <f>[2]!Table3[[#This Row],[Residential Incentive Disbursements]]/'[2]1.) CLM Reference'!$B$5</f>
        <v>0</v>
      </c>
      <c r="L288" s="88">
        <v>0</v>
      </c>
      <c r="M288" s="197">
        <f>[2]!Table3[[#This Row],[C&amp;I CLM $ Collected]]/'[2]1.) CLM Reference'!$B$4</f>
        <v>0</v>
      </c>
      <c r="N288" s="89">
        <v>0</v>
      </c>
      <c r="O288" s="198">
        <f>[2]!Table3[[#This Row],[C&amp;I Incentive Disbursements]]/'[2]1.) CLM Reference'!$B$5</f>
        <v>0</v>
      </c>
      <c r="P288" t="str">
        <f t="shared" si="4"/>
        <v>N/A</v>
      </c>
      <c r="Q288" t="str">
        <f>VLOOKUP(Table8[[#This Row],[Census Tract]],'UI EnergyBurden'!$A$2:$B$184,2,FALSE)</f>
        <v>No</v>
      </c>
      <c r="R288">
        <f>VLOOKUP(Table8[[#This Row],[Census Tract]],'Population and Diversity Data'!$B$2:$K$823,10,FALSE)</f>
        <v>2</v>
      </c>
    </row>
    <row r="289" spans="1:18" ht="15.75" hidden="1" customHeight="1" x14ac:dyDescent="0.2">
      <c r="A289" s="195">
        <v>9001110302</v>
      </c>
      <c r="B289" s="195" t="s">
        <v>956</v>
      </c>
      <c r="C289" s="195" t="s">
        <v>944</v>
      </c>
      <c r="D289" s="88">
        <f>[2]!Table3[[#This Row],[Residential CLM $ Collected]]+[2]!Table3[[#This Row],[C&amp;I CLM $ Collected]]</f>
        <v>92.837900000000005</v>
      </c>
      <c r="E289" s="197">
        <f>[2]!Table3[[#This Row],[CLM $ Collected ]]/'[2]1.) CLM Reference'!$B$4</f>
        <v>3.1902386826421792E-6</v>
      </c>
      <c r="F289" s="89">
        <f>[2]!Table3[[#This Row],[Residential Incentive Disbursements]]+[2]!Table3[[#This Row],[C&amp;I Incentive Disbursements]]</f>
        <v>0</v>
      </c>
      <c r="G289" s="198">
        <f>[2]!Table3[[#This Row],[Incentive Disbursements]]/'[2]1.) CLM Reference'!$B$5</f>
        <v>0</v>
      </c>
      <c r="H289" s="88">
        <v>92.837900000000005</v>
      </c>
      <c r="I289" s="197">
        <f>[2]!Table3[[#This Row],[Residential CLM $ Collected]]/'[2]1.) CLM Reference'!$B$4</f>
        <v>3.1902386826421792E-6</v>
      </c>
      <c r="J289" s="89">
        <v>0</v>
      </c>
      <c r="K289" s="198">
        <f>[2]!Table3[[#This Row],[Residential Incentive Disbursements]]/'[2]1.) CLM Reference'!$B$5</f>
        <v>0</v>
      </c>
      <c r="L289" s="88">
        <v>0</v>
      </c>
      <c r="M289" s="197">
        <f>[2]!Table3[[#This Row],[C&amp;I CLM $ Collected]]/'[2]1.) CLM Reference'!$B$4</f>
        <v>0</v>
      </c>
      <c r="N289" s="89">
        <v>0</v>
      </c>
      <c r="O289" s="198">
        <f>[2]!Table3[[#This Row],[C&amp;I Incentive Disbursements]]/'[2]1.) CLM Reference'!$B$5</f>
        <v>0</v>
      </c>
      <c r="P289" t="str">
        <f t="shared" si="4"/>
        <v>N/A</v>
      </c>
      <c r="Q289" t="str">
        <f>VLOOKUP(Table8[[#This Row],[Census Tract]],'UI EnergyBurden'!$A$2:$B$184,2,FALSE)</f>
        <v>No</v>
      </c>
      <c r="R289">
        <f>VLOOKUP(Table8[[#This Row],[Census Tract]],'Population and Diversity Data'!$B$2:$K$823,10,FALSE)</f>
        <v>3</v>
      </c>
    </row>
    <row r="290" spans="1:18" ht="15.75" customHeight="1" x14ac:dyDescent="0.2">
      <c r="A290" s="195">
        <v>9009140800</v>
      </c>
      <c r="B290" s="195" t="s">
        <v>3003</v>
      </c>
      <c r="C290" s="195" t="s">
        <v>936</v>
      </c>
      <c r="D290" s="88">
        <f>[2]!Table3[[#This Row],[Residential CLM $ Collected]]+[2]!Table3[[#This Row],[C&amp;I CLM $ Collected]]</f>
        <v>0</v>
      </c>
      <c r="E290" s="197">
        <f>[2]!Table3[[#This Row],[CLM $ Collected ]]/'[2]1.) CLM Reference'!$B$4</f>
        <v>0</v>
      </c>
      <c r="F290" s="89">
        <f>[2]!Table3[[#This Row],[Residential Incentive Disbursements]]+[2]!Table3[[#This Row],[C&amp;I Incentive Disbursements]]</f>
        <v>41.330294344234304</v>
      </c>
      <c r="G290" s="198">
        <f>[2]!Table3[[#This Row],[Incentive Disbursements]]/'[2]1.) CLM Reference'!$B$5</f>
        <v>2.4599919015497217E-6</v>
      </c>
      <c r="H290" s="88">
        <v>0</v>
      </c>
      <c r="I290" s="197">
        <f>[2]!Table3[[#This Row],[Residential CLM $ Collected]]/'[2]1.) CLM Reference'!$B$4</f>
        <v>0</v>
      </c>
      <c r="J290" s="89">
        <v>41.330294344234304</v>
      </c>
      <c r="K290" s="198">
        <f>[2]!Table3[[#This Row],[Residential Incentive Disbursements]]/'[2]1.) CLM Reference'!$B$5</f>
        <v>2.4599919015497217E-6</v>
      </c>
      <c r="L290" s="88">
        <v>0</v>
      </c>
      <c r="M290" s="197">
        <f>[2]!Table3[[#This Row],[C&amp;I CLM $ Collected]]/'[2]1.) CLM Reference'!$B$4</f>
        <v>0</v>
      </c>
      <c r="N290" s="89">
        <v>0</v>
      </c>
      <c r="O290" s="198">
        <f>[2]!Table3[[#This Row],[C&amp;I Incentive Disbursements]]/'[2]1.) CLM Reference'!$B$5</f>
        <v>0</v>
      </c>
      <c r="P290" t="str">
        <f t="shared" si="4"/>
        <v>N/A</v>
      </c>
      <c r="Q290" t="str">
        <f>VLOOKUP(Table8[[#This Row],[Census Tract]],'UI EnergyBurden'!$A$2:$B$184,2,FALSE)</f>
        <v>No</v>
      </c>
      <c r="R290">
        <f>VLOOKUP(Table8[[#This Row],[Census Tract]],'Population and Diversity Data'!$B$2:$K$823,10,FALSE)</f>
        <v>4</v>
      </c>
    </row>
    <row r="291" spans="1:18" ht="15.75" hidden="1" customHeight="1" x14ac:dyDescent="0.2">
      <c r="A291" s="195">
        <v>9001060100</v>
      </c>
      <c r="B291" s="195" t="s">
        <v>2985</v>
      </c>
      <c r="C291" s="195" t="s">
        <v>944</v>
      </c>
      <c r="D291" s="88">
        <f>[2]!Table3[[#This Row],[Residential CLM $ Collected]]+[2]!Table3[[#This Row],[C&amp;I CLM $ Collected]]</f>
        <v>106.00539999999999</v>
      </c>
      <c r="E291" s="197">
        <f>[2]!Table3[[#This Row],[CLM $ Collected ]]/'[2]1.) CLM Reference'!$B$4</f>
        <v>3.6427205661584029E-6</v>
      </c>
      <c r="F291" s="89">
        <f>[2]!Table3[[#This Row],[Residential Incentive Disbursements]]+[2]!Table3[[#This Row],[C&amp;I Incentive Disbursements]]</f>
        <v>0</v>
      </c>
      <c r="G291" s="198">
        <f>[2]!Table3[[#This Row],[Incentive Disbursements]]/'[2]1.) CLM Reference'!$B$5</f>
        <v>0</v>
      </c>
      <c r="H291" s="88">
        <v>0</v>
      </c>
      <c r="I291" s="197">
        <f>[2]!Table3[[#This Row],[Residential CLM $ Collected]]/'[2]1.) CLM Reference'!$B$4</f>
        <v>0</v>
      </c>
      <c r="J291" s="89">
        <v>0</v>
      </c>
      <c r="K291" s="198">
        <f>[2]!Table3[[#This Row],[Residential Incentive Disbursements]]/'[2]1.) CLM Reference'!$B$5</f>
        <v>0</v>
      </c>
      <c r="L291" s="88">
        <v>106.00539999999999</v>
      </c>
      <c r="M291" s="197">
        <f>[2]!Table3[[#This Row],[C&amp;I CLM $ Collected]]/'[2]1.) CLM Reference'!$B$4</f>
        <v>3.6427205661584029E-6</v>
      </c>
      <c r="N291" s="89">
        <v>0</v>
      </c>
      <c r="O291" s="198">
        <f>[2]!Table3[[#This Row],[C&amp;I Incentive Disbursements]]/'[2]1.) CLM Reference'!$B$5</f>
        <v>0</v>
      </c>
      <c r="P291" t="str">
        <f t="shared" si="4"/>
        <v>N/A</v>
      </c>
      <c r="Q291" t="str">
        <f>VLOOKUP(Table8[[#This Row],[Census Tract]],'UI EnergyBurden'!$A$2:$B$184,2,FALSE)</f>
        <v>No</v>
      </c>
      <c r="R291">
        <f>VLOOKUP(Table8[[#This Row],[Census Tract]],'Population and Diversity Data'!$B$2:$K$823,10,FALSE)</f>
        <v>2</v>
      </c>
    </row>
    <row r="292" spans="1:18" ht="15.75" customHeight="1" x14ac:dyDescent="0.2">
      <c r="A292" s="195">
        <v>9001070200</v>
      </c>
      <c r="B292" s="195" t="s">
        <v>2987</v>
      </c>
      <c r="C292" s="195" t="s">
        <v>936</v>
      </c>
      <c r="D292" s="88">
        <f>[2]!Table3[[#This Row],[Residential CLM $ Collected]]+[2]!Table3[[#This Row],[C&amp;I CLM $ Collected]]</f>
        <v>0</v>
      </c>
      <c r="E292" s="197">
        <f>[2]!Table3[[#This Row],[CLM $ Collected ]]/'[2]1.) CLM Reference'!$B$4</f>
        <v>0</v>
      </c>
      <c r="F292" s="89">
        <f>[2]!Table3[[#This Row],[Residential Incentive Disbursements]]+[2]!Table3[[#This Row],[C&amp;I Incentive Disbursements]]</f>
        <v>1131.984850374592</v>
      </c>
      <c r="G292" s="198">
        <f>[2]!Table3[[#This Row],[Incentive Disbursements]]/'[2]1.) CLM Reference'!$B$5</f>
        <v>6.7376088382175764E-5</v>
      </c>
      <c r="H292" s="88">
        <v>0</v>
      </c>
      <c r="I292" s="197">
        <f>[2]!Table3[[#This Row],[Residential CLM $ Collected]]/'[2]1.) CLM Reference'!$B$4</f>
        <v>0</v>
      </c>
      <c r="J292" s="89">
        <v>1131.984850374592</v>
      </c>
      <c r="K292" s="198">
        <f>[2]!Table3[[#This Row],[Residential Incentive Disbursements]]/'[2]1.) CLM Reference'!$B$5</f>
        <v>6.7376088382175764E-5</v>
      </c>
      <c r="L292" s="88">
        <v>0</v>
      </c>
      <c r="M292" s="197">
        <f>[2]!Table3[[#This Row],[C&amp;I CLM $ Collected]]/'[2]1.) CLM Reference'!$B$4</f>
        <v>0</v>
      </c>
      <c r="N292" s="89">
        <v>0</v>
      </c>
      <c r="O292" s="198">
        <f>[2]!Table3[[#This Row],[C&amp;I Incentive Disbursements]]/'[2]1.) CLM Reference'!$B$5</f>
        <v>0</v>
      </c>
      <c r="P292" t="str">
        <f t="shared" si="4"/>
        <v>N/A</v>
      </c>
      <c r="Q292" t="str">
        <f>VLOOKUP(Table8[[#This Row],[Census Tract]],'UI EnergyBurden'!$A$2:$B$184,2,FALSE)</f>
        <v>No</v>
      </c>
      <c r="R292">
        <f>VLOOKUP(Table8[[#This Row],[Census Tract]],'Population and Diversity Data'!$B$2:$K$823,10,FALSE)</f>
        <v>4</v>
      </c>
    </row>
    <row r="293" spans="1:18" ht="15.75" hidden="1" customHeight="1" x14ac:dyDescent="0.2">
      <c r="A293" s="195">
        <v>9001072600</v>
      </c>
      <c r="B293" s="195" t="s">
        <v>2985</v>
      </c>
      <c r="C293" s="195" t="s">
        <v>944</v>
      </c>
      <c r="D293" s="88">
        <f>[2]!Table3[[#This Row],[Residential CLM $ Collected]]+[2]!Table3[[#This Row],[C&amp;I CLM $ Collected]]</f>
        <v>41.979599999999998</v>
      </c>
      <c r="E293" s="197">
        <f>[2]!Table3[[#This Row],[CLM $ Collected ]]/'[2]1.) CLM Reference'!$B$4</f>
        <v>1.4425675699455244E-6</v>
      </c>
      <c r="F293" s="89">
        <f>[2]!Table3[[#This Row],[Residential Incentive Disbursements]]+[2]!Table3[[#This Row],[C&amp;I Incentive Disbursements]]</f>
        <v>0</v>
      </c>
      <c r="G293" s="198">
        <f>[2]!Table3[[#This Row],[Incentive Disbursements]]/'[2]1.) CLM Reference'!$B$5</f>
        <v>0</v>
      </c>
      <c r="H293" s="88">
        <v>41.979599999999998</v>
      </c>
      <c r="I293" s="197">
        <f>[2]!Table3[[#This Row],[Residential CLM $ Collected]]/'[2]1.) CLM Reference'!$B$4</f>
        <v>1.4425675699455244E-6</v>
      </c>
      <c r="J293" s="89">
        <v>0</v>
      </c>
      <c r="K293" s="198">
        <f>[2]!Table3[[#This Row],[Residential Incentive Disbursements]]/'[2]1.) CLM Reference'!$B$5</f>
        <v>0</v>
      </c>
      <c r="L293" s="88">
        <v>0</v>
      </c>
      <c r="M293" s="197">
        <f>[2]!Table3[[#This Row],[C&amp;I CLM $ Collected]]/'[2]1.) CLM Reference'!$B$4</f>
        <v>0</v>
      </c>
      <c r="N293" s="89">
        <v>0</v>
      </c>
      <c r="O293" s="198">
        <f>[2]!Table3[[#This Row],[C&amp;I Incentive Disbursements]]/'[2]1.) CLM Reference'!$B$5</f>
        <v>0</v>
      </c>
      <c r="P293" t="str">
        <f t="shared" si="4"/>
        <v>N/A</v>
      </c>
      <c r="Q293" t="str">
        <f>VLOOKUP(Table8[[#This Row],[Census Tract]],'UI EnergyBurden'!$A$2:$B$184,2,FALSE)</f>
        <v>No</v>
      </c>
      <c r="R293">
        <f>VLOOKUP(Table8[[#This Row],[Census Tract]],'Population and Diversity Data'!$B$2:$K$823,10,FALSE)</f>
        <v>3</v>
      </c>
    </row>
    <row r="294" spans="1:18" ht="15.75" hidden="1" customHeight="1" x14ac:dyDescent="0.2">
      <c r="A294" s="195">
        <v>9001072700</v>
      </c>
      <c r="B294" s="195" t="s">
        <v>2985</v>
      </c>
      <c r="C294" s="195" t="s">
        <v>944</v>
      </c>
      <c r="D294" s="88">
        <f>[2]!Table3[[#This Row],[Residential CLM $ Collected]]+[2]!Table3[[#This Row],[C&amp;I CLM $ Collected]]</f>
        <v>284.05279999999999</v>
      </c>
      <c r="E294" s="197">
        <f>[2]!Table3[[#This Row],[CLM $ Collected ]]/'[2]1.) CLM Reference'!$B$4</f>
        <v>9.7610591199587914E-6</v>
      </c>
      <c r="F294" s="89">
        <f>[2]!Table3[[#This Row],[Residential Incentive Disbursements]]+[2]!Table3[[#This Row],[C&amp;I Incentive Disbursements]]</f>
        <v>0</v>
      </c>
      <c r="G294" s="198">
        <f>[2]!Table3[[#This Row],[Incentive Disbursements]]/'[2]1.) CLM Reference'!$B$5</f>
        <v>0</v>
      </c>
      <c r="H294" s="88">
        <v>284.05279999999999</v>
      </c>
      <c r="I294" s="197">
        <f>[2]!Table3[[#This Row],[Residential CLM $ Collected]]/'[2]1.) CLM Reference'!$B$4</f>
        <v>9.7610591199587914E-6</v>
      </c>
      <c r="J294" s="89">
        <v>0</v>
      </c>
      <c r="K294" s="198">
        <f>[2]!Table3[[#This Row],[Residential Incentive Disbursements]]/'[2]1.) CLM Reference'!$B$5</f>
        <v>0</v>
      </c>
      <c r="L294" s="88">
        <v>0</v>
      </c>
      <c r="M294" s="197">
        <f>[2]!Table3[[#This Row],[C&amp;I CLM $ Collected]]/'[2]1.) CLM Reference'!$B$4</f>
        <v>0</v>
      </c>
      <c r="N294" s="89">
        <v>0</v>
      </c>
      <c r="O294" s="198">
        <f>[2]!Table3[[#This Row],[C&amp;I Incentive Disbursements]]/'[2]1.) CLM Reference'!$B$5</f>
        <v>0</v>
      </c>
      <c r="P294" t="str">
        <f t="shared" si="4"/>
        <v>N/A</v>
      </c>
      <c r="Q294" t="str">
        <f>VLOOKUP(Table8[[#This Row],[Census Tract]],'UI EnergyBurden'!$A$2:$B$184,2,FALSE)</f>
        <v>No</v>
      </c>
      <c r="R294">
        <f>VLOOKUP(Table8[[#This Row],[Census Tract]],'Population and Diversity Data'!$B$2:$K$823,10,FALSE)</f>
        <v>4</v>
      </c>
    </row>
    <row r="295" spans="1:18" ht="15.75" hidden="1" customHeight="1" x14ac:dyDescent="0.2">
      <c r="A295" s="195">
        <v>9001072900</v>
      </c>
      <c r="B295" s="195" t="s">
        <v>2985</v>
      </c>
      <c r="C295" s="195" t="s">
        <v>944</v>
      </c>
      <c r="D295" s="88">
        <f>[2]!Table3[[#This Row],[Residential CLM $ Collected]]+[2]!Table3[[#This Row],[C&amp;I CLM $ Collected]]</f>
        <v>150.16140000000001</v>
      </c>
      <c r="E295" s="197">
        <f>[2]!Table3[[#This Row],[CLM $ Collected ]]/'[2]1.) CLM Reference'!$B$4</f>
        <v>5.160076939694945E-6</v>
      </c>
      <c r="F295" s="89">
        <f>[2]!Table3[[#This Row],[Residential Incentive Disbursements]]+[2]!Table3[[#This Row],[C&amp;I Incentive Disbursements]]</f>
        <v>0</v>
      </c>
      <c r="G295" s="198">
        <f>[2]!Table3[[#This Row],[Incentive Disbursements]]/'[2]1.) CLM Reference'!$B$5</f>
        <v>0</v>
      </c>
      <c r="H295" s="88">
        <v>78.866</v>
      </c>
      <c r="I295" s="197">
        <f>[2]!Table3[[#This Row],[Residential CLM $ Collected]]/'[2]1.) CLM Reference'!$B$4</f>
        <v>2.7101147693480579E-6</v>
      </c>
      <c r="J295" s="89">
        <v>0</v>
      </c>
      <c r="K295" s="198">
        <f>[2]!Table3[[#This Row],[Residential Incentive Disbursements]]/'[2]1.) CLM Reference'!$B$5</f>
        <v>0</v>
      </c>
      <c r="L295" s="88">
        <v>71.295400000000001</v>
      </c>
      <c r="M295" s="197">
        <f>[2]!Table3[[#This Row],[C&amp;I CLM $ Collected]]/'[2]1.) CLM Reference'!$B$4</f>
        <v>2.4499621703468863E-6</v>
      </c>
      <c r="N295" s="89">
        <v>0</v>
      </c>
      <c r="O295" s="198">
        <f>[2]!Table3[[#This Row],[C&amp;I Incentive Disbursements]]/'[2]1.) CLM Reference'!$B$5</f>
        <v>0</v>
      </c>
      <c r="P295" t="str">
        <f t="shared" si="4"/>
        <v>N/A</v>
      </c>
      <c r="Q295" t="str">
        <f>VLOOKUP(Table8[[#This Row],[Census Tract]],'UI EnergyBurden'!$A$2:$B$184,2,FALSE)</f>
        <v>No</v>
      </c>
      <c r="R295">
        <f>VLOOKUP(Table8[[#This Row],[Census Tract]],'Population and Diversity Data'!$B$2:$K$823,10,FALSE)</f>
        <v>4</v>
      </c>
    </row>
    <row r="296" spans="1:18" ht="15.75" hidden="1" customHeight="1" x14ac:dyDescent="0.2">
      <c r="A296" s="195">
        <v>9001073000</v>
      </c>
      <c r="B296" s="195" t="s">
        <v>2985</v>
      </c>
      <c r="C296" s="195" t="s">
        <v>944</v>
      </c>
      <c r="D296" s="88">
        <f>[2]!Table3[[#This Row],[Residential CLM $ Collected]]+[2]!Table3[[#This Row],[C&amp;I CLM $ Collected]]</f>
        <v>118.6635</v>
      </c>
      <c r="E296" s="197">
        <f>[2]!Table3[[#This Row],[CLM $ Collected ]]/'[2]1.) CLM Reference'!$B$4</f>
        <v>4.0776976635373073E-6</v>
      </c>
      <c r="F296" s="89">
        <f>[2]!Table3[[#This Row],[Residential Incentive Disbursements]]+[2]!Table3[[#This Row],[C&amp;I Incentive Disbursements]]</f>
        <v>0</v>
      </c>
      <c r="G296" s="198">
        <f>[2]!Table3[[#This Row],[Incentive Disbursements]]/'[2]1.) CLM Reference'!$B$5</f>
        <v>0</v>
      </c>
      <c r="H296" s="88">
        <v>118.6635</v>
      </c>
      <c r="I296" s="197">
        <f>[2]!Table3[[#This Row],[Residential CLM $ Collected]]/'[2]1.) CLM Reference'!$B$4</f>
        <v>4.0776976635373073E-6</v>
      </c>
      <c r="J296" s="89">
        <v>0</v>
      </c>
      <c r="K296" s="198">
        <f>[2]!Table3[[#This Row],[Residential Incentive Disbursements]]/'[2]1.) CLM Reference'!$B$5</f>
        <v>0</v>
      </c>
      <c r="L296" s="88">
        <v>0</v>
      </c>
      <c r="M296" s="197">
        <f>[2]!Table3[[#This Row],[C&amp;I CLM $ Collected]]/'[2]1.) CLM Reference'!$B$4</f>
        <v>0</v>
      </c>
      <c r="N296" s="89">
        <v>0</v>
      </c>
      <c r="O296" s="198">
        <f>[2]!Table3[[#This Row],[C&amp;I Incentive Disbursements]]/'[2]1.) CLM Reference'!$B$5</f>
        <v>0</v>
      </c>
      <c r="P296" t="str">
        <f t="shared" si="4"/>
        <v>N/A</v>
      </c>
      <c r="Q296" t="str">
        <f>VLOOKUP(Table8[[#This Row],[Census Tract]],'UI EnergyBurden'!$A$2:$B$184,2,FALSE)</f>
        <v>No</v>
      </c>
      <c r="R296">
        <f>VLOOKUP(Table8[[#This Row],[Census Tract]],'Population and Diversity Data'!$B$2:$K$823,10,FALSE)</f>
        <v>4</v>
      </c>
    </row>
    <row r="297" spans="1:18" ht="15.75" customHeight="1" x14ac:dyDescent="0.2">
      <c r="A297" s="195">
        <v>9001073100</v>
      </c>
      <c r="B297" s="195" t="s">
        <v>2985</v>
      </c>
      <c r="C297" s="195" t="s">
        <v>936</v>
      </c>
      <c r="D297" s="88">
        <f>[2]!Table3[[#This Row],[Residential CLM $ Collected]]+[2]!Table3[[#This Row],[C&amp;I CLM $ Collected]]</f>
        <v>99.9512</v>
      </c>
      <c r="E297" s="197">
        <f>[2]!Table3[[#This Row],[CLM $ Collected ]]/'[2]1.) CLM Reference'!$B$4</f>
        <v>3.4346768358235696E-6</v>
      </c>
      <c r="F297" s="89">
        <f>[2]!Table3[[#This Row],[Residential Incentive Disbursements]]+[2]!Table3[[#This Row],[C&amp;I Incentive Disbursements]]</f>
        <v>0</v>
      </c>
      <c r="G297" s="198">
        <f>[2]!Table3[[#This Row],[Incentive Disbursements]]/'[2]1.) CLM Reference'!$B$5</f>
        <v>0</v>
      </c>
      <c r="H297" s="88">
        <v>99.9512</v>
      </c>
      <c r="I297" s="197">
        <f>[2]!Table3[[#This Row],[Residential CLM $ Collected]]/'[2]1.) CLM Reference'!$B$4</f>
        <v>3.4346768358235696E-6</v>
      </c>
      <c r="J297" s="89">
        <v>0</v>
      </c>
      <c r="K297" s="198">
        <f>[2]!Table3[[#This Row],[Residential Incentive Disbursements]]/'[2]1.) CLM Reference'!$B$5</f>
        <v>0</v>
      </c>
      <c r="L297" s="88">
        <v>0</v>
      </c>
      <c r="M297" s="197">
        <f>[2]!Table3[[#This Row],[C&amp;I CLM $ Collected]]/'[2]1.) CLM Reference'!$B$4</f>
        <v>0</v>
      </c>
      <c r="N297" s="89">
        <v>0</v>
      </c>
      <c r="O297" s="198">
        <f>[2]!Table3[[#This Row],[C&amp;I Incentive Disbursements]]/'[2]1.) CLM Reference'!$B$5</f>
        <v>0</v>
      </c>
      <c r="P297" t="str">
        <f t="shared" si="4"/>
        <v>N/A</v>
      </c>
      <c r="Q297" t="str">
        <f>VLOOKUP(Table8[[#This Row],[Census Tract]],'UI EnergyBurden'!$A$2:$B$184,2,FALSE)</f>
        <v>No</v>
      </c>
      <c r="R297">
        <f>VLOOKUP(Table8[[#This Row],[Census Tract]],'Population and Diversity Data'!$B$2:$K$823,10,FALSE)</f>
        <v>5</v>
      </c>
    </row>
    <row r="298" spans="1:18" ht="15.75" hidden="1" customHeight="1" x14ac:dyDescent="0.2">
      <c r="A298" s="195">
        <v>9001081100</v>
      </c>
      <c r="B298" s="195" t="s">
        <v>2985</v>
      </c>
      <c r="C298" s="195" t="s">
        <v>944</v>
      </c>
      <c r="D298" s="88">
        <f>[2]!Table3[[#This Row],[Residential CLM $ Collected]]+[2]!Table3[[#This Row],[C&amp;I CLM $ Collected]]</f>
        <v>354.03429999999997</v>
      </c>
      <c r="E298" s="197">
        <f>[2]!Table3[[#This Row],[CLM $ Collected ]]/'[2]1.) CLM Reference'!$B$4</f>
        <v>1.2165871038036684E-5</v>
      </c>
      <c r="F298" s="89">
        <f>[2]!Table3[[#This Row],[Residential Incentive Disbursements]]+[2]!Table3[[#This Row],[C&amp;I Incentive Disbursements]]</f>
        <v>456.39679458117075</v>
      </c>
      <c r="G298" s="198">
        <f>[2]!Table3[[#This Row],[Incentive Disbursements]]/'[2]1.) CLM Reference'!$B$5</f>
        <v>2.7164878362874672E-5</v>
      </c>
      <c r="H298" s="88">
        <v>354.03429999999997</v>
      </c>
      <c r="I298" s="197">
        <f>[2]!Table3[[#This Row],[Residential CLM $ Collected]]/'[2]1.) CLM Reference'!$B$4</f>
        <v>1.2165871038036684E-5</v>
      </c>
      <c r="J298" s="89">
        <v>456.39679458117075</v>
      </c>
      <c r="K298" s="198">
        <f>[2]!Table3[[#This Row],[Residential Incentive Disbursements]]/'[2]1.) CLM Reference'!$B$5</f>
        <v>2.7164878362874672E-5</v>
      </c>
      <c r="L298" s="88">
        <v>0</v>
      </c>
      <c r="M298" s="197">
        <f>[2]!Table3[[#This Row],[C&amp;I CLM $ Collected]]/'[2]1.) CLM Reference'!$B$4</f>
        <v>0</v>
      </c>
      <c r="N298" s="89">
        <v>0</v>
      </c>
      <c r="O298" s="198">
        <f>[2]!Table3[[#This Row],[C&amp;I Incentive Disbursements]]/'[2]1.) CLM Reference'!$B$5</f>
        <v>0</v>
      </c>
      <c r="P298" t="str">
        <f t="shared" si="4"/>
        <v>N/A</v>
      </c>
      <c r="Q298" t="str">
        <f>VLOOKUP(Table8[[#This Row],[Census Tract]],'UI EnergyBurden'!$A$2:$B$184,2,FALSE)</f>
        <v>No</v>
      </c>
      <c r="R298">
        <f>VLOOKUP(Table8[[#This Row],[Census Tract]],'Population and Diversity Data'!$B$2:$K$823,10,FALSE)</f>
        <v>1</v>
      </c>
    </row>
    <row r="299" spans="1:18" ht="15.75" hidden="1" customHeight="1" x14ac:dyDescent="0.2">
      <c r="A299" s="195">
        <v>9001090100</v>
      </c>
      <c r="B299" s="195" t="s">
        <v>2985</v>
      </c>
      <c r="C299" s="195" t="s">
        <v>944</v>
      </c>
      <c r="D299" s="88">
        <f>[2]!Table3[[#This Row],[Residential CLM $ Collected]]+[2]!Table3[[#This Row],[C&amp;I CLM $ Collected]]</f>
        <v>86625.2886</v>
      </c>
      <c r="E299" s="197">
        <f>[2]!Table3[[#This Row],[CLM $ Collected ]]/'[2]1.) CLM Reference'!$B$4</f>
        <v>2.9767513761810916E-3</v>
      </c>
      <c r="F299" s="89">
        <f>[2]!Table3[[#This Row],[Residential Incentive Disbursements]]+[2]!Table3[[#This Row],[C&amp;I Incentive Disbursements]]</f>
        <v>23190.833448844209</v>
      </c>
      <c r="G299" s="198">
        <f>[2]!Table3[[#This Row],[Incentive Disbursements]]/'[2]1.) CLM Reference'!$B$5</f>
        <v>1.3803255790822524E-3</v>
      </c>
      <c r="H299" s="88">
        <v>71254.085099999997</v>
      </c>
      <c r="I299" s="197">
        <f>[2]!Table3[[#This Row],[Residential CLM $ Collected]]/'[2]1.) CLM Reference'!$B$4</f>
        <v>2.448542444220493E-3</v>
      </c>
      <c r="J299" s="89">
        <v>23065.833448844209</v>
      </c>
      <c r="K299" s="198">
        <f>[2]!Table3[[#This Row],[Residential Incentive Disbursements]]/'[2]1.) CLM Reference'!$B$5</f>
        <v>1.3728855404236209E-3</v>
      </c>
      <c r="L299" s="88">
        <v>15371.2035</v>
      </c>
      <c r="M299" s="197">
        <f>[2]!Table3[[#This Row],[C&amp;I CLM $ Collected]]/'[2]1.) CLM Reference'!$B$4</f>
        <v>5.2820893196059849E-4</v>
      </c>
      <c r="N299" s="89">
        <v>125</v>
      </c>
      <c r="O299" s="198">
        <f>[2]!Table3[[#This Row],[C&amp;I Incentive Disbursements]]/'[2]1.) CLM Reference'!$B$5</f>
        <v>7.4400386586313345E-6</v>
      </c>
      <c r="P299" t="str">
        <f t="shared" si="4"/>
        <v>NO</v>
      </c>
      <c r="Q299" t="str">
        <f>VLOOKUP(Table8[[#This Row],[Census Tract]],'UI EnergyBurden'!$A$2:$B$184,2,FALSE)</f>
        <v>No</v>
      </c>
      <c r="R299">
        <f>VLOOKUP(Table8[[#This Row],[Census Tract]],'Population and Diversity Data'!$B$2:$K$823,10,FALSE)</f>
        <v>1</v>
      </c>
    </row>
    <row r="300" spans="1:18" ht="16" hidden="1" x14ac:dyDescent="0.2">
      <c r="A300" s="195">
        <v>9001090200</v>
      </c>
      <c r="B300" s="195" t="s">
        <v>2985</v>
      </c>
      <c r="C300" s="195" t="s">
        <v>944</v>
      </c>
      <c r="D300" s="88">
        <f>[2]!Table3[[#This Row],[Residential CLM $ Collected]]+[2]!Table3[[#This Row],[C&amp;I CLM $ Collected]]</f>
        <v>164245.96470000001</v>
      </c>
      <c r="E300" s="197">
        <f>[2]!Table3[[#This Row],[CLM $ Collected ]]/'[2]1.) CLM Reference'!$B$4</f>
        <v>5.6440724106622603E-3</v>
      </c>
      <c r="F300" s="89">
        <f>[2]!Table3[[#This Row],[Residential Incentive Disbursements]]+[2]!Table3[[#This Row],[C&amp;I Incentive Disbursements]]</f>
        <v>54958.23430503298</v>
      </c>
      <c r="G300" s="198">
        <f>[2]!Table3[[#This Row],[Incentive Disbursements]]/'[2]1.) CLM Reference'!$B$5</f>
        <v>3.2711311027165133E-3</v>
      </c>
      <c r="H300" s="88">
        <v>141902.04870000001</v>
      </c>
      <c r="I300" s="197">
        <f>[2]!Table3[[#This Row],[Residential CLM $ Collected]]/'[2]1.) CLM Reference'!$B$4</f>
        <v>4.8762564093857612E-3</v>
      </c>
      <c r="J300" s="89">
        <v>50138.23430503298</v>
      </c>
      <c r="K300" s="198">
        <f>[2]!Table3[[#This Row],[Residential Incentive Disbursements]]/'[2]1.) CLM Reference'!$B$5</f>
        <v>2.9842432120396889E-3</v>
      </c>
      <c r="L300" s="88">
        <v>22343.916000000001</v>
      </c>
      <c r="M300" s="197">
        <f>[2]!Table3[[#This Row],[C&amp;I CLM $ Collected]]/'[2]1.) CLM Reference'!$B$4</f>
        <v>7.6781600127649925E-4</v>
      </c>
      <c r="N300" s="89">
        <v>4820</v>
      </c>
      <c r="O300" s="198">
        <f>[2]!Table3[[#This Row],[C&amp;I Incentive Disbursements]]/'[2]1.) CLM Reference'!$B$5</f>
        <v>2.8688789067682423E-4</v>
      </c>
      <c r="P300" t="str">
        <f t="shared" si="4"/>
        <v>NO</v>
      </c>
      <c r="Q300" t="str">
        <f>VLOOKUP(Table8[[#This Row],[Census Tract]],'UI EnergyBurden'!$A$2:$B$184,2,FALSE)</f>
        <v>No</v>
      </c>
      <c r="R300">
        <f>VLOOKUP(Table8[[#This Row],[Census Tract]],'Population and Diversity Data'!$B$2:$K$823,10,FALSE)</f>
        <v>3</v>
      </c>
    </row>
    <row r="301" spans="1:18" ht="15.75" hidden="1" customHeight="1" x14ac:dyDescent="0.2">
      <c r="A301" s="195">
        <v>9001090300</v>
      </c>
      <c r="B301" s="195" t="s">
        <v>2985</v>
      </c>
      <c r="C301" s="195" t="s">
        <v>944</v>
      </c>
      <c r="D301" s="88">
        <f>[2]!Table3[[#This Row],[Residential CLM $ Collected]]+[2]!Table3[[#This Row],[C&amp;I CLM $ Collected]]</f>
        <v>147312.39360000001</v>
      </c>
      <c r="E301" s="197">
        <f>[2]!Table3[[#This Row],[CLM $ Collected ]]/'[2]1.) CLM Reference'!$B$4</f>
        <v>5.0621750006767732E-3</v>
      </c>
      <c r="F301" s="89">
        <f>[2]!Table3[[#This Row],[Residential Incentive Disbursements]]+[2]!Table3[[#This Row],[C&amp;I Incentive Disbursements]]</f>
        <v>59808.200392330225</v>
      </c>
      <c r="G301" s="198">
        <f>[2]!Table3[[#This Row],[Incentive Disbursements]]/'[2]1.) CLM Reference'!$B$5</f>
        <v>3.5598025841768527E-3</v>
      </c>
      <c r="H301" s="88">
        <v>88643.617499999993</v>
      </c>
      <c r="I301" s="197">
        <f>[2]!Table3[[#This Row],[Residential CLM $ Collected]]/'[2]1.) CLM Reference'!$B$4</f>
        <v>3.0461082975577558E-3</v>
      </c>
      <c r="J301" s="89">
        <v>56228.130392330226</v>
      </c>
      <c r="K301" s="198">
        <f>[2]!Table3[[#This Row],[Residential Incentive Disbursements]]/'[2]1.) CLM Reference'!$B$5</f>
        <v>3.3467157105720024E-3</v>
      </c>
      <c r="L301" s="88">
        <v>58668.776100000003</v>
      </c>
      <c r="M301" s="197">
        <f>[2]!Table3[[#This Row],[C&amp;I CLM $ Collected]]/'[2]1.) CLM Reference'!$B$4</f>
        <v>2.0160667031190165E-3</v>
      </c>
      <c r="N301" s="89">
        <v>3580.07</v>
      </c>
      <c r="O301" s="198">
        <f>[2]!Table3[[#This Row],[C&amp;I Incentive Disbursements]]/'[2]1.) CLM Reference'!$B$5</f>
        <v>2.1308687360485024E-4</v>
      </c>
      <c r="P301" t="str">
        <f t="shared" si="4"/>
        <v>NO</v>
      </c>
      <c r="Q301" t="str">
        <f>VLOOKUP(Table8[[#This Row],[Census Tract]],'UI EnergyBurden'!$A$2:$B$184,2,FALSE)</f>
        <v>No</v>
      </c>
      <c r="R301">
        <f>VLOOKUP(Table8[[#This Row],[Census Tract]],'Population and Diversity Data'!$B$2:$K$823,10,FALSE)</f>
        <v>3</v>
      </c>
    </row>
    <row r="302" spans="1:18" ht="15.75" hidden="1" customHeight="1" x14ac:dyDescent="0.2">
      <c r="A302" s="195">
        <v>9001090400</v>
      </c>
      <c r="B302" s="195" t="s">
        <v>2985</v>
      </c>
      <c r="C302" s="195" t="s">
        <v>944</v>
      </c>
      <c r="D302" s="88">
        <f>[2]!Table3[[#This Row],[Residential CLM $ Collected]]+[2]!Table3[[#This Row],[C&amp;I CLM $ Collected]]</f>
        <v>153834.68300000002</v>
      </c>
      <c r="E302" s="197">
        <f>[2]!Table3[[#This Row],[CLM $ Collected ]]/'[2]1.) CLM Reference'!$B$4</f>
        <v>5.2863039387857462E-3</v>
      </c>
      <c r="F302" s="89">
        <f>[2]!Table3[[#This Row],[Residential Incentive Disbursements]]+[2]!Table3[[#This Row],[C&amp;I Incentive Disbursements]]</f>
        <v>76811.545526798436</v>
      </c>
      <c r="G302" s="198">
        <f>[2]!Table3[[#This Row],[Incentive Disbursements]]/'[2]1.) CLM Reference'!$B$5</f>
        <v>4.5718469451888084E-3</v>
      </c>
      <c r="H302" s="88">
        <v>107562.7838</v>
      </c>
      <c r="I302" s="197">
        <f>[2]!Table3[[#This Row],[Residential CLM $ Collected]]/'[2]1.) CLM Reference'!$B$4</f>
        <v>3.6962377831837806E-3</v>
      </c>
      <c r="J302" s="89">
        <v>40031.155526798437</v>
      </c>
      <c r="K302" s="198">
        <f>[2]!Table3[[#This Row],[Residential Incentive Disbursements]]/'[2]1.) CLM Reference'!$B$5</f>
        <v>2.38266675735251E-3</v>
      </c>
      <c r="L302" s="88">
        <v>46271.8992</v>
      </c>
      <c r="M302" s="197">
        <f>[2]!Table3[[#This Row],[C&amp;I CLM $ Collected]]/'[2]1.) CLM Reference'!$B$4</f>
        <v>1.5900661556019653E-3</v>
      </c>
      <c r="N302" s="89">
        <v>36780.39</v>
      </c>
      <c r="O302" s="198">
        <f>[2]!Table3[[#This Row],[C&amp;I Incentive Disbursements]]/'[2]1.) CLM Reference'!$B$5</f>
        <v>2.1891801878362988E-3</v>
      </c>
      <c r="P302" t="str">
        <f t="shared" si="4"/>
        <v>YES</v>
      </c>
      <c r="Q302" t="str">
        <f>VLOOKUP(Table8[[#This Row],[Census Tract]],'UI EnergyBurden'!$A$2:$B$184,2,FALSE)</f>
        <v>No</v>
      </c>
      <c r="R302">
        <f>VLOOKUP(Table8[[#This Row],[Census Tract]],'Population and Diversity Data'!$B$2:$K$823,10,FALSE)</f>
        <v>4</v>
      </c>
    </row>
    <row r="303" spans="1:18" ht="16" hidden="1" x14ac:dyDescent="0.2">
      <c r="A303" s="195">
        <v>9001090500</v>
      </c>
      <c r="B303" s="195" t="s">
        <v>2985</v>
      </c>
      <c r="C303" s="195" t="s">
        <v>944</v>
      </c>
      <c r="D303" s="88">
        <f>[2]!Table3[[#This Row],[Residential CLM $ Collected]]+[2]!Table3[[#This Row],[C&amp;I CLM $ Collected]]</f>
        <v>112896.4971000001</v>
      </c>
      <c r="E303" s="197">
        <f>[2]!Table3[[#This Row],[CLM $ Collected ]]/'[2]1.) CLM Reference'!$B$4</f>
        <v>3.8795230415942291E-3</v>
      </c>
      <c r="F303" s="89">
        <f>[2]!Table3[[#This Row],[Residential Incentive Disbursements]]+[2]!Table3[[#This Row],[C&amp;I Incentive Disbursements]]</f>
        <v>69357.767803954281</v>
      </c>
      <c r="G303" s="198">
        <f>[2]!Table3[[#This Row],[Incentive Disbursements]]/'[2]1.) CLM Reference'!$B$5</f>
        <v>4.1281957899023643E-3</v>
      </c>
      <c r="H303" s="88">
        <v>87751.845200000098</v>
      </c>
      <c r="I303" s="197">
        <f>[2]!Table3[[#This Row],[Residential CLM $ Collected]]/'[2]1.) CLM Reference'!$B$4</f>
        <v>3.0154638464492275E-3</v>
      </c>
      <c r="J303" s="89">
        <v>63272.767803954281</v>
      </c>
      <c r="K303" s="198">
        <f>[2]!Table3[[#This Row],[Residential Incentive Disbursements]]/'[2]1.) CLM Reference'!$B$5</f>
        <v>3.7660147080001908E-3</v>
      </c>
      <c r="L303" s="88">
        <v>25144.651900000001</v>
      </c>
      <c r="M303" s="197">
        <f>[2]!Table3[[#This Row],[C&amp;I CLM $ Collected]]/'[2]1.) CLM Reference'!$B$4</f>
        <v>8.6405919514500175E-4</v>
      </c>
      <c r="N303" s="89">
        <v>6085</v>
      </c>
      <c r="O303" s="198">
        <f>[2]!Table3[[#This Row],[C&amp;I Incentive Disbursements]]/'[2]1.) CLM Reference'!$B$5</f>
        <v>3.6218108190217335E-4</v>
      </c>
      <c r="P303" t="str">
        <f t="shared" si="4"/>
        <v>NO</v>
      </c>
      <c r="Q303" t="str">
        <f>VLOOKUP(Table8[[#This Row],[Census Tract]],'UI EnergyBurden'!$A$2:$B$184,2,FALSE)</f>
        <v>No</v>
      </c>
      <c r="R303">
        <f>VLOOKUP(Table8[[#This Row],[Census Tract]],'Population and Diversity Data'!$B$2:$K$823,10,FALSE)</f>
        <v>3</v>
      </c>
    </row>
    <row r="304" spans="1:18" ht="15.75" hidden="1" customHeight="1" x14ac:dyDescent="0.2">
      <c r="A304" s="195">
        <v>9001090600</v>
      </c>
      <c r="B304" s="195" t="s">
        <v>2985</v>
      </c>
      <c r="C304" s="195" t="s">
        <v>944</v>
      </c>
      <c r="D304" s="88">
        <f>[2]!Table3[[#This Row],[Residential CLM $ Collected]]+[2]!Table3[[#This Row],[C&amp;I CLM $ Collected]]</f>
        <v>79421.60430000021</v>
      </c>
      <c r="E304" s="197">
        <f>[2]!Table3[[#This Row],[CLM $ Collected ]]/'[2]1.) CLM Reference'!$B$4</f>
        <v>2.7292072986933253E-3</v>
      </c>
      <c r="F304" s="89">
        <f>[2]!Table3[[#This Row],[Residential Incentive Disbursements]]+[2]!Table3[[#This Row],[C&amp;I Incentive Disbursements]]</f>
        <v>45163.260094483318</v>
      </c>
      <c r="G304" s="198">
        <f>[2]!Table3[[#This Row],[Incentive Disbursements]]/'[2]1.) CLM Reference'!$B$5</f>
        <v>2.6881312084222216E-3</v>
      </c>
      <c r="H304" s="88">
        <v>74716.111200000203</v>
      </c>
      <c r="I304" s="197">
        <f>[2]!Table3[[#This Row],[Residential CLM $ Collected]]/'[2]1.) CLM Reference'!$B$4</f>
        <v>2.5675099088501054E-3</v>
      </c>
      <c r="J304" s="89">
        <v>45163.260094483318</v>
      </c>
      <c r="K304" s="198">
        <f>[2]!Table3[[#This Row],[Residential Incentive Disbursements]]/'[2]1.) CLM Reference'!$B$5</f>
        <v>2.6881312084222216E-3</v>
      </c>
      <c r="L304" s="88">
        <v>4705.4930999999997</v>
      </c>
      <c r="M304" s="197">
        <f>[2]!Table3[[#This Row],[C&amp;I CLM $ Collected]]/'[2]1.) CLM Reference'!$B$4</f>
        <v>1.6169738984321986E-4</v>
      </c>
      <c r="N304" s="89">
        <v>0</v>
      </c>
      <c r="O304" s="198">
        <f>[2]!Table3[[#This Row],[C&amp;I Incentive Disbursements]]/'[2]1.) CLM Reference'!$B$5</f>
        <v>0</v>
      </c>
      <c r="P304" t="str">
        <f t="shared" si="4"/>
        <v>NO</v>
      </c>
      <c r="Q304" t="str">
        <f>VLOOKUP(Table8[[#This Row],[Census Tract]],'UI EnergyBurden'!$A$2:$B$184,2,FALSE)</f>
        <v>No</v>
      </c>
      <c r="R304">
        <f>VLOOKUP(Table8[[#This Row],[Census Tract]],'Population and Diversity Data'!$B$2:$K$823,10,FALSE)</f>
        <v>2</v>
      </c>
    </row>
    <row r="305" spans="1:18" ht="16" hidden="1" x14ac:dyDescent="0.2">
      <c r="A305" s="195">
        <v>9001090700</v>
      </c>
      <c r="B305" s="195" t="s">
        <v>2985</v>
      </c>
      <c r="C305" s="195" t="s">
        <v>944</v>
      </c>
      <c r="D305" s="88">
        <f>[2]!Table3[[#This Row],[Residential CLM $ Collected]]+[2]!Table3[[#This Row],[C&amp;I CLM $ Collected]]</f>
        <v>134792.9963</v>
      </c>
      <c r="E305" s="197">
        <f>[2]!Table3[[#This Row],[CLM $ Collected ]]/'[2]1.) CLM Reference'!$B$4</f>
        <v>4.6319642187673798E-3</v>
      </c>
      <c r="F305" s="89">
        <f>[2]!Table3[[#This Row],[Residential Incentive Disbursements]]+[2]!Table3[[#This Row],[C&amp;I Incentive Disbursements]]</f>
        <v>63053.715273533191</v>
      </c>
      <c r="G305" s="198">
        <f>[2]!Table3[[#This Row],[Incentive Disbursements]]/'[2]1.) CLM Reference'!$B$5</f>
        <v>3.7529766336433595E-3</v>
      </c>
      <c r="H305" s="88">
        <v>109772.8824</v>
      </c>
      <c r="I305" s="197">
        <f>[2]!Table3[[#This Row],[Residential CLM $ Collected]]/'[2]1.) CLM Reference'!$B$4</f>
        <v>3.7721845898885135E-3</v>
      </c>
      <c r="J305" s="89">
        <v>55075.715273533191</v>
      </c>
      <c r="K305" s="198">
        <f>[2]!Table3[[#This Row],[Residential Incentive Disbursements]]/'[2]1.) CLM Reference'!$B$5</f>
        <v>3.2781236062948732E-3</v>
      </c>
      <c r="L305" s="88">
        <v>25020.1139</v>
      </c>
      <c r="M305" s="197">
        <f>[2]!Table3[[#This Row],[C&amp;I CLM $ Collected]]/'[2]1.) CLM Reference'!$B$4</f>
        <v>8.5977962887886594E-4</v>
      </c>
      <c r="N305" s="89">
        <v>7978</v>
      </c>
      <c r="O305" s="198">
        <f>[2]!Table3[[#This Row],[C&amp;I Incentive Disbursements]]/'[2]1.) CLM Reference'!$B$5</f>
        <v>4.7485302734848628E-4</v>
      </c>
      <c r="P305" t="str">
        <f t="shared" si="4"/>
        <v>NO</v>
      </c>
      <c r="Q305" t="str">
        <f>VLOOKUP(Table8[[#This Row],[Census Tract]],'UI EnergyBurden'!$A$2:$B$184,2,FALSE)</f>
        <v>No</v>
      </c>
      <c r="R305">
        <f>VLOOKUP(Table8[[#This Row],[Census Tract]],'Population and Diversity Data'!$B$2:$K$823,10,FALSE)</f>
        <v>3</v>
      </c>
    </row>
    <row r="306" spans="1:18" ht="15.75" hidden="1" customHeight="1" x14ac:dyDescent="0.2">
      <c r="A306" s="195">
        <v>9001100100</v>
      </c>
      <c r="B306" s="195" t="s">
        <v>2985</v>
      </c>
      <c r="C306" s="195" t="s">
        <v>944</v>
      </c>
      <c r="D306" s="88">
        <f>[2]!Table3[[#This Row],[Residential CLM $ Collected]]+[2]!Table3[[#This Row],[C&amp;I CLM $ Collected]]</f>
        <v>601.6232</v>
      </c>
      <c r="E306" s="197">
        <f>[2]!Table3[[#This Row],[CLM $ Collected ]]/'[2]1.) CLM Reference'!$B$4</f>
        <v>2.0673901553298514E-5</v>
      </c>
      <c r="F306" s="89">
        <f>[2]!Table3[[#This Row],[Residential Incentive Disbursements]]+[2]!Table3[[#This Row],[C&amp;I Incentive Disbursements]]</f>
        <v>0</v>
      </c>
      <c r="G306" s="198">
        <f>[2]!Table3[[#This Row],[Incentive Disbursements]]/'[2]1.) CLM Reference'!$B$5</f>
        <v>0</v>
      </c>
      <c r="H306" s="88">
        <v>84.520700000000005</v>
      </c>
      <c r="I306" s="197">
        <f>[2]!Table3[[#This Row],[Residential CLM $ Collected]]/'[2]1.) CLM Reference'!$B$4</f>
        <v>2.9044302663459088E-6</v>
      </c>
      <c r="J306" s="89">
        <v>0</v>
      </c>
      <c r="K306" s="198">
        <f>[2]!Table3[[#This Row],[Residential Incentive Disbursements]]/'[2]1.) CLM Reference'!$B$5</f>
        <v>0</v>
      </c>
      <c r="L306" s="88">
        <v>517.10249999999996</v>
      </c>
      <c r="M306" s="197">
        <f>[2]!Table3[[#This Row],[C&amp;I CLM $ Collected]]/'[2]1.) CLM Reference'!$B$4</f>
        <v>1.7769471286952605E-5</v>
      </c>
      <c r="N306" s="89">
        <v>0</v>
      </c>
      <c r="O306" s="198">
        <f>[2]!Table3[[#This Row],[C&amp;I Incentive Disbursements]]/'[2]1.) CLM Reference'!$B$5</f>
        <v>0</v>
      </c>
      <c r="P306" t="str">
        <f t="shared" si="4"/>
        <v>NO</v>
      </c>
      <c r="Q306" t="str">
        <f>VLOOKUP(Table8[[#This Row],[Census Tract]],'UI EnergyBurden'!$A$2:$B$184,2,FALSE)</f>
        <v>No</v>
      </c>
      <c r="R306">
        <f>VLOOKUP(Table8[[#This Row],[Census Tract]],'Population and Diversity Data'!$B$2:$K$823,10,FALSE)</f>
        <v>3</v>
      </c>
    </row>
    <row r="307" spans="1:18" ht="15.75" hidden="1" customHeight="1" x14ac:dyDescent="0.2">
      <c r="A307" s="195">
        <v>9001105100</v>
      </c>
      <c r="B307" s="195" t="s">
        <v>2985</v>
      </c>
      <c r="C307" s="195" t="s">
        <v>944</v>
      </c>
      <c r="D307" s="88">
        <f>[2]!Table3[[#This Row],[Residential CLM $ Collected]]+[2]!Table3[[#This Row],[C&amp;I CLM $ Collected]]</f>
        <v>416.27140000000003</v>
      </c>
      <c r="E307" s="197">
        <f>[2]!Table3[[#This Row],[CLM $ Collected ]]/'[2]1.) CLM Reference'!$B$4</f>
        <v>1.4304557974249909E-5</v>
      </c>
      <c r="F307" s="89">
        <f>[2]!Table3[[#This Row],[Residential Incentive Disbursements]]+[2]!Table3[[#This Row],[C&amp;I Incentive Disbursements]]</f>
        <v>0</v>
      </c>
      <c r="G307" s="198">
        <f>[2]!Table3[[#This Row],[Incentive Disbursements]]/'[2]1.) CLM Reference'!$B$5</f>
        <v>0</v>
      </c>
      <c r="H307" s="88">
        <v>416.27140000000003</v>
      </c>
      <c r="I307" s="197">
        <f>[2]!Table3[[#This Row],[Residential CLM $ Collected]]/'[2]1.) CLM Reference'!$B$4</f>
        <v>1.4304557974249909E-5</v>
      </c>
      <c r="J307" s="89">
        <v>0</v>
      </c>
      <c r="K307" s="198">
        <f>[2]!Table3[[#This Row],[Residential Incentive Disbursements]]/'[2]1.) CLM Reference'!$B$5</f>
        <v>0</v>
      </c>
      <c r="L307" s="88">
        <v>0</v>
      </c>
      <c r="M307" s="197">
        <f>[2]!Table3[[#This Row],[C&amp;I CLM $ Collected]]/'[2]1.) CLM Reference'!$B$4</f>
        <v>0</v>
      </c>
      <c r="N307" s="89">
        <v>0</v>
      </c>
      <c r="O307" s="198">
        <f>[2]!Table3[[#This Row],[C&amp;I Incentive Disbursements]]/'[2]1.) CLM Reference'!$B$5</f>
        <v>0</v>
      </c>
      <c r="P307" t="str">
        <f t="shared" si="4"/>
        <v>N/A</v>
      </c>
      <c r="Q307" t="str">
        <f>VLOOKUP(Table8[[#This Row],[Census Tract]],'UI EnergyBurden'!$A$2:$B$184,2,FALSE)</f>
        <v>No</v>
      </c>
      <c r="R307">
        <f>VLOOKUP(Table8[[#This Row],[Census Tract]],'Population and Diversity Data'!$B$2:$K$823,10,FALSE)</f>
        <v>1</v>
      </c>
    </row>
    <row r="308" spans="1:18" ht="15.75" hidden="1" customHeight="1" x14ac:dyDescent="0.2">
      <c r="A308" s="195">
        <v>9001105200</v>
      </c>
      <c r="B308" s="195" t="s">
        <v>2985</v>
      </c>
      <c r="C308" s="195" t="s">
        <v>944</v>
      </c>
      <c r="D308" s="88">
        <f>[2]!Table3[[#This Row],[Residential CLM $ Collected]]+[2]!Table3[[#This Row],[C&amp;I CLM $ Collected]]</f>
        <v>85.672499999999999</v>
      </c>
      <c r="E308" s="197">
        <f>[2]!Table3[[#This Row],[CLM $ Collected ]]/'[2]1.) CLM Reference'!$B$4</f>
        <v>2.9440101891432495E-6</v>
      </c>
      <c r="F308" s="89">
        <f>[2]!Table3[[#This Row],[Residential Incentive Disbursements]]+[2]!Table3[[#This Row],[C&amp;I Incentive Disbursements]]</f>
        <v>0</v>
      </c>
      <c r="G308" s="198">
        <f>[2]!Table3[[#This Row],[Incentive Disbursements]]/'[2]1.) CLM Reference'!$B$5</f>
        <v>0</v>
      </c>
      <c r="H308" s="88">
        <v>85.672499999999999</v>
      </c>
      <c r="I308" s="197">
        <f>[2]!Table3[[#This Row],[Residential CLM $ Collected]]/'[2]1.) CLM Reference'!$B$4</f>
        <v>2.9440101891432495E-6</v>
      </c>
      <c r="J308" s="89">
        <v>0</v>
      </c>
      <c r="K308" s="198">
        <f>[2]!Table3[[#This Row],[Residential Incentive Disbursements]]/'[2]1.) CLM Reference'!$B$5</f>
        <v>0</v>
      </c>
      <c r="L308" s="88">
        <v>0</v>
      </c>
      <c r="M308" s="197">
        <f>[2]!Table3[[#This Row],[C&amp;I CLM $ Collected]]/'[2]1.) CLM Reference'!$B$4</f>
        <v>0</v>
      </c>
      <c r="N308" s="89">
        <v>0</v>
      </c>
      <c r="O308" s="198">
        <f>[2]!Table3[[#This Row],[C&amp;I Incentive Disbursements]]/'[2]1.) CLM Reference'!$B$5</f>
        <v>0</v>
      </c>
      <c r="P308" t="str">
        <f t="shared" si="4"/>
        <v>N/A</v>
      </c>
      <c r="Q308" t="str">
        <f>VLOOKUP(Table8[[#This Row],[Census Tract]],'UI EnergyBurden'!$A$2:$B$184,2,FALSE)</f>
        <v>No</v>
      </c>
      <c r="R308">
        <f>VLOOKUP(Table8[[#This Row],[Census Tract]],'Population and Diversity Data'!$B$2:$K$823,10,FALSE)</f>
        <v>3</v>
      </c>
    </row>
    <row r="309" spans="1:18" ht="15.75" hidden="1" customHeight="1" x14ac:dyDescent="0.2">
      <c r="A309" s="195">
        <v>9001110302</v>
      </c>
      <c r="B309" s="195" t="s">
        <v>2985</v>
      </c>
      <c r="C309" s="195" t="s">
        <v>944</v>
      </c>
      <c r="D309" s="88">
        <f>[2]!Table3[[#This Row],[Residential CLM $ Collected]]+[2]!Table3[[#This Row],[C&amp;I CLM $ Collected]]</f>
        <v>146.7696</v>
      </c>
      <c r="E309" s="197">
        <f>[2]!Table3[[#This Row],[CLM $ Collected ]]/'[2]1.) CLM Reference'!$B$4</f>
        <v>5.0435226923047538E-6</v>
      </c>
      <c r="F309" s="89">
        <f>[2]!Table3[[#This Row],[Residential Incentive Disbursements]]+[2]!Table3[[#This Row],[C&amp;I Incentive Disbursements]]</f>
        <v>0</v>
      </c>
      <c r="G309" s="198">
        <f>[2]!Table3[[#This Row],[Incentive Disbursements]]/'[2]1.) CLM Reference'!$B$5</f>
        <v>0</v>
      </c>
      <c r="H309" s="88">
        <v>146.7696</v>
      </c>
      <c r="I309" s="197">
        <f>[2]!Table3[[#This Row],[Residential CLM $ Collected]]/'[2]1.) CLM Reference'!$B$4</f>
        <v>5.0435226923047538E-6</v>
      </c>
      <c r="J309" s="89">
        <v>0</v>
      </c>
      <c r="K309" s="198">
        <f>[2]!Table3[[#This Row],[Residential Incentive Disbursements]]/'[2]1.) CLM Reference'!$B$5</f>
        <v>0</v>
      </c>
      <c r="L309" s="88">
        <v>0</v>
      </c>
      <c r="M309" s="197">
        <f>[2]!Table3[[#This Row],[C&amp;I CLM $ Collected]]/'[2]1.) CLM Reference'!$B$4</f>
        <v>0</v>
      </c>
      <c r="N309" s="89">
        <v>0</v>
      </c>
      <c r="O309" s="198">
        <f>[2]!Table3[[#This Row],[C&amp;I Incentive Disbursements]]/'[2]1.) CLM Reference'!$B$5</f>
        <v>0</v>
      </c>
      <c r="P309" t="str">
        <f t="shared" si="4"/>
        <v>N/A</v>
      </c>
      <c r="Q309" t="str">
        <f>VLOOKUP(Table8[[#This Row],[Census Tract]],'UI EnergyBurden'!$A$2:$B$184,2,FALSE)</f>
        <v>No</v>
      </c>
      <c r="R309">
        <f>VLOOKUP(Table8[[#This Row],[Census Tract]],'Population and Diversity Data'!$B$2:$K$823,10,FALSE)</f>
        <v>3</v>
      </c>
    </row>
    <row r="310" spans="1:18" ht="15.75" hidden="1" customHeight="1" x14ac:dyDescent="0.2">
      <c r="A310" s="195">
        <v>9001110500</v>
      </c>
      <c r="B310" s="195" t="s">
        <v>2985</v>
      </c>
      <c r="C310" s="195" t="s">
        <v>944</v>
      </c>
      <c r="D310" s="88">
        <f>[2]!Table3[[#This Row],[Residential CLM $ Collected]]+[2]!Table3[[#This Row],[C&amp;I CLM $ Collected]]</f>
        <v>63.001300000000001</v>
      </c>
      <c r="E310" s="197">
        <f>[2]!Table3[[#This Row],[CLM $ Collected ]]/'[2]1.) CLM Reference'!$B$4</f>
        <v>2.1649475517729794E-6</v>
      </c>
      <c r="F310" s="89">
        <f>[2]!Table3[[#This Row],[Residential Incentive Disbursements]]+[2]!Table3[[#This Row],[C&amp;I Incentive Disbursements]]</f>
        <v>0</v>
      </c>
      <c r="G310" s="198">
        <f>[2]!Table3[[#This Row],[Incentive Disbursements]]/'[2]1.) CLM Reference'!$B$5</f>
        <v>0</v>
      </c>
      <c r="H310" s="88">
        <v>63.001300000000001</v>
      </c>
      <c r="I310" s="197">
        <f>[2]!Table3[[#This Row],[Residential CLM $ Collected]]/'[2]1.) CLM Reference'!$B$4</f>
        <v>2.1649475517729794E-6</v>
      </c>
      <c r="J310" s="89">
        <v>0</v>
      </c>
      <c r="K310" s="198">
        <f>[2]!Table3[[#This Row],[Residential Incentive Disbursements]]/'[2]1.) CLM Reference'!$B$5</f>
        <v>0</v>
      </c>
      <c r="L310" s="88">
        <v>0</v>
      </c>
      <c r="M310" s="197">
        <f>[2]!Table3[[#This Row],[C&amp;I CLM $ Collected]]/'[2]1.) CLM Reference'!$B$4</f>
        <v>0</v>
      </c>
      <c r="N310" s="89">
        <v>0</v>
      </c>
      <c r="O310" s="198">
        <f>[2]!Table3[[#This Row],[C&amp;I Incentive Disbursements]]/'[2]1.) CLM Reference'!$B$5</f>
        <v>0</v>
      </c>
      <c r="P310" t="str">
        <f t="shared" si="4"/>
        <v>N/A</v>
      </c>
      <c r="Q310" t="str">
        <f>VLOOKUP(Table8[[#This Row],[Census Tract]],'UI EnergyBurden'!$A$2:$B$184,2,FALSE)</f>
        <v>No</v>
      </c>
      <c r="R310">
        <f>VLOOKUP(Table8[[#This Row],[Census Tract]],'Population and Diversity Data'!$B$2:$K$823,10,FALSE)</f>
        <v>1</v>
      </c>
    </row>
    <row r="311" spans="1:18" ht="15.75" customHeight="1" x14ac:dyDescent="0.2">
      <c r="A311" s="195">
        <v>9009140800</v>
      </c>
      <c r="B311" s="195" t="s">
        <v>2987</v>
      </c>
      <c r="C311" s="195" t="s">
        <v>936</v>
      </c>
      <c r="D311" s="88">
        <f>[2]!Table3[[#This Row],[Residential CLM $ Collected]]+[2]!Table3[[#This Row],[C&amp;I CLM $ Collected]]</f>
        <v>0</v>
      </c>
      <c r="E311" s="197">
        <f>[2]!Table3[[#This Row],[CLM $ Collected ]]/'[2]1.) CLM Reference'!$B$4</f>
        <v>0</v>
      </c>
      <c r="F311" s="89">
        <f>[2]!Table3[[#This Row],[Residential Incentive Disbursements]]+[2]!Table3[[#This Row],[C&amp;I Incentive Disbursements]]</f>
        <v>483.19925315458943</v>
      </c>
      <c r="G311" s="198">
        <f>[2]!Table3[[#This Row],[Incentive Disbursements]]/'[2]1.) CLM Reference'!$B$5</f>
        <v>2.8760168986335473E-5</v>
      </c>
      <c r="H311" s="88">
        <v>0</v>
      </c>
      <c r="I311" s="197">
        <f>[2]!Table3[[#This Row],[Residential CLM $ Collected]]/'[2]1.) CLM Reference'!$B$4</f>
        <v>0</v>
      </c>
      <c r="J311" s="89">
        <v>483.19925315458943</v>
      </c>
      <c r="K311" s="198">
        <f>[2]!Table3[[#This Row],[Residential Incentive Disbursements]]/'[2]1.) CLM Reference'!$B$5</f>
        <v>2.8760168986335473E-5</v>
      </c>
      <c r="L311" s="88">
        <v>0</v>
      </c>
      <c r="M311" s="197">
        <f>[2]!Table3[[#This Row],[C&amp;I CLM $ Collected]]/'[2]1.) CLM Reference'!$B$4</f>
        <v>0</v>
      </c>
      <c r="N311" s="89">
        <v>0</v>
      </c>
      <c r="O311" s="198">
        <f>[2]!Table3[[#This Row],[C&amp;I Incentive Disbursements]]/'[2]1.) CLM Reference'!$B$5</f>
        <v>0</v>
      </c>
      <c r="P311" t="str">
        <f t="shared" si="4"/>
        <v>N/A</v>
      </c>
      <c r="Q311" t="str">
        <f>VLOOKUP(Table8[[#This Row],[Census Tract]],'UI EnergyBurden'!$A$2:$B$184,2,FALSE)</f>
        <v>No</v>
      </c>
      <c r="R311">
        <f>VLOOKUP(Table8[[#This Row],[Census Tract]],'Population and Diversity Data'!$B$2:$K$823,10,FALSE)</f>
        <v>4</v>
      </c>
    </row>
    <row r="312" spans="1:18" ht="15.75" customHeight="1" x14ac:dyDescent="0.2">
      <c r="A312" s="195">
        <v>9009140800</v>
      </c>
      <c r="B312" s="195" t="s">
        <v>950</v>
      </c>
      <c r="C312" s="195" t="s">
        <v>936</v>
      </c>
      <c r="D312" s="88">
        <f>[2]!Table3[[#This Row],[Residential CLM $ Collected]]+[2]!Table3[[#This Row],[C&amp;I CLM $ Collected]]</f>
        <v>43.247199999999999</v>
      </c>
      <c r="E312" s="197">
        <f>[2]!Table3[[#This Row],[CLM $ Collected ]]/'[2]1.) CLM Reference'!$B$4</f>
        <v>1.4861267904160137E-6</v>
      </c>
      <c r="F312" s="89">
        <f>[2]!Table3[[#This Row],[Residential Incentive Disbursements]]+[2]!Table3[[#This Row],[C&amp;I Incentive Disbursements]]</f>
        <v>574.88877444254206</v>
      </c>
      <c r="G312" s="198">
        <f>[2]!Table3[[#This Row],[Incentive Disbursements]]/'[2]1.) CLM Reference'!$B$5</f>
        <v>3.4217557650125615E-5</v>
      </c>
      <c r="H312" s="88">
        <v>43.247199999999999</v>
      </c>
      <c r="I312" s="197">
        <f>[2]!Table3[[#This Row],[Residential CLM $ Collected]]/'[2]1.) CLM Reference'!$B$4</f>
        <v>1.4861267904160137E-6</v>
      </c>
      <c r="J312" s="89">
        <v>574.88877444254206</v>
      </c>
      <c r="K312" s="198">
        <f>[2]!Table3[[#This Row],[Residential Incentive Disbursements]]/'[2]1.) CLM Reference'!$B$5</f>
        <v>3.4217557650125615E-5</v>
      </c>
      <c r="L312" s="88">
        <v>0</v>
      </c>
      <c r="M312" s="197">
        <f>[2]!Table3[[#This Row],[C&amp;I CLM $ Collected]]/'[2]1.) CLM Reference'!$B$4</f>
        <v>0</v>
      </c>
      <c r="N312" s="89">
        <v>0</v>
      </c>
      <c r="O312" s="198">
        <f>[2]!Table3[[#This Row],[C&amp;I Incentive Disbursements]]/'[2]1.) CLM Reference'!$B$5</f>
        <v>0</v>
      </c>
      <c r="P312" t="str">
        <f t="shared" si="4"/>
        <v>N/A</v>
      </c>
      <c r="Q312" t="str">
        <f>VLOOKUP(Table8[[#This Row],[Census Tract]],'UI EnergyBurden'!$A$2:$B$184,2,FALSE)</f>
        <v>No</v>
      </c>
      <c r="R312">
        <f>VLOOKUP(Table8[[#This Row],[Census Tract]],'Population and Diversity Data'!$B$2:$K$823,10,FALSE)</f>
        <v>4</v>
      </c>
    </row>
    <row r="313" spans="1:18" ht="15.75" hidden="1" customHeight="1" x14ac:dyDescent="0.2">
      <c r="A313" s="195">
        <v>9009141100</v>
      </c>
      <c r="B313" s="195" t="s">
        <v>950</v>
      </c>
      <c r="C313" s="195" t="s">
        <v>944</v>
      </c>
      <c r="D313" s="88">
        <f>[2]!Table3[[#This Row],[Residential CLM $ Collected]]+[2]!Table3[[#This Row],[C&amp;I CLM $ Collected]]</f>
        <v>27.741399999999999</v>
      </c>
      <c r="E313" s="197">
        <f>[2]!Table3[[#This Row],[CLM $ Collected ]]/'[2]1.) CLM Reference'!$B$4</f>
        <v>9.5329264654467347E-7</v>
      </c>
      <c r="F313" s="89">
        <f>[2]!Table3[[#This Row],[Residential Incentive Disbursements]]+[2]!Table3[[#This Row],[C&amp;I Incentive Disbursements]]</f>
        <v>0</v>
      </c>
      <c r="G313" s="198">
        <f>[2]!Table3[[#This Row],[Incentive Disbursements]]/'[2]1.) CLM Reference'!$B$5</f>
        <v>0</v>
      </c>
      <c r="H313" s="88">
        <v>0</v>
      </c>
      <c r="I313" s="197">
        <f>[2]!Table3[[#This Row],[Residential CLM $ Collected]]/'[2]1.) CLM Reference'!$B$4</f>
        <v>0</v>
      </c>
      <c r="J313" s="89">
        <v>0</v>
      </c>
      <c r="K313" s="198">
        <f>[2]!Table3[[#This Row],[Residential Incentive Disbursements]]/'[2]1.) CLM Reference'!$B$5</f>
        <v>0</v>
      </c>
      <c r="L313" s="88">
        <v>27.741399999999999</v>
      </c>
      <c r="M313" s="197">
        <f>[2]!Table3[[#This Row],[C&amp;I CLM $ Collected]]/'[2]1.) CLM Reference'!$B$4</f>
        <v>9.5329264654467347E-7</v>
      </c>
      <c r="N313" s="89">
        <v>0</v>
      </c>
      <c r="O313" s="198">
        <f>[2]!Table3[[#This Row],[C&amp;I Incentive Disbursements]]/'[2]1.) CLM Reference'!$B$5</f>
        <v>0</v>
      </c>
      <c r="P313" t="str">
        <f t="shared" si="4"/>
        <v>N/A</v>
      </c>
      <c r="Q313" t="str">
        <f>VLOOKUP(Table8[[#This Row],[Census Tract]],'UI EnergyBurden'!$A$2:$B$184,2,FALSE)</f>
        <v>No</v>
      </c>
      <c r="R313">
        <f>VLOOKUP(Table8[[#This Row],[Census Tract]],'Population and Diversity Data'!$B$2:$K$823,10,FALSE)</f>
        <v>4</v>
      </c>
    </row>
    <row r="314" spans="1:18" ht="15.75" hidden="1" customHeight="1" x14ac:dyDescent="0.2">
      <c r="A314" s="195">
        <v>9009142604</v>
      </c>
      <c r="B314" s="195" t="s">
        <v>3004</v>
      </c>
      <c r="C314" s="195" t="s">
        <v>944</v>
      </c>
      <c r="D314" s="88">
        <f>[2]!Table3[[#This Row],[Residential CLM $ Collected]]+[2]!Table3[[#This Row],[C&amp;I CLM $ Collected]]</f>
        <v>0</v>
      </c>
      <c r="E314" s="197">
        <f>[2]!Table3[[#This Row],[CLM $ Collected ]]/'[2]1.) CLM Reference'!$B$4</f>
        <v>0</v>
      </c>
      <c r="F314" s="89">
        <f>[2]!Table3[[#This Row],[Residential Incentive Disbursements]]+[2]!Table3[[#This Row],[C&amp;I Incentive Disbursements]]</f>
        <v>5209.7734771467603</v>
      </c>
      <c r="G314" s="198">
        <f>[2]!Table3[[#This Row],[Incentive Disbursements]]/'[2]1.) CLM Reference'!$B$5</f>
        <v>3.100873285814727E-4</v>
      </c>
      <c r="H314" s="88">
        <v>0</v>
      </c>
      <c r="I314" s="197">
        <f>[2]!Table3[[#This Row],[Residential CLM $ Collected]]/'[2]1.) CLM Reference'!$B$4</f>
        <v>0</v>
      </c>
      <c r="J314" s="89">
        <v>5209.7734771467603</v>
      </c>
      <c r="K314" s="198">
        <f>[2]!Table3[[#This Row],[Residential Incentive Disbursements]]/'[2]1.) CLM Reference'!$B$5</f>
        <v>3.100873285814727E-4</v>
      </c>
      <c r="L314" s="88">
        <v>0</v>
      </c>
      <c r="M314" s="197">
        <f>[2]!Table3[[#This Row],[C&amp;I CLM $ Collected]]/'[2]1.) CLM Reference'!$B$4</f>
        <v>0</v>
      </c>
      <c r="N314" s="89">
        <v>0</v>
      </c>
      <c r="O314" s="198">
        <f>[2]!Table3[[#This Row],[C&amp;I Incentive Disbursements]]/'[2]1.) CLM Reference'!$B$5</f>
        <v>0</v>
      </c>
      <c r="P314" t="str">
        <f t="shared" si="4"/>
        <v>N/A</v>
      </c>
      <c r="Q314" t="str">
        <f>VLOOKUP(Table8[[#This Row],[Census Tract]],'UI EnergyBurden'!$A$2:$B$184,2,FALSE)</f>
        <v>No</v>
      </c>
      <c r="R314">
        <f>VLOOKUP(Table8[[#This Row],[Census Tract]],'Population and Diversity Data'!$B$2:$K$823,10,FALSE)</f>
        <v>4</v>
      </c>
    </row>
    <row r="315" spans="1:18" ht="15.75" hidden="1" customHeight="1" x14ac:dyDescent="0.2">
      <c r="A315" s="195">
        <v>9009151200</v>
      </c>
      <c r="B315" s="195" t="s">
        <v>950</v>
      </c>
      <c r="C315" s="195" t="s">
        <v>944</v>
      </c>
      <c r="D315" s="88">
        <f>[2]!Table3[[#This Row],[Residential CLM $ Collected]]+[2]!Table3[[#This Row],[C&amp;I CLM $ Collected]]</f>
        <v>43.496099999999998</v>
      </c>
      <c r="E315" s="197">
        <f>[2]!Table3[[#This Row],[CLM $ Collected ]]/'[2]1.) CLM Reference'!$B$4</f>
        <v>1.4946798749656386E-6</v>
      </c>
      <c r="F315" s="89">
        <f>[2]!Table3[[#This Row],[Residential Incentive Disbursements]]+[2]!Table3[[#This Row],[C&amp;I Incentive Disbursements]]</f>
        <v>0</v>
      </c>
      <c r="G315" s="198">
        <f>[2]!Table3[[#This Row],[Incentive Disbursements]]/'[2]1.) CLM Reference'!$B$5</f>
        <v>0</v>
      </c>
      <c r="H315" s="88">
        <v>43.496099999999998</v>
      </c>
      <c r="I315" s="197">
        <f>[2]!Table3[[#This Row],[Residential CLM $ Collected]]/'[2]1.) CLM Reference'!$B$4</f>
        <v>1.4946798749656386E-6</v>
      </c>
      <c r="J315" s="89">
        <v>0</v>
      </c>
      <c r="K315" s="198">
        <f>[2]!Table3[[#This Row],[Residential Incentive Disbursements]]/'[2]1.) CLM Reference'!$B$5</f>
        <v>0</v>
      </c>
      <c r="L315" s="88">
        <v>0</v>
      </c>
      <c r="M315" s="197">
        <f>[2]!Table3[[#This Row],[C&amp;I CLM $ Collected]]/'[2]1.) CLM Reference'!$B$4</f>
        <v>0</v>
      </c>
      <c r="N315" s="89">
        <v>0</v>
      </c>
      <c r="O315" s="198">
        <f>[2]!Table3[[#This Row],[C&amp;I Incentive Disbursements]]/'[2]1.) CLM Reference'!$B$5</f>
        <v>0</v>
      </c>
      <c r="P315" t="str">
        <f t="shared" si="4"/>
        <v>N/A</v>
      </c>
      <c r="Q315" t="str">
        <f>VLOOKUP(Table8[[#This Row],[Census Tract]],'UI EnergyBurden'!$A$2:$B$184,2,FALSE)</f>
        <v>No</v>
      </c>
      <c r="R315">
        <f>VLOOKUP(Table8[[#This Row],[Census Tract]],'Population and Diversity Data'!$B$2:$K$823,10,FALSE)</f>
        <v>2</v>
      </c>
    </row>
    <row r="316" spans="1:18" ht="15.75" hidden="1" customHeight="1" x14ac:dyDescent="0.2">
      <c r="A316" s="195">
        <v>9009154100</v>
      </c>
      <c r="B316" s="195" t="s">
        <v>950</v>
      </c>
      <c r="C316" s="195" t="s">
        <v>944</v>
      </c>
      <c r="D316" s="88">
        <f>[2]!Table3[[#This Row],[Residential CLM $ Collected]]+[2]!Table3[[#This Row],[C&amp;I CLM $ Collected]]</f>
        <v>198882.78960000002</v>
      </c>
      <c r="E316" s="197">
        <f>[2]!Table3[[#This Row],[CLM $ Collected ]]/'[2]1.) CLM Reference'!$B$4</f>
        <v>6.8343162511614944E-3</v>
      </c>
      <c r="F316" s="89">
        <f>[2]!Table3[[#This Row],[Residential Incentive Disbursements]]+[2]!Table3[[#This Row],[C&amp;I Incentive Disbursements]]</f>
        <v>224031.42383754882</v>
      </c>
      <c r="G316" s="198">
        <f>[2]!Table3[[#This Row],[Incentive Disbursements]]/'[2]1.) CLM Reference'!$B$5</f>
        <v>1.3334419632796676E-2</v>
      </c>
      <c r="H316" s="88">
        <v>140097.96650000001</v>
      </c>
      <c r="I316" s="197">
        <f>[2]!Table3[[#This Row],[Residential CLM $ Collected]]/'[2]1.) CLM Reference'!$B$4</f>
        <v>4.8142617625755012E-3</v>
      </c>
      <c r="J316" s="89">
        <v>213130.56852327805</v>
      </c>
      <c r="K316" s="198">
        <f>[2]!Table3[[#This Row],[Residential Incentive Disbursements]]/'[2]1.) CLM Reference'!$B$5</f>
        <v>1.2685597353194106E-2</v>
      </c>
      <c r="L316" s="88">
        <v>58784.823100000001</v>
      </c>
      <c r="M316" s="197">
        <f>[2]!Table3[[#This Row],[C&amp;I CLM $ Collected]]/'[2]1.) CLM Reference'!$B$4</f>
        <v>2.0200544885859927E-3</v>
      </c>
      <c r="N316" s="89">
        <v>10900.855314270775</v>
      </c>
      <c r="O316" s="198">
        <f>[2]!Table3[[#This Row],[C&amp;I Incentive Disbursements]]/'[2]1.) CLM Reference'!$B$5</f>
        <v>6.4882227960257109E-4</v>
      </c>
      <c r="P316" t="str">
        <f t="shared" si="4"/>
        <v>NO</v>
      </c>
      <c r="Q316" t="str">
        <f>VLOOKUP(Table8[[#This Row],[Census Tract]],'UI EnergyBurden'!$A$2:$B$184,2,FALSE)</f>
        <v>No</v>
      </c>
      <c r="R316">
        <f>VLOOKUP(Table8[[#This Row],[Census Tract]],'Population and Diversity Data'!$B$2:$K$823,10,FALSE)</f>
        <v>4</v>
      </c>
    </row>
    <row r="317" spans="1:18" ht="15.75" hidden="1" customHeight="1" x14ac:dyDescent="0.2">
      <c r="A317" s="195">
        <v>9009154200</v>
      </c>
      <c r="B317" s="195" t="s">
        <v>950</v>
      </c>
      <c r="C317" s="195" t="s">
        <v>944</v>
      </c>
      <c r="D317" s="88">
        <f>[2]!Table3[[#This Row],[Residential CLM $ Collected]]+[2]!Table3[[#This Row],[C&amp;I CLM $ Collected]]</f>
        <v>158777.90529999998</v>
      </c>
      <c r="E317" s="197">
        <f>[2]!Table3[[#This Row],[CLM $ Collected ]]/'[2]1.) CLM Reference'!$B$4</f>
        <v>5.4561705449709284E-3</v>
      </c>
      <c r="F317" s="89">
        <f>[2]!Table3[[#This Row],[Residential Incentive Disbursements]]+[2]!Table3[[#This Row],[C&amp;I Incentive Disbursements]]</f>
        <v>55033.081751976788</v>
      </c>
      <c r="G317" s="198">
        <f>[2]!Table3[[#This Row],[Incentive Disbursements]]/'[2]1.) CLM Reference'!$B$5</f>
        <v>3.2755860459066075E-3</v>
      </c>
      <c r="H317" s="88">
        <v>124643.2671</v>
      </c>
      <c r="I317" s="197">
        <f>[2]!Table3[[#This Row],[Residential CLM $ Collected]]/'[2]1.) CLM Reference'!$B$4</f>
        <v>4.2831836161020577E-3</v>
      </c>
      <c r="J317" s="89">
        <v>54657.435252369803</v>
      </c>
      <c r="K317" s="198">
        <f>[2]!Table3[[#This Row],[Residential Incentive Disbursements]]/'[2]1.) CLM Reference'!$B$5</f>
        <v>3.2532274500741633E-3</v>
      </c>
      <c r="L317" s="88">
        <v>34134.638200000001</v>
      </c>
      <c r="M317" s="197">
        <f>[2]!Table3[[#This Row],[C&amp;I CLM $ Collected]]/'[2]1.) CLM Reference'!$B$4</f>
        <v>1.1729869288688714E-3</v>
      </c>
      <c r="N317" s="89">
        <v>375.64649960698392</v>
      </c>
      <c r="O317" s="198">
        <f>[2]!Table3[[#This Row],[C&amp;I Incentive Disbursements]]/'[2]1.) CLM Reference'!$B$5</f>
        <v>2.2358595832444003E-5</v>
      </c>
      <c r="P317" t="str">
        <f t="shared" si="4"/>
        <v>NO</v>
      </c>
      <c r="Q317" t="str">
        <f>VLOOKUP(Table8[[#This Row],[Census Tract]],'UI EnergyBurden'!$A$2:$B$184,2,FALSE)</f>
        <v>No</v>
      </c>
      <c r="R317">
        <f>VLOOKUP(Table8[[#This Row],[Census Tract]],'Population and Diversity Data'!$B$2:$K$823,10,FALSE)</f>
        <v>4</v>
      </c>
    </row>
    <row r="318" spans="1:18" ht="15.75" customHeight="1" x14ac:dyDescent="0.2">
      <c r="A318" s="195">
        <v>9009154500</v>
      </c>
      <c r="B318" s="195" t="s">
        <v>950</v>
      </c>
      <c r="C318" s="195" t="s">
        <v>936</v>
      </c>
      <c r="D318" s="88">
        <f>[2]!Table3[[#This Row],[Residential CLM $ Collected]]+[2]!Table3[[#This Row],[C&amp;I CLM $ Collected]]</f>
        <v>102170.4350999998</v>
      </c>
      <c r="E318" s="197">
        <f>[2]!Table3[[#This Row],[CLM $ Collected ]]/'[2]1.) CLM Reference'!$B$4</f>
        <v>3.5109376049910824E-3</v>
      </c>
      <c r="F318" s="89">
        <f>[2]!Table3[[#This Row],[Residential Incentive Disbursements]]+[2]!Table3[[#This Row],[C&amp;I Incentive Disbursements]]</f>
        <v>19919.476134155506</v>
      </c>
      <c r="G318" s="198">
        <f>[2]!Table3[[#This Row],[Incentive Disbursements]]/'[2]1.) CLM Reference'!$B$5</f>
        <v>1.1856133799824095E-3</v>
      </c>
      <c r="H318" s="88">
        <v>67239.908799999801</v>
      </c>
      <c r="I318" s="197">
        <f>[2]!Table3[[#This Row],[Residential CLM $ Collected]]/'[2]1.) CLM Reference'!$B$4</f>
        <v>2.3106011453414136E-3</v>
      </c>
      <c r="J318" s="89">
        <v>11261.331948619401</v>
      </c>
      <c r="K318" s="198">
        <f>[2]!Table3[[#This Row],[Residential Incentive Disbursements]]/'[2]1.) CLM Reference'!$B$5</f>
        <v>6.702779603632678E-4</v>
      </c>
      <c r="L318" s="88">
        <v>34930.526299999998</v>
      </c>
      <c r="M318" s="197">
        <f>[2]!Table3[[#This Row],[C&amp;I CLM $ Collected]]/'[2]1.) CLM Reference'!$B$4</f>
        <v>1.2003364596496688E-3</v>
      </c>
      <c r="N318" s="89">
        <v>8658.1441855361063</v>
      </c>
      <c r="O318" s="198">
        <f>[2]!Table3[[#This Row],[C&amp;I Incentive Disbursements]]/'[2]1.) CLM Reference'!$B$5</f>
        <v>5.1533541961914185E-4</v>
      </c>
      <c r="P318" t="str">
        <f t="shared" si="4"/>
        <v>NO</v>
      </c>
      <c r="Q318" t="str">
        <f>VLOOKUP(Table8[[#This Row],[Census Tract]],'UI EnergyBurden'!$A$2:$B$184,2,FALSE)</f>
        <v>No</v>
      </c>
      <c r="R318">
        <f>VLOOKUP(Table8[[#This Row],[Census Tract]],'Population and Diversity Data'!$B$2:$K$823,10,FALSE)</f>
        <v>4</v>
      </c>
    </row>
    <row r="319" spans="1:18" ht="15.75" hidden="1" customHeight="1" x14ac:dyDescent="0.2">
      <c r="A319" s="195">
        <v>9009154600</v>
      </c>
      <c r="B319" s="195" t="s">
        <v>950</v>
      </c>
      <c r="C319" s="195" t="s">
        <v>944</v>
      </c>
      <c r="D319" s="88">
        <f>[2]!Table3[[#This Row],[Residential CLM $ Collected]]+[2]!Table3[[#This Row],[C&amp;I CLM $ Collected]]</f>
        <v>124524.1572999999</v>
      </c>
      <c r="E319" s="197">
        <f>[2]!Table3[[#This Row],[CLM $ Collected ]]/'[2]1.) CLM Reference'!$B$4</f>
        <v>4.279090581991613E-3</v>
      </c>
      <c r="F319" s="89">
        <f>[2]!Table3[[#This Row],[Residential Incentive Disbursements]]+[2]!Table3[[#This Row],[C&amp;I Incentive Disbursements]]</f>
        <v>34453.896049278635</v>
      </c>
      <c r="G319" s="198">
        <f>[2]!Table3[[#This Row],[Incentive Disbursements]]/'[2]1.) CLM Reference'!$B$5</f>
        <v>2.0507065483767874E-3</v>
      </c>
      <c r="H319" s="88">
        <v>74841.980299999894</v>
      </c>
      <c r="I319" s="197">
        <f>[2]!Table3[[#This Row],[Residential CLM $ Collected]]/'[2]1.) CLM Reference'!$B$4</f>
        <v>2.5718352164213489E-3</v>
      </c>
      <c r="J319" s="89">
        <v>26781.275684373599</v>
      </c>
      <c r="K319" s="198">
        <f>[2]!Table3[[#This Row],[Residential Incentive Disbursements]]/'[2]1.) CLM Reference'!$B$5</f>
        <v>1.5940298113536232E-3</v>
      </c>
      <c r="L319" s="88">
        <v>49682.177000000003</v>
      </c>
      <c r="M319" s="197">
        <f>[2]!Table3[[#This Row],[C&amp;I CLM $ Collected]]/'[2]1.) CLM Reference'!$B$4</f>
        <v>1.7072553655702635E-3</v>
      </c>
      <c r="N319" s="89">
        <v>7672.6203649050367</v>
      </c>
      <c r="O319" s="198">
        <f>[2]!Table3[[#This Row],[C&amp;I Incentive Disbursements]]/'[2]1.) CLM Reference'!$B$5</f>
        <v>4.5667673702316422E-4</v>
      </c>
      <c r="P319" t="str">
        <f t="shared" si="4"/>
        <v>NO</v>
      </c>
      <c r="Q319" t="str">
        <f>VLOOKUP(Table8[[#This Row],[Census Tract]],'UI EnergyBurden'!$A$2:$B$184,2,FALSE)</f>
        <v>No</v>
      </c>
      <c r="R319">
        <f>VLOOKUP(Table8[[#This Row],[Census Tract]],'Population and Diversity Data'!$B$2:$K$823,10,FALSE)</f>
        <v>5</v>
      </c>
    </row>
    <row r="320" spans="1:18" ht="15.75" hidden="1" customHeight="1" x14ac:dyDescent="0.2">
      <c r="A320" s="195">
        <v>9009154700</v>
      </c>
      <c r="B320" s="195" t="s">
        <v>950</v>
      </c>
      <c r="C320" s="195" t="s">
        <v>944</v>
      </c>
      <c r="D320" s="88">
        <f>[2]!Table3[[#This Row],[Residential CLM $ Collected]]+[2]!Table3[[#This Row],[C&amp;I CLM $ Collected]]</f>
        <v>134719.53969999999</v>
      </c>
      <c r="E320" s="197">
        <f>[2]!Table3[[#This Row],[CLM $ Collected ]]/'[2]1.) CLM Reference'!$B$4</f>
        <v>4.6294399901192157E-3</v>
      </c>
      <c r="F320" s="89">
        <f>[2]!Table3[[#This Row],[Residential Incentive Disbursements]]+[2]!Table3[[#This Row],[C&amp;I Incentive Disbursements]]</f>
        <v>92450.519995048948</v>
      </c>
      <c r="G320" s="198">
        <f>[2]!Table3[[#This Row],[Incentive Disbursements]]/'[2]1.) CLM Reference'!$B$5</f>
        <v>5.5026835421898663E-3</v>
      </c>
      <c r="H320" s="88">
        <v>110784.84239999999</v>
      </c>
      <c r="I320" s="197">
        <f>[2]!Table3[[#This Row],[Residential CLM $ Collected]]/'[2]1.) CLM Reference'!$B$4</f>
        <v>3.8069591155648437E-3</v>
      </c>
      <c r="J320" s="89">
        <v>56693.034275703074</v>
      </c>
      <c r="K320" s="198">
        <f>[2]!Table3[[#This Row],[Residential Incentive Disbursements]]/'[2]1.) CLM Reference'!$B$5</f>
        <v>3.374386933490737E-3</v>
      </c>
      <c r="L320" s="88">
        <v>23934.6973</v>
      </c>
      <c r="M320" s="197">
        <f>[2]!Table3[[#This Row],[C&amp;I CLM $ Collected]]/'[2]1.) CLM Reference'!$B$4</f>
        <v>8.2248087455437185E-4</v>
      </c>
      <c r="N320" s="89">
        <v>35757.485719345874</v>
      </c>
      <c r="O320" s="198">
        <f>[2]!Table3[[#This Row],[C&amp;I Incentive Disbursements]]/'[2]1.) CLM Reference'!$B$5</f>
        <v>2.1282966086991293E-3</v>
      </c>
      <c r="P320" t="str">
        <f t="shared" si="4"/>
        <v>YES</v>
      </c>
      <c r="Q320" t="str">
        <f>VLOOKUP(Table8[[#This Row],[Census Tract]],'UI EnergyBurden'!$A$2:$B$184,2,FALSE)</f>
        <v>No</v>
      </c>
      <c r="R320">
        <f>VLOOKUP(Table8[[#This Row],[Census Tract]],'Population and Diversity Data'!$B$2:$K$823,10,FALSE)</f>
        <v>3</v>
      </c>
    </row>
    <row r="321" spans="1:18" ht="15.75" hidden="1" customHeight="1" x14ac:dyDescent="0.2">
      <c r="A321" s="195">
        <v>9009154800</v>
      </c>
      <c r="B321" s="195" t="s">
        <v>950</v>
      </c>
      <c r="C321" s="195" t="s">
        <v>944</v>
      </c>
      <c r="D321" s="88">
        <f>[2]!Table3[[#This Row],[Residential CLM $ Collected]]+[2]!Table3[[#This Row],[C&amp;I CLM $ Collected]]</f>
        <v>94170.673299999995</v>
      </c>
      <c r="E321" s="197">
        <f>[2]!Table3[[#This Row],[CLM $ Collected ]]/'[2]1.) CLM Reference'!$B$4</f>
        <v>3.2360374882684658E-3</v>
      </c>
      <c r="F321" s="89">
        <f>[2]!Table3[[#This Row],[Residential Incentive Disbursements]]+[2]!Table3[[#This Row],[C&amp;I Incentive Disbursements]]</f>
        <v>57418.993743785504</v>
      </c>
      <c r="G321" s="198">
        <f>[2]!Table3[[#This Row],[Incentive Disbursements]]/'[2]1.) CLM Reference'!$B$5</f>
        <v>3.4175962655477988E-3</v>
      </c>
      <c r="H321" s="88">
        <v>88384.266499999998</v>
      </c>
      <c r="I321" s="197">
        <f>[2]!Table3[[#This Row],[Residential CLM $ Collected]]/'[2]1.) CLM Reference'!$B$4</f>
        <v>3.0371960796749522E-3</v>
      </c>
      <c r="J321" s="89">
        <v>55144.80952994863</v>
      </c>
      <c r="K321" s="198">
        <f>[2]!Table3[[#This Row],[Residential Incentive Disbursements]]/'[2]1.) CLM Reference'!$B$5</f>
        <v>3.2822361178054356E-3</v>
      </c>
      <c r="L321" s="88">
        <v>5786.4067999999997</v>
      </c>
      <c r="M321" s="197">
        <f>[2]!Table3[[#This Row],[C&amp;I CLM $ Collected]]/'[2]1.) CLM Reference'!$B$4</f>
        <v>1.9884140859351349E-4</v>
      </c>
      <c r="N321" s="89">
        <v>2274.1842138368756</v>
      </c>
      <c r="O321" s="198">
        <f>[2]!Table3[[#This Row],[C&amp;I Incentive Disbursements]]/'[2]1.) CLM Reference'!$B$5</f>
        <v>1.353601477423637E-4</v>
      </c>
      <c r="P321" t="str">
        <f t="shared" si="4"/>
        <v>NO</v>
      </c>
      <c r="Q321" t="str">
        <f>VLOOKUP(Table8[[#This Row],[Census Tract]],'UI EnergyBurden'!$A$2:$B$184,2,FALSE)</f>
        <v>No</v>
      </c>
      <c r="R321">
        <f>VLOOKUP(Table8[[#This Row],[Census Tract]],'Population and Diversity Data'!$B$2:$K$823,10,FALSE)</f>
        <v>2</v>
      </c>
    </row>
    <row r="322" spans="1:18" ht="15.75" hidden="1" customHeight="1" x14ac:dyDescent="0.2">
      <c r="A322" s="195">
        <v>9009154900</v>
      </c>
      <c r="B322" s="195" t="s">
        <v>950</v>
      </c>
      <c r="C322" s="195" t="s">
        <v>944</v>
      </c>
      <c r="D322" s="88">
        <f>[2]!Table3[[#This Row],[Residential CLM $ Collected]]+[2]!Table3[[#This Row],[C&amp;I CLM $ Collected]]</f>
        <v>79701.9739999999</v>
      </c>
      <c r="E322" s="197">
        <f>[2]!Table3[[#This Row],[CLM $ Collected ]]/'[2]1.) CLM Reference'!$B$4</f>
        <v>2.7388417934673327E-3</v>
      </c>
      <c r="F322" s="89">
        <f>[2]!Table3[[#This Row],[Residential Incentive Disbursements]]+[2]!Table3[[#This Row],[C&amp;I Incentive Disbursements]]</f>
        <v>23710.03761502371</v>
      </c>
      <c r="G322" s="198">
        <f>[2]!Table3[[#This Row],[Incentive Disbursements]]/'[2]1.) CLM Reference'!$B$5</f>
        <v>1.4112287716270358E-3</v>
      </c>
      <c r="H322" s="88">
        <v>60957.443399999902</v>
      </c>
      <c r="I322" s="197">
        <f>[2]!Table3[[#This Row],[Residential CLM $ Collected]]/'[2]1.) CLM Reference'!$B$4</f>
        <v>2.0947134083133165E-3</v>
      </c>
      <c r="J322" s="89">
        <v>18857.090944425378</v>
      </c>
      <c r="K322" s="198">
        <f>[2]!Table3[[#This Row],[Residential Incentive Disbursements]]/'[2]1.) CLM Reference'!$B$5</f>
        <v>1.1223798849268132E-3</v>
      </c>
      <c r="L322" s="88">
        <v>18744.530599999998</v>
      </c>
      <c r="M322" s="197">
        <f>[2]!Table3[[#This Row],[C&amp;I CLM $ Collected]]/'[2]1.) CLM Reference'!$B$4</f>
        <v>6.4412838515401577E-4</v>
      </c>
      <c r="N322" s="89">
        <v>4852.9466705983332</v>
      </c>
      <c r="O322" s="198">
        <f>[2]!Table3[[#This Row],[C&amp;I Incentive Disbursements]]/'[2]1.) CLM Reference'!$B$5</f>
        <v>2.8884888670022255E-4</v>
      </c>
      <c r="P322" t="str">
        <f t="shared" si="4"/>
        <v>NO</v>
      </c>
      <c r="Q322" t="str">
        <f>VLOOKUP(Table8[[#This Row],[Census Tract]],'UI EnergyBurden'!$A$2:$B$184,2,FALSE)</f>
        <v>No</v>
      </c>
      <c r="R322">
        <f>VLOOKUP(Table8[[#This Row],[Census Tract]],'Population and Diversity Data'!$B$2:$K$823,10,FALSE)</f>
        <v>2</v>
      </c>
    </row>
    <row r="323" spans="1:18" ht="15.75" hidden="1" customHeight="1" x14ac:dyDescent="0.2">
      <c r="A323" s="195">
        <v>9009155000</v>
      </c>
      <c r="B323" s="195" t="s">
        <v>950</v>
      </c>
      <c r="C323" s="195" t="s">
        <v>944</v>
      </c>
      <c r="D323" s="88">
        <f>[2]!Table3[[#This Row],[Residential CLM $ Collected]]+[2]!Table3[[#This Row],[C&amp;I CLM $ Collected]]</f>
        <v>89677.704299999896</v>
      </c>
      <c r="E323" s="197">
        <f>[2]!Table3[[#This Row],[CLM $ Collected ]]/'[2]1.) CLM Reference'!$B$4</f>
        <v>3.0816431783614938E-3</v>
      </c>
      <c r="F323" s="89">
        <f>[2]!Table3[[#This Row],[Residential Incentive Disbursements]]+[2]!Table3[[#This Row],[C&amp;I Incentive Disbursements]]</f>
        <v>26620.028071757068</v>
      </c>
      <c r="G323" s="198">
        <f>[2]!Table3[[#This Row],[Incentive Disbursements]]/'[2]1.) CLM Reference'!$B$5</f>
        <v>1.5844323035817912E-3</v>
      </c>
      <c r="H323" s="88">
        <v>74234.418299999903</v>
      </c>
      <c r="I323" s="197">
        <f>[2]!Table3[[#This Row],[Residential CLM $ Collected]]/'[2]1.) CLM Reference'!$B$4</f>
        <v>2.550957236689974E-3</v>
      </c>
      <c r="J323" s="89">
        <v>24847.382697936002</v>
      </c>
      <c r="K323" s="198">
        <f>[2]!Table3[[#This Row],[Residential Incentive Disbursements]]/'[2]1.) CLM Reference'!$B$5</f>
        <v>1.4789239027076094E-3</v>
      </c>
      <c r="L323" s="88">
        <v>15443.286</v>
      </c>
      <c r="M323" s="197">
        <f>[2]!Table3[[#This Row],[C&amp;I CLM $ Collected]]/'[2]1.) CLM Reference'!$B$4</f>
        <v>5.3068594167151998E-4</v>
      </c>
      <c r="N323" s="89">
        <v>1772.6453738210648</v>
      </c>
      <c r="O323" s="198">
        <f>[2]!Table3[[#This Row],[C&amp;I Incentive Disbursements]]/'[2]1.) CLM Reference'!$B$5</f>
        <v>1.0550840087418172E-4</v>
      </c>
      <c r="P323" t="str">
        <f t="shared" si="4"/>
        <v>NO</v>
      </c>
      <c r="Q323" t="str">
        <f>VLOOKUP(Table8[[#This Row],[Census Tract]],'UI EnergyBurden'!$A$2:$B$184,2,FALSE)</f>
        <v>No</v>
      </c>
      <c r="R323">
        <f>VLOOKUP(Table8[[#This Row],[Census Tract]],'Population and Diversity Data'!$B$2:$K$823,10,FALSE)</f>
        <v>5</v>
      </c>
    </row>
    <row r="324" spans="1:18" ht="15.75" customHeight="1" x14ac:dyDescent="0.2">
      <c r="A324" s="195">
        <v>9009155100</v>
      </c>
      <c r="B324" s="195" t="s">
        <v>950</v>
      </c>
      <c r="C324" s="195" t="s">
        <v>936</v>
      </c>
      <c r="D324" s="88">
        <f>[2]!Table3[[#This Row],[Residential CLM $ Collected]]+[2]!Table3[[#This Row],[C&amp;I CLM $ Collected]]</f>
        <v>67787.651499999891</v>
      </c>
      <c r="E324" s="197">
        <f>[2]!Table3[[#This Row],[CLM $ Collected ]]/'[2]1.) CLM Reference'!$B$4</f>
        <v>2.3294235222981862E-3</v>
      </c>
      <c r="F324" s="89">
        <f>[2]!Table3[[#This Row],[Residential Incentive Disbursements]]+[2]!Table3[[#This Row],[C&amp;I Incentive Disbursements]]</f>
        <v>7832.5745164078962</v>
      </c>
      <c r="G324" s="198">
        <f>[2]!Table3[[#This Row],[Incentive Disbursements]]/'[2]1.) CLM Reference'!$B$5</f>
        <v>4.6619725758948301E-4</v>
      </c>
      <c r="H324" s="88">
        <v>52121.565699999897</v>
      </c>
      <c r="I324" s="197">
        <f>[2]!Table3[[#This Row],[Residential CLM $ Collected]]/'[2]1.) CLM Reference'!$B$4</f>
        <v>1.7910813912854066E-3</v>
      </c>
      <c r="J324" s="89">
        <v>5771.341257415791</v>
      </c>
      <c r="K324" s="198">
        <f>[2]!Table3[[#This Row],[Residential Incentive Disbursements]]/'[2]1.) CLM Reference'!$B$5</f>
        <v>3.4351201653861968E-4</v>
      </c>
      <c r="L324" s="88">
        <v>15666.085800000001</v>
      </c>
      <c r="M324" s="197">
        <f>[2]!Table3[[#This Row],[C&amp;I CLM $ Collected]]/'[2]1.) CLM Reference'!$B$4</f>
        <v>5.3834213101277976E-4</v>
      </c>
      <c r="N324" s="89">
        <v>2061.2332589921057</v>
      </c>
      <c r="O324" s="198">
        <f>[2]!Table3[[#This Row],[C&amp;I Incentive Disbursements]]/'[2]1.) CLM Reference'!$B$5</f>
        <v>1.2268524105086336E-4</v>
      </c>
      <c r="P324" t="str">
        <f t="shared" si="4"/>
        <v>NO</v>
      </c>
      <c r="Q324" t="str">
        <f>VLOOKUP(Table8[[#This Row],[Census Tract]],'UI EnergyBurden'!$A$2:$B$184,2,FALSE)</f>
        <v>No</v>
      </c>
      <c r="R324">
        <f>VLOOKUP(Table8[[#This Row],[Census Tract]],'Population and Diversity Data'!$B$2:$K$823,10,FALSE)</f>
        <v>4</v>
      </c>
    </row>
    <row r="325" spans="1:18" ht="15.75" hidden="1" customHeight="1" x14ac:dyDescent="0.2">
      <c r="A325" s="195">
        <v>9009157100</v>
      </c>
      <c r="B325" s="195" t="s">
        <v>950</v>
      </c>
      <c r="C325" s="195" t="s">
        <v>944</v>
      </c>
      <c r="D325" s="88">
        <f>[2]!Table3[[#This Row],[Residential CLM $ Collected]]+[2]!Table3[[#This Row],[C&amp;I CLM $ Collected]]</f>
        <v>7.5473999999999997</v>
      </c>
      <c r="E325" s="197">
        <f>[2]!Table3[[#This Row],[CLM $ Collected ]]/'[2]1.) CLM Reference'!$B$4</f>
        <v>2.5935536492503148E-7</v>
      </c>
      <c r="F325" s="89">
        <f>[2]!Table3[[#This Row],[Residential Incentive Disbursements]]+[2]!Table3[[#This Row],[C&amp;I Incentive Disbursements]]</f>
        <v>0</v>
      </c>
      <c r="G325" s="198">
        <f>[2]!Table3[[#This Row],[Incentive Disbursements]]/'[2]1.) CLM Reference'!$B$5</f>
        <v>0</v>
      </c>
      <c r="H325" s="88">
        <v>0</v>
      </c>
      <c r="I325" s="197">
        <f>[2]!Table3[[#This Row],[Residential CLM $ Collected]]/'[2]1.) CLM Reference'!$B$4</f>
        <v>0</v>
      </c>
      <c r="J325" s="89">
        <v>0</v>
      </c>
      <c r="K325" s="198">
        <f>[2]!Table3[[#This Row],[Residential Incentive Disbursements]]/'[2]1.) CLM Reference'!$B$5</f>
        <v>0</v>
      </c>
      <c r="L325" s="88">
        <v>7.5473999999999997</v>
      </c>
      <c r="M325" s="197">
        <f>[2]!Table3[[#This Row],[C&amp;I CLM $ Collected]]/'[2]1.) CLM Reference'!$B$4</f>
        <v>2.5935536492503148E-7</v>
      </c>
      <c r="N325" s="89">
        <v>0</v>
      </c>
      <c r="O325" s="198">
        <f>[2]!Table3[[#This Row],[C&amp;I Incentive Disbursements]]/'[2]1.) CLM Reference'!$B$5</f>
        <v>0</v>
      </c>
      <c r="P325" t="str">
        <f t="shared" si="4"/>
        <v>N/A</v>
      </c>
      <c r="Q325" t="str">
        <f>VLOOKUP(Table8[[#This Row],[Census Tract]],'UI EnergyBurden'!$A$2:$B$184,2,FALSE)</f>
        <v>No</v>
      </c>
      <c r="R325">
        <f>VLOOKUP(Table8[[#This Row],[Census Tract]],'Population and Diversity Data'!$B$2:$K$823,10,FALSE)</f>
        <v>5</v>
      </c>
    </row>
    <row r="326" spans="1:18" ht="15.75" hidden="1" customHeight="1" x14ac:dyDescent="0.2">
      <c r="A326" s="195">
        <v>9009167201</v>
      </c>
      <c r="B326" s="195" t="s">
        <v>950</v>
      </c>
      <c r="C326" s="195" t="s">
        <v>944</v>
      </c>
      <c r="D326" s="88">
        <f>[2]!Table3[[#This Row],[Residential CLM $ Collected]]+[2]!Table3[[#This Row],[C&amp;I CLM $ Collected]]</f>
        <v>896.29680000000008</v>
      </c>
      <c r="E326" s="197">
        <f>[2]!Table3[[#This Row],[CLM $ Collected ]]/'[2]1.) CLM Reference'!$B$4</f>
        <v>3.079992893514826E-5</v>
      </c>
      <c r="F326" s="89">
        <f>[2]!Table3[[#This Row],[Residential Incentive Disbursements]]+[2]!Table3[[#This Row],[C&amp;I Incentive Disbursements]]</f>
        <v>0</v>
      </c>
      <c r="G326" s="198">
        <f>[2]!Table3[[#This Row],[Incentive Disbursements]]/'[2]1.) CLM Reference'!$B$5</f>
        <v>0</v>
      </c>
      <c r="H326" s="88">
        <v>565.22900000000004</v>
      </c>
      <c r="I326" s="197">
        <f>[2]!Table3[[#This Row],[Residential CLM $ Collected]]/'[2]1.) CLM Reference'!$B$4</f>
        <v>1.9423268087183749E-5</v>
      </c>
      <c r="J326" s="89">
        <v>0</v>
      </c>
      <c r="K326" s="198">
        <f>[2]!Table3[[#This Row],[Residential Incentive Disbursements]]/'[2]1.) CLM Reference'!$B$5</f>
        <v>0</v>
      </c>
      <c r="L326" s="88">
        <v>331.06779999999998</v>
      </c>
      <c r="M326" s="197">
        <f>[2]!Table3[[#This Row],[C&amp;I CLM $ Collected]]/'[2]1.) CLM Reference'!$B$4</f>
        <v>1.1376660847964509E-5</v>
      </c>
      <c r="N326" s="89">
        <v>0</v>
      </c>
      <c r="O326" s="198">
        <f>[2]!Table3[[#This Row],[C&amp;I Incentive Disbursements]]/'[2]1.) CLM Reference'!$B$5</f>
        <v>0</v>
      </c>
      <c r="P326" t="str">
        <f t="shared" ref="P326:P389" si="5">IF(ROUND(M326,5)&lt;0.00001,"N/A",IF(ROUND(M326,5)&lt;=ROUND(O326,5),"YES","NO"))</f>
        <v>NO</v>
      </c>
      <c r="Q326" t="str">
        <f>VLOOKUP(Table8[[#This Row],[Census Tract]],'UI EnergyBurden'!$A$2:$B$184,2,FALSE)</f>
        <v>No</v>
      </c>
      <c r="R326">
        <f>VLOOKUP(Table8[[#This Row],[Census Tract]],'Population and Diversity Data'!$B$2:$K$823,10,FALSE)</f>
        <v>2</v>
      </c>
    </row>
    <row r="327" spans="1:18" ht="16" hidden="1" x14ac:dyDescent="0.2">
      <c r="A327" s="214">
        <v>9009167202</v>
      </c>
      <c r="B327" s="195" t="s">
        <v>950</v>
      </c>
      <c r="C327" s="195" t="s">
        <v>944</v>
      </c>
      <c r="D327" s="88">
        <f>[2]!Table3[[#This Row],[Residential CLM $ Collected]]+[2]!Table3[[#This Row],[C&amp;I CLM $ Collected]]</f>
        <v>789.17419999999993</v>
      </c>
      <c r="E327" s="197">
        <f>[2]!Table3[[#This Row],[CLM $ Collected ]]/'[2]1.) CLM Reference'!$B$4</f>
        <v>2.711881742459917E-5</v>
      </c>
      <c r="F327" s="89">
        <f>[2]!Table3[[#This Row],[Residential Incentive Disbursements]]+[2]!Table3[[#This Row],[C&amp;I Incentive Disbursements]]</f>
        <v>0</v>
      </c>
      <c r="G327" s="198">
        <f>[2]!Table3[[#This Row],[Incentive Disbursements]]/'[2]1.) CLM Reference'!$B$5</f>
        <v>0</v>
      </c>
      <c r="H327" s="88">
        <v>764.91129999999998</v>
      </c>
      <c r="I327" s="197">
        <f>[2]!Table3[[#This Row],[Residential CLM $ Collected]]/'[2]1.) CLM Reference'!$B$4</f>
        <v>2.6285058344168885E-5</v>
      </c>
      <c r="J327" s="89">
        <v>0</v>
      </c>
      <c r="K327" s="198">
        <f>[2]!Table3[[#This Row],[Residential Incentive Disbursements]]/'[2]1.) CLM Reference'!$B$5</f>
        <v>0</v>
      </c>
      <c r="L327" s="88">
        <v>24.262899999999998</v>
      </c>
      <c r="M327" s="197">
        <f>[2]!Table3[[#This Row],[C&amp;I CLM $ Collected]]/'[2]1.) CLM Reference'!$B$4</f>
        <v>8.3375908043028678E-7</v>
      </c>
      <c r="N327" s="89">
        <v>0</v>
      </c>
      <c r="O327" s="198">
        <f>[2]!Table3[[#This Row],[C&amp;I Incentive Disbursements]]/'[2]1.) CLM Reference'!$B$5</f>
        <v>0</v>
      </c>
      <c r="P327" t="str">
        <f t="shared" si="5"/>
        <v>N/A</v>
      </c>
      <c r="Q327" t="str">
        <f>VLOOKUP(Table8[[#This Row],[Census Tract]],'UI EnergyBurden'!$A$2:$B$184,2,FALSE)</f>
        <v>No</v>
      </c>
      <c r="R327">
        <f>VLOOKUP(Table8[[#This Row],[Census Tract]],'Population and Diversity Data'!$B$2:$K$823,10,FALSE)</f>
        <v>4</v>
      </c>
    </row>
    <row r="328" spans="1:18" ht="15.75" hidden="1" customHeight="1" x14ac:dyDescent="0.2">
      <c r="A328" s="195">
        <v>9009180100</v>
      </c>
      <c r="B328" s="195" t="s">
        <v>950</v>
      </c>
      <c r="C328" s="195" t="s">
        <v>944</v>
      </c>
      <c r="D328" s="88">
        <f>[2]!Table3[[#This Row],[Residential CLM $ Collected]]+[2]!Table3[[#This Row],[C&amp;I CLM $ Collected]]</f>
        <v>264.08440000000002</v>
      </c>
      <c r="E328" s="197">
        <f>[2]!Table3[[#This Row],[CLM $ Collected ]]/'[2]1.) CLM Reference'!$B$4</f>
        <v>9.0748742524588584E-6</v>
      </c>
      <c r="F328" s="89">
        <f>[2]!Table3[[#This Row],[Residential Incentive Disbursements]]+[2]!Table3[[#This Row],[C&amp;I Incentive Disbursements]]</f>
        <v>0</v>
      </c>
      <c r="G328" s="198">
        <f>[2]!Table3[[#This Row],[Incentive Disbursements]]/'[2]1.) CLM Reference'!$B$5</f>
        <v>0</v>
      </c>
      <c r="H328" s="88">
        <v>264.08440000000002</v>
      </c>
      <c r="I328" s="197">
        <f>[2]!Table3[[#This Row],[Residential CLM $ Collected]]/'[2]1.) CLM Reference'!$B$4</f>
        <v>9.0748742524588584E-6</v>
      </c>
      <c r="J328" s="89">
        <v>0</v>
      </c>
      <c r="K328" s="198">
        <f>[2]!Table3[[#This Row],[Residential Incentive Disbursements]]/'[2]1.) CLM Reference'!$B$5</f>
        <v>0</v>
      </c>
      <c r="L328" s="88">
        <v>0</v>
      </c>
      <c r="M328" s="197">
        <f>[2]!Table3[[#This Row],[C&amp;I CLM $ Collected]]/'[2]1.) CLM Reference'!$B$4</f>
        <v>0</v>
      </c>
      <c r="N328" s="89">
        <v>0</v>
      </c>
      <c r="O328" s="198">
        <f>[2]!Table3[[#This Row],[C&amp;I Incentive Disbursements]]/'[2]1.) CLM Reference'!$B$5</f>
        <v>0</v>
      </c>
      <c r="P328" t="str">
        <f t="shared" si="5"/>
        <v>N/A</v>
      </c>
      <c r="Q328" t="str">
        <f>VLOOKUP(Table8[[#This Row],[Census Tract]],'UI EnergyBurden'!$A$2:$B$184,2,FALSE)</f>
        <v>No</v>
      </c>
      <c r="R328">
        <f>VLOOKUP(Table8[[#This Row],[Census Tract]],'Population and Diversity Data'!$B$2:$K$823,10,FALSE)</f>
        <v>5</v>
      </c>
    </row>
    <row r="329" spans="1:18" ht="16" hidden="1" x14ac:dyDescent="0.2">
      <c r="A329" s="214">
        <v>9009180200</v>
      </c>
      <c r="B329" s="195" t="s">
        <v>950</v>
      </c>
      <c r="C329" s="195" t="s">
        <v>944</v>
      </c>
      <c r="D329" s="88">
        <f>[2]!Table3[[#This Row],[Residential CLM $ Collected]]+[2]!Table3[[#This Row],[C&amp;I CLM $ Collected]]</f>
        <v>991.60609999999997</v>
      </c>
      <c r="E329" s="197">
        <f>[2]!Table3[[#This Row],[CLM $ Collected ]]/'[2]1.) CLM Reference'!$B$4</f>
        <v>3.4075093665022029E-5</v>
      </c>
      <c r="F329" s="89">
        <f>[2]!Table3[[#This Row],[Residential Incentive Disbursements]]+[2]!Table3[[#This Row],[C&amp;I Incentive Disbursements]]</f>
        <v>0</v>
      </c>
      <c r="G329" s="198">
        <f>[2]!Table3[[#This Row],[Incentive Disbursements]]/'[2]1.) CLM Reference'!$B$5</f>
        <v>0</v>
      </c>
      <c r="H329" s="88">
        <v>94.562600000000003</v>
      </c>
      <c r="I329" s="197">
        <f>[2]!Table3[[#This Row],[Residential CLM $ Collected]]/'[2]1.) CLM Reference'!$B$4</f>
        <v>3.2495054762248965E-6</v>
      </c>
      <c r="J329" s="89">
        <v>0</v>
      </c>
      <c r="K329" s="198">
        <f>[2]!Table3[[#This Row],[Residential Incentive Disbursements]]/'[2]1.) CLM Reference'!$B$5</f>
        <v>0</v>
      </c>
      <c r="L329" s="88">
        <v>897.04349999999999</v>
      </c>
      <c r="M329" s="197">
        <f>[2]!Table3[[#This Row],[C&amp;I CLM $ Collected]]/'[2]1.) CLM Reference'!$B$4</f>
        <v>3.0825588188797131E-5</v>
      </c>
      <c r="N329" s="89">
        <v>0</v>
      </c>
      <c r="O329" s="198">
        <f>[2]!Table3[[#This Row],[C&amp;I Incentive Disbursements]]/'[2]1.) CLM Reference'!$B$5</f>
        <v>0</v>
      </c>
      <c r="P329" t="str">
        <f t="shared" si="5"/>
        <v>NO</v>
      </c>
      <c r="Q329" t="str">
        <f>VLOOKUP(Table8[[#This Row],[Census Tract]],'UI EnergyBurden'!$A$2:$B$184,2,FALSE)</f>
        <v>No</v>
      </c>
      <c r="R329">
        <f>VLOOKUP(Table8[[#This Row],[Census Tract]],'Population and Diversity Data'!$B$2:$K$823,10,FALSE)</f>
        <v>5</v>
      </c>
    </row>
    <row r="330" spans="1:18" ht="15.75" hidden="1" customHeight="1" x14ac:dyDescent="0.2">
      <c r="A330" s="195">
        <v>9009180300</v>
      </c>
      <c r="B330" s="195" t="s">
        <v>950</v>
      </c>
      <c r="C330" s="195" t="s">
        <v>944</v>
      </c>
      <c r="D330" s="88">
        <f>[2]!Table3[[#This Row],[Residential CLM $ Collected]]+[2]!Table3[[#This Row],[C&amp;I CLM $ Collected]]</f>
        <v>18.827999999999999</v>
      </c>
      <c r="E330" s="197">
        <f>[2]!Table3[[#This Row],[CLM $ Collected ]]/'[2]1.) CLM Reference'!$B$4</f>
        <v>6.4699668903310974E-7</v>
      </c>
      <c r="F330" s="89">
        <f>[2]!Table3[[#This Row],[Residential Incentive Disbursements]]+[2]!Table3[[#This Row],[C&amp;I Incentive Disbursements]]</f>
        <v>0</v>
      </c>
      <c r="G330" s="198">
        <f>[2]!Table3[[#This Row],[Incentive Disbursements]]/'[2]1.) CLM Reference'!$B$5</f>
        <v>0</v>
      </c>
      <c r="H330" s="88">
        <v>18.827999999999999</v>
      </c>
      <c r="I330" s="197">
        <f>[2]!Table3[[#This Row],[Residential CLM $ Collected]]/'[2]1.) CLM Reference'!$B$4</f>
        <v>6.4699668903310974E-7</v>
      </c>
      <c r="J330" s="89">
        <v>0</v>
      </c>
      <c r="K330" s="198">
        <f>[2]!Table3[[#This Row],[Residential Incentive Disbursements]]/'[2]1.) CLM Reference'!$B$5</f>
        <v>0</v>
      </c>
      <c r="L330" s="88">
        <v>0</v>
      </c>
      <c r="M330" s="197">
        <f>[2]!Table3[[#This Row],[C&amp;I CLM $ Collected]]/'[2]1.) CLM Reference'!$B$4</f>
        <v>0</v>
      </c>
      <c r="N330" s="89">
        <v>0</v>
      </c>
      <c r="O330" s="198">
        <f>[2]!Table3[[#This Row],[C&amp;I Incentive Disbursements]]/'[2]1.) CLM Reference'!$B$5</f>
        <v>0</v>
      </c>
      <c r="P330" t="str">
        <f t="shared" si="5"/>
        <v>N/A</v>
      </c>
      <c r="Q330" t="str">
        <f>VLOOKUP(Table8[[#This Row],[Census Tract]],'UI EnergyBurden'!$A$2:$B$184,2,FALSE)</f>
        <v>No</v>
      </c>
      <c r="R330">
        <f>VLOOKUP(Table8[[#This Row],[Census Tract]],'Population and Diversity Data'!$B$2:$K$823,10,FALSE)</f>
        <v>3</v>
      </c>
    </row>
    <row r="331" spans="1:18" ht="15.75" hidden="1" customHeight="1" x14ac:dyDescent="0.2">
      <c r="A331" s="195">
        <v>9009180400</v>
      </c>
      <c r="B331" s="195" t="s">
        <v>950</v>
      </c>
      <c r="C331" s="195" t="s">
        <v>944</v>
      </c>
      <c r="D331" s="88">
        <f>[2]!Table3[[#This Row],[Residential CLM $ Collected]]+[2]!Table3[[#This Row],[C&amp;I CLM $ Collected]]</f>
        <v>31.1447</v>
      </c>
      <c r="E331" s="197">
        <f>[2]!Table3[[#This Row],[CLM $ Collected ]]/'[2]1.) CLM Reference'!$B$4</f>
        <v>1.0702420746191575E-6</v>
      </c>
      <c r="F331" s="89">
        <f>[2]!Table3[[#This Row],[Residential Incentive Disbursements]]+[2]!Table3[[#This Row],[C&amp;I Incentive Disbursements]]</f>
        <v>0</v>
      </c>
      <c r="G331" s="198">
        <f>[2]!Table3[[#This Row],[Incentive Disbursements]]/'[2]1.) CLM Reference'!$B$5</f>
        <v>0</v>
      </c>
      <c r="H331" s="88">
        <v>0</v>
      </c>
      <c r="I331" s="197">
        <f>[2]!Table3[[#This Row],[Residential CLM $ Collected]]/'[2]1.) CLM Reference'!$B$4</f>
        <v>0</v>
      </c>
      <c r="J331" s="89">
        <v>0</v>
      </c>
      <c r="K331" s="198">
        <f>[2]!Table3[[#This Row],[Residential Incentive Disbursements]]/'[2]1.) CLM Reference'!$B$5</f>
        <v>0</v>
      </c>
      <c r="L331" s="88">
        <v>31.1447</v>
      </c>
      <c r="M331" s="197">
        <f>[2]!Table3[[#This Row],[C&amp;I CLM $ Collected]]/'[2]1.) CLM Reference'!$B$4</f>
        <v>1.0702420746191575E-6</v>
      </c>
      <c r="N331" s="89">
        <v>0</v>
      </c>
      <c r="O331" s="198">
        <f>[2]!Table3[[#This Row],[C&amp;I Incentive Disbursements]]/'[2]1.) CLM Reference'!$B$5</f>
        <v>0</v>
      </c>
      <c r="P331" t="str">
        <f t="shared" si="5"/>
        <v>N/A</v>
      </c>
      <c r="Q331" t="str">
        <f>VLOOKUP(Table8[[#This Row],[Census Tract]],'UI EnergyBurden'!$A$2:$B$184,2,FALSE)</f>
        <v>No</v>
      </c>
      <c r="R331">
        <f>VLOOKUP(Table8[[#This Row],[Census Tract]],'Population and Diversity Data'!$B$2:$K$823,10,FALSE)</f>
        <v>4</v>
      </c>
    </row>
    <row r="332" spans="1:18" ht="15.75" hidden="1" customHeight="1" x14ac:dyDescent="0.2">
      <c r="A332" s="195">
        <v>9009180500</v>
      </c>
      <c r="B332" s="195" t="s">
        <v>950</v>
      </c>
      <c r="C332" s="195" t="s">
        <v>944</v>
      </c>
      <c r="D332" s="88">
        <f>[2]!Table3[[#This Row],[Residential CLM $ Collected]]+[2]!Table3[[#This Row],[C&amp;I CLM $ Collected]]</f>
        <v>70.126199999999997</v>
      </c>
      <c r="E332" s="197">
        <f>[2]!Table3[[#This Row],[CLM $ Collected ]]/'[2]1.) CLM Reference'!$B$4</f>
        <v>2.4097843219924401E-6</v>
      </c>
      <c r="F332" s="89">
        <f>[2]!Table3[[#This Row],[Residential Incentive Disbursements]]+[2]!Table3[[#This Row],[C&amp;I Incentive Disbursements]]</f>
        <v>0</v>
      </c>
      <c r="G332" s="198">
        <f>[2]!Table3[[#This Row],[Incentive Disbursements]]/'[2]1.) CLM Reference'!$B$5</f>
        <v>0</v>
      </c>
      <c r="H332" s="88">
        <v>70.126199999999997</v>
      </c>
      <c r="I332" s="197">
        <f>[2]!Table3[[#This Row],[Residential CLM $ Collected]]/'[2]1.) CLM Reference'!$B$4</f>
        <v>2.4097843219924401E-6</v>
      </c>
      <c r="J332" s="89">
        <v>0</v>
      </c>
      <c r="K332" s="198">
        <f>[2]!Table3[[#This Row],[Residential Incentive Disbursements]]/'[2]1.) CLM Reference'!$B$5</f>
        <v>0</v>
      </c>
      <c r="L332" s="88">
        <v>0</v>
      </c>
      <c r="M332" s="197">
        <f>[2]!Table3[[#This Row],[C&amp;I CLM $ Collected]]/'[2]1.) CLM Reference'!$B$4</f>
        <v>0</v>
      </c>
      <c r="N332" s="89">
        <v>0</v>
      </c>
      <c r="O332" s="198">
        <f>[2]!Table3[[#This Row],[C&amp;I Incentive Disbursements]]/'[2]1.) CLM Reference'!$B$5</f>
        <v>0</v>
      </c>
      <c r="P332" t="str">
        <f t="shared" si="5"/>
        <v>N/A</v>
      </c>
      <c r="Q332" t="str">
        <f>VLOOKUP(Table8[[#This Row],[Census Tract]],'UI EnergyBurden'!$A$2:$B$184,2,FALSE)</f>
        <v>No</v>
      </c>
      <c r="R332">
        <f>VLOOKUP(Table8[[#This Row],[Census Tract]],'Population and Diversity Data'!$B$2:$K$823,10,FALSE)</f>
        <v>5</v>
      </c>
    </row>
    <row r="333" spans="1:18" ht="15.75" hidden="1" customHeight="1" x14ac:dyDescent="0.2">
      <c r="A333" s="195">
        <v>9009361500</v>
      </c>
      <c r="B333" s="195" t="s">
        <v>950</v>
      </c>
      <c r="C333" s="195" t="s">
        <v>944</v>
      </c>
      <c r="D333" s="88">
        <f>[2]!Table3[[#This Row],[Residential CLM $ Collected]]+[2]!Table3[[#This Row],[C&amp;I CLM $ Collected]]</f>
        <v>149377.58500000011</v>
      </c>
      <c r="E333" s="197">
        <f>[2]!Table3[[#This Row],[CLM $ Collected ]]/'[2]1.) CLM Reference'!$B$4</f>
        <v>5.133142283341937E-3</v>
      </c>
      <c r="F333" s="89">
        <f>[2]!Table3[[#This Row],[Residential Incentive Disbursements]]+[2]!Table3[[#This Row],[C&amp;I Incentive Disbursements]]</f>
        <v>55065.628225214852</v>
      </c>
      <c r="G333" s="198">
        <f>[2]!Table3[[#This Row],[Incentive Disbursements]]/'[2]1.) CLM Reference'!$B$5</f>
        <v>3.277523222059354E-3</v>
      </c>
      <c r="H333" s="88">
        <v>88395.970500000098</v>
      </c>
      <c r="I333" s="197">
        <f>[2]!Table3[[#This Row],[Residential CLM $ Collected]]/'[2]1.) CLM Reference'!$B$4</f>
        <v>3.0375982705209536E-3</v>
      </c>
      <c r="J333" s="89">
        <v>28269.859826128006</v>
      </c>
      <c r="K333" s="198">
        <f>[2]!Table3[[#This Row],[Residential Incentive Disbursements]]/'[2]1.) CLM Reference'!$B$5</f>
        <v>1.6826307998438501E-3</v>
      </c>
      <c r="L333" s="88">
        <v>60981.614500000003</v>
      </c>
      <c r="M333" s="197">
        <f>[2]!Table3[[#This Row],[C&amp;I CLM $ Collected]]/'[2]1.) CLM Reference'!$B$4</f>
        <v>2.0955440128209838E-3</v>
      </c>
      <c r="N333" s="89">
        <v>26795.768399086843</v>
      </c>
      <c r="O333" s="198">
        <f>[2]!Table3[[#This Row],[C&amp;I Incentive Disbursements]]/'[2]1.) CLM Reference'!$B$5</f>
        <v>1.5948924222155038E-3</v>
      </c>
      <c r="P333" t="str">
        <f t="shared" si="5"/>
        <v>NO</v>
      </c>
      <c r="Q333" t="str">
        <f>VLOOKUP(Table8[[#This Row],[Census Tract]],'UI EnergyBurden'!$A$2:$B$184,2,FALSE)</f>
        <v>No</v>
      </c>
      <c r="R333">
        <f>VLOOKUP(Table8[[#This Row],[Census Tract]],'Population and Diversity Data'!$B$2:$K$823,10,FALSE)</f>
        <v>5</v>
      </c>
    </row>
    <row r="334" spans="1:18" ht="15.75" hidden="1" customHeight="1" x14ac:dyDescent="0.2">
      <c r="A334" s="195">
        <v>9009130101</v>
      </c>
      <c r="B334" s="195" t="s">
        <v>2995</v>
      </c>
      <c r="C334" s="195" t="s">
        <v>944</v>
      </c>
      <c r="D334" s="88">
        <f>[2]!Table3[[#This Row],[Residential CLM $ Collected]]+[2]!Table3[[#This Row],[C&amp;I CLM $ Collected]]</f>
        <v>226.78720000000001</v>
      </c>
      <c r="E334" s="197">
        <f>[2]!Table3[[#This Row],[CLM $ Collected ]]/'[2]1.) CLM Reference'!$B$4</f>
        <v>7.7932105117426013E-6</v>
      </c>
      <c r="F334" s="89">
        <f>[2]!Table3[[#This Row],[Residential Incentive Disbursements]]+[2]!Table3[[#This Row],[C&amp;I Incentive Disbursements]]</f>
        <v>0</v>
      </c>
      <c r="G334" s="198">
        <f>[2]!Table3[[#This Row],[Incentive Disbursements]]/'[2]1.) CLM Reference'!$B$5</f>
        <v>0</v>
      </c>
      <c r="H334" s="88">
        <v>226.78720000000001</v>
      </c>
      <c r="I334" s="197">
        <f>[2]!Table3[[#This Row],[Residential CLM $ Collected]]/'[2]1.) CLM Reference'!$B$4</f>
        <v>7.7932105117426013E-6</v>
      </c>
      <c r="J334" s="89">
        <v>0</v>
      </c>
      <c r="K334" s="198">
        <f>[2]!Table3[[#This Row],[Residential Incentive Disbursements]]/'[2]1.) CLM Reference'!$B$5</f>
        <v>0</v>
      </c>
      <c r="L334" s="88">
        <v>0</v>
      </c>
      <c r="M334" s="197">
        <f>[2]!Table3[[#This Row],[C&amp;I CLM $ Collected]]/'[2]1.) CLM Reference'!$B$4</f>
        <v>0</v>
      </c>
      <c r="N334" s="89">
        <v>0</v>
      </c>
      <c r="O334" s="198">
        <f>[2]!Table3[[#This Row],[C&amp;I Incentive Disbursements]]/'[2]1.) CLM Reference'!$B$5</f>
        <v>0</v>
      </c>
      <c r="P334" t="str">
        <f t="shared" si="5"/>
        <v>N/A</v>
      </c>
      <c r="Q334" t="str">
        <f>VLOOKUP(Table8[[#This Row],[Census Tract]],'UI EnergyBurden'!$A$2:$B$184,2,FALSE)</f>
        <v>No</v>
      </c>
      <c r="R334">
        <f>VLOOKUP(Table8[[#This Row],[Census Tract]],'Population and Diversity Data'!$B$2:$K$823,10,FALSE)</f>
        <v>2</v>
      </c>
    </row>
    <row r="335" spans="1:18" ht="15.75" hidden="1" customHeight="1" x14ac:dyDescent="0.2">
      <c r="A335" s="195">
        <v>9009141200</v>
      </c>
      <c r="B335" s="195" t="s">
        <v>2995</v>
      </c>
      <c r="C335" s="195" t="s">
        <v>944</v>
      </c>
      <c r="D335" s="88">
        <f>[2]!Table3[[#This Row],[Residential CLM $ Collected]]+[2]!Table3[[#This Row],[C&amp;I CLM $ Collected]]</f>
        <v>710.14639999999997</v>
      </c>
      <c r="E335" s="197">
        <f>[2]!Table3[[#This Row],[CLM $ Collected ]]/'[2]1.) CLM Reference'!$B$4</f>
        <v>2.4403142634840791E-5</v>
      </c>
      <c r="F335" s="89">
        <f>[2]!Table3[[#This Row],[Residential Incentive Disbursements]]+[2]!Table3[[#This Row],[C&amp;I Incentive Disbursements]]</f>
        <v>0</v>
      </c>
      <c r="G335" s="198">
        <f>[2]!Table3[[#This Row],[Incentive Disbursements]]/'[2]1.) CLM Reference'!$B$5</f>
        <v>0</v>
      </c>
      <c r="H335" s="88">
        <v>0</v>
      </c>
      <c r="I335" s="197">
        <f>[2]!Table3[[#This Row],[Residential CLM $ Collected]]/'[2]1.) CLM Reference'!$B$4</f>
        <v>0</v>
      </c>
      <c r="J335" s="89">
        <v>0</v>
      </c>
      <c r="K335" s="198">
        <f>[2]!Table3[[#This Row],[Residential Incentive Disbursements]]/'[2]1.) CLM Reference'!$B$5</f>
        <v>0</v>
      </c>
      <c r="L335" s="88">
        <v>710.14639999999997</v>
      </c>
      <c r="M335" s="197">
        <f>[2]!Table3[[#This Row],[C&amp;I CLM $ Collected]]/'[2]1.) CLM Reference'!$B$4</f>
        <v>2.4403142634840791E-5</v>
      </c>
      <c r="N335" s="89">
        <v>0</v>
      </c>
      <c r="O335" s="198">
        <f>[2]!Table3[[#This Row],[C&amp;I Incentive Disbursements]]/'[2]1.) CLM Reference'!$B$5</f>
        <v>0</v>
      </c>
      <c r="P335" t="str">
        <f t="shared" si="5"/>
        <v>NO</v>
      </c>
      <c r="Q335" t="str">
        <f>VLOOKUP(Table8[[#This Row],[Census Tract]],'UI EnergyBurden'!$A$2:$B$184,2,FALSE)</f>
        <v>No</v>
      </c>
      <c r="R335">
        <f>VLOOKUP(Table8[[#This Row],[Census Tract]],'Population and Diversity Data'!$B$2:$K$823,10,FALSE)</f>
        <v>5</v>
      </c>
    </row>
    <row r="336" spans="1:18" ht="15.75" hidden="1" customHeight="1" x14ac:dyDescent="0.2">
      <c r="A336" s="195">
        <v>9009160100</v>
      </c>
      <c r="B336" s="195" t="s">
        <v>2995</v>
      </c>
      <c r="C336" s="195" t="s">
        <v>944</v>
      </c>
      <c r="D336" s="88">
        <f>[2]!Table3[[#This Row],[Residential CLM $ Collected]]+[2]!Table3[[#This Row],[C&amp;I CLM $ Collected]]</f>
        <v>94425.923599999907</v>
      </c>
      <c r="E336" s="197">
        <f>[2]!Table3[[#This Row],[CLM $ Collected ]]/'[2]1.) CLM Reference'!$B$4</f>
        <v>3.2448087915919548E-3</v>
      </c>
      <c r="F336" s="89">
        <f>[2]!Table3[[#This Row],[Residential Incentive Disbursements]]+[2]!Table3[[#This Row],[C&amp;I Incentive Disbursements]]</f>
        <v>46258.101880363749</v>
      </c>
      <c r="G336" s="198">
        <f>[2]!Table3[[#This Row],[Incentive Disbursements]]/'[2]1.) CLM Reference'!$B$5</f>
        <v>2.7532965301185048E-3</v>
      </c>
      <c r="H336" s="88">
        <v>88447.433699999907</v>
      </c>
      <c r="I336" s="197">
        <f>[2]!Table3[[#This Row],[Residential CLM $ Collected]]/'[2]1.) CLM Reference'!$B$4</f>
        <v>3.0393667281376374E-3</v>
      </c>
      <c r="J336" s="89">
        <v>46258.101880363749</v>
      </c>
      <c r="K336" s="198">
        <f>[2]!Table3[[#This Row],[Residential Incentive Disbursements]]/'[2]1.) CLM Reference'!$B$5</f>
        <v>2.7532965301185048E-3</v>
      </c>
      <c r="L336" s="88">
        <v>5978.4898999999996</v>
      </c>
      <c r="M336" s="197">
        <f>[2]!Table3[[#This Row],[C&amp;I CLM $ Collected]]/'[2]1.) CLM Reference'!$B$4</f>
        <v>2.0544206345431736E-4</v>
      </c>
      <c r="N336" s="89">
        <v>0</v>
      </c>
      <c r="O336" s="198">
        <f>[2]!Table3[[#This Row],[C&amp;I Incentive Disbursements]]/'[2]1.) CLM Reference'!$B$5</f>
        <v>0</v>
      </c>
      <c r="P336" t="str">
        <f t="shared" si="5"/>
        <v>NO</v>
      </c>
      <c r="Q336" t="str">
        <f>VLOOKUP(Table8[[#This Row],[Census Tract]],'UI EnergyBurden'!$A$2:$B$184,2,FALSE)</f>
        <v>No</v>
      </c>
      <c r="R336">
        <f>VLOOKUP(Table8[[#This Row],[Census Tract]],'Population and Diversity Data'!$B$2:$K$823,10,FALSE)</f>
        <v>5</v>
      </c>
    </row>
    <row r="337" spans="1:18" ht="15.75" hidden="1" customHeight="1" thickBot="1" x14ac:dyDescent="0.25">
      <c r="A337" s="195">
        <v>9009160200</v>
      </c>
      <c r="B337" s="195" t="s">
        <v>2995</v>
      </c>
      <c r="C337" s="204" t="s">
        <v>944</v>
      </c>
      <c r="D337" s="88">
        <f>[2]!Table3[[#This Row],[Residential CLM $ Collected]]+[2]!Table3[[#This Row],[C&amp;I CLM $ Collected]]</f>
        <v>176689.11550000001</v>
      </c>
      <c r="E337" s="197">
        <f>[2]!Table3[[#This Row],[CLM $ Collected ]]/'[2]1.) CLM Reference'!$B$4</f>
        <v>6.0716630930894803E-3</v>
      </c>
      <c r="F337" s="89">
        <f>[2]!Table3[[#This Row],[Residential Incentive Disbursements]]+[2]!Table3[[#This Row],[C&amp;I Incentive Disbursements]]</f>
        <v>55465.859282592959</v>
      </c>
      <c r="G337" s="198">
        <f>[2]!Table3[[#This Row],[Incentive Disbursements]]/'[2]1.) CLM Reference'!$B$5</f>
        <v>3.3013450983735782E-3</v>
      </c>
      <c r="H337" s="88">
        <v>127202.5885</v>
      </c>
      <c r="I337" s="197">
        <f>[2]!Table3[[#This Row],[Residential CLM $ Collected]]/'[2]1.) CLM Reference'!$B$4</f>
        <v>4.3711309536828731E-3</v>
      </c>
      <c r="J337" s="89">
        <v>52188.89928259296</v>
      </c>
      <c r="K337" s="198">
        <f>[2]!Table3[[#This Row],[Residential Incentive Disbursements]]/'[2]1.) CLM Reference'!$B$5</f>
        <v>3.1062994257112699E-3</v>
      </c>
      <c r="L337" s="88">
        <v>49486.527000000002</v>
      </c>
      <c r="M337" s="197">
        <f>[2]!Table3[[#This Row],[C&amp;I CLM $ Collected]]/'[2]1.) CLM Reference'!$B$4</f>
        <v>1.7005321394066067E-3</v>
      </c>
      <c r="N337" s="89">
        <v>3276.96</v>
      </c>
      <c r="O337" s="198">
        <f>[2]!Table3[[#This Row],[C&amp;I Incentive Disbursements]]/'[2]1.) CLM Reference'!$B$5</f>
        <v>1.9504567266230829E-4</v>
      </c>
      <c r="P337" t="str">
        <f t="shared" si="5"/>
        <v>NO</v>
      </c>
      <c r="Q337" t="str">
        <f>VLOOKUP(Table8[[#This Row],[Census Tract]],'UI EnergyBurden'!$A$2:$B$184,2,FALSE)</f>
        <v>No</v>
      </c>
      <c r="R337">
        <f>VLOOKUP(Table8[[#This Row],[Census Tract]],'Population and Diversity Data'!$B$2:$K$823,10,FALSE)</f>
        <v>4</v>
      </c>
    </row>
    <row r="338" spans="1:18" ht="15.75" hidden="1" customHeight="1" thickBot="1" x14ac:dyDescent="0.25">
      <c r="A338" s="93"/>
      <c r="B338" s="94"/>
      <c r="C338" s="205" t="s">
        <v>2696</v>
      </c>
      <c r="D338" s="206">
        <f>SUBTOTAL(109,D6:D337)</f>
        <v>3599347.9723999971</v>
      </c>
      <c r="E338" s="207">
        <f>[2]!Table3[[#This Row],[CLM $ Collected ]]/'[2]1.) CLM Reference'!$B$4</f>
        <v>0.60300857406915287</v>
      </c>
      <c r="F338" s="208">
        <f>SUBTOTAL(109,F6:F337)</f>
        <v>2814319.7479295474</v>
      </c>
      <c r="G338" s="207">
        <f>[2]!Table3[[#This Row],[Incentive Disbursements]]/'[2]1.) CLM Reference'!$B$5</f>
        <v>0.69343901863409252</v>
      </c>
      <c r="H338" s="206">
        <f>SUBTOTAL(109,H6:H337)</f>
        <v>2142093.8968999996</v>
      </c>
      <c r="I338" s="207">
        <f>[2]!Table3[[#This Row],[Residential CLM $ Collected]]/'[2]1.) CLM Reference'!$B$4</f>
        <v>0.41682259745854661</v>
      </c>
      <c r="J338" s="208">
        <f>SUBTOTAL(109,J6:J337)</f>
        <v>1613575.9093120208</v>
      </c>
      <c r="K338" s="207">
        <f>[2]!Table3[[#This Row],[Residential Incentive Disbursements]]/'[2]1.) CLM Reference'!$B$5</f>
        <v>0.50559790324044862</v>
      </c>
      <c r="L338" s="206">
        <f>SUBTOTAL(109,L6:L337)</f>
        <v>1457254.0755000005</v>
      </c>
      <c r="M338" s="207">
        <f>[2]!Table3[[#This Row],[C&amp;I CLM $ Collected]]/'[2]1.) CLM Reference'!$B$4</f>
        <v>0.18618597661060574</v>
      </c>
      <c r="N338" s="208">
        <f>SUBTOTAL(109,N6:N337)</f>
        <v>1200743.8386175281</v>
      </c>
      <c r="O338" s="209">
        <f>[2]!Table3[[#This Row],[C&amp;I Incentive Disbursements]]/'[2]1.) CLM Reference'!$B$5</f>
        <v>0.18784111539364426</v>
      </c>
      <c r="P338" t="str">
        <f t="shared" si="5"/>
        <v>YES</v>
      </c>
      <c r="Q338" t="e">
        <f>VLOOKUP(Table8[[#This Row],[Census Tract]],'UI EnergyBurden'!$A$2:$B$184,2,FALSE)</f>
        <v>#N/A</v>
      </c>
      <c r="R338" t="e">
        <f>VLOOKUP(Table8[[#This Row],[Census Tract]],'Population and Diversity Data'!$B$2:$K$823,10,FALSE)</f>
        <v>#N/A</v>
      </c>
    </row>
    <row r="339" spans="1:18" ht="15.75" hidden="1" customHeight="1" x14ac:dyDescent="0.2">
      <c r="A339"/>
      <c r="P339" t="str">
        <f t="shared" si="5"/>
        <v>N/A</v>
      </c>
      <c r="Q339" t="e">
        <f>VLOOKUP(Table8[[#This Row],[Census Tract]],'UI EnergyBurden'!$A$2:$B$184,2,FALSE)</f>
        <v>#N/A</v>
      </c>
      <c r="R339" t="e">
        <f>VLOOKUP(Table8[[#This Row],[Census Tract]],'Population and Diversity Data'!$B$2:$K$823,10,FALSE)</f>
        <v>#N/A</v>
      </c>
    </row>
    <row r="340" spans="1:18" ht="15.75" hidden="1" customHeight="1" x14ac:dyDescent="0.2">
      <c r="A340"/>
      <c r="H340" s="51"/>
      <c r="I340" s="50"/>
      <c r="J340" s="51"/>
      <c r="K340" s="50"/>
      <c r="N340" s="51"/>
      <c r="P340" t="str">
        <f t="shared" si="5"/>
        <v>N/A</v>
      </c>
      <c r="Q340" t="e">
        <f>VLOOKUP(Table8[[#This Row],[Census Tract]],'UI EnergyBurden'!$A$2:$B$184,2,FALSE)</f>
        <v>#N/A</v>
      </c>
      <c r="R340" t="e">
        <f>VLOOKUP(Table8[[#This Row],[Census Tract]],'Population and Diversity Data'!$B$2:$K$823,10,FALSE)</f>
        <v>#N/A</v>
      </c>
    </row>
    <row r="341" spans="1:18" ht="15.75" hidden="1" customHeight="1" x14ac:dyDescent="0.2">
      <c r="A341"/>
      <c r="P341" t="str">
        <f t="shared" si="5"/>
        <v>N/A</v>
      </c>
      <c r="Q341" t="e">
        <f>VLOOKUP(Table8[[#This Row],[Census Tract]],'UI EnergyBurden'!$A$2:$B$184,2,FALSE)</f>
        <v>#N/A</v>
      </c>
      <c r="R341" t="e">
        <f>VLOOKUP(Table8[[#This Row],[Census Tract]],'Population and Diversity Data'!$B$2:$K$823,10,FALSE)</f>
        <v>#N/A</v>
      </c>
    </row>
    <row r="342" spans="1:18" ht="15.75" hidden="1" customHeight="1" x14ac:dyDescent="0.2">
      <c r="A342"/>
      <c r="P342" t="str">
        <f t="shared" si="5"/>
        <v>N/A</v>
      </c>
      <c r="Q342" t="e">
        <f>VLOOKUP(Table8[[#This Row],[Census Tract]],'UI EnergyBurden'!$A$2:$B$184,2,FALSE)</f>
        <v>#N/A</v>
      </c>
      <c r="R342" t="e">
        <f>VLOOKUP(Table8[[#This Row],[Census Tract]],'Population and Diversity Data'!$B$2:$K$823,10,FALSE)</f>
        <v>#N/A</v>
      </c>
    </row>
    <row r="343" spans="1:18" ht="15.75" hidden="1" customHeight="1" x14ac:dyDescent="0.2">
      <c r="A343"/>
      <c r="P343" t="str">
        <f t="shared" si="5"/>
        <v>N/A</v>
      </c>
      <c r="Q343" t="e">
        <f>VLOOKUP(Table8[[#This Row],[Census Tract]],'UI EnergyBurden'!$A$2:$B$184,2,FALSE)</f>
        <v>#N/A</v>
      </c>
      <c r="R343" t="e">
        <f>VLOOKUP(Table8[[#This Row],[Census Tract]],'Population and Diversity Data'!$B$2:$K$823,10,FALSE)</f>
        <v>#N/A</v>
      </c>
    </row>
    <row r="344" spans="1:18" ht="15.75" hidden="1" customHeight="1" x14ac:dyDescent="0.2">
      <c r="A344"/>
      <c r="P344" t="str">
        <f t="shared" si="5"/>
        <v>N/A</v>
      </c>
      <c r="Q344" t="e">
        <f>VLOOKUP(Table8[[#This Row],[Census Tract]],'UI EnergyBurden'!$A$2:$B$184,2,FALSE)</f>
        <v>#N/A</v>
      </c>
      <c r="R344" t="e">
        <f>VLOOKUP(Table8[[#This Row],[Census Tract]],'Population and Diversity Data'!$B$2:$K$823,10,FALSE)</f>
        <v>#N/A</v>
      </c>
    </row>
    <row r="345" spans="1:18" ht="15.75" hidden="1" customHeight="1" x14ac:dyDescent="0.2">
      <c r="A345"/>
      <c r="P345" t="str">
        <f t="shared" si="5"/>
        <v>N/A</v>
      </c>
      <c r="Q345" t="e">
        <f>VLOOKUP(Table8[[#This Row],[Census Tract]],'UI EnergyBurden'!$A$2:$B$184,2,FALSE)</f>
        <v>#N/A</v>
      </c>
      <c r="R345" t="e">
        <f>VLOOKUP(Table8[[#This Row],[Census Tract]],'Population and Diversity Data'!$B$2:$K$823,10,FALSE)</f>
        <v>#N/A</v>
      </c>
    </row>
    <row r="346" spans="1:18" ht="15.75" hidden="1" customHeight="1" x14ac:dyDescent="0.2">
      <c r="A346"/>
      <c r="P346" t="str">
        <f t="shared" si="5"/>
        <v>N/A</v>
      </c>
      <c r="Q346" t="e">
        <f>VLOOKUP(Table8[[#This Row],[Census Tract]],'UI EnergyBurden'!$A$2:$B$184,2,FALSE)</f>
        <v>#N/A</v>
      </c>
      <c r="R346" t="e">
        <f>VLOOKUP(Table8[[#This Row],[Census Tract]],'Population and Diversity Data'!$B$2:$K$823,10,FALSE)</f>
        <v>#N/A</v>
      </c>
    </row>
    <row r="347" spans="1:18" ht="15.75" hidden="1" customHeight="1" x14ac:dyDescent="0.2">
      <c r="A347"/>
      <c r="P347" t="str">
        <f t="shared" si="5"/>
        <v>N/A</v>
      </c>
      <c r="Q347" t="e">
        <f>VLOOKUP(Table8[[#This Row],[Census Tract]],'UI EnergyBurden'!$A$2:$B$184,2,FALSE)</f>
        <v>#N/A</v>
      </c>
      <c r="R347" t="e">
        <f>VLOOKUP(Table8[[#This Row],[Census Tract]],'Population and Diversity Data'!$B$2:$K$823,10,FALSE)</f>
        <v>#N/A</v>
      </c>
    </row>
    <row r="348" spans="1:18" ht="15.75" hidden="1" customHeight="1" x14ac:dyDescent="0.2">
      <c r="A348"/>
      <c r="P348" t="str">
        <f t="shared" si="5"/>
        <v>N/A</v>
      </c>
      <c r="Q348" t="e">
        <f>VLOOKUP(Table8[[#This Row],[Census Tract]],'UI EnergyBurden'!$A$2:$B$184,2,FALSE)</f>
        <v>#N/A</v>
      </c>
      <c r="R348" t="e">
        <f>VLOOKUP(Table8[[#This Row],[Census Tract]],'Population and Diversity Data'!$B$2:$K$823,10,FALSE)</f>
        <v>#N/A</v>
      </c>
    </row>
    <row r="349" spans="1:18" ht="15.75" hidden="1" customHeight="1" x14ac:dyDescent="0.2">
      <c r="A349"/>
      <c r="P349" t="str">
        <f t="shared" si="5"/>
        <v>N/A</v>
      </c>
      <c r="Q349" t="e">
        <f>VLOOKUP(Table8[[#This Row],[Census Tract]],'UI EnergyBurden'!$A$2:$B$184,2,FALSE)</f>
        <v>#N/A</v>
      </c>
      <c r="R349" t="e">
        <f>VLOOKUP(Table8[[#This Row],[Census Tract]],'Population and Diversity Data'!$B$2:$K$823,10,FALSE)</f>
        <v>#N/A</v>
      </c>
    </row>
    <row r="350" spans="1:18" ht="15.75" hidden="1" customHeight="1" x14ac:dyDescent="0.2">
      <c r="A350"/>
      <c r="P350" t="str">
        <f t="shared" si="5"/>
        <v>N/A</v>
      </c>
      <c r="Q350" t="e">
        <f>VLOOKUP(Table8[[#This Row],[Census Tract]],'UI EnergyBurden'!$A$2:$B$184,2,FALSE)</f>
        <v>#N/A</v>
      </c>
      <c r="R350" t="e">
        <f>VLOOKUP(Table8[[#This Row],[Census Tract]],'Population and Diversity Data'!$B$2:$K$823,10,FALSE)</f>
        <v>#N/A</v>
      </c>
    </row>
    <row r="351" spans="1:18" ht="15.75" hidden="1" customHeight="1" x14ac:dyDescent="0.2">
      <c r="A351"/>
      <c r="P351" t="str">
        <f t="shared" si="5"/>
        <v>N/A</v>
      </c>
      <c r="Q351" t="e">
        <f>VLOOKUP(Table8[[#This Row],[Census Tract]],'UI EnergyBurden'!$A$2:$B$184,2,FALSE)</f>
        <v>#N/A</v>
      </c>
      <c r="R351" t="e">
        <f>VLOOKUP(Table8[[#This Row],[Census Tract]],'Population and Diversity Data'!$B$2:$K$823,10,FALSE)</f>
        <v>#N/A</v>
      </c>
    </row>
    <row r="352" spans="1:18" ht="15.75" hidden="1" customHeight="1" x14ac:dyDescent="0.2">
      <c r="A352"/>
      <c r="P352" t="str">
        <f t="shared" si="5"/>
        <v>N/A</v>
      </c>
      <c r="Q352" t="e">
        <f>VLOOKUP(Table8[[#This Row],[Census Tract]],'UI EnergyBurden'!$A$2:$B$184,2,FALSE)</f>
        <v>#N/A</v>
      </c>
      <c r="R352" t="e">
        <f>VLOOKUP(Table8[[#This Row],[Census Tract]],'Population and Diversity Data'!$B$2:$K$823,10,FALSE)</f>
        <v>#N/A</v>
      </c>
    </row>
    <row r="353" spans="4:18" customFormat="1" ht="15.75" hidden="1" customHeight="1" x14ac:dyDescent="0.2">
      <c r="D353" s="51"/>
      <c r="E353" s="34"/>
      <c r="F353" s="51"/>
      <c r="G353" s="210"/>
      <c r="P353" t="str">
        <f t="shared" si="5"/>
        <v>N/A</v>
      </c>
      <c r="Q353" t="e">
        <f>VLOOKUP(Table8[[#This Row],[Census Tract]],'UI EnergyBurden'!$A$2:$B$184,2,FALSE)</f>
        <v>#N/A</v>
      </c>
      <c r="R353" t="e">
        <f>VLOOKUP(Table8[[#This Row],[Census Tract]],'Population and Diversity Data'!$B$2:$K$823,10,FALSE)</f>
        <v>#N/A</v>
      </c>
    </row>
    <row r="354" spans="4:18" customFormat="1" ht="15.75" hidden="1" customHeight="1" x14ac:dyDescent="0.2">
      <c r="D354" s="51"/>
      <c r="E354" s="34"/>
      <c r="F354" s="51"/>
      <c r="G354" s="210"/>
      <c r="P354" t="str">
        <f t="shared" si="5"/>
        <v>N/A</v>
      </c>
      <c r="Q354" t="e">
        <f>VLOOKUP(Table8[[#This Row],[Census Tract]],'UI EnergyBurden'!$A$2:$B$184,2,FALSE)</f>
        <v>#N/A</v>
      </c>
      <c r="R354" t="e">
        <f>VLOOKUP(Table8[[#This Row],[Census Tract]],'Population and Diversity Data'!$B$2:$K$823,10,FALSE)</f>
        <v>#N/A</v>
      </c>
    </row>
    <row r="355" spans="4:18" customFormat="1" ht="15.75" hidden="1" customHeight="1" x14ac:dyDescent="0.2">
      <c r="D355" s="51"/>
      <c r="E355" s="34"/>
      <c r="F355" s="51"/>
      <c r="G355" s="210"/>
      <c r="P355" t="str">
        <f t="shared" si="5"/>
        <v>N/A</v>
      </c>
      <c r="Q355" t="e">
        <f>VLOOKUP(Table8[[#This Row],[Census Tract]],'UI EnergyBurden'!$A$2:$B$184,2,FALSE)</f>
        <v>#N/A</v>
      </c>
      <c r="R355" t="e">
        <f>VLOOKUP(Table8[[#This Row],[Census Tract]],'Population and Diversity Data'!$B$2:$K$823,10,FALSE)</f>
        <v>#N/A</v>
      </c>
    </row>
    <row r="356" spans="4:18" customFormat="1" ht="15.75" hidden="1" customHeight="1" x14ac:dyDescent="0.2">
      <c r="D356" s="51"/>
      <c r="E356" s="34"/>
      <c r="F356" s="51"/>
      <c r="G356" s="210"/>
      <c r="P356" t="str">
        <f t="shared" si="5"/>
        <v>N/A</v>
      </c>
      <c r="Q356" t="e">
        <f>VLOOKUP(Table8[[#This Row],[Census Tract]],'UI EnergyBurden'!$A$2:$B$184,2,FALSE)</f>
        <v>#N/A</v>
      </c>
      <c r="R356" t="e">
        <f>VLOOKUP(Table8[[#This Row],[Census Tract]],'Population and Diversity Data'!$B$2:$K$823,10,FALSE)</f>
        <v>#N/A</v>
      </c>
    </row>
    <row r="357" spans="4:18" customFormat="1" ht="15.75" hidden="1" customHeight="1" x14ac:dyDescent="0.2">
      <c r="D357" s="51"/>
      <c r="E357" s="34"/>
      <c r="F357" s="51"/>
      <c r="G357" s="210"/>
      <c r="P357" t="str">
        <f t="shared" si="5"/>
        <v>N/A</v>
      </c>
      <c r="Q357" t="e">
        <f>VLOOKUP(Table8[[#This Row],[Census Tract]],'UI EnergyBurden'!$A$2:$B$184,2,FALSE)</f>
        <v>#N/A</v>
      </c>
      <c r="R357" t="e">
        <f>VLOOKUP(Table8[[#This Row],[Census Tract]],'Population and Diversity Data'!$B$2:$K$823,10,FALSE)</f>
        <v>#N/A</v>
      </c>
    </row>
    <row r="358" spans="4:18" customFormat="1" ht="15.75" hidden="1" customHeight="1" x14ac:dyDescent="0.2">
      <c r="D358" s="51"/>
      <c r="E358" s="34"/>
      <c r="F358" s="51"/>
      <c r="G358" s="210"/>
      <c r="P358" t="str">
        <f t="shared" si="5"/>
        <v>N/A</v>
      </c>
      <c r="Q358" t="e">
        <f>VLOOKUP(Table8[[#This Row],[Census Tract]],'UI EnergyBurden'!$A$2:$B$184,2,FALSE)</f>
        <v>#N/A</v>
      </c>
      <c r="R358" t="e">
        <f>VLOOKUP(Table8[[#This Row],[Census Tract]],'Population and Diversity Data'!$B$2:$K$823,10,FALSE)</f>
        <v>#N/A</v>
      </c>
    </row>
    <row r="359" spans="4:18" customFormat="1" ht="15.75" hidden="1" customHeight="1" x14ac:dyDescent="0.2">
      <c r="D359" s="51"/>
      <c r="E359" s="34"/>
      <c r="F359" s="51"/>
      <c r="G359" s="210"/>
      <c r="P359" t="str">
        <f t="shared" si="5"/>
        <v>N/A</v>
      </c>
      <c r="Q359" t="e">
        <f>VLOOKUP(Table8[[#This Row],[Census Tract]],'UI EnergyBurden'!$A$2:$B$184,2,FALSE)</f>
        <v>#N/A</v>
      </c>
      <c r="R359" t="e">
        <f>VLOOKUP(Table8[[#This Row],[Census Tract]],'Population and Diversity Data'!$B$2:$K$823,10,FALSE)</f>
        <v>#N/A</v>
      </c>
    </row>
    <row r="360" spans="4:18" customFormat="1" ht="15.75" hidden="1" customHeight="1" x14ac:dyDescent="0.2">
      <c r="D360" s="51"/>
      <c r="E360" s="34"/>
      <c r="F360" s="51"/>
      <c r="G360" s="210"/>
      <c r="P360" t="str">
        <f t="shared" si="5"/>
        <v>N/A</v>
      </c>
      <c r="Q360" t="e">
        <f>VLOOKUP(Table8[[#This Row],[Census Tract]],'UI EnergyBurden'!$A$2:$B$184,2,FALSE)</f>
        <v>#N/A</v>
      </c>
      <c r="R360" t="e">
        <f>VLOOKUP(Table8[[#This Row],[Census Tract]],'Population and Diversity Data'!$B$2:$K$823,10,FALSE)</f>
        <v>#N/A</v>
      </c>
    </row>
    <row r="361" spans="4:18" customFormat="1" ht="15.75" hidden="1" customHeight="1" x14ac:dyDescent="0.2">
      <c r="D361" s="51"/>
      <c r="E361" s="34"/>
      <c r="F361" s="51"/>
      <c r="G361" s="210"/>
      <c r="P361" t="str">
        <f t="shared" si="5"/>
        <v>N/A</v>
      </c>
      <c r="Q361" t="e">
        <f>VLOOKUP(Table8[[#This Row],[Census Tract]],'UI EnergyBurden'!$A$2:$B$184,2,FALSE)</f>
        <v>#N/A</v>
      </c>
      <c r="R361" t="e">
        <f>VLOOKUP(Table8[[#This Row],[Census Tract]],'Population and Diversity Data'!$B$2:$K$823,10,FALSE)</f>
        <v>#N/A</v>
      </c>
    </row>
    <row r="362" spans="4:18" customFormat="1" ht="15.75" hidden="1" customHeight="1" x14ac:dyDescent="0.2">
      <c r="D362" s="51"/>
      <c r="E362" s="34"/>
      <c r="F362" s="51"/>
      <c r="G362" s="210"/>
      <c r="P362" t="str">
        <f t="shared" si="5"/>
        <v>N/A</v>
      </c>
      <c r="Q362" t="e">
        <f>VLOOKUP(Table8[[#This Row],[Census Tract]],'UI EnergyBurden'!$A$2:$B$184,2,FALSE)</f>
        <v>#N/A</v>
      </c>
      <c r="R362" t="e">
        <f>VLOOKUP(Table8[[#This Row],[Census Tract]],'Population and Diversity Data'!$B$2:$K$823,10,FALSE)</f>
        <v>#N/A</v>
      </c>
    </row>
    <row r="363" spans="4:18" customFormat="1" ht="15.75" hidden="1" customHeight="1" x14ac:dyDescent="0.2">
      <c r="D363" s="51"/>
      <c r="E363" s="34"/>
      <c r="F363" s="51"/>
      <c r="G363" s="210"/>
      <c r="P363" t="str">
        <f t="shared" si="5"/>
        <v>N/A</v>
      </c>
      <c r="Q363" t="e">
        <f>VLOOKUP(Table8[[#This Row],[Census Tract]],'UI EnergyBurden'!$A$2:$B$184,2,FALSE)</f>
        <v>#N/A</v>
      </c>
      <c r="R363" t="e">
        <f>VLOOKUP(Table8[[#This Row],[Census Tract]],'Population and Diversity Data'!$B$2:$K$823,10,FALSE)</f>
        <v>#N/A</v>
      </c>
    </row>
    <row r="364" spans="4:18" customFormat="1" ht="15.75" hidden="1" customHeight="1" x14ac:dyDescent="0.2">
      <c r="D364" s="51"/>
      <c r="E364" s="34"/>
      <c r="F364" s="51"/>
      <c r="G364" s="210"/>
      <c r="P364" t="str">
        <f t="shared" si="5"/>
        <v>N/A</v>
      </c>
      <c r="Q364" t="e">
        <f>VLOOKUP(Table8[[#This Row],[Census Tract]],'UI EnergyBurden'!$A$2:$B$184,2,FALSE)</f>
        <v>#N/A</v>
      </c>
      <c r="R364" t="e">
        <f>VLOOKUP(Table8[[#This Row],[Census Tract]],'Population and Diversity Data'!$B$2:$K$823,10,FALSE)</f>
        <v>#N/A</v>
      </c>
    </row>
    <row r="365" spans="4:18" customFormat="1" ht="15.75" hidden="1" customHeight="1" x14ac:dyDescent="0.2">
      <c r="D365" s="51"/>
      <c r="E365" s="34"/>
      <c r="F365" s="51"/>
      <c r="G365" s="210"/>
      <c r="P365" t="str">
        <f t="shared" si="5"/>
        <v>N/A</v>
      </c>
      <c r="Q365" t="e">
        <f>VLOOKUP(Table8[[#This Row],[Census Tract]],'UI EnergyBurden'!$A$2:$B$184,2,FALSE)</f>
        <v>#N/A</v>
      </c>
      <c r="R365" t="e">
        <f>VLOOKUP(Table8[[#This Row],[Census Tract]],'Population and Diversity Data'!$B$2:$K$823,10,FALSE)</f>
        <v>#N/A</v>
      </c>
    </row>
    <row r="366" spans="4:18" customFormat="1" ht="15.75" hidden="1" customHeight="1" x14ac:dyDescent="0.2">
      <c r="D366" s="51"/>
      <c r="E366" s="34"/>
      <c r="F366" s="51"/>
      <c r="G366" s="210"/>
      <c r="P366" t="str">
        <f t="shared" si="5"/>
        <v>N/A</v>
      </c>
      <c r="Q366" t="e">
        <f>VLOOKUP(Table8[[#This Row],[Census Tract]],'UI EnergyBurden'!$A$2:$B$184,2,FALSE)</f>
        <v>#N/A</v>
      </c>
      <c r="R366" t="e">
        <f>VLOOKUP(Table8[[#This Row],[Census Tract]],'Population and Diversity Data'!$B$2:$K$823,10,FALSE)</f>
        <v>#N/A</v>
      </c>
    </row>
    <row r="367" spans="4:18" customFormat="1" ht="15.75" hidden="1" customHeight="1" x14ac:dyDescent="0.2">
      <c r="D367" s="51"/>
      <c r="E367" s="34"/>
      <c r="F367" s="51"/>
      <c r="G367" s="210"/>
      <c r="P367" t="str">
        <f t="shared" si="5"/>
        <v>N/A</v>
      </c>
      <c r="Q367" t="e">
        <f>VLOOKUP(Table8[[#This Row],[Census Tract]],'UI EnergyBurden'!$A$2:$B$184,2,FALSE)</f>
        <v>#N/A</v>
      </c>
      <c r="R367" t="e">
        <f>VLOOKUP(Table8[[#This Row],[Census Tract]],'Population and Diversity Data'!$B$2:$K$823,10,FALSE)</f>
        <v>#N/A</v>
      </c>
    </row>
    <row r="368" spans="4:18" customFormat="1" ht="15.75" hidden="1" customHeight="1" x14ac:dyDescent="0.2">
      <c r="D368" s="51"/>
      <c r="E368" s="34"/>
      <c r="F368" s="51"/>
      <c r="G368" s="210"/>
      <c r="P368" t="str">
        <f t="shared" si="5"/>
        <v>N/A</v>
      </c>
      <c r="Q368" t="e">
        <f>VLOOKUP(Table8[[#This Row],[Census Tract]],'UI EnergyBurden'!$A$2:$B$184,2,FALSE)</f>
        <v>#N/A</v>
      </c>
      <c r="R368" t="e">
        <f>VLOOKUP(Table8[[#This Row],[Census Tract]],'Population and Diversity Data'!$B$2:$K$823,10,FALSE)</f>
        <v>#N/A</v>
      </c>
    </row>
    <row r="369" spans="4:18" customFormat="1" ht="15.75" hidden="1" customHeight="1" x14ac:dyDescent="0.2">
      <c r="D369" s="51"/>
      <c r="E369" s="34"/>
      <c r="F369" s="51"/>
      <c r="G369" s="210"/>
      <c r="P369" t="str">
        <f t="shared" si="5"/>
        <v>N/A</v>
      </c>
      <c r="Q369" t="e">
        <f>VLOOKUP(Table8[[#This Row],[Census Tract]],'UI EnergyBurden'!$A$2:$B$184,2,FALSE)</f>
        <v>#N/A</v>
      </c>
      <c r="R369" t="e">
        <f>VLOOKUP(Table8[[#This Row],[Census Tract]],'Population and Diversity Data'!$B$2:$K$823,10,FALSE)</f>
        <v>#N/A</v>
      </c>
    </row>
    <row r="370" spans="4:18" customFormat="1" ht="15.75" hidden="1" customHeight="1" x14ac:dyDescent="0.2">
      <c r="D370" s="51"/>
      <c r="E370" s="34"/>
      <c r="F370" s="51"/>
      <c r="G370" s="210"/>
      <c r="P370" t="str">
        <f t="shared" si="5"/>
        <v>N/A</v>
      </c>
      <c r="Q370" t="e">
        <f>VLOOKUP(Table8[[#This Row],[Census Tract]],'UI EnergyBurden'!$A$2:$B$184,2,FALSE)</f>
        <v>#N/A</v>
      </c>
      <c r="R370" t="e">
        <f>VLOOKUP(Table8[[#This Row],[Census Tract]],'Population and Diversity Data'!$B$2:$K$823,10,FALSE)</f>
        <v>#N/A</v>
      </c>
    </row>
    <row r="371" spans="4:18" customFormat="1" ht="15.75" hidden="1" customHeight="1" x14ac:dyDescent="0.2">
      <c r="D371" s="51"/>
      <c r="E371" s="34"/>
      <c r="F371" s="51"/>
      <c r="G371" s="210"/>
      <c r="P371" t="str">
        <f t="shared" si="5"/>
        <v>N/A</v>
      </c>
      <c r="Q371" t="e">
        <f>VLOOKUP(Table8[[#This Row],[Census Tract]],'UI EnergyBurden'!$A$2:$B$184,2,FALSE)</f>
        <v>#N/A</v>
      </c>
      <c r="R371" t="e">
        <f>VLOOKUP(Table8[[#This Row],[Census Tract]],'Population and Diversity Data'!$B$2:$K$823,10,FALSE)</f>
        <v>#N/A</v>
      </c>
    </row>
    <row r="372" spans="4:18" customFormat="1" ht="15.75" hidden="1" customHeight="1" x14ac:dyDescent="0.2">
      <c r="D372" s="51"/>
      <c r="E372" s="34"/>
      <c r="F372" s="51"/>
      <c r="G372" s="210"/>
      <c r="P372" t="str">
        <f t="shared" si="5"/>
        <v>N/A</v>
      </c>
      <c r="Q372" t="e">
        <f>VLOOKUP(Table8[[#This Row],[Census Tract]],'UI EnergyBurden'!$A$2:$B$184,2,FALSE)</f>
        <v>#N/A</v>
      </c>
      <c r="R372" t="e">
        <f>VLOOKUP(Table8[[#This Row],[Census Tract]],'Population and Diversity Data'!$B$2:$K$823,10,FALSE)</f>
        <v>#N/A</v>
      </c>
    </row>
    <row r="373" spans="4:18" customFormat="1" ht="15.75" hidden="1" customHeight="1" x14ac:dyDescent="0.2">
      <c r="D373" s="51"/>
      <c r="E373" s="34"/>
      <c r="F373" s="51"/>
      <c r="G373" s="210"/>
      <c r="P373" t="str">
        <f t="shared" si="5"/>
        <v>N/A</v>
      </c>
      <c r="Q373" t="e">
        <f>VLOOKUP(Table8[[#This Row],[Census Tract]],'UI EnergyBurden'!$A$2:$B$184,2,FALSE)</f>
        <v>#N/A</v>
      </c>
      <c r="R373" t="e">
        <f>VLOOKUP(Table8[[#This Row],[Census Tract]],'Population and Diversity Data'!$B$2:$K$823,10,FALSE)</f>
        <v>#N/A</v>
      </c>
    </row>
    <row r="374" spans="4:18" customFormat="1" ht="15.75" hidden="1" customHeight="1" x14ac:dyDescent="0.2">
      <c r="D374" s="51"/>
      <c r="E374" s="34"/>
      <c r="F374" s="51"/>
      <c r="G374" s="210"/>
      <c r="P374" t="str">
        <f t="shared" si="5"/>
        <v>N/A</v>
      </c>
      <c r="Q374" t="e">
        <f>VLOOKUP(Table8[[#This Row],[Census Tract]],'UI EnergyBurden'!$A$2:$B$184,2,FALSE)</f>
        <v>#N/A</v>
      </c>
      <c r="R374" t="e">
        <f>VLOOKUP(Table8[[#This Row],[Census Tract]],'Population and Diversity Data'!$B$2:$K$823,10,FALSE)</f>
        <v>#N/A</v>
      </c>
    </row>
    <row r="375" spans="4:18" customFormat="1" ht="15.75" hidden="1" customHeight="1" x14ac:dyDescent="0.2">
      <c r="D375" s="51"/>
      <c r="E375" s="34"/>
      <c r="F375" s="51"/>
      <c r="G375" s="210"/>
      <c r="P375" t="str">
        <f t="shared" si="5"/>
        <v>N/A</v>
      </c>
      <c r="Q375" t="e">
        <f>VLOOKUP(Table8[[#This Row],[Census Tract]],'UI EnergyBurden'!$A$2:$B$184,2,FALSE)</f>
        <v>#N/A</v>
      </c>
      <c r="R375" t="e">
        <f>VLOOKUP(Table8[[#This Row],[Census Tract]],'Population and Diversity Data'!$B$2:$K$823,10,FALSE)</f>
        <v>#N/A</v>
      </c>
    </row>
    <row r="376" spans="4:18" customFormat="1" ht="15.75" hidden="1" customHeight="1" x14ac:dyDescent="0.2">
      <c r="D376" s="51"/>
      <c r="E376" s="34"/>
      <c r="F376" s="51"/>
      <c r="G376" s="210"/>
      <c r="P376" t="str">
        <f t="shared" si="5"/>
        <v>N/A</v>
      </c>
      <c r="Q376" t="e">
        <f>VLOOKUP(Table8[[#This Row],[Census Tract]],'UI EnergyBurden'!$A$2:$B$184,2,FALSE)</f>
        <v>#N/A</v>
      </c>
      <c r="R376" t="e">
        <f>VLOOKUP(Table8[[#This Row],[Census Tract]],'Population and Diversity Data'!$B$2:$K$823,10,FALSE)</f>
        <v>#N/A</v>
      </c>
    </row>
    <row r="377" spans="4:18" customFormat="1" ht="15.75" hidden="1" customHeight="1" x14ac:dyDescent="0.2">
      <c r="D377" s="51"/>
      <c r="E377" s="34"/>
      <c r="F377" s="51"/>
      <c r="G377" s="210"/>
      <c r="P377" t="str">
        <f t="shared" si="5"/>
        <v>N/A</v>
      </c>
      <c r="Q377" t="e">
        <f>VLOOKUP(Table8[[#This Row],[Census Tract]],'UI EnergyBurden'!$A$2:$B$184,2,FALSE)</f>
        <v>#N/A</v>
      </c>
      <c r="R377" t="e">
        <f>VLOOKUP(Table8[[#This Row],[Census Tract]],'Population and Diversity Data'!$B$2:$K$823,10,FALSE)</f>
        <v>#N/A</v>
      </c>
    </row>
    <row r="378" spans="4:18" customFormat="1" ht="15.75" hidden="1" customHeight="1" x14ac:dyDescent="0.2">
      <c r="D378" s="51"/>
      <c r="E378" s="34"/>
      <c r="F378" s="51"/>
      <c r="G378" s="210"/>
      <c r="P378" t="str">
        <f t="shared" si="5"/>
        <v>N/A</v>
      </c>
      <c r="Q378" t="e">
        <f>VLOOKUP(Table8[[#This Row],[Census Tract]],'UI EnergyBurden'!$A$2:$B$184,2,FALSE)</f>
        <v>#N/A</v>
      </c>
      <c r="R378" t="e">
        <f>VLOOKUP(Table8[[#This Row],[Census Tract]],'Population and Diversity Data'!$B$2:$K$823,10,FALSE)</f>
        <v>#N/A</v>
      </c>
    </row>
    <row r="379" spans="4:18" customFormat="1" ht="15.75" hidden="1" customHeight="1" x14ac:dyDescent="0.2">
      <c r="D379" s="51"/>
      <c r="E379" s="34"/>
      <c r="F379" s="51"/>
      <c r="G379" s="210"/>
      <c r="P379" t="str">
        <f t="shared" si="5"/>
        <v>N/A</v>
      </c>
      <c r="Q379" t="e">
        <f>VLOOKUP(Table8[[#This Row],[Census Tract]],'UI EnergyBurden'!$A$2:$B$184,2,FALSE)</f>
        <v>#N/A</v>
      </c>
      <c r="R379" t="e">
        <f>VLOOKUP(Table8[[#This Row],[Census Tract]],'Population and Diversity Data'!$B$2:$K$823,10,FALSE)</f>
        <v>#N/A</v>
      </c>
    </row>
    <row r="380" spans="4:18" customFormat="1" ht="15.75" hidden="1" customHeight="1" x14ac:dyDescent="0.2">
      <c r="D380" s="51"/>
      <c r="E380" s="34"/>
      <c r="F380" s="51"/>
      <c r="G380" s="210"/>
      <c r="P380" t="str">
        <f t="shared" si="5"/>
        <v>N/A</v>
      </c>
      <c r="Q380" t="e">
        <f>VLOOKUP(Table8[[#This Row],[Census Tract]],'UI EnergyBurden'!$A$2:$B$184,2,FALSE)</f>
        <v>#N/A</v>
      </c>
      <c r="R380" t="e">
        <f>VLOOKUP(Table8[[#This Row],[Census Tract]],'Population and Diversity Data'!$B$2:$K$823,10,FALSE)</f>
        <v>#N/A</v>
      </c>
    </row>
    <row r="381" spans="4:18" customFormat="1" ht="15.75" hidden="1" customHeight="1" x14ac:dyDescent="0.2">
      <c r="D381" s="51"/>
      <c r="E381" s="34"/>
      <c r="F381" s="51"/>
      <c r="G381" s="210"/>
      <c r="P381" t="str">
        <f t="shared" si="5"/>
        <v>N/A</v>
      </c>
      <c r="Q381" t="e">
        <f>VLOOKUP(Table8[[#This Row],[Census Tract]],'UI EnergyBurden'!$A$2:$B$184,2,FALSE)</f>
        <v>#N/A</v>
      </c>
      <c r="R381" t="e">
        <f>VLOOKUP(Table8[[#This Row],[Census Tract]],'Population and Diversity Data'!$B$2:$K$823,10,FALSE)</f>
        <v>#N/A</v>
      </c>
    </row>
    <row r="382" spans="4:18" customFormat="1" ht="15.75" hidden="1" customHeight="1" x14ac:dyDescent="0.2">
      <c r="D382" s="51"/>
      <c r="E382" s="34"/>
      <c r="F382" s="51"/>
      <c r="G382" s="210"/>
      <c r="P382" t="str">
        <f t="shared" si="5"/>
        <v>N/A</v>
      </c>
      <c r="Q382" t="e">
        <f>VLOOKUP(Table8[[#This Row],[Census Tract]],'UI EnergyBurden'!$A$2:$B$184,2,FALSE)</f>
        <v>#N/A</v>
      </c>
      <c r="R382" t="e">
        <f>VLOOKUP(Table8[[#This Row],[Census Tract]],'Population and Diversity Data'!$B$2:$K$823,10,FALSE)</f>
        <v>#N/A</v>
      </c>
    </row>
    <row r="383" spans="4:18" customFormat="1" ht="15.75" hidden="1" customHeight="1" x14ac:dyDescent="0.2">
      <c r="D383" s="51"/>
      <c r="E383" s="34"/>
      <c r="F383" s="51"/>
      <c r="G383" s="210"/>
      <c r="P383" t="str">
        <f t="shared" si="5"/>
        <v>N/A</v>
      </c>
      <c r="Q383" t="e">
        <f>VLOOKUP(Table8[[#This Row],[Census Tract]],'UI EnergyBurden'!$A$2:$B$184,2,FALSE)</f>
        <v>#N/A</v>
      </c>
      <c r="R383" t="e">
        <f>VLOOKUP(Table8[[#This Row],[Census Tract]],'Population and Diversity Data'!$B$2:$K$823,10,FALSE)</f>
        <v>#N/A</v>
      </c>
    </row>
    <row r="384" spans="4:18" customFormat="1" ht="15.75" hidden="1" customHeight="1" x14ac:dyDescent="0.2">
      <c r="D384" s="51"/>
      <c r="E384" s="34"/>
      <c r="F384" s="51"/>
      <c r="G384" s="210"/>
      <c r="P384" t="str">
        <f t="shared" si="5"/>
        <v>N/A</v>
      </c>
      <c r="Q384" t="e">
        <f>VLOOKUP(Table8[[#This Row],[Census Tract]],'UI EnergyBurden'!$A$2:$B$184,2,FALSE)</f>
        <v>#N/A</v>
      </c>
      <c r="R384" t="e">
        <f>VLOOKUP(Table8[[#This Row],[Census Tract]],'Population and Diversity Data'!$B$2:$K$823,10,FALSE)</f>
        <v>#N/A</v>
      </c>
    </row>
    <row r="385" spans="1:18" ht="15.75" hidden="1" customHeight="1" x14ac:dyDescent="0.2">
      <c r="A385"/>
      <c r="P385" t="str">
        <f t="shared" si="5"/>
        <v>N/A</v>
      </c>
      <c r="Q385" t="e">
        <f>VLOOKUP(Table8[[#This Row],[Census Tract]],'UI EnergyBurden'!$A$2:$B$184,2,FALSE)</f>
        <v>#N/A</v>
      </c>
      <c r="R385" t="e">
        <f>VLOOKUP(Table8[[#This Row],[Census Tract]],'Population and Diversity Data'!$B$2:$K$823,10,FALSE)</f>
        <v>#N/A</v>
      </c>
    </row>
    <row r="386" spans="1:18" ht="15.75" hidden="1" customHeight="1" x14ac:dyDescent="0.2">
      <c r="A386"/>
      <c r="P386" t="str">
        <f t="shared" si="5"/>
        <v>N/A</v>
      </c>
      <c r="Q386" t="e">
        <f>VLOOKUP(Table8[[#This Row],[Census Tract]],'UI EnergyBurden'!$A$2:$B$184,2,FALSE)</f>
        <v>#N/A</v>
      </c>
      <c r="R386" t="e">
        <f>VLOOKUP(Table8[[#This Row],[Census Tract]],'Population and Diversity Data'!$B$2:$K$823,10,FALSE)</f>
        <v>#N/A</v>
      </c>
    </row>
    <row r="387" spans="1:18" ht="15.75" hidden="1" customHeight="1" x14ac:dyDescent="0.2">
      <c r="A387"/>
      <c r="P387" t="str">
        <f t="shared" si="5"/>
        <v>N/A</v>
      </c>
      <c r="Q387" t="e">
        <f>VLOOKUP(Table8[[#This Row],[Census Tract]],'UI EnergyBurden'!$A$2:$B$184,2,FALSE)</f>
        <v>#N/A</v>
      </c>
      <c r="R387" t="e">
        <f>VLOOKUP(Table8[[#This Row],[Census Tract]],'Population and Diversity Data'!$B$2:$K$823,10,FALSE)</f>
        <v>#N/A</v>
      </c>
    </row>
    <row r="388" spans="1:18" ht="15.75" hidden="1" customHeight="1" x14ac:dyDescent="0.2">
      <c r="A388"/>
      <c r="P388" t="str">
        <f t="shared" si="5"/>
        <v>N/A</v>
      </c>
      <c r="Q388" t="e">
        <f>VLOOKUP(Table8[[#This Row],[Census Tract]],'UI EnergyBurden'!$A$2:$B$184,2,FALSE)</f>
        <v>#N/A</v>
      </c>
      <c r="R388" t="e">
        <f>VLOOKUP(Table8[[#This Row],[Census Tract]],'Population and Diversity Data'!$B$2:$K$823,10,FALSE)</f>
        <v>#N/A</v>
      </c>
    </row>
    <row r="389" spans="1:18" ht="15.75" hidden="1" customHeight="1" x14ac:dyDescent="0.2">
      <c r="A389"/>
      <c r="P389" t="str">
        <f t="shared" si="5"/>
        <v>N/A</v>
      </c>
      <c r="Q389" t="e">
        <f>VLOOKUP(Table8[[#This Row],[Census Tract]],'UI EnergyBurden'!$A$2:$B$184,2,FALSE)</f>
        <v>#N/A</v>
      </c>
      <c r="R389" t="e">
        <f>VLOOKUP(Table8[[#This Row],[Census Tract]],'Population and Diversity Data'!$B$2:$K$823,10,FALSE)</f>
        <v>#N/A</v>
      </c>
    </row>
    <row r="390" spans="1:18" ht="15.75" hidden="1" customHeight="1" x14ac:dyDescent="0.2">
      <c r="A390"/>
      <c r="P390" t="str">
        <f t="shared" ref="P390:P423" si="6">IF(ROUND(M390,5)&lt;0.00001,"N/A",IF(ROUND(M390,5)&lt;=ROUND(O390,5),"YES","NO"))</f>
        <v>N/A</v>
      </c>
      <c r="Q390" t="e">
        <f>VLOOKUP(Table8[[#This Row],[Census Tract]],'UI EnergyBurden'!$A$2:$B$184,2,FALSE)</f>
        <v>#N/A</v>
      </c>
      <c r="R390" t="e">
        <f>VLOOKUP(Table8[[#This Row],[Census Tract]],'Population and Diversity Data'!$B$2:$K$823,10,FALSE)</f>
        <v>#N/A</v>
      </c>
    </row>
    <row r="391" spans="1:18" ht="15.75" hidden="1" customHeight="1" x14ac:dyDescent="0.2">
      <c r="A391"/>
      <c r="P391" t="str">
        <f t="shared" si="6"/>
        <v>N/A</v>
      </c>
      <c r="Q391" t="e">
        <f>VLOOKUP(Table8[[#This Row],[Census Tract]],'UI EnergyBurden'!$A$2:$B$184,2,FALSE)</f>
        <v>#N/A</v>
      </c>
      <c r="R391" t="e">
        <f>VLOOKUP(Table8[[#This Row],[Census Tract]],'Population and Diversity Data'!$B$2:$K$823,10,FALSE)</f>
        <v>#N/A</v>
      </c>
    </row>
    <row r="392" spans="1:18" ht="15.75" hidden="1" customHeight="1" x14ac:dyDescent="0.2">
      <c r="A392"/>
      <c r="P392" t="str">
        <f t="shared" si="6"/>
        <v>N/A</v>
      </c>
      <c r="Q392" t="e">
        <f>VLOOKUP(Table8[[#This Row],[Census Tract]],'UI EnergyBurden'!$A$2:$B$184,2,FALSE)</f>
        <v>#N/A</v>
      </c>
      <c r="R392" t="e">
        <f>VLOOKUP(Table8[[#This Row],[Census Tract]],'Population and Diversity Data'!$B$2:$K$823,10,FALSE)</f>
        <v>#N/A</v>
      </c>
    </row>
    <row r="393" spans="1:18" hidden="1" x14ac:dyDescent="0.2">
      <c r="P393" t="str">
        <f t="shared" si="6"/>
        <v>N/A</v>
      </c>
      <c r="Q393" t="e">
        <f>VLOOKUP(Table8[[#This Row],[Census Tract]],'UI EnergyBurden'!$A$2:$B$184,2,FALSE)</f>
        <v>#N/A</v>
      </c>
      <c r="R393" t="e">
        <f>VLOOKUP(Table8[[#This Row],[Census Tract]],'Population and Diversity Data'!$B$2:$K$823,10,FALSE)</f>
        <v>#N/A</v>
      </c>
    </row>
    <row r="394" spans="1:18" ht="15.75" hidden="1" customHeight="1" x14ac:dyDescent="0.2">
      <c r="A394"/>
      <c r="P394" t="str">
        <f t="shared" si="6"/>
        <v>N/A</v>
      </c>
      <c r="Q394" t="e">
        <f>VLOOKUP(Table8[[#This Row],[Census Tract]],'UI EnergyBurden'!$A$2:$B$184,2,FALSE)</f>
        <v>#N/A</v>
      </c>
      <c r="R394" t="e">
        <f>VLOOKUP(Table8[[#This Row],[Census Tract]],'Population and Diversity Data'!$B$2:$K$823,10,FALSE)</f>
        <v>#N/A</v>
      </c>
    </row>
    <row r="395" spans="1:18" hidden="1" x14ac:dyDescent="0.2">
      <c r="P395" t="str">
        <f t="shared" si="6"/>
        <v>N/A</v>
      </c>
      <c r="Q395" t="e">
        <f>VLOOKUP(Table8[[#This Row],[Census Tract]],'UI EnergyBurden'!$A$2:$B$184,2,FALSE)</f>
        <v>#N/A</v>
      </c>
      <c r="R395" t="e">
        <f>VLOOKUP(Table8[[#This Row],[Census Tract]],'Population and Diversity Data'!$B$2:$K$823,10,FALSE)</f>
        <v>#N/A</v>
      </c>
    </row>
    <row r="396" spans="1:18" ht="15" hidden="1" customHeight="1" x14ac:dyDescent="0.2">
      <c r="A396"/>
      <c r="P396" t="str">
        <f t="shared" si="6"/>
        <v>N/A</v>
      </c>
      <c r="Q396" t="e">
        <f>VLOOKUP(Table8[[#This Row],[Census Tract]],'UI EnergyBurden'!$A$2:$B$184,2,FALSE)</f>
        <v>#N/A</v>
      </c>
      <c r="R396" t="e">
        <f>VLOOKUP(Table8[[#This Row],[Census Tract]],'Population and Diversity Data'!$B$2:$K$823,10,FALSE)</f>
        <v>#N/A</v>
      </c>
    </row>
    <row r="397" spans="1:18" ht="15" hidden="1" customHeight="1" x14ac:dyDescent="0.2">
      <c r="A397"/>
      <c r="P397" t="str">
        <f t="shared" si="6"/>
        <v>N/A</v>
      </c>
      <c r="Q397" t="e">
        <f>VLOOKUP(Table8[[#This Row],[Census Tract]],'UI EnergyBurden'!$A$2:$B$184,2,FALSE)</f>
        <v>#N/A</v>
      </c>
      <c r="R397" t="e">
        <f>VLOOKUP(Table8[[#This Row],[Census Tract]],'Population and Diversity Data'!$B$2:$K$823,10,FALSE)</f>
        <v>#N/A</v>
      </c>
    </row>
    <row r="398" spans="1:18" ht="15" hidden="1" customHeight="1" x14ac:dyDescent="0.2">
      <c r="A398"/>
      <c r="P398" t="str">
        <f t="shared" si="6"/>
        <v>N/A</v>
      </c>
      <c r="Q398" t="e">
        <f>VLOOKUP(Table8[[#This Row],[Census Tract]],'UI EnergyBurden'!$A$2:$B$184,2,FALSE)</f>
        <v>#N/A</v>
      </c>
      <c r="R398" t="e">
        <f>VLOOKUP(Table8[[#This Row],[Census Tract]],'Population and Diversity Data'!$B$2:$K$823,10,FALSE)</f>
        <v>#N/A</v>
      </c>
    </row>
    <row r="399" spans="1:18" ht="15" hidden="1" customHeight="1" x14ac:dyDescent="0.2">
      <c r="A399"/>
      <c r="P399" t="str">
        <f t="shared" si="6"/>
        <v>N/A</v>
      </c>
      <c r="Q399" t="e">
        <f>VLOOKUP(Table8[[#This Row],[Census Tract]],'UI EnergyBurden'!$A$2:$B$184,2,FALSE)</f>
        <v>#N/A</v>
      </c>
      <c r="R399" t="e">
        <f>VLOOKUP(Table8[[#This Row],[Census Tract]],'Population and Diversity Data'!$B$2:$K$823,10,FALSE)</f>
        <v>#N/A</v>
      </c>
    </row>
    <row r="400" spans="1:18" ht="15" hidden="1" customHeight="1" x14ac:dyDescent="0.2">
      <c r="A400"/>
      <c r="P400" t="str">
        <f t="shared" si="6"/>
        <v>N/A</v>
      </c>
      <c r="Q400" t="e">
        <f>VLOOKUP(Table8[[#This Row],[Census Tract]],'UI EnergyBurden'!$A$2:$B$184,2,FALSE)</f>
        <v>#N/A</v>
      </c>
      <c r="R400" t="e">
        <f>VLOOKUP(Table8[[#This Row],[Census Tract]],'Population and Diversity Data'!$B$2:$K$823,10,FALSE)</f>
        <v>#N/A</v>
      </c>
    </row>
    <row r="401" spans="4:18" customFormat="1" ht="15" hidden="1" customHeight="1" x14ac:dyDescent="0.2">
      <c r="D401" s="51"/>
      <c r="E401" s="34"/>
      <c r="F401" s="51"/>
      <c r="G401" s="210"/>
      <c r="P401" t="str">
        <f t="shared" si="6"/>
        <v>N/A</v>
      </c>
      <c r="Q401" t="e">
        <f>VLOOKUP(Table8[[#This Row],[Census Tract]],'UI EnergyBurden'!$A$2:$B$184,2,FALSE)</f>
        <v>#N/A</v>
      </c>
      <c r="R401" t="e">
        <f>VLOOKUP(Table8[[#This Row],[Census Tract]],'Population and Diversity Data'!$B$2:$K$823,10,FALSE)</f>
        <v>#N/A</v>
      </c>
    </row>
    <row r="402" spans="4:18" customFormat="1" ht="15" hidden="1" customHeight="1" x14ac:dyDescent="0.2">
      <c r="D402" s="51"/>
      <c r="E402" s="34"/>
      <c r="F402" s="51"/>
      <c r="G402" s="210"/>
      <c r="P402" t="str">
        <f t="shared" si="6"/>
        <v>N/A</v>
      </c>
      <c r="Q402" t="e">
        <f>VLOOKUP(Table8[[#This Row],[Census Tract]],'UI EnergyBurden'!$A$2:$B$184,2,FALSE)</f>
        <v>#N/A</v>
      </c>
      <c r="R402" t="e">
        <f>VLOOKUP(Table8[[#This Row],[Census Tract]],'Population and Diversity Data'!$B$2:$K$823,10,FALSE)</f>
        <v>#N/A</v>
      </c>
    </row>
    <row r="403" spans="4:18" customFormat="1" ht="15" hidden="1" customHeight="1" x14ac:dyDescent="0.2">
      <c r="D403" s="51"/>
      <c r="E403" s="34"/>
      <c r="F403" s="51"/>
      <c r="G403" s="210"/>
      <c r="P403" t="str">
        <f t="shared" si="6"/>
        <v>N/A</v>
      </c>
      <c r="Q403" t="e">
        <f>VLOOKUP(Table8[[#This Row],[Census Tract]],'UI EnergyBurden'!$A$2:$B$184,2,FALSE)</f>
        <v>#N/A</v>
      </c>
      <c r="R403" t="e">
        <f>VLOOKUP(Table8[[#This Row],[Census Tract]],'Population and Diversity Data'!$B$2:$K$823,10,FALSE)</f>
        <v>#N/A</v>
      </c>
    </row>
    <row r="404" spans="4:18" customFormat="1" ht="15" hidden="1" customHeight="1" x14ac:dyDescent="0.2">
      <c r="D404" s="51"/>
      <c r="E404" s="34"/>
      <c r="F404" s="51"/>
      <c r="G404" s="210"/>
      <c r="P404" t="str">
        <f t="shared" si="6"/>
        <v>N/A</v>
      </c>
      <c r="Q404" t="e">
        <f>VLOOKUP(Table8[[#This Row],[Census Tract]],'UI EnergyBurden'!$A$2:$B$184,2,FALSE)</f>
        <v>#N/A</v>
      </c>
      <c r="R404" t="e">
        <f>VLOOKUP(Table8[[#This Row],[Census Tract]],'Population and Diversity Data'!$B$2:$K$823,10,FALSE)</f>
        <v>#N/A</v>
      </c>
    </row>
    <row r="405" spans="4:18" customFormat="1" ht="15" hidden="1" customHeight="1" x14ac:dyDescent="0.2">
      <c r="D405" s="51"/>
      <c r="E405" s="34"/>
      <c r="F405" s="51"/>
      <c r="G405" s="210"/>
      <c r="P405" t="str">
        <f t="shared" si="6"/>
        <v>N/A</v>
      </c>
      <c r="Q405" t="e">
        <f>VLOOKUP(Table8[[#This Row],[Census Tract]],'UI EnergyBurden'!$A$2:$B$184,2,FALSE)</f>
        <v>#N/A</v>
      </c>
      <c r="R405" t="e">
        <f>VLOOKUP(Table8[[#This Row],[Census Tract]],'Population and Diversity Data'!$B$2:$K$823,10,FALSE)</f>
        <v>#N/A</v>
      </c>
    </row>
    <row r="406" spans="4:18" customFormat="1" ht="15" hidden="1" customHeight="1" x14ac:dyDescent="0.2">
      <c r="D406" s="51"/>
      <c r="E406" s="34"/>
      <c r="F406" s="51"/>
      <c r="G406" s="210"/>
      <c r="P406" t="str">
        <f t="shared" si="6"/>
        <v>N/A</v>
      </c>
      <c r="Q406" t="e">
        <f>VLOOKUP(Table8[[#This Row],[Census Tract]],'UI EnergyBurden'!$A$2:$B$184,2,FALSE)</f>
        <v>#N/A</v>
      </c>
      <c r="R406" t="e">
        <f>VLOOKUP(Table8[[#This Row],[Census Tract]],'Population and Diversity Data'!$B$2:$K$823,10,FALSE)</f>
        <v>#N/A</v>
      </c>
    </row>
    <row r="407" spans="4:18" customFormat="1" ht="15" hidden="1" customHeight="1" x14ac:dyDescent="0.2">
      <c r="D407" s="51"/>
      <c r="E407" s="34"/>
      <c r="F407" s="51"/>
      <c r="G407" s="210"/>
      <c r="P407" t="str">
        <f t="shared" si="6"/>
        <v>N/A</v>
      </c>
      <c r="Q407" t="e">
        <f>VLOOKUP(Table8[[#This Row],[Census Tract]],'UI EnergyBurden'!$A$2:$B$184,2,FALSE)</f>
        <v>#N/A</v>
      </c>
      <c r="R407" t="e">
        <f>VLOOKUP(Table8[[#This Row],[Census Tract]],'Population and Diversity Data'!$B$2:$K$823,10,FALSE)</f>
        <v>#N/A</v>
      </c>
    </row>
    <row r="408" spans="4:18" customFormat="1" ht="15" hidden="1" customHeight="1" x14ac:dyDescent="0.2">
      <c r="D408" s="51"/>
      <c r="E408" s="34"/>
      <c r="F408" s="51"/>
      <c r="G408" s="210"/>
      <c r="P408" t="str">
        <f t="shared" si="6"/>
        <v>N/A</v>
      </c>
      <c r="Q408" t="e">
        <f>VLOOKUP(Table8[[#This Row],[Census Tract]],'UI EnergyBurden'!$A$2:$B$184,2,FALSE)</f>
        <v>#N/A</v>
      </c>
      <c r="R408" t="e">
        <f>VLOOKUP(Table8[[#This Row],[Census Tract]],'Population and Diversity Data'!$B$2:$K$823,10,FALSE)</f>
        <v>#N/A</v>
      </c>
    </row>
    <row r="409" spans="4:18" customFormat="1" ht="15" hidden="1" customHeight="1" x14ac:dyDescent="0.2">
      <c r="D409" s="51"/>
      <c r="E409" s="34"/>
      <c r="F409" s="51"/>
      <c r="G409" s="210"/>
      <c r="P409" t="str">
        <f t="shared" si="6"/>
        <v>N/A</v>
      </c>
      <c r="Q409" t="e">
        <f>VLOOKUP(Table8[[#This Row],[Census Tract]],'UI EnergyBurden'!$A$2:$B$184,2,FALSE)</f>
        <v>#N/A</v>
      </c>
      <c r="R409" t="e">
        <f>VLOOKUP(Table8[[#This Row],[Census Tract]],'Population and Diversity Data'!$B$2:$K$823,10,FALSE)</f>
        <v>#N/A</v>
      </c>
    </row>
    <row r="410" spans="4:18" customFormat="1" ht="15" hidden="1" customHeight="1" x14ac:dyDescent="0.2">
      <c r="D410" s="51"/>
      <c r="E410" s="34"/>
      <c r="F410" s="51"/>
      <c r="G410" s="210"/>
      <c r="P410" t="str">
        <f t="shared" si="6"/>
        <v>N/A</v>
      </c>
      <c r="Q410" t="e">
        <f>VLOOKUP(Table8[[#This Row],[Census Tract]],'UI EnergyBurden'!$A$2:$B$184,2,FALSE)</f>
        <v>#N/A</v>
      </c>
      <c r="R410" t="e">
        <f>VLOOKUP(Table8[[#This Row],[Census Tract]],'Population and Diversity Data'!$B$2:$K$823,10,FALSE)</f>
        <v>#N/A</v>
      </c>
    </row>
    <row r="411" spans="4:18" customFormat="1" ht="15" hidden="1" customHeight="1" x14ac:dyDescent="0.2">
      <c r="D411" s="51"/>
      <c r="E411" s="34"/>
      <c r="F411" s="51"/>
      <c r="G411" s="210"/>
      <c r="P411" t="str">
        <f t="shared" si="6"/>
        <v>N/A</v>
      </c>
      <c r="Q411" t="e">
        <f>VLOOKUP(Table8[[#This Row],[Census Tract]],'UI EnergyBurden'!$A$2:$B$184,2,FALSE)</f>
        <v>#N/A</v>
      </c>
      <c r="R411" t="e">
        <f>VLOOKUP(Table8[[#This Row],[Census Tract]],'Population and Diversity Data'!$B$2:$K$823,10,FALSE)</f>
        <v>#N/A</v>
      </c>
    </row>
    <row r="412" spans="4:18" customFormat="1" ht="15" hidden="1" customHeight="1" x14ac:dyDescent="0.2">
      <c r="D412" s="51"/>
      <c r="E412" s="34"/>
      <c r="F412" s="51"/>
      <c r="G412" s="210"/>
      <c r="P412" t="str">
        <f t="shared" si="6"/>
        <v>N/A</v>
      </c>
      <c r="Q412" t="e">
        <f>VLOOKUP(Table8[[#This Row],[Census Tract]],'UI EnergyBurden'!$A$2:$B$184,2,FALSE)</f>
        <v>#N/A</v>
      </c>
      <c r="R412" t="e">
        <f>VLOOKUP(Table8[[#This Row],[Census Tract]],'Population and Diversity Data'!$B$2:$K$823,10,FALSE)</f>
        <v>#N/A</v>
      </c>
    </row>
    <row r="413" spans="4:18" customFormat="1" ht="15" hidden="1" customHeight="1" x14ac:dyDescent="0.2">
      <c r="D413" s="51"/>
      <c r="E413" s="34"/>
      <c r="F413" s="51"/>
      <c r="G413" s="210"/>
      <c r="P413" t="str">
        <f t="shared" si="6"/>
        <v>N/A</v>
      </c>
      <c r="Q413" t="e">
        <f>VLOOKUP(Table8[[#This Row],[Census Tract]],'UI EnergyBurden'!$A$2:$B$184,2,FALSE)</f>
        <v>#N/A</v>
      </c>
      <c r="R413" t="e">
        <f>VLOOKUP(Table8[[#This Row],[Census Tract]],'Population and Diversity Data'!$B$2:$K$823,10,FALSE)</f>
        <v>#N/A</v>
      </c>
    </row>
    <row r="414" spans="4:18" customFormat="1" ht="15" hidden="1" customHeight="1" x14ac:dyDescent="0.2">
      <c r="D414" s="51"/>
      <c r="E414" s="34"/>
      <c r="F414" s="51"/>
      <c r="G414" s="210"/>
      <c r="P414" t="str">
        <f t="shared" si="6"/>
        <v>N/A</v>
      </c>
      <c r="Q414" t="e">
        <f>VLOOKUP(Table8[[#This Row],[Census Tract]],'UI EnergyBurden'!$A$2:$B$184,2,FALSE)</f>
        <v>#N/A</v>
      </c>
      <c r="R414" t="e">
        <f>VLOOKUP(Table8[[#This Row],[Census Tract]],'Population and Diversity Data'!$B$2:$K$823,10,FALSE)</f>
        <v>#N/A</v>
      </c>
    </row>
    <row r="415" spans="4:18" customFormat="1" ht="15" hidden="1" customHeight="1" x14ac:dyDescent="0.2">
      <c r="D415" s="51"/>
      <c r="E415" s="34"/>
      <c r="F415" s="51"/>
      <c r="G415" s="210"/>
      <c r="P415" t="str">
        <f t="shared" si="6"/>
        <v>N/A</v>
      </c>
      <c r="Q415" t="e">
        <f>VLOOKUP(Table8[[#This Row],[Census Tract]],'UI EnergyBurden'!$A$2:$B$184,2,FALSE)</f>
        <v>#N/A</v>
      </c>
      <c r="R415" t="e">
        <f>VLOOKUP(Table8[[#This Row],[Census Tract]],'Population and Diversity Data'!$B$2:$K$823,10,FALSE)</f>
        <v>#N/A</v>
      </c>
    </row>
    <row r="416" spans="4:18" customFormat="1" ht="15" hidden="1" customHeight="1" x14ac:dyDescent="0.2">
      <c r="D416" s="51"/>
      <c r="E416" s="34"/>
      <c r="F416" s="51"/>
      <c r="G416" s="210"/>
      <c r="P416" t="str">
        <f t="shared" si="6"/>
        <v>N/A</v>
      </c>
      <c r="Q416" t="e">
        <f>VLOOKUP(Table8[[#This Row],[Census Tract]],'UI EnergyBurden'!$A$2:$B$184,2,FALSE)</f>
        <v>#N/A</v>
      </c>
      <c r="R416" t="e">
        <f>VLOOKUP(Table8[[#This Row],[Census Tract]],'Population and Diversity Data'!$B$2:$K$823,10,FALSE)</f>
        <v>#N/A</v>
      </c>
    </row>
    <row r="417" spans="4:18" customFormat="1" ht="15" hidden="1" customHeight="1" x14ac:dyDescent="0.2">
      <c r="D417" s="51"/>
      <c r="E417" s="34"/>
      <c r="F417" s="51"/>
      <c r="G417" s="210"/>
      <c r="P417" t="str">
        <f t="shared" si="6"/>
        <v>N/A</v>
      </c>
      <c r="Q417" t="e">
        <f>VLOOKUP(Table8[[#This Row],[Census Tract]],'UI EnergyBurden'!$A$2:$B$184,2,FALSE)</f>
        <v>#N/A</v>
      </c>
      <c r="R417" t="e">
        <f>VLOOKUP(Table8[[#This Row],[Census Tract]],'Population and Diversity Data'!$B$2:$K$823,10,FALSE)</f>
        <v>#N/A</v>
      </c>
    </row>
    <row r="418" spans="4:18" customFormat="1" ht="15" hidden="1" customHeight="1" x14ac:dyDescent="0.2">
      <c r="D418" s="51"/>
      <c r="E418" s="34"/>
      <c r="F418" s="51"/>
      <c r="G418" s="210"/>
      <c r="P418" t="str">
        <f t="shared" si="6"/>
        <v>N/A</v>
      </c>
      <c r="Q418" t="e">
        <f>VLOOKUP(Table8[[#This Row],[Census Tract]],'UI EnergyBurden'!$A$2:$B$184,2,FALSE)</f>
        <v>#N/A</v>
      </c>
      <c r="R418" t="e">
        <f>VLOOKUP(Table8[[#This Row],[Census Tract]],'Population and Diversity Data'!$B$2:$K$823,10,FALSE)</f>
        <v>#N/A</v>
      </c>
    </row>
    <row r="419" spans="4:18" customFormat="1" ht="15" hidden="1" customHeight="1" x14ac:dyDescent="0.2">
      <c r="D419" s="51"/>
      <c r="E419" s="34"/>
      <c r="F419" s="51"/>
      <c r="G419" s="210"/>
      <c r="P419" t="str">
        <f t="shared" si="6"/>
        <v>N/A</v>
      </c>
      <c r="Q419" t="e">
        <f>VLOOKUP(Table8[[#This Row],[Census Tract]],'UI EnergyBurden'!$A$2:$B$184,2,FALSE)</f>
        <v>#N/A</v>
      </c>
      <c r="R419" t="e">
        <f>VLOOKUP(Table8[[#This Row],[Census Tract]],'Population and Diversity Data'!$B$2:$K$823,10,FALSE)</f>
        <v>#N/A</v>
      </c>
    </row>
    <row r="420" spans="4:18" customFormat="1" ht="15" hidden="1" customHeight="1" x14ac:dyDescent="0.2">
      <c r="D420" s="51"/>
      <c r="E420" s="34"/>
      <c r="F420" s="51"/>
      <c r="G420" s="210"/>
      <c r="P420" t="str">
        <f t="shared" si="6"/>
        <v>N/A</v>
      </c>
      <c r="Q420" t="e">
        <f>VLOOKUP(Table8[[#This Row],[Census Tract]],'UI EnergyBurden'!$A$2:$B$184,2,FALSE)</f>
        <v>#N/A</v>
      </c>
      <c r="R420" t="e">
        <f>VLOOKUP(Table8[[#This Row],[Census Tract]],'Population and Diversity Data'!$B$2:$K$823,10,FALSE)</f>
        <v>#N/A</v>
      </c>
    </row>
    <row r="421" spans="4:18" customFormat="1" ht="15" hidden="1" customHeight="1" x14ac:dyDescent="0.2">
      <c r="D421" s="51"/>
      <c r="E421" s="34"/>
      <c r="F421" s="51"/>
      <c r="G421" s="210"/>
      <c r="P421" t="str">
        <f t="shared" si="6"/>
        <v>N/A</v>
      </c>
      <c r="Q421" t="e">
        <f>VLOOKUP(Table8[[#This Row],[Census Tract]],'UI EnergyBurden'!$A$2:$B$184,2,FALSE)</f>
        <v>#N/A</v>
      </c>
      <c r="R421" t="e">
        <f>VLOOKUP(Table8[[#This Row],[Census Tract]],'Population and Diversity Data'!$B$2:$K$823,10,FALSE)</f>
        <v>#N/A</v>
      </c>
    </row>
    <row r="422" spans="4:18" customFormat="1" ht="15" hidden="1" customHeight="1" x14ac:dyDescent="0.2">
      <c r="D422" s="51"/>
      <c r="E422" s="34"/>
      <c r="F422" s="51"/>
      <c r="G422" s="210"/>
      <c r="P422" t="str">
        <f t="shared" si="6"/>
        <v>N/A</v>
      </c>
      <c r="Q422" t="e">
        <f>VLOOKUP(Table8[[#This Row],[Census Tract]],'UI EnergyBurden'!$A$2:$B$184,2,FALSE)</f>
        <v>#N/A</v>
      </c>
      <c r="R422" t="e">
        <f>VLOOKUP(Table8[[#This Row],[Census Tract]],'Population and Diversity Data'!$B$2:$K$823,10,FALSE)</f>
        <v>#N/A</v>
      </c>
    </row>
    <row r="423" spans="4:18" customFormat="1" ht="15" hidden="1" customHeight="1" x14ac:dyDescent="0.2">
      <c r="D423" s="51"/>
      <c r="E423" s="34"/>
      <c r="F423" s="51"/>
      <c r="G423" s="210"/>
      <c r="P423" t="str">
        <f t="shared" si="6"/>
        <v>N/A</v>
      </c>
      <c r="Q423" t="e">
        <f>VLOOKUP(Table8[[#This Row],[Census Tract]],'UI EnergyBurden'!$A$2:$B$184,2,FALSE)</f>
        <v>#N/A</v>
      </c>
      <c r="R423" t="e">
        <f>VLOOKUP(Table8[[#This Row],[Census Tract]],'Population and Diversity Data'!$B$2:$K$823,10,FALSE)</f>
        <v>#N/A</v>
      </c>
    </row>
  </sheetData>
  <mergeCells count="7">
    <mergeCell ref="A1:R2"/>
    <mergeCell ref="A3:C3"/>
    <mergeCell ref="D3:R3"/>
    <mergeCell ref="A4:C4"/>
    <mergeCell ref="D4:G4"/>
    <mergeCell ref="H4:K4"/>
    <mergeCell ref="L4:O4"/>
  </mergeCell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6383-24D3-4F96-A595-9B62B7041A0F}">
  <sheetPr>
    <tabColor theme="7" tint="0.59999389629810485"/>
  </sheetPr>
  <dimension ref="A1:Q210"/>
  <sheetViews>
    <sheetView topLeftCell="I2" workbookViewId="0">
      <selection activeCell="A6" sqref="A6:A179"/>
    </sheetView>
  </sheetViews>
  <sheetFormatPr baseColWidth="10" defaultColWidth="8.83203125" defaultRowHeight="15" x14ac:dyDescent="0.2"/>
  <cols>
    <col min="1" max="2" width="15.6640625" customWidth="1"/>
    <col min="3" max="3" width="20" customWidth="1"/>
    <col min="4" max="4" width="22.6640625" style="51" customWidth="1"/>
    <col min="5" max="5" width="27.33203125" customWidth="1"/>
    <col min="6" max="6" width="25" style="51" customWidth="1"/>
    <col min="7" max="7" width="34.5" customWidth="1"/>
    <col min="8" max="8" width="30.33203125" customWidth="1"/>
    <col min="9" max="9" width="40.33203125" customWidth="1"/>
    <col min="10" max="10" width="38.5" customWidth="1"/>
    <col min="11" max="11" width="49.33203125" customWidth="1"/>
    <col min="12" max="12" width="22.6640625" customWidth="1"/>
    <col min="13" max="13" width="32.6640625" customWidth="1"/>
    <col min="14" max="14" width="31.33203125" customWidth="1"/>
    <col min="15" max="15" width="41.33203125" customWidth="1"/>
    <col min="16" max="16" width="13.5" bestFit="1" customWidth="1"/>
  </cols>
  <sheetData>
    <row r="1" spans="1:17" ht="15" customHeight="1" x14ac:dyDescent="0.2">
      <c r="A1" s="284" t="s">
        <v>2711</v>
      </c>
      <c r="B1" s="285"/>
      <c r="C1" s="285"/>
      <c r="D1" s="285"/>
      <c r="E1" s="285"/>
      <c r="F1" s="285"/>
      <c r="G1" s="285"/>
      <c r="H1" s="285"/>
      <c r="I1" s="285"/>
      <c r="J1" s="285"/>
      <c r="K1" s="285"/>
      <c r="L1" s="285"/>
      <c r="M1" s="285"/>
      <c r="N1" s="285"/>
      <c r="O1" s="286"/>
    </row>
    <row r="2" spans="1:17" ht="15.75" customHeight="1" thickBot="1" x14ac:dyDescent="0.25">
      <c r="A2" s="287"/>
      <c r="B2" s="288"/>
      <c r="C2" s="288"/>
      <c r="D2" s="288"/>
      <c r="E2" s="288"/>
      <c r="F2" s="288"/>
      <c r="G2" s="288"/>
      <c r="H2" s="288"/>
      <c r="I2" s="288"/>
      <c r="J2" s="288"/>
      <c r="K2" s="288"/>
      <c r="L2" s="288"/>
      <c r="M2" s="288"/>
      <c r="N2" s="288"/>
      <c r="O2" s="289"/>
    </row>
    <row r="3" spans="1:17" ht="17" thickBot="1" x14ac:dyDescent="0.25">
      <c r="A3" s="299" t="s">
        <v>923</v>
      </c>
      <c r="B3" s="300"/>
      <c r="C3" s="300"/>
      <c r="D3" s="281" t="s">
        <v>2875</v>
      </c>
      <c r="E3" s="282"/>
      <c r="F3" s="282"/>
      <c r="G3" s="282"/>
      <c r="H3" s="305"/>
      <c r="I3" s="305"/>
      <c r="J3" s="305"/>
      <c r="K3" s="305"/>
      <c r="L3" s="282"/>
      <c r="M3" s="282"/>
      <c r="N3" s="282"/>
      <c r="O3" s="283"/>
    </row>
    <row r="4" spans="1:17" ht="16" thickBot="1" x14ac:dyDescent="0.25">
      <c r="A4" s="315"/>
      <c r="B4" s="316"/>
      <c r="C4" s="316"/>
      <c r="D4" s="334" t="s">
        <v>2700</v>
      </c>
      <c r="E4" s="335"/>
      <c r="F4" s="335"/>
      <c r="G4" s="335"/>
      <c r="H4" s="310" t="s">
        <v>2701</v>
      </c>
      <c r="I4" s="311"/>
      <c r="J4" s="311"/>
      <c r="K4" s="312"/>
      <c r="L4" s="319" t="s">
        <v>2702</v>
      </c>
      <c r="M4" s="319"/>
      <c r="N4" s="319"/>
      <c r="O4" s="320"/>
    </row>
    <row r="5" spans="1:17" ht="35" thickBot="1" x14ac:dyDescent="0.25">
      <c r="A5" s="78" t="s">
        <v>2712</v>
      </c>
      <c r="B5" s="77" t="s">
        <v>2713</v>
      </c>
      <c r="C5" s="82" t="s">
        <v>2714</v>
      </c>
      <c r="D5" s="83" t="s">
        <v>2715</v>
      </c>
      <c r="E5" s="96" t="s">
        <v>2716</v>
      </c>
      <c r="F5" s="85" t="s">
        <v>2717</v>
      </c>
      <c r="G5" s="96" t="s">
        <v>2718</v>
      </c>
      <c r="H5" s="73" t="s">
        <v>2719</v>
      </c>
      <c r="I5" s="194" t="s">
        <v>2720</v>
      </c>
      <c r="J5" s="194" t="s">
        <v>2721</v>
      </c>
      <c r="K5" s="70" t="s">
        <v>2722</v>
      </c>
      <c r="L5" s="71" t="s">
        <v>2723</v>
      </c>
      <c r="M5" s="194" t="s">
        <v>2724</v>
      </c>
      <c r="N5" s="194" t="s">
        <v>2725</v>
      </c>
      <c r="O5" s="70" t="s">
        <v>2726</v>
      </c>
      <c r="P5" s="120" t="s">
        <v>2729</v>
      </c>
      <c r="Q5" s="120" t="s">
        <v>2728</v>
      </c>
    </row>
    <row r="6" spans="1:17" x14ac:dyDescent="0.2">
      <c r="A6" s="229">
        <v>9001060100</v>
      </c>
      <c r="B6" s="5" t="s">
        <v>2984</v>
      </c>
      <c r="C6" s="87" t="s">
        <v>944</v>
      </c>
      <c r="D6" s="90">
        <f>[2]!Table32[[#This Row],[Residential CLM $ Collected]]+[2]!Table32[[#This Row],[C&amp;I CLM $ Collected]]</f>
        <v>100227.791</v>
      </c>
      <c r="E6" s="91">
        <f>[2]!Table32[[#This Row],[CLM $ Collected ]]/'[2]1.) CLM Reference'!$B$4</f>
        <v>3.4441814810974355E-3</v>
      </c>
      <c r="F6" s="92">
        <f>[2]!Table32[[#This Row],[Residential Incentive Disbursements]]+[2]!Table32[[#This Row],[C&amp;I Incentive Disbursements]]</f>
        <v>0</v>
      </c>
      <c r="G6" s="196">
        <f>[2]!Table32[[#This Row],[Incentive Disbursements]]/'[2]1.) CLM Reference'!$B$5</f>
        <v>0</v>
      </c>
      <c r="H6" s="90">
        <v>0</v>
      </c>
      <c r="I6" s="91">
        <f>[2]!Table32[[#This Row],[Residential CLM $ Collected]]/'[2]1.) CLM Reference'!$B$4</f>
        <v>0</v>
      </c>
      <c r="J6" s="92">
        <v>0</v>
      </c>
      <c r="K6" s="196">
        <f>[2]!Table32[[#This Row],[Residential Incentive Disbursements]]/'[2]1.) CLM Reference'!$B$5</f>
        <v>0</v>
      </c>
      <c r="L6" s="90">
        <v>100227.791</v>
      </c>
      <c r="M6" s="91">
        <f>[2]!Table32[[#This Row],[C&amp;I CLM $ Collected]]/'[2]1.) CLM Reference'!$B$4</f>
        <v>3.4441814810974355E-3</v>
      </c>
      <c r="N6" s="92">
        <v>0</v>
      </c>
      <c r="O6" s="196">
        <f>[2]!Table32[[#This Row],[C&amp;I Incentive Disbursements]]/'[2]1.) CLM Reference'!$B$5</f>
        <v>0</v>
      </c>
      <c r="P6" t="str">
        <f>VLOOKUP(Table325[[#This Row],[Census Tract]],'UI EnergyBurden'!$A$2:$B$184,2,FALSE)</f>
        <v>No</v>
      </c>
      <c r="Q6">
        <f>VLOOKUP(Table325[[#This Row],[Census Tract]],'Population and Diversity Data'!B2:K823,10,FALSE)</f>
        <v>2</v>
      </c>
    </row>
    <row r="7" spans="1:17" x14ac:dyDescent="0.2">
      <c r="A7" s="229">
        <v>9001060200</v>
      </c>
      <c r="B7" s="5" t="s">
        <v>2984</v>
      </c>
      <c r="C7" s="87" t="s">
        <v>944</v>
      </c>
      <c r="D7" s="88">
        <f>[2]!Table32[[#This Row],[Residential CLM $ Collected]]+[2]!Table32[[#This Row],[C&amp;I CLM $ Collected]]</f>
        <v>73601.251600000003</v>
      </c>
      <c r="E7" s="197">
        <f>[2]!Table32[[#This Row],[CLM $ Collected ]]/'[2]1.) CLM Reference'!$B$4</f>
        <v>2.5291993888831993E-3</v>
      </c>
      <c r="F7" s="89">
        <f>[2]!Table32[[#This Row],[Residential Incentive Disbursements]]+[2]!Table32[[#This Row],[C&amp;I Incentive Disbursements]]</f>
        <v>0</v>
      </c>
      <c r="G7" s="198">
        <f>[2]!Table32[[#This Row],[Incentive Disbursements]]/'[2]1.) CLM Reference'!$B$5</f>
        <v>0</v>
      </c>
      <c r="H7" s="88">
        <v>0</v>
      </c>
      <c r="I7" s="197">
        <f>[2]!Table32[[#This Row],[Residential CLM $ Collected]]/'[2]1.) CLM Reference'!$B$4</f>
        <v>0</v>
      </c>
      <c r="J7" s="89">
        <v>0</v>
      </c>
      <c r="K7" s="198">
        <f>[2]!Table32[[#This Row],[Residential Incentive Disbursements]]/'[2]1.) CLM Reference'!$B$5</f>
        <v>0</v>
      </c>
      <c r="L7" s="88">
        <v>73601.251600000003</v>
      </c>
      <c r="M7" s="197">
        <f>[2]!Table32[[#This Row],[C&amp;I CLM $ Collected]]/'[2]1.) CLM Reference'!$B$4</f>
        <v>2.5291993888831993E-3</v>
      </c>
      <c r="N7" s="89">
        <v>0</v>
      </c>
      <c r="O7" s="198">
        <f>[2]!Table32[[#This Row],[C&amp;I Incentive Disbursements]]/'[2]1.) CLM Reference'!$B$5</f>
        <v>0</v>
      </c>
      <c r="P7" t="str">
        <f>VLOOKUP(Table325[[#This Row],[Census Tract]],'UI EnergyBurden'!$A$2:$B$184,2,FALSE)</f>
        <v>No</v>
      </c>
      <c r="Q7">
        <f>VLOOKUP(Table325[[#This Row],[Census Tract]],'Population and Diversity Data'!B3:K824,10,FALSE)</f>
        <v>3</v>
      </c>
    </row>
    <row r="8" spans="1:17" x14ac:dyDescent="0.2">
      <c r="A8" s="229">
        <v>9001060300</v>
      </c>
      <c r="B8" s="5" t="s">
        <v>2984</v>
      </c>
      <c r="C8" s="87" t="s">
        <v>944</v>
      </c>
      <c r="D8" s="88">
        <f>[2]!Table32[[#This Row],[Residential CLM $ Collected]]+[2]!Table32[[#This Row],[C&amp;I CLM $ Collected]]</f>
        <v>37903.3364</v>
      </c>
      <c r="E8" s="197">
        <f>[2]!Table32[[#This Row],[CLM $ Collected ]]/'[2]1.) CLM Reference'!$B$4</f>
        <v>1.3024927317881959E-3</v>
      </c>
      <c r="F8" s="89">
        <f>[2]!Table32[[#This Row],[Residential Incentive Disbursements]]+[2]!Table32[[#This Row],[C&amp;I Incentive Disbursements]]</f>
        <v>1240</v>
      </c>
      <c r="G8" s="198">
        <f>[2]!Table32[[#This Row],[Incentive Disbursements]]/'[2]1.) CLM Reference'!$B$5</f>
        <v>7.3805183493622832E-5</v>
      </c>
      <c r="H8" s="88">
        <v>0</v>
      </c>
      <c r="I8" s="197">
        <f>[2]!Table32[[#This Row],[Residential CLM $ Collected]]/'[2]1.) CLM Reference'!$B$4</f>
        <v>0</v>
      </c>
      <c r="J8" s="89">
        <v>0</v>
      </c>
      <c r="K8" s="198">
        <f>[2]!Table32[[#This Row],[Residential Incentive Disbursements]]/'[2]1.) CLM Reference'!$B$5</f>
        <v>0</v>
      </c>
      <c r="L8" s="88">
        <v>37903.3364</v>
      </c>
      <c r="M8" s="197">
        <f>[2]!Table32[[#This Row],[C&amp;I CLM $ Collected]]/'[2]1.) CLM Reference'!$B$4</f>
        <v>1.3024927317881959E-3</v>
      </c>
      <c r="N8" s="89">
        <v>1240</v>
      </c>
      <c r="O8" s="198">
        <f>[2]!Table32[[#This Row],[C&amp;I Incentive Disbursements]]/'[2]1.) CLM Reference'!$B$5</f>
        <v>7.3805183493622832E-5</v>
      </c>
      <c r="P8" t="str">
        <f>VLOOKUP(Table325[[#This Row],[Census Tract]],'UI EnergyBurden'!$A$2:$B$184,2,FALSE)</f>
        <v>No</v>
      </c>
      <c r="Q8">
        <f>VLOOKUP(Table325[[#This Row],[Census Tract]],'Population and Diversity Data'!B4:K825,10,FALSE)</f>
        <v>2</v>
      </c>
    </row>
    <row r="9" spans="1:17" x14ac:dyDescent="0.2">
      <c r="A9" s="229">
        <v>9001060400</v>
      </c>
      <c r="B9" s="5" t="s">
        <v>2984</v>
      </c>
      <c r="C9" s="87" t="s">
        <v>944</v>
      </c>
      <c r="D9" s="88">
        <f>[2]!Table32[[#This Row],[Residential CLM $ Collected]]+[2]!Table32[[#This Row],[C&amp;I CLM $ Collected]]</f>
        <v>9570.1769000000004</v>
      </c>
      <c r="E9" s="197">
        <f>[2]!Table32[[#This Row],[CLM $ Collected ]]/'[2]1.) CLM Reference'!$B$4</f>
        <v>3.2886513531767321E-4</v>
      </c>
      <c r="F9" s="89">
        <f>[2]!Table32[[#This Row],[Residential Incentive Disbursements]]+[2]!Table32[[#This Row],[C&amp;I Incentive Disbursements]]</f>
        <v>0</v>
      </c>
      <c r="G9" s="198">
        <f>[2]!Table32[[#This Row],[Incentive Disbursements]]/'[2]1.) CLM Reference'!$B$5</f>
        <v>0</v>
      </c>
      <c r="H9" s="88">
        <v>0</v>
      </c>
      <c r="I9" s="197">
        <f>[2]!Table32[[#This Row],[Residential CLM $ Collected]]/'[2]1.) CLM Reference'!$B$4</f>
        <v>0</v>
      </c>
      <c r="J9" s="89">
        <v>0</v>
      </c>
      <c r="K9" s="198">
        <f>[2]!Table32[[#This Row],[Residential Incentive Disbursements]]/'[2]1.) CLM Reference'!$B$5</f>
        <v>0</v>
      </c>
      <c r="L9" s="88">
        <v>9570.1769000000004</v>
      </c>
      <c r="M9" s="197">
        <f>[2]!Table32[[#This Row],[C&amp;I CLM $ Collected]]/'[2]1.) CLM Reference'!$B$4</f>
        <v>3.2886513531767321E-4</v>
      </c>
      <c r="N9" s="89">
        <v>0</v>
      </c>
      <c r="O9" s="198">
        <f>[2]!Table32[[#This Row],[C&amp;I Incentive Disbursements]]/'[2]1.) CLM Reference'!$B$5</f>
        <v>0</v>
      </c>
      <c r="P9" t="str">
        <f>VLOOKUP(Table325[[#This Row],[Census Tract]],'UI EnergyBurden'!$A$2:$B$184,2,FALSE)</f>
        <v>No</v>
      </c>
      <c r="Q9">
        <f>VLOOKUP(Table325[[#This Row],[Census Tract]],'Population and Diversity Data'!B5:K826,10,FALSE)</f>
        <v>1</v>
      </c>
    </row>
    <row r="10" spans="1:17" x14ac:dyDescent="0.2">
      <c r="A10" s="229">
        <v>9001060500</v>
      </c>
      <c r="B10" s="5" t="s">
        <v>2984</v>
      </c>
      <c r="C10" s="87" t="s">
        <v>944</v>
      </c>
      <c r="D10" s="88">
        <f>[2]!Table32[[#This Row],[Residential CLM $ Collected]]+[2]!Table32[[#This Row],[C&amp;I CLM $ Collected]]</f>
        <v>4850.7232000000004</v>
      </c>
      <c r="E10" s="197">
        <f>[2]!Table32[[#This Row],[CLM $ Collected ]]/'[2]1.) CLM Reference'!$B$4</f>
        <v>1.6668800986913593E-4</v>
      </c>
      <c r="F10" s="89">
        <f>[2]!Table32[[#This Row],[Residential Incentive Disbursements]]+[2]!Table32[[#This Row],[C&amp;I Incentive Disbursements]]</f>
        <v>330</v>
      </c>
      <c r="G10" s="198">
        <f>[2]!Table32[[#This Row],[Incentive Disbursements]]/'[2]1.) CLM Reference'!$B$5</f>
        <v>1.9641702058786723E-5</v>
      </c>
      <c r="H10" s="88">
        <v>0</v>
      </c>
      <c r="I10" s="197">
        <f>[2]!Table32[[#This Row],[Residential CLM $ Collected]]/'[2]1.) CLM Reference'!$B$4</f>
        <v>0</v>
      </c>
      <c r="J10" s="89">
        <v>0</v>
      </c>
      <c r="K10" s="198">
        <f>[2]!Table32[[#This Row],[Residential Incentive Disbursements]]/'[2]1.) CLM Reference'!$B$5</f>
        <v>0</v>
      </c>
      <c r="L10" s="88">
        <v>4850.7232000000004</v>
      </c>
      <c r="M10" s="197">
        <f>[2]!Table32[[#This Row],[C&amp;I CLM $ Collected]]/'[2]1.) CLM Reference'!$B$4</f>
        <v>1.6668800986913593E-4</v>
      </c>
      <c r="N10" s="89">
        <v>330</v>
      </c>
      <c r="O10" s="198">
        <f>[2]!Table32[[#This Row],[C&amp;I Incentive Disbursements]]/'[2]1.) CLM Reference'!$B$5</f>
        <v>1.9641702058786723E-5</v>
      </c>
      <c r="P10" t="str">
        <f>VLOOKUP(Table325[[#This Row],[Census Tract]],'UI EnergyBurden'!$A$2:$B$184,2,FALSE)</f>
        <v>No</v>
      </c>
      <c r="Q10">
        <f>VLOOKUP(Table325[[#This Row],[Census Tract]],'Population and Diversity Data'!B6:K827,10,FALSE)</f>
        <v>1</v>
      </c>
    </row>
    <row r="11" spans="1:17" x14ac:dyDescent="0.2">
      <c r="A11" s="229">
        <v>9001060600</v>
      </c>
      <c r="B11" s="5" t="s">
        <v>2984</v>
      </c>
      <c r="C11" s="87" t="s">
        <v>944</v>
      </c>
      <c r="D11" s="88">
        <f>[2]!Table32[[#This Row],[Residential CLM $ Collected]]+[2]!Table32[[#This Row],[C&amp;I CLM $ Collected]]</f>
        <v>33150.8917</v>
      </c>
      <c r="E11" s="197">
        <f>[2]!Table32[[#This Row],[CLM $ Collected ]]/'[2]1.) CLM Reference'!$B$4</f>
        <v>1.1391819188652644E-3</v>
      </c>
      <c r="F11" s="89">
        <f>[2]!Table32[[#This Row],[Residential Incentive Disbursements]]+[2]!Table32[[#This Row],[C&amp;I Incentive Disbursements]]</f>
        <v>0</v>
      </c>
      <c r="G11" s="198">
        <f>[2]!Table32[[#This Row],[Incentive Disbursements]]/'[2]1.) CLM Reference'!$B$5</f>
        <v>0</v>
      </c>
      <c r="H11" s="88">
        <v>0</v>
      </c>
      <c r="I11" s="197">
        <f>[2]!Table32[[#This Row],[Residential CLM $ Collected]]/'[2]1.) CLM Reference'!$B$4</f>
        <v>0</v>
      </c>
      <c r="J11" s="89">
        <v>0</v>
      </c>
      <c r="K11" s="198">
        <f>[2]!Table32[[#This Row],[Residential Incentive Disbursements]]/'[2]1.) CLM Reference'!$B$5</f>
        <v>0</v>
      </c>
      <c r="L11" s="88">
        <v>33150.8917</v>
      </c>
      <c r="M11" s="197">
        <f>[2]!Table32[[#This Row],[C&amp;I CLM $ Collected]]/'[2]1.) CLM Reference'!$B$4</f>
        <v>1.1391819188652644E-3</v>
      </c>
      <c r="N11" s="89">
        <v>0</v>
      </c>
      <c r="O11" s="198">
        <f>[2]!Table32[[#This Row],[C&amp;I Incentive Disbursements]]/'[2]1.) CLM Reference'!$B$5</f>
        <v>0</v>
      </c>
      <c r="P11" t="str">
        <f>VLOOKUP(Table325[[#This Row],[Census Tract]],'UI EnergyBurden'!$A$2:$B$184,2,FALSE)</f>
        <v>No</v>
      </c>
      <c r="Q11">
        <f>VLOOKUP(Table325[[#This Row],[Census Tract]],'Population and Diversity Data'!B7:K828,10,FALSE)</f>
        <v>2</v>
      </c>
    </row>
    <row r="12" spans="1:17" x14ac:dyDescent="0.2">
      <c r="A12" s="229">
        <v>9001060700</v>
      </c>
      <c r="B12" s="5" t="s">
        <v>2984</v>
      </c>
      <c r="C12" s="87" t="s">
        <v>944</v>
      </c>
      <c r="D12" s="88">
        <f>[2]!Table32[[#This Row],[Residential CLM $ Collected]]+[2]!Table32[[#This Row],[C&amp;I CLM $ Collected]]</f>
        <v>101146.5624</v>
      </c>
      <c r="E12" s="197">
        <f>[2]!Table32[[#This Row],[CLM $ Collected ]]/'[2]1.) CLM Reference'!$B$4</f>
        <v>3.4757537167984295E-3</v>
      </c>
      <c r="F12" s="89">
        <f>[2]!Table32[[#This Row],[Residential Incentive Disbursements]]+[2]!Table32[[#This Row],[C&amp;I Incentive Disbursements]]</f>
        <v>2245.5</v>
      </c>
      <c r="G12" s="198">
        <f>[2]!Table32[[#This Row],[Incentive Disbursements]]/'[2]1.) CLM Reference'!$B$5</f>
        <v>1.3365285446365329E-4</v>
      </c>
      <c r="H12" s="88">
        <v>0</v>
      </c>
      <c r="I12" s="197">
        <f>[2]!Table32[[#This Row],[Residential CLM $ Collected]]/'[2]1.) CLM Reference'!$B$4</f>
        <v>0</v>
      </c>
      <c r="J12" s="89">
        <v>0</v>
      </c>
      <c r="K12" s="198">
        <f>[2]!Table32[[#This Row],[Residential Incentive Disbursements]]/'[2]1.) CLM Reference'!$B$5</f>
        <v>0</v>
      </c>
      <c r="L12" s="88">
        <v>101146.5624</v>
      </c>
      <c r="M12" s="197">
        <f>[2]!Table32[[#This Row],[C&amp;I CLM $ Collected]]/'[2]1.) CLM Reference'!$B$4</f>
        <v>3.4757537167984295E-3</v>
      </c>
      <c r="N12" s="89">
        <v>2245.5</v>
      </c>
      <c r="O12" s="198">
        <f>[2]!Table32[[#This Row],[C&amp;I Incentive Disbursements]]/'[2]1.) CLM Reference'!$B$5</f>
        <v>1.3365285446365329E-4</v>
      </c>
      <c r="P12" t="str">
        <f>VLOOKUP(Table325[[#This Row],[Census Tract]],'UI EnergyBurden'!$A$2:$B$184,2,FALSE)</f>
        <v>No</v>
      </c>
      <c r="Q12">
        <f>VLOOKUP(Table325[[#This Row],[Census Tract]],'Population and Diversity Data'!B8:K829,10,FALSE)</f>
        <v>2</v>
      </c>
    </row>
    <row r="13" spans="1:17" x14ac:dyDescent="0.2">
      <c r="A13" s="229">
        <v>9001060900</v>
      </c>
      <c r="B13" s="5" t="s">
        <v>2984</v>
      </c>
      <c r="C13" s="87" t="s">
        <v>944</v>
      </c>
      <c r="D13" s="88">
        <f>[2]!Table32[[#This Row],[Residential CLM $ Collected]]+[2]!Table32[[#This Row],[C&amp;I CLM $ Collected]]</f>
        <v>2542.0457000000001</v>
      </c>
      <c r="E13" s="197">
        <f>[2]!Table32[[#This Row],[CLM $ Collected ]]/'[2]1.) CLM Reference'!$B$4</f>
        <v>8.7353683411453895E-5</v>
      </c>
      <c r="F13" s="89">
        <f>[2]!Table32[[#This Row],[Residential Incentive Disbursements]]+[2]!Table32[[#This Row],[C&amp;I Incentive Disbursements]]</f>
        <v>0</v>
      </c>
      <c r="G13" s="198">
        <f>[2]!Table32[[#This Row],[Incentive Disbursements]]/'[2]1.) CLM Reference'!$B$5</f>
        <v>0</v>
      </c>
      <c r="H13" s="88">
        <v>0</v>
      </c>
      <c r="I13" s="197">
        <f>[2]!Table32[[#This Row],[Residential CLM $ Collected]]/'[2]1.) CLM Reference'!$B$4</f>
        <v>0</v>
      </c>
      <c r="J13" s="89">
        <v>0</v>
      </c>
      <c r="K13" s="198">
        <f>[2]!Table32[[#This Row],[Residential Incentive Disbursements]]/'[2]1.) CLM Reference'!$B$5</f>
        <v>0</v>
      </c>
      <c r="L13" s="88">
        <v>2542.0457000000001</v>
      </c>
      <c r="M13" s="197">
        <f>[2]!Table32[[#This Row],[C&amp;I CLM $ Collected]]/'[2]1.) CLM Reference'!$B$4</f>
        <v>8.7353683411453895E-5</v>
      </c>
      <c r="N13" s="89">
        <v>0</v>
      </c>
      <c r="O13" s="198">
        <f>[2]!Table32[[#This Row],[C&amp;I Incentive Disbursements]]/'[2]1.) CLM Reference'!$B$5</f>
        <v>0</v>
      </c>
      <c r="P13" t="str">
        <f>VLOOKUP(Table325[[#This Row],[Census Tract]],'UI EnergyBurden'!$A$2:$B$184,2,FALSE)</f>
        <v>No</v>
      </c>
      <c r="Q13">
        <f>VLOOKUP(Table325[[#This Row],[Census Tract]],'Population and Diversity Data'!B9:K830,10,FALSE)</f>
        <v>1</v>
      </c>
    </row>
    <row r="14" spans="1:17" x14ac:dyDescent="0.2">
      <c r="A14" s="229">
        <v>9001061000</v>
      </c>
      <c r="B14" s="5" t="s">
        <v>2984</v>
      </c>
      <c r="C14" s="87" t="s">
        <v>944</v>
      </c>
      <c r="D14" s="88">
        <f>[2]!Table32[[#This Row],[Residential CLM $ Collected]]+[2]!Table32[[#This Row],[C&amp;I CLM $ Collected]]</f>
        <v>48402.934399999998</v>
      </c>
      <c r="E14" s="197">
        <f>[2]!Table32[[#This Row],[CLM $ Collected ]]/'[2]1.) CLM Reference'!$B$4</f>
        <v>1.6632960641749953E-3</v>
      </c>
      <c r="F14" s="89">
        <f>[2]!Table32[[#This Row],[Residential Incentive Disbursements]]+[2]!Table32[[#This Row],[C&amp;I Incentive Disbursements]]</f>
        <v>79085</v>
      </c>
      <c r="G14" s="198">
        <f>[2]!Table32[[#This Row],[Incentive Disbursements]]/'[2]1.) CLM Reference'!$B$5</f>
        <v>4.7071636585428725E-3</v>
      </c>
      <c r="H14" s="88">
        <v>0</v>
      </c>
      <c r="I14" s="197">
        <f>[2]!Table32[[#This Row],[Residential CLM $ Collected]]/'[2]1.) CLM Reference'!$B$4</f>
        <v>0</v>
      </c>
      <c r="J14" s="89">
        <v>0</v>
      </c>
      <c r="K14" s="198">
        <f>[2]!Table32[[#This Row],[Residential Incentive Disbursements]]/'[2]1.) CLM Reference'!$B$5</f>
        <v>0</v>
      </c>
      <c r="L14" s="88">
        <v>48402.934399999998</v>
      </c>
      <c r="M14" s="197">
        <f>[2]!Table32[[#This Row],[C&amp;I CLM $ Collected]]/'[2]1.) CLM Reference'!$B$4</f>
        <v>1.6632960641749953E-3</v>
      </c>
      <c r="N14" s="89">
        <v>79085</v>
      </c>
      <c r="O14" s="198">
        <f>[2]!Table32[[#This Row],[C&amp;I Incentive Disbursements]]/'[2]1.) CLM Reference'!$B$5</f>
        <v>4.7071636585428725E-3</v>
      </c>
      <c r="P14" t="str">
        <f>VLOOKUP(Table325[[#This Row],[Census Tract]],'UI EnergyBurden'!$A$2:$B$184,2,FALSE)</f>
        <v>No</v>
      </c>
      <c r="Q14">
        <f>VLOOKUP(Table325[[#This Row],[Census Tract]],'Population and Diversity Data'!B10:K831,10,FALSE)</f>
        <v>3</v>
      </c>
    </row>
    <row r="15" spans="1:17" x14ac:dyDescent="0.2">
      <c r="A15" s="229">
        <v>9001061100</v>
      </c>
      <c r="B15" s="5" t="s">
        <v>2984</v>
      </c>
      <c r="C15" s="87" t="s">
        <v>944</v>
      </c>
      <c r="D15" s="88">
        <f>[2]!Table32[[#This Row],[Residential CLM $ Collected]]+[2]!Table32[[#This Row],[C&amp;I CLM $ Collected]]</f>
        <v>3413.4719</v>
      </c>
      <c r="E15" s="197">
        <f>[2]!Table32[[#This Row],[CLM $ Collected ]]/'[2]1.) CLM Reference'!$B$4</f>
        <v>1.1729897054427228E-4</v>
      </c>
      <c r="F15" s="89">
        <f>[2]!Table32[[#This Row],[Residential Incentive Disbursements]]+[2]!Table32[[#This Row],[C&amp;I Incentive Disbursements]]</f>
        <v>0</v>
      </c>
      <c r="G15" s="198">
        <f>[2]!Table32[[#This Row],[Incentive Disbursements]]/'[2]1.) CLM Reference'!$B$5</f>
        <v>0</v>
      </c>
      <c r="H15" s="88">
        <v>0</v>
      </c>
      <c r="I15" s="197">
        <f>[2]!Table32[[#This Row],[Residential CLM $ Collected]]/'[2]1.) CLM Reference'!$B$4</f>
        <v>0</v>
      </c>
      <c r="J15" s="89">
        <v>0</v>
      </c>
      <c r="K15" s="198">
        <f>[2]!Table32[[#This Row],[Residential Incentive Disbursements]]/'[2]1.) CLM Reference'!$B$5</f>
        <v>0</v>
      </c>
      <c r="L15" s="88">
        <v>3413.4719</v>
      </c>
      <c r="M15" s="197">
        <f>[2]!Table32[[#This Row],[C&amp;I CLM $ Collected]]/'[2]1.) CLM Reference'!$B$4</f>
        <v>1.1729897054427228E-4</v>
      </c>
      <c r="N15" s="89">
        <v>0</v>
      </c>
      <c r="O15" s="198">
        <f>[2]!Table32[[#This Row],[C&amp;I Incentive Disbursements]]/'[2]1.) CLM Reference'!$B$5</f>
        <v>0</v>
      </c>
      <c r="P15" t="str">
        <f>VLOOKUP(Table325[[#This Row],[Census Tract]],'UI EnergyBurden'!$A$2:$B$184,2,FALSE)</f>
        <v>No</v>
      </c>
      <c r="Q15">
        <f>VLOOKUP(Table325[[#This Row],[Census Tract]],'Population and Diversity Data'!B11:K832,10,FALSE)</f>
        <v>1</v>
      </c>
    </row>
    <row r="16" spans="1:17" x14ac:dyDescent="0.2">
      <c r="A16" s="229">
        <v>9001061300</v>
      </c>
      <c r="B16" s="5" t="s">
        <v>2984</v>
      </c>
      <c r="C16" s="87" t="s">
        <v>944</v>
      </c>
      <c r="D16" s="88">
        <f>[2]!Table32[[#This Row],[Residential CLM $ Collected]]+[2]!Table32[[#This Row],[C&amp;I CLM $ Collected]]</f>
        <v>19307.045299999998</v>
      </c>
      <c r="E16" s="197">
        <f>[2]!Table32[[#This Row],[CLM $ Collected ]]/'[2]1.) CLM Reference'!$B$4</f>
        <v>6.6345838029064491E-4</v>
      </c>
      <c r="F16" s="89">
        <f>[2]!Table32[[#This Row],[Residential Incentive Disbursements]]+[2]!Table32[[#This Row],[C&amp;I Incentive Disbursements]]</f>
        <v>0</v>
      </c>
      <c r="G16" s="198">
        <f>[2]!Table32[[#This Row],[Incentive Disbursements]]/'[2]1.) CLM Reference'!$B$5</f>
        <v>0</v>
      </c>
      <c r="H16" s="88">
        <v>1395.1153999999999</v>
      </c>
      <c r="I16" s="197">
        <f>[2]!Table32[[#This Row],[Residential CLM $ Collected]]/'[2]1.) CLM Reference'!$B$4</f>
        <v>4.7941100733965508E-5</v>
      </c>
      <c r="J16" s="89">
        <v>0</v>
      </c>
      <c r="K16" s="198">
        <f>[2]!Table32[[#This Row],[Residential Incentive Disbursements]]/'[2]1.) CLM Reference'!$B$5</f>
        <v>0</v>
      </c>
      <c r="L16" s="88">
        <v>17911.929899999999</v>
      </c>
      <c r="M16" s="197">
        <f>[2]!Table32[[#This Row],[C&amp;I CLM $ Collected]]/'[2]1.) CLM Reference'!$B$4</f>
        <v>6.1551727955667945E-4</v>
      </c>
      <c r="N16" s="89">
        <v>0</v>
      </c>
      <c r="O16" s="198">
        <f>[2]!Table32[[#This Row],[C&amp;I Incentive Disbursements]]/'[2]1.) CLM Reference'!$B$5</f>
        <v>0</v>
      </c>
      <c r="P16" t="str">
        <f>VLOOKUP(Table325[[#This Row],[Census Tract]],'UI EnergyBurden'!$A$2:$B$184,2,FALSE)</f>
        <v>No</v>
      </c>
      <c r="Q16">
        <f>VLOOKUP(Table325[[#This Row],[Census Tract]],'Population and Diversity Data'!B12:K833,10,FALSE)</f>
        <v>4</v>
      </c>
    </row>
    <row r="17" spans="1:17" x14ac:dyDescent="0.2">
      <c r="A17" s="229">
        <v>9001061400</v>
      </c>
      <c r="B17" s="5" t="s">
        <v>2984</v>
      </c>
      <c r="C17" s="87" t="s">
        <v>944</v>
      </c>
      <c r="D17" s="88">
        <f>[2]!Table32[[#This Row],[Residential CLM $ Collected]]+[2]!Table32[[#This Row],[C&amp;I CLM $ Collected]]</f>
        <v>111401.4479</v>
      </c>
      <c r="E17" s="197">
        <f>[2]!Table32[[#This Row],[CLM $ Collected ]]/'[2]1.) CLM Reference'!$B$4</f>
        <v>3.8281478619499936E-3</v>
      </c>
      <c r="F17" s="89">
        <f>[2]!Table32[[#This Row],[Residential Incentive Disbursements]]+[2]!Table32[[#This Row],[C&amp;I Incentive Disbursements]]</f>
        <v>224266</v>
      </c>
      <c r="G17" s="198">
        <f>[2]!Table32[[#This Row],[Incentive Disbursements]]/'[2]1.) CLM Reference'!$B$5</f>
        <v>1.3348381678532919E-2</v>
      </c>
      <c r="H17" s="88">
        <v>0</v>
      </c>
      <c r="I17" s="197">
        <f>[2]!Table32[[#This Row],[Residential CLM $ Collected]]/'[2]1.) CLM Reference'!$B$4</f>
        <v>0</v>
      </c>
      <c r="J17" s="89">
        <v>0</v>
      </c>
      <c r="K17" s="198">
        <f>[2]!Table32[[#This Row],[Residential Incentive Disbursements]]/'[2]1.) CLM Reference'!$B$5</f>
        <v>0</v>
      </c>
      <c r="L17" s="88">
        <v>111401.4479</v>
      </c>
      <c r="M17" s="197">
        <f>[2]!Table32[[#This Row],[C&amp;I CLM $ Collected]]/'[2]1.) CLM Reference'!$B$4</f>
        <v>3.8281478619499936E-3</v>
      </c>
      <c r="N17" s="89">
        <v>224266</v>
      </c>
      <c r="O17" s="198">
        <f>[2]!Table32[[#This Row],[C&amp;I Incentive Disbursements]]/'[2]1.) CLM Reference'!$B$5</f>
        <v>1.3348381678532919E-2</v>
      </c>
      <c r="P17" t="str">
        <f>VLOOKUP(Table325[[#This Row],[Census Tract]],'UI EnergyBurden'!$A$2:$B$184,2,FALSE)</f>
        <v>No</v>
      </c>
      <c r="Q17">
        <f>VLOOKUP(Table325[[#This Row],[Census Tract]],'Population and Diversity Data'!B13:K834,10,FALSE)</f>
        <v>5</v>
      </c>
    </row>
    <row r="18" spans="1:17" x14ac:dyDescent="0.2">
      <c r="A18" s="229">
        <v>9001061500</v>
      </c>
      <c r="B18" s="5" t="s">
        <v>934</v>
      </c>
      <c r="C18" s="87" t="s">
        <v>944</v>
      </c>
      <c r="D18" s="88">
        <f>[2]!Table32[[#This Row],[Residential CLM $ Collected]]+[2]!Table32[[#This Row],[C&amp;I CLM $ Collected]]</f>
        <v>2535.1001999999999</v>
      </c>
      <c r="E18" s="197">
        <f>[2]!Table32[[#This Row],[CLM $ Collected ]]/'[2]1.) CLM Reference'!$B$4</f>
        <v>8.7115011459909405E-5</v>
      </c>
      <c r="F18" s="89">
        <f>[2]!Table32[[#This Row],[Residential Incentive Disbursements]]+[2]!Table32[[#This Row],[C&amp;I Incentive Disbursements]]</f>
        <v>0</v>
      </c>
      <c r="G18" s="198">
        <f>[2]!Table32[[#This Row],[Incentive Disbursements]]/'[2]1.) CLM Reference'!$B$5</f>
        <v>0</v>
      </c>
      <c r="H18" s="88">
        <v>0</v>
      </c>
      <c r="I18" s="197">
        <f>[2]!Table32[[#This Row],[Residential CLM $ Collected]]/'[2]1.) CLM Reference'!$B$4</f>
        <v>0</v>
      </c>
      <c r="J18" s="89">
        <v>0</v>
      </c>
      <c r="K18" s="198">
        <f>[2]!Table32[[#This Row],[Residential Incentive Disbursements]]/'[2]1.) CLM Reference'!$B$5</f>
        <v>0</v>
      </c>
      <c r="L18" s="88">
        <v>2535.1001999999999</v>
      </c>
      <c r="M18" s="197">
        <f>[2]!Table32[[#This Row],[C&amp;I CLM $ Collected]]/'[2]1.) CLM Reference'!$B$4</f>
        <v>8.7115011459909405E-5</v>
      </c>
      <c r="N18" s="89">
        <v>0</v>
      </c>
      <c r="O18" s="198">
        <f>[2]!Table32[[#This Row],[C&amp;I Incentive Disbursements]]/'[2]1.) CLM Reference'!$B$5</f>
        <v>0</v>
      </c>
      <c r="P18" t="str">
        <f>VLOOKUP(Table325[[#This Row],[Census Tract]],'UI EnergyBurden'!$A$2:$B$184,2,FALSE)</f>
        <v>No</v>
      </c>
      <c r="Q18">
        <f>VLOOKUP(Table325[[#This Row],[Census Tract]],'Population and Diversity Data'!B14:K835,10,FALSE)</f>
        <v>4</v>
      </c>
    </row>
    <row r="19" spans="1:17" x14ac:dyDescent="0.2">
      <c r="A19" s="229">
        <v>9001061500</v>
      </c>
      <c r="B19" s="5" t="s">
        <v>2984</v>
      </c>
      <c r="C19" s="87" t="s">
        <v>944</v>
      </c>
      <c r="D19" s="88">
        <f>[2]!Table32[[#This Row],[Residential CLM $ Collected]]+[2]!Table32[[#This Row],[C&amp;I CLM $ Collected]]</f>
        <v>63380.398999999998</v>
      </c>
      <c r="E19" s="197">
        <f>[2]!Table32[[#This Row],[CLM $ Collected ]]/'[2]1.) CLM Reference'!$B$4</f>
        <v>2.1779747345760264E-3</v>
      </c>
      <c r="F19" s="89">
        <f>[2]!Table32[[#This Row],[Residential Incentive Disbursements]]+[2]!Table32[[#This Row],[C&amp;I Incentive Disbursements]]</f>
        <v>1555</v>
      </c>
      <c r="G19" s="198">
        <f>[2]!Table32[[#This Row],[Incentive Disbursements]]/'[2]1.) CLM Reference'!$B$5</f>
        <v>9.2554080913373802E-5</v>
      </c>
      <c r="H19" s="88">
        <v>0</v>
      </c>
      <c r="I19" s="197">
        <f>[2]!Table32[[#This Row],[Residential CLM $ Collected]]/'[2]1.) CLM Reference'!$B$4</f>
        <v>0</v>
      </c>
      <c r="J19" s="89">
        <v>0</v>
      </c>
      <c r="K19" s="198">
        <f>[2]!Table32[[#This Row],[Residential Incentive Disbursements]]/'[2]1.) CLM Reference'!$B$5</f>
        <v>0</v>
      </c>
      <c r="L19" s="88">
        <v>63380.398999999998</v>
      </c>
      <c r="M19" s="197">
        <f>[2]!Table32[[#This Row],[C&amp;I CLM $ Collected]]/'[2]1.) CLM Reference'!$B$4</f>
        <v>2.1779747345760264E-3</v>
      </c>
      <c r="N19" s="89">
        <v>1555</v>
      </c>
      <c r="O19" s="198">
        <f>[2]!Table32[[#This Row],[C&amp;I Incentive Disbursements]]/'[2]1.) CLM Reference'!$B$5</f>
        <v>9.2554080913373802E-5</v>
      </c>
      <c r="P19" t="str">
        <f>VLOOKUP(Table325[[#This Row],[Census Tract]],'UI EnergyBurden'!$A$2:$B$184,2,FALSE)</f>
        <v>No</v>
      </c>
      <c r="Q19">
        <f>VLOOKUP(Table325[[#This Row],[Census Tract]],'Population and Diversity Data'!B15:K836,10,FALSE)</f>
        <v>4</v>
      </c>
    </row>
    <row r="20" spans="1:17" x14ac:dyDescent="0.2">
      <c r="A20" s="229">
        <v>9001061600</v>
      </c>
      <c r="B20" s="5" t="s">
        <v>2984</v>
      </c>
      <c r="C20" s="87" t="s">
        <v>944</v>
      </c>
      <c r="D20" s="88">
        <f>[2]!Table32[[#This Row],[Residential CLM $ Collected]]+[2]!Table32[[#This Row],[C&amp;I CLM $ Collected]]</f>
        <v>32031.164499999999</v>
      </c>
      <c r="E20" s="197">
        <f>[2]!Table32[[#This Row],[CLM $ Collected ]]/'[2]1.) CLM Reference'!$B$4</f>
        <v>1.1007041309419421E-3</v>
      </c>
      <c r="F20" s="89">
        <f>[2]!Table32[[#This Row],[Residential Incentive Disbursements]]+[2]!Table32[[#This Row],[C&amp;I Incentive Disbursements]]</f>
        <v>49035</v>
      </c>
      <c r="G20" s="198">
        <f>[2]!Table32[[#This Row],[Incentive Disbursements]]/'[2]1.) CLM Reference'!$B$5</f>
        <v>2.9185783650078996E-3</v>
      </c>
      <c r="H20" s="88">
        <v>2121.6125999999999</v>
      </c>
      <c r="I20" s="197">
        <f>[2]!Table32[[#This Row],[Residential CLM $ Collected]]/'[2]1.) CLM Reference'!$B$4</f>
        <v>7.2906114702088779E-5</v>
      </c>
      <c r="J20" s="89">
        <v>0</v>
      </c>
      <c r="K20" s="198">
        <f>[2]!Table32[[#This Row],[Residential Incentive Disbursements]]/'[2]1.) CLM Reference'!$B$5</f>
        <v>0</v>
      </c>
      <c r="L20" s="88">
        <v>29909.551899999999</v>
      </c>
      <c r="M20" s="197">
        <f>[2]!Table32[[#This Row],[C&amp;I CLM $ Collected]]/'[2]1.) CLM Reference'!$B$4</f>
        <v>1.0277980162398533E-3</v>
      </c>
      <c r="N20" s="89">
        <v>49035</v>
      </c>
      <c r="O20" s="198">
        <f>[2]!Table32[[#This Row],[C&amp;I Incentive Disbursements]]/'[2]1.) CLM Reference'!$B$5</f>
        <v>2.9185783650078996E-3</v>
      </c>
      <c r="P20" t="str">
        <f>VLOOKUP(Table325[[#This Row],[Census Tract]],'UI EnergyBurden'!$A$2:$B$184,2,FALSE)</f>
        <v>No</v>
      </c>
      <c r="Q20">
        <f>VLOOKUP(Table325[[#This Row],[Census Tract]],'Population and Diversity Data'!B16:K837,10,FALSE)</f>
        <v>1</v>
      </c>
    </row>
    <row r="21" spans="1:17" x14ac:dyDescent="0.2">
      <c r="A21" s="229">
        <v>9001070100</v>
      </c>
      <c r="B21" s="5" t="s">
        <v>934</v>
      </c>
      <c r="C21" s="87" t="s">
        <v>936</v>
      </c>
      <c r="D21" s="88">
        <f>[2]!Table32[[#This Row],[Residential CLM $ Collected]]+[2]!Table32[[#This Row],[C&amp;I CLM $ Collected]]</f>
        <v>7281.1782000000003</v>
      </c>
      <c r="E21" s="197">
        <f>[2]!Table32[[#This Row],[CLM $ Collected ]]/'[2]1.) CLM Reference'!$B$4</f>
        <v>2.5020704204695447E-4</v>
      </c>
      <c r="F21" s="89">
        <f>[2]!Table32[[#This Row],[Residential Incentive Disbursements]]+[2]!Table32[[#This Row],[C&amp;I Incentive Disbursements]]</f>
        <v>0</v>
      </c>
      <c r="G21" s="198">
        <f>[2]!Table32[[#This Row],[Incentive Disbursements]]/'[2]1.) CLM Reference'!$B$5</f>
        <v>0</v>
      </c>
      <c r="H21" s="88">
        <v>0</v>
      </c>
      <c r="I21" s="197">
        <f>[2]!Table32[[#This Row],[Residential CLM $ Collected]]/'[2]1.) CLM Reference'!$B$4</f>
        <v>0</v>
      </c>
      <c r="J21" s="89">
        <v>0</v>
      </c>
      <c r="K21" s="198">
        <f>[2]!Table32[[#This Row],[Residential Incentive Disbursements]]/'[2]1.) CLM Reference'!$B$5</f>
        <v>0</v>
      </c>
      <c r="L21" s="88">
        <v>7281.1782000000003</v>
      </c>
      <c r="M21" s="197">
        <f>[2]!Table32[[#This Row],[C&amp;I CLM $ Collected]]/'[2]1.) CLM Reference'!$B$4</f>
        <v>2.5020704204695447E-4</v>
      </c>
      <c r="N21" s="89">
        <v>0</v>
      </c>
      <c r="O21" s="198">
        <f>[2]!Table32[[#This Row],[C&amp;I Incentive Disbursements]]/'[2]1.) CLM Reference'!$B$5</f>
        <v>0</v>
      </c>
      <c r="P21" t="str">
        <f>VLOOKUP(Table325[[#This Row],[Census Tract]],'UI EnergyBurden'!$A$2:$B$184,2,FALSE)</f>
        <v>No</v>
      </c>
      <c r="Q21">
        <f>VLOOKUP(Table325[[#This Row],[Census Tract]],'Population and Diversity Data'!B17:K838,10,FALSE)</f>
        <v>4</v>
      </c>
    </row>
    <row r="22" spans="1:17" x14ac:dyDescent="0.2">
      <c r="A22" s="229">
        <v>9001070200</v>
      </c>
      <c r="B22" s="5" t="s">
        <v>934</v>
      </c>
      <c r="C22" s="87" t="s">
        <v>936</v>
      </c>
      <c r="D22" s="88">
        <f>[2]!Table32[[#This Row],[Residential CLM $ Collected]]+[2]!Table32[[#This Row],[C&amp;I CLM $ Collected]]</f>
        <v>23732.358</v>
      </c>
      <c r="E22" s="197">
        <f>[2]!Table32[[#This Row],[CLM $ Collected ]]/'[2]1.) CLM Reference'!$B$4</f>
        <v>8.1552778037754603E-4</v>
      </c>
      <c r="F22" s="89">
        <f>[2]!Table32[[#This Row],[Residential Incentive Disbursements]]+[2]!Table32[[#This Row],[C&amp;I Incentive Disbursements]]</f>
        <v>85</v>
      </c>
      <c r="G22" s="198">
        <f>[2]!Table32[[#This Row],[Incentive Disbursements]]/'[2]1.) CLM Reference'!$B$5</f>
        <v>5.0592262878693073E-6</v>
      </c>
      <c r="H22" s="88">
        <v>0</v>
      </c>
      <c r="I22" s="197">
        <f>[2]!Table32[[#This Row],[Residential CLM $ Collected]]/'[2]1.) CLM Reference'!$B$4</f>
        <v>0</v>
      </c>
      <c r="J22" s="89">
        <v>0</v>
      </c>
      <c r="K22" s="198">
        <f>[2]!Table32[[#This Row],[Residential Incentive Disbursements]]/'[2]1.) CLM Reference'!$B$5</f>
        <v>0</v>
      </c>
      <c r="L22" s="88">
        <v>23732.358</v>
      </c>
      <c r="M22" s="197">
        <f>[2]!Table32[[#This Row],[C&amp;I CLM $ Collected]]/'[2]1.) CLM Reference'!$B$4</f>
        <v>8.1552778037754603E-4</v>
      </c>
      <c r="N22" s="89">
        <v>85</v>
      </c>
      <c r="O22" s="198">
        <f>[2]!Table32[[#This Row],[C&amp;I Incentive Disbursements]]/'[2]1.) CLM Reference'!$B$5</f>
        <v>5.0592262878693073E-6</v>
      </c>
      <c r="P22" t="str">
        <f>VLOOKUP(Table325[[#This Row],[Census Tract]],'UI EnergyBurden'!$A$2:$B$184,2,FALSE)</f>
        <v>No</v>
      </c>
      <c r="Q22">
        <f>VLOOKUP(Table325[[#This Row],[Census Tract]],'Population and Diversity Data'!B18:K839,10,FALSE)</f>
        <v>4</v>
      </c>
    </row>
    <row r="23" spans="1:17" x14ac:dyDescent="0.2">
      <c r="A23" s="229">
        <v>9001070300</v>
      </c>
      <c r="B23" s="5" t="s">
        <v>934</v>
      </c>
      <c r="C23" s="87" t="s">
        <v>936</v>
      </c>
      <c r="D23" s="88">
        <f>[2]!Table32[[#This Row],[Residential CLM $ Collected]]+[2]!Table32[[#This Row],[C&amp;I CLM $ Collected]]</f>
        <v>90882.647700000001</v>
      </c>
      <c r="E23" s="197">
        <f>[2]!Table32[[#This Row],[CLM $ Collected ]]/'[2]1.) CLM Reference'!$B$4</f>
        <v>3.1230492963916813E-3</v>
      </c>
      <c r="F23" s="89">
        <f>[2]!Table32[[#This Row],[Residential Incentive Disbursements]]+[2]!Table32[[#This Row],[C&amp;I Incentive Disbursements]]</f>
        <v>92446</v>
      </c>
      <c r="G23" s="198">
        <f>[2]!Table32[[#This Row],[Incentive Disbursements]]/'[2]1.) CLM Reference'!$B$5</f>
        <v>5.5024145106866585E-3</v>
      </c>
      <c r="H23" s="88">
        <v>0</v>
      </c>
      <c r="I23" s="197">
        <f>[2]!Table32[[#This Row],[Residential CLM $ Collected]]/'[2]1.) CLM Reference'!$B$4</f>
        <v>0</v>
      </c>
      <c r="J23" s="89">
        <v>0</v>
      </c>
      <c r="K23" s="198">
        <f>[2]!Table32[[#This Row],[Residential Incentive Disbursements]]/'[2]1.) CLM Reference'!$B$5</f>
        <v>0</v>
      </c>
      <c r="L23" s="88">
        <v>90882.647700000001</v>
      </c>
      <c r="M23" s="197">
        <f>[2]!Table32[[#This Row],[C&amp;I CLM $ Collected]]/'[2]1.) CLM Reference'!$B$4</f>
        <v>3.1230492963916813E-3</v>
      </c>
      <c r="N23" s="89">
        <v>92446</v>
      </c>
      <c r="O23" s="198">
        <f>[2]!Table32[[#This Row],[C&amp;I Incentive Disbursements]]/'[2]1.) CLM Reference'!$B$5</f>
        <v>5.5024145106866585E-3</v>
      </c>
      <c r="P23" t="str">
        <f>VLOOKUP(Table325[[#This Row],[Census Tract]],'UI EnergyBurden'!$A$2:$B$184,2,FALSE)</f>
        <v>Yes</v>
      </c>
      <c r="Q23">
        <f>VLOOKUP(Table325[[#This Row],[Census Tract]],'Population and Diversity Data'!B19:K840,10,FALSE)</f>
        <v>4</v>
      </c>
    </row>
    <row r="24" spans="1:17" x14ac:dyDescent="0.2">
      <c r="A24" s="229">
        <v>9001070400</v>
      </c>
      <c r="B24" s="5" t="s">
        <v>934</v>
      </c>
      <c r="C24" s="87" t="s">
        <v>936</v>
      </c>
      <c r="D24" s="88">
        <f>[2]!Table32[[#This Row],[Residential CLM $ Collected]]+[2]!Table32[[#This Row],[C&amp;I CLM $ Collected]]</f>
        <v>28740.396199999999</v>
      </c>
      <c r="E24" s="197">
        <f>[2]!Table32[[#This Row],[CLM $ Collected ]]/'[2]1.) CLM Reference'!$B$4</f>
        <v>9.8762169019013003E-4</v>
      </c>
      <c r="F24" s="89">
        <f>[2]!Table32[[#This Row],[Residential Incentive Disbursements]]+[2]!Table32[[#This Row],[C&amp;I Incentive Disbursements]]</f>
        <v>484416</v>
      </c>
      <c r="G24" s="198">
        <f>[2]!Table32[[#This Row],[Incentive Disbursements]]/'[2]1.) CLM Reference'!$B$5</f>
        <v>2.8832590134876452E-2</v>
      </c>
      <c r="H24" s="88">
        <v>0</v>
      </c>
      <c r="I24" s="197">
        <f>[2]!Table32[[#This Row],[Residential CLM $ Collected]]/'[2]1.) CLM Reference'!$B$4</f>
        <v>0</v>
      </c>
      <c r="J24" s="89">
        <v>0</v>
      </c>
      <c r="K24" s="198">
        <f>[2]!Table32[[#This Row],[Residential Incentive Disbursements]]/'[2]1.) CLM Reference'!$B$5</f>
        <v>0</v>
      </c>
      <c r="L24" s="88">
        <v>28740.396199999999</v>
      </c>
      <c r="M24" s="197">
        <f>[2]!Table32[[#This Row],[C&amp;I CLM $ Collected]]/'[2]1.) CLM Reference'!$B$4</f>
        <v>9.8762169019013003E-4</v>
      </c>
      <c r="N24" s="89">
        <v>484416</v>
      </c>
      <c r="O24" s="198">
        <f>[2]!Table32[[#This Row],[C&amp;I Incentive Disbursements]]/'[2]1.) CLM Reference'!$B$5</f>
        <v>2.8832590134876452E-2</v>
      </c>
      <c r="P24" t="str">
        <f>VLOOKUP(Table325[[#This Row],[Census Tract]],'UI EnergyBurden'!$A$2:$B$184,2,FALSE)</f>
        <v>Yes</v>
      </c>
      <c r="Q24">
        <f>VLOOKUP(Table325[[#This Row],[Census Tract]],'Population and Diversity Data'!B20:K841,10,FALSE)</f>
        <v>5</v>
      </c>
    </row>
    <row r="25" spans="1:17" x14ac:dyDescent="0.2">
      <c r="A25" s="229">
        <v>9001070500</v>
      </c>
      <c r="B25" s="5" t="s">
        <v>934</v>
      </c>
      <c r="C25" s="87" t="s">
        <v>936</v>
      </c>
      <c r="D25" s="88">
        <f>[2]!Table32[[#This Row],[Residential CLM $ Collected]]+[2]!Table32[[#This Row],[C&amp;I CLM $ Collected]]</f>
        <v>16724.715800000002</v>
      </c>
      <c r="E25" s="197">
        <f>[2]!Table32[[#This Row],[CLM $ Collected ]]/'[2]1.) CLM Reference'!$B$4</f>
        <v>5.7472040299658697E-4</v>
      </c>
      <c r="F25" s="89">
        <f>[2]!Table32[[#This Row],[Residential Incentive Disbursements]]+[2]!Table32[[#This Row],[C&amp;I Incentive Disbursements]]</f>
        <v>0</v>
      </c>
      <c r="G25" s="198">
        <f>[2]!Table32[[#This Row],[Incentive Disbursements]]/'[2]1.) CLM Reference'!$B$5</f>
        <v>0</v>
      </c>
      <c r="H25" s="88">
        <v>0</v>
      </c>
      <c r="I25" s="197">
        <f>[2]!Table32[[#This Row],[Residential CLM $ Collected]]/'[2]1.) CLM Reference'!$B$4</f>
        <v>0</v>
      </c>
      <c r="J25" s="89">
        <v>0</v>
      </c>
      <c r="K25" s="198">
        <f>[2]!Table32[[#This Row],[Residential Incentive Disbursements]]/'[2]1.) CLM Reference'!$B$5</f>
        <v>0</v>
      </c>
      <c r="L25" s="88">
        <v>16724.715800000002</v>
      </c>
      <c r="M25" s="197">
        <f>[2]!Table32[[#This Row],[C&amp;I CLM $ Collected]]/'[2]1.) CLM Reference'!$B$4</f>
        <v>5.7472040299658697E-4</v>
      </c>
      <c r="N25" s="89">
        <v>0</v>
      </c>
      <c r="O25" s="198">
        <f>[2]!Table32[[#This Row],[C&amp;I Incentive Disbursements]]/'[2]1.) CLM Reference'!$B$5</f>
        <v>0</v>
      </c>
      <c r="P25" t="str">
        <f>VLOOKUP(Table325[[#This Row],[Census Tract]],'UI EnergyBurden'!$A$2:$B$184,2,FALSE)</f>
        <v>Yes</v>
      </c>
      <c r="Q25">
        <f>VLOOKUP(Table325[[#This Row],[Census Tract]],'Population and Diversity Data'!B21:K842,10,FALSE)</f>
        <v>5</v>
      </c>
    </row>
    <row r="26" spans="1:17" x14ac:dyDescent="0.2">
      <c r="A26" s="229">
        <v>9001070600</v>
      </c>
      <c r="B26" s="5" t="s">
        <v>934</v>
      </c>
      <c r="C26" s="87" t="s">
        <v>936</v>
      </c>
      <c r="D26" s="88">
        <f>[2]!Table32[[#This Row],[Residential CLM $ Collected]]+[2]!Table32[[#This Row],[C&amp;I CLM $ Collected]]</f>
        <v>329048.53960000002</v>
      </c>
      <c r="E26" s="197">
        <f>[2]!Table32[[#This Row],[CLM $ Collected ]]/'[2]1.) CLM Reference'!$B$4</f>
        <v>1.1307271916952417E-2</v>
      </c>
      <c r="F26" s="89">
        <f>[2]!Table32[[#This Row],[Residential Incentive Disbursements]]+[2]!Table32[[#This Row],[C&amp;I Incentive Disbursements]]</f>
        <v>49135</v>
      </c>
      <c r="G26" s="198">
        <f>[2]!Table32[[#This Row],[Incentive Disbursements]]/'[2]1.) CLM Reference'!$B$5</f>
        <v>2.9245303959348047E-3</v>
      </c>
      <c r="H26" s="88">
        <v>0</v>
      </c>
      <c r="I26" s="197">
        <f>[2]!Table32[[#This Row],[Residential CLM $ Collected]]/'[2]1.) CLM Reference'!$B$4</f>
        <v>0</v>
      </c>
      <c r="J26" s="89">
        <v>0</v>
      </c>
      <c r="K26" s="198">
        <f>[2]!Table32[[#This Row],[Residential Incentive Disbursements]]/'[2]1.) CLM Reference'!$B$5</f>
        <v>0</v>
      </c>
      <c r="L26" s="88">
        <v>329048.53960000002</v>
      </c>
      <c r="M26" s="197">
        <f>[2]!Table32[[#This Row],[C&amp;I CLM $ Collected]]/'[2]1.) CLM Reference'!$B$4</f>
        <v>1.1307271916952417E-2</v>
      </c>
      <c r="N26" s="89">
        <v>49135</v>
      </c>
      <c r="O26" s="198">
        <f>[2]!Table32[[#This Row],[C&amp;I Incentive Disbursements]]/'[2]1.) CLM Reference'!$B$5</f>
        <v>2.9245303959348047E-3</v>
      </c>
      <c r="P26" t="str">
        <f>VLOOKUP(Table325[[#This Row],[Census Tract]],'UI EnergyBurden'!$A$2:$B$184,2,FALSE)</f>
        <v>No</v>
      </c>
      <c r="Q26">
        <f>VLOOKUP(Table325[[#This Row],[Census Tract]],'Population and Diversity Data'!B22:K843,10,FALSE)</f>
        <v>4</v>
      </c>
    </row>
    <row r="27" spans="1:17" x14ac:dyDescent="0.2">
      <c r="A27" s="229">
        <v>9001070900</v>
      </c>
      <c r="B27" s="5" t="s">
        <v>934</v>
      </c>
      <c r="C27" s="87" t="s">
        <v>936</v>
      </c>
      <c r="D27" s="88">
        <f>[2]!Table32[[#This Row],[Residential CLM $ Collected]]+[2]!Table32[[#This Row],[C&amp;I CLM $ Collected]]</f>
        <v>14584.582</v>
      </c>
      <c r="E27" s="197">
        <f>[2]!Table32[[#This Row],[CLM $ Collected ]]/'[2]1.) CLM Reference'!$B$4</f>
        <v>5.0117783433885127E-4</v>
      </c>
      <c r="F27" s="89">
        <f>[2]!Table32[[#This Row],[Residential Incentive Disbursements]]+[2]!Table32[[#This Row],[C&amp;I Incentive Disbursements]]</f>
        <v>0</v>
      </c>
      <c r="G27" s="198">
        <f>[2]!Table32[[#This Row],[Incentive Disbursements]]/'[2]1.) CLM Reference'!$B$5</f>
        <v>0</v>
      </c>
      <c r="H27" s="88">
        <v>0</v>
      </c>
      <c r="I27" s="197">
        <f>[2]!Table32[[#This Row],[Residential CLM $ Collected]]/'[2]1.) CLM Reference'!$B$4</f>
        <v>0</v>
      </c>
      <c r="J27" s="89">
        <v>0</v>
      </c>
      <c r="K27" s="198">
        <f>[2]!Table32[[#This Row],[Residential Incentive Disbursements]]/'[2]1.) CLM Reference'!$B$5</f>
        <v>0</v>
      </c>
      <c r="L27" s="88">
        <v>14584.582</v>
      </c>
      <c r="M27" s="197">
        <f>[2]!Table32[[#This Row],[C&amp;I CLM $ Collected]]/'[2]1.) CLM Reference'!$B$4</f>
        <v>5.0117783433885127E-4</v>
      </c>
      <c r="N27" s="89">
        <v>0</v>
      </c>
      <c r="O27" s="198">
        <f>[2]!Table32[[#This Row],[C&amp;I Incentive Disbursements]]/'[2]1.) CLM Reference'!$B$5</f>
        <v>0</v>
      </c>
      <c r="P27" t="str">
        <f>VLOOKUP(Table325[[#This Row],[Census Tract]],'UI EnergyBurden'!$A$2:$B$184,2,FALSE)</f>
        <v>Yes</v>
      </c>
      <c r="Q27">
        <f>VLOOKUP(Table325[[#This Row],[Census Tract]],'Population and Diversity Data'!B23:K844,10,FALSE)</f>
        <v>5</v>
      </c>
    </row>
    <row r="28" spans="1:17" x14ac:dyDescent="0.2">
      <c r="A28" s="229">
        <v>9001071000</v>
      </c>
      <c r="B28" s="5" t="s">
        <v>934</v>
      </c>
      <c r="C28" s="87" t="s">
        <v>936</v>
      </c>
      <c r="D28" s="88">
        <f>[2]!Table32[[#This Row],[Residential CLM $ Collected]]+[2]!Table32[[#This Row],[C&amp;I CLM $ Collected]]</f>
        <v>21101.988799999999</v>
      </c>
      <c r="E28" s="197">
        <f>[2]!Table32[[#This Row],[CLM $ Collected ]]/'[2]1.) CLM Reference'!$B$4</f>
        <v>7.2513898903833469E-4</v>
      </c>
      <c r="F28" s="89">
        <f>[2]!Table32[[#This Row],[Residential Incentive Disbursements]]+[2]!Table32[[#This Row],[C&amp;I Incentive Disbursements]]</f>
        <v>0</v>
      </c>
      <c r="G28" s="198">
        <f>[2]!Table32[[#This Row],[Incentive Disbursements]]/'[2]1.) CLM Reference'!$B$5</f>
        <v>0</v>
      </c>
      <c r="H28" s="88">
        <v>0</v>
      </c>
      <c r="I28" s="197">
        <f>[2]!Table32[[#This Row],[Residential CLM $ Collected]]/'[2]1.) CLM Reference'!$B$4</f>
        <v>0</v>
      </c>
      <c r="J28" s="89">
        <v>0</v>
      </c>
      <c r="K28" s="198">
        <f>[2]!Table32[[#This Row],[Residential Incentive Disbursements]]/'[2]1.) CLM Reference'!$B$5</f>
        <v>0</v>
      </c>
      <c r="L28" s="88">
        <v>21101.988799999999</v>
      </c>
      <c r="M28" s="197">
        <f>[2]!Table32[[#This Row],[C&amp;I CLM $ Collected]]/'[2]1.) CLM Reference'!$B$4</f>
        <v>7.2513898903833469E-4</v>
      </c>
      <c r="N28" s="89">
        <v>0</v>
      </c>
      <c r="O28" s="198">
        <f>[2]!Table32[[#This Row],[C&amp;I Incentive Disbursements]]/'[2]1.) CLM Reference'!$B$5</f>
        <v>0</v>
      </c>
      <c r="P28" t="str">
        <f>VLOOKUP(Table325[[#This Row],[Census Tract]],'UI EnergyBurden'!$A$2:$B$184,2,FALSE)</f>
        <v>Yes</v>
      </c>
      <c r="Q28">
        <f>VLOOKUP(Table325[[#This Row],[Census Tract]],'Population and Diversity Data'!B24:K845,10,FALSE)</f>
        <v>5</v>
      </c>
    </row>
    <row r="29" spans="1:17" x14ac:dyDescent="0.2">
      <c r="A29" s="229">
        <v>9001071100</v>
      </c>
      <c r="B29" s="5" t="s">
        <v>934</v>
      </c>
      <c r="C29" s="87" t="s">
        <v>944</v>
      </c>
      <c r="D29" s="88">
        <f>[2]!Table32[[#This Row],[Residential CLM $ Collected]]+[2]!Table32[[#This Row],[C&amp;I CLM $ Collected]]</f>
        <v>5250.7829000000002</v>
      </c>
      <c r="E29" s="197">
        <f>[2]!Table32[[#This Row],[CLM $ Collected ]]/'[2]1.) CLM Reference'!$B$4</f>
        <v>1.8043547647820642E-4</v>
      </c>
      <c r="F29" s="89">
        <f>[2]!Table32[[#This Row],[Residential Incentive Disbursements]]+[2]!Table32[[#This Row],[C&amp;I Incentive Disbursements]]</f>
        <v>0</v>
      </c>
      <c r="G29" s="198">
        <f>[2]!Table32[[#This Row],[Incentive Disbursements]]/'[2]1.) CLM Reference'!$B$5</f>
        <v>0</v>
      </c>
      <c r="H29" s="88">
        <v>0</v>
      </c>
      <c r="I29" s="197">
        <f>[2]!Table32[[#This Row],[Residential CLM $ Collected]]/'[2]1.) CLM Reference'!$B$4</f>
        <v>0</v>
      </c>
      <c r="J29" s="89">
        <v>0</v>
      </c>
      <c r="K29" s="198">
        <f>[2]!Table32[[#This Row],[Residential Incentive Disbursements]]/'[2]1.) CLM Reference'!$B$5</f>
        <v>0</v>
      </c>
      <c r="L29" s="88">
        <v>5250.7829000000002</v>
      </c>
      <c r="M29" s="197">
        <f>[2]!Table32[[#This Row],[C&amp;I CLM $ Collected]]/'[2]1.) CLM Reference'!$B$4</f>
        <v>1.8043547647820642E-4</v>
      </c>
      <c r="N29" s="89">
        <v>0</v>
      </c>
      <c r="O29" s="198">
        <f>[2]!Table32[[#This Row],[C&amp;I Incentive Disbursements]]/'[2]1.) CLM Reference'!$B$5</f>
        <v>0</v>
      </c>
      <c r="P29" t="str">
        <f>VLOOKUP(Table325[[#This Row],[Census Tract]],'UI EnergyBurden'!$A$2:$B$184,2,FALSE)</f>
        <v>Yes</v>
      </c>
      <c r="Q29">
        <f>VLOOKUP(Table325[[#This Row],[Census Tract]],'Population and Diversity Data'!B25:K846,10,FALSE)</f>
        <v>5</v>
      </c>
    </row>
    <row r="30" spans="1:17" x14ac:dyDescent="0.2">
      <c r="A30" s="229">
        <v>9001071200</v>
      </c>
      <c r="B30" s="5" t="s">
        <v>934</v>
      </c>
      <c r="C30" s="87" t="s">
        <v>936</v>
      </c>
      <c r="D30" s="88">
        <f>[2]!Table32[[#This Row],[Residential CLM $ Collected]]+[2]!Table32[[#This Row],[C&amp;I CLM $ Collected]]</f>
        <v>26819.623799999998</v>
      </c>
      <c r="E30" s="197">
        <f>[2]!Table32[[#This Row],[CLM $ Collected ]]/'[2]1.) CLM Reference'!$B$4</f>
        <v>9.2161715528540412E-4</v>
      </c>
      <c r="F30" s="89">
        <f>[2]!Table32[[#This Row],[Residential Incentive Disbursements]]+[2]!Table32[[#This Row],[C&amp;I Incentive Disbursements]]</f>
        <v>4617</v>
      </c>
      <c r="G30" s="198">
        <f>[2]!Table32[[#This Row],[Incentive Disbursements]]/'[2]1.) CLM Reference'!$B$5</f>
        <v>2.7480526789520698E-4</v>
      </c>
      <c r="H30" s="88">
        <v>1014.0401000000001</v>
      </c>
      <c r="I30" s="197">
        <f>[2]!Table32[[#This Row],[Residential CLM $ Collected]]/'[2]1.) CLM Reference'!$B$4</f>
        <v>3.4846005271234524E-5</v>
      </c>
      <c r="J30" s="89">
        <v>0</v>
      </c>
      <c r="K30" s="198">
        <f>[2]!Table32[[#This Row],[Residential Incentive Disbursements]]/'[2]1.) CLM Reference'!$B$5</f>
        <v>0</v>
      </c>
      <c r="L30" s="88">
        <v>25805.583699999999</v>
      </c>
      <c r="M30" s="197">
        <f>[2]!Table32[[#This Row],[C&amp;I CLM $ Collected]]/'[2]1.) CLM Reference'!$B$4</f>
        <v>8.8677115001416966E-4</v>
      </c>
      <c r="N30" s="89">
        <v>4617</v>
      </c>
      <c r="O30" s="198">
        <f>[2]!Table32[[#This Row],[C&amp;I Incentive Disbursements]]/'[2]1.) CLM Reference'!$B$5</f>
        <v>2.7480526789520698E-4</v>
      </c>
      <c r="P30" t="str">
        <f>VLOOKUP(Table325[[#This Row],[Census Tract]],'UI EnergyBurden'!$A$2:$B$184,2,FALSE)</f>
        <v>Yes</v>
      </c>
      <c r="Q30">
        <f>VLOOKUP(Table325[[#This Row],[Census Tract]],'Population and Diversity Data'!B26:K847,10,FALSE)</f>
        <v>5</v>
      </c>
    </row>
    <row r="31" spans="1:17" x14ac:dyDescent="0.2">
      <c r="A31" s="229">
        <v>9001071300</v>
      </c>
      <c r="B31" s="5" t="s">
        <v>934</v>
      </c>
      <c r="C31" s="87" t="s">
        <v>936</v>
      </c>
      <c r="D31" s="88">
        <f>[2]!Table32[[#This Row],[Residential CLM $ Collected]]+[2]!Table32[[#This Row],[C&amp;I CLM $ Collected]]</f>
        <v>33404.633399999999</v>
      </c>
      <c r="E31" s="197">
        <f>[2]!Table32[[#This Row],[CLM $ Collected ]]/'[2]1.) CLM Reference'!$B$4</f>
        <v>1.1479013813556847E-3</v>
      </c>
      <c r="F31" s="89">
        <f>[2]!Table32[[#This Row],[Residential Incentive Disbursements]]+[2]!Table32[[#This Row],[C&amp;I Incentive Disbursements]]</f>
        <v>0</v>
      </c>
      <c r="G31" s="198">
        <f>[2]!Table32[[#This Row],[Incentive Disbursements]]/'[2]1.) CLM Reference'!$B$5</f>
        <v>0</v>
      </c>
      <c r="H31" s="88">
        <v>0</v>
      </c>
      <c r="I31" s="197">
        <f>[2]!Table32[[#This Row],[Residential CLM $ Collected]]/'[2]1.) CLM Reference'!$B$4</f>
        <v>0</v>
      </c>
      <c r="J31" s="89">
        <v>0</v>
      </c>
      <c r="K31" s="198">
        <f>[2]!Table32[[#This Row],[Residential Incentive Disbursements]]/'[2]1.) CLM Reference'!$B$5</f>
        <v>0</v>
      </c>
      <c r="L31" s="88">
        <v>33404.633399999999</v>
      </c>
      <c r="M31" s="197">
        <f>[2]!Table32[[#This Row],[C&amp;I CLM $ Collected]]/'[2]1.) CLM Reference'!$B$4</f>
        <v>1.1479013813556847E-3</v>
      </c>
      <c r="N31" s="89">
        <v>0</v>
      </c>
      <c r="O31" s="198">
        <f>[2]!Table32[[#This Row],[C&amp;I Incentive Disbursements]]/'[2]1.) CLM Reference'!$B$5</f>
        <v>0</v>
      </c>
      <c r="P31" t="str">
        <f>VLOOKUP(Table325[[#This Row],[Census Tract]],'UI EnergyBurden'!$A$2:$B$184,2,FALSE)</f>
        <v>Yes</v>
      </c>
      <c r="Q31">
        <f>VLOOKUP(Table325[[#This Row],[Census Tract]],'Population and Diversity Data'!B27:K848,10,FALSE)</f>
        <v>5</v>
      </c>
    </row>
    <row r="32" spans="1:17" x14ac:dyDescent="0.2">
      <c r="A32" s="229">
        <v>9001071400</v>
      </c>
      <c r="B32" s="5" t="s">
        <v>934</v>
      </c>
      <c r="C32" s="87" t="s">
        <v>944</v>
      </c>
      <c r="D32" s="88">
        <f>[2]!Table32[[#This Row],[Residential CLM $ Collected]]+[2]!Table32[[#This Row],[C&amp;I CLM $ Collected]]</f>
        <v>17213.561799999999</v>
      </c>
      <c r="E32" s="197">
        <f>[2]!Table32[[#This Row],[CLM $ Collected ]]/'[2]1.) CLM Reference'!$B$4</f>
        <v>5.915188809786922E-4</v>
      </c>
      <c r="F32" s="89">
        <f>[2]!Table32[[#This Row],[Residential Incentive Disbursements]]+[2]!Table32[[#This Row],[C&amp;I Incentive Disbursements]]</f>
        <v>0</v>
      </c>
      <c r="G32" s="198">
        <f>[2]!Table32[[#This Row],[Incentive Disbursements]]/'[2]1.) CLM Reference'!$B$5</f>
        <v>0</v>
      </c>
      <c r="H32" s="88">
        <v>0</v>
      </c>
      <c r="I32" s="197">
        <f>[2]!Table32[[#This Row],[Residential CLM $ Collected]]/'[2]1.) CLM Reference'!$B$4</f>
        <v>0</v>
      </c>
      <c r="J32" s="89">
        <v>0</v>
      </c>
      <c r="K32" s="198">
        <f>[2]!Table32[[#This Row],[Residential Incentive Disbursements]]/'[2]1.) CLM Reference'!$B$5</f>
        <v>0</v>
      </c>
      <c r="L32" s="88">
        <v>17213.561799999999</v>
      </c>
      <c r="M32" s="197">
        <f>[2]!Table32[[#This Row],[C&amp;I CLM $ Collected]]/'[2]1.) CLM Reference'!$B$4</f>
        <v>5.915188809786922E-4</v>
      </c>
      <c r="N32" s="89">
        <v>0</v>
      </c>
      <c r="O32" s="198">
        <f>[2]!Table32[[#This Row],[C&amp;I Incentive Disbursements]]/'[2]1.) CLM Reference'!$B$5</f>
        <v>0</v>
      </c>
      <c r="P32" t="str">
        <f>VLOOKUP(Table325[[#This Row],[Census Tract]],'UI EnergyBurden'!$A$2:$B$184,2,FALSE)</f>
        <v>Yes</v>
      </c>
      <c r="Q32">
        <f>VLOOKUP(Table325[[#This Row],[Census Tract]],'Population and Diversity Data'!B28:K849,10,FALSE)</f>
        <v>5</v>
      </c>
    </row>
    <row r="33" spans="1:17" x14ac:dyDescent="0.2">
      <c r="A33" s="229">
        <v>9001071900</v>
      </c>
      <c r="B33" s="5" t="s">
        <v>934</v>
      </c>
      <c r="C33" s="87" t="s">
        <v>936</v>
      </c>
      <c r="D33" s="88">
        <f>[2]!Table32[[#This Row],[Residential CLM $ Collected]]+[2]!Table32[[#This Row],[C&amp;I CLM $ Collected]]</f>
        <v>30759.562900000001</v>
      </c>
      <c r="E33" s="197">
        <f>[2]!Table32[[#This Row],[CLM $ Collected ]]/'[2]1.) CLM Reference'!$B$4</f>
        <v>1.0570074013387339E-3</v>
      </c>
      <c r="F33" s="89">
        <f>[2]!Table32[[#This Row],[Residential Incentive Disbursements]]+[2]!Table32[[#This Row],[C&amp;I Incentive Disbursements]]</f>
        <v>244</v>
      </c>
      <c r="G33" s="198">
        <f>[2]!Table32[[#This Row],[Incentive Disbursements]]/'[2]1.) CLM Reference'!$B$5</f>
        <v>1.4522955461648364E-5</v>
      </c>
      <c r="H33" s="88">
        <v>0</v>
      </c>
      <c r="I33" s="197">
        <f>[2]!Table32[[#This Row],[Residential CLM $ Collected]]/'[2]1.) CLM Reference'!$B$4</f>
        <v>0</v>
      </c>
      <c r="J33" s="89">
        <v>0</v>
      </c>
      <c r="K33" s="198">
        <f>[2]!Table32[[#This Row],[Residential Incentive Disbursements]]/'[2]1.) CLM Reference'!$B$5</f>
        <v>0</v>
      </c>
      <c r="L33" s="88">
        <v>30759.562900000001</v>
      </c>
      <c r="M33" s="197">
        <f>[2]!Table32[[#This Row],[C&amp;I CLM $ Collected]]/'[2]1.) CLM Reference'!$B$4</f>
        <v>1.0570074013387339E-3</v>
      </c>
      <c r="N33" s="89">
        <v>244</v>
      </c>
      <c r="O33" s="198">
        <f>[2]!Table32[[#This Row],[C&amp;I Incentive Disbursements]]/'[2]1.) CLM Reference'!$B$5</f>
        <v>1.4522955461648364E-5</v>
      </c>
      <c r="P33" t="str">
        <f>VLOOKUP(Table325[[#This Row],[Census Tract]],'UI EnergyBurden'!$A$2:$B$184,2,FALSE)</f>
        <v>Yes</v>
      </c>
      <c r="Q33">
        <f>VLOOKUP(Table325[[#This Row],[Census Tract]],'Population and Diversity Data'!B29:K850,10,FALSE)</f>
        <v>5</v>
      </c>
    </row>
    <row r="34" spans="1:17" x14ac:dyDescent="0.2">
      <c r="A34" s="229">
        <v>9001072000</v>
      </c>
      <c r="B34" s="5" t="s">
        <v>934</v>
      </c>
      <c r="C34" s="87" t="s">
        <v>936</v>
      </c>
      <c r="D34" s="88">
        <f>[2]!Table32[[#This Row],[Residential CLM $ Collected]]+[2]!Table32[[#This Row],[C&amp;I CLM $ Collected]]</f>
        <v>17861.459299999999</v>
      </c>
      <c r="E34" s="197">
        <f>[2]!Table32[[#This Row],[CLM $ Collected ]]/'[2]1.) CLM Reference'!$B$4</f>
        <v>6.137829311875741E-4</v>
      </c>
      <c r="F34" s="89">
        <f>[2]!Table32[[#This Row],[Residential Incentive Disbursements]]+[2]!Table32[[#This Row],[C&amp;I Incentive Disbursements]]</f>
        <v>0</v>
      </c>
      <c r="G34" s="198">
        <f>[2]!Table32[[#This Row],[Incentive Disbursements]]/'[2]1.) CLM Reference'!$B$5</f>
        <v>0</v>
      </c>
      <c r="H34" s="88">
        <v>0</v>
      </c>
      <c r="I34" s="197">
        <f>[2]!Table32[[#This Row],[Residential CLM $ Collected]]/'[2]1.) CLM Reference'!$B$4</f>
        <v>0</v>
      </c>
      <c r="J34" s="89">
        <v>0</v>
      </c>
      <c r="K34" s="198">
        <f>[2]!Table32[[#This Row],[Residential Incentive Disbursements]]/'[2]1.) CLM Reference'!$B$5</f>
        <v>0</v>
      </c>
      <c r="L34" s="88">
        <v>17861.459299999999</v>
      </c>
      <c r="M34" s="197">
        <f>[2]!Table32[[#This Row],[C&amp;I CLM $ Collected]]/'[2]1.) CLM Reference'!$B$4</f>
        <v>6.137829311875741E-4</v>
      </c>
      <c r="N34" s="89">
        <v>0</v>
      </c>
      <c r="O34" s="198">
        <f>[2]!Table32[[#This Row],[C&amp;I Incentive Disbursements]]/'[2]1.) CLM Reference'!$B$5</f>
        <v>0</v>
      </c>
      <c r="P34" t="str">
        <f>VLOOKUP(Table325[[#This Row],[Census Tract]],'UI EnergyBurden'!$A$2:$B$184,2,FALSE)</f>
        <v>No</v>
      </c>
      <c r="Q34">
        <f>VLOOKUP(Table325[[#This Row],[Census Tract]],'Population and Diversity Data'!B30:K851,10,FALSE)</f>
        <v>5</v>
      </c>
    </row>
    <row r="35" spans="1:17" x14ac:dyDescent="0.2">
      <c r="A35" s="229">
        <v>9001072100</v>
      </c>
      <c r="B35" s="5" t="s">
        <v>934</v>
      </c>
      <c r="C35" s="87" t="s">
        <v>944</v>
      </c>
      <c r="D35" s="88">
        <f>[2]!Table32[[#This Row],[Residential CLM $ Collected]]+[2]!Table32[[#This Row],[C&amp;I CLM $ Collected]]</f>
        <v>87822.353399999993</v>
      </c>
      <c r="E35" s="197">
        <f>[2]!Table32[[#This Row],[CLM $ Collected ]]/'[2]1.) CLM Reference'!$B$4</f>
        <v>3.0178867576426422E-3</v>
      </c>
      <c r="F35" s="89">
        <f>[2]!Table32[[#This Row],[Residential Incentive Disbursements]]+[2]!Table32[[#This Row],[C&amp;I Incentive Disbursements]]</f>
        <v>10584</v>
      </c>
      <c r="G35" s="198">
        <f>[2]!Table32[[#This Row],[Incentive Disbursements]]/'[2]1.) CLM Reference'!$B$5</f>
        <v>6.2996295330363229E-4</v>
      </c>
      <c r="H35" s="88">
        <v>3855.4358999999999</v>
      </c>
      <c r="I35" s="197">
        <f>[2]!Table32[[#This Row],[Residential CLM $ Collected]]/'[2]1.) CLM Reference'!$B$4</f>
        <v>1.324864171488946E-4</v>
      </c>
      <c r="J35" s="89">
        <v>0</v>
      </c>
      <c r="K35" s="198">
        <f>[2]!Table32[[#This Row],[Residential Incentive Disbursements]]/'[2]1.) CLM Reference'!$B$5</f>
        <v>0</v>
      </c>
      <c r="L35" s="88">
        <v>83966.917499999996</v>
      </c>
      <c r="M35" s="197">
        <f>[2]!Table32[[#This Row],[C&amp;I CLM $ Collected]]/'[2]1.) CLM Reference'!$B$4</f>
        <v>2.8854003404937476E-3</v>
      </c>
      <c r="N35" s="89">
        <v>10584</v>
      </c>
      <c r="O35" s="198">
        <f>[2]!Table32[[#This Row],[C&amp;I Incentive Disbursements]]/'[2]1.) CLM Reference'!$B$5</f>
        <v>6.2996295330363229E-4</v>
      </c>
      <c r="P35" t="str">
        <f>VLOOKUP(Table325[[#This Row],[Census Tract]],'UI EnergyBurden'!$A$2:$B$184,2,FALSE)</f>
        <v>No</v>
      </c>
      <c r="Q35">
        <f>VLOOKUP(Table325[[#This Row],[Census Tract]],'Population and Diversity Data'!B31:K852,10,FALSE)</f>
        <v>5</v>
      </c>
    </row>
    <row r="36" spans="1:17" x14ac:dyDescent="0.2">
      <c r="A36" s="229">
        <v>9001072200</v>
      </c>
      <c r="B36" s="5" t="s">
        <v>934</v>
      </c>
      <c r="C36" s="87" t="s">
        <v>936</v>
      </c>
      <c r="D36" s="88">
        <f>[2]!Table32[[#This Row],[Residential CLM $ Collected]]+[2]!Table32[[#This Row],[C&amp;I CLM $ Collected]]</f>
        <v>9298.1455999999998</v>
      </c>
      <c r="E36" s="197">
        <f>[2]!Table32[[#This Row],[CLM $ Collected ]]/'[2]1.) CLM Reference'!$B$4</f>
        <v>3.1951717746695233E-4</v>
      </c>
      <c r="F36" s="89">
        <f>[2]!Table32[[#This Row],[Residential Incentive Disbursements]]+[2]!Table32[[#This Row],[C&amp;I Incentive Disbursements]]</f>
        <v>0</v>
      </c>
      <c r="G36" s="198">
        <f>[2]!Table32[[#This Row],[Incentive Disbursements]]/'[2]1.) CLM Reference'!$B$5</f>
        <v>0</v>
      </c>
      <c r="H36" s="88">
        <v>0</v>
      </c>
      <c r="I36" s="197">
        <f>[2]!Table32[[#This Row],[Residential CLM $ Collected]]/'[2]1.) CLM Reference'!$B$4</f>
        <v>0</v>
      </c>
      <c r="J36" s="89">
        <v>0</v>
      </c>
      <c r="K36" s="198">
        <f>[2]!Table32[[#This Row],[Residential Incentive Disbursements]]/'[2]1.) CLM Reference'!$B$5</f>
        <v>0</v>
      </c>
      <c r="L36" s="88">
        <v>9298.1455999999998</v>
      </c>
      <c r="M36" s="197">
        <f>[2]!Table32[[#This Row],[C&amp;I CLM $ Collected]]/'[2]1.) CLM Reference'!$B$4</f>
        <v>3.1951717746695233E-4</v>
      </c>
      <c r="N36" s="89">
        <v>0</v>
      </c>
      <c r="O36" s="198">
        <f>[2]!Table32[[#This Row],[C&amp;I Incentive Disbursements]]/'[2]1.) CLM Reference'!$B$5</f>
        <v>0</v>
      </c>
      <c r="P36" t="str">
        <f>VLOOKUP(Table325[[#This Row],[Census Tract]],'UI EnergyBurden'!$A$2:$B$184,2,FALSE)</f>
        <v>No</v>
      </c>
      <c r="Q36">
        <f>VLOOKUP(Table325[[#This Row],[Census Tract]],'Population and Diversity Data'!B32:K853,10,FALSE)</f>
        <v>4</v>
      </c>
    </row>
    <row r="37" spans="1:17" x14ac:dyDescent="0.2">
      <c r="A37" s="229">
        <v>9001072300</v>
      </c>
      <c r="B37" s="5" t="s">
        <v>934</v>
      </c>
      <c r="C37" s="87" t="s">
        <v>944</v>
      </c>
      <c r="D37" s="88">
        <f>[2]!Table32[[#This Row],[Residential CLM $ Collected]]+[2]!Table32[[#This Row],[C&amp;I CLM $ Collected]]</f>
        <v>8122.7389000000003</v>
      </c>
      <c r="E37" s="197">
        <f>[2]!Table32[[#This Row],[CLM $ Collected ]]/'[2]1.) CLM Reference'!$B$4</f>
        <v>2.7912604494266226E-4</v>
      </c>
      <c r="F37" s="89">
        <f>[2]!Table32[[#This Row],[Residential Incentive Disbursements]]+[2]!Table32[[#This Row],[C&amp;I Incentive Disbursements]]</f>
        <v>0</v>
      </c>
      <c r="G37" s="198">
        <f>[2]!Table32[[#This Row],[Incentive Disbursements]]/'[2]1.) CLM Reference'!$B$5</f>
        <v>0</v>
      </c>
      <c r="H37" s="88">
        <v>0</v>
      </c>
      <c r="I37" s="197">
        <f>[2]!Table32[[#This Row],[Residential CLM $ Collected]]/'[2]1.) CLM Reference'!$B$4</f>
        <v>0</v>
      </c>
      <c r="J37" s="89">
        <v>0</v>
      </c>
      <c r="K37" s="198">
        <f>[2]!Table32[[#This Row],[Residential Incentive Disbursements]]/'[2]1.) CLM Reference'!$B$5</f>
        <v>0</v>
      </c>
      <c r="L37" s="88">
        <v>8122.7389000000003</v>
      </c>
      <c r="M37" s="197">
        <f>[2]!Table32[[#This Row],[C&amp;I CLM $ Collected]]/'[2]1.) CLM Reference'!$B$4</f>
        <v>2.7912604494266226E-4</v>
      </c>
      <c r="N37" s="89">
        <v>0</v>
      </c>
      <c r="O37" s="198">
        <f>[2]!Table32[[#This Row],[C&amp;I Incentive Disbursements]]/'[2]1.) CLM Reference'!$B$5</f>
        <v>0</v>
      </c>
      <c r="P37" t="str">
        <f>VLOOKUP(Table325[[#This Row],[Census Tract]],'UI EnergyBurden'!$A$2:$B$184,2,FALSE)</f>
        <v>No</v>
      </c>
      <c r="Q37">
        <f>VLOOKUP(Table325[[#This Row],[Census Tract]],'Population and Diversity Data'!B33:K854,10,FALSE)</f>
        <v>5</v>
      </c>
    </row>
    <row r="38" spans="1:17" x14ac:dyDescent="0.2">
      <c r="A38" s="229">
        <v>9001072400</v>
      </c>
      <c r="B38" s="5" t="s">
        <v>934</v>
      </c>
      <c r="C38" s="87" t="s">
        <v>944</v>
      </c>
      <c r="D38" s="88">
        <f>[2]!Table32[[#This Row],[Residential CLM $ Collected]]+[2]!Table32[[#This Row],[C&amp;I CLM $ Collected]]</f>
        <v>5110.9471999999996</v>
      </c>
      <c r="E38" s="197">
        <f>[2]!Table32[[#This Row],[CLM $ Collected ]]/'[2]1.) CLM Reference'!$B$4</f>
        <v>1.7563022712040806E-4</v>
      </c>
      <c r="F38" s="89">
        <f>[2]!Table32[[#This Row],[Residential Incentive Disbursements]]+[2]!Table32[[#This Row],[C&amp;I Incentive Disbursements]]</f>
        <v>0</v>
      </c>
      <c r="G38" s="198">
        <f>[2]!Table32[[#This Row],[Incentive Disbursements]]/'[2]1.) CLM Reference'!$B$5</f>
        <v>0</v>
      </c>
      <c r="H38" s="88">
        <v>0</v>
      </c>
      <c r="I38" s="197">
        <f>[2]!Table32[[#This Row],[Residential CLM $ Collected]]/'[2]1.) CLM Reference'!$B$4</f>
        <v>0</v>
      </c>
      <c r="J38" s="89">
        <v>0</v>
      </c>
      <c r="K38" s="198">
        <f>[2]!Table32[[#This Row],[Residential Incentive Disbursements]]/'[2]1.) CLM Reference'!$B$5</f>
        <v>0</v>
      </c>
      <c r="L38" s="88">
        <v>5110.9471999999996</v>
      </c>
      <c r="M38" s="197">
        <f>[2]!Table32[[#This Row],[C&amp;I CLM $ Collected]]/'[2]1.) CLM Reference'!$B$4</f>
        <v>1.7563022712040806E-4</v>
      </c>
      <c r="N38" s="89">
        <v>0</v>
      </c>
      <c r="O38" s="198">
        <f>[2]!Table32[[#This Row],[C&amp;I Incentive Disbursements]]/'[2]1.) CLM Reference'!$B$5</f>
        <v>0</v>
      </c>
      <c r="P38" t="str">
        <f>VLOOKUP(Table325[[#This Row],[Census Tract]],'UI EnergyBurden'!$A$2:$B$184,2,FALSE)</f>
        <v>No</v>
      </c>
      <c r="Q38">
        <f>VLOOKUP(Table325[[#This Row],[Census Tract]],'Population and Diversity Data'!B34:K855,10,FALSE)</f>
        <v>5</v>
      </c>
    </row>
    <row r="39" spans="1:17" x14ac:dyDescent="0.2">
      <c r="A39" s="229">
        <v>9001072500</v>
      </c>
      <c r="B39" s="5" t="s">
        <v>934</v>
      </c>
      <c r="C39" s="87" t="s">
        <v>944</v>
      </c>
      <c r="D39" s="88">
        <f>[2]!Table32[[#This Row],[Residential CLM $ Collected]]+[2]!Table32[[#This Row],[C&amp;I CLM $ Collected]]</f>
        <v>3329.8946000000001</v>
      </c>
      <c r="E39" s="197">
        <f>[2]!Table32[[#This Row],[CLM $ Collected ]]/'[2]1.) CLM Reference'!$B$4</f>
        <v>1.1442695883945356E-4</v>
      </c>
      <c r="F39" s="89">
        <f>[2]!Table32[[#This Row],[Residential Incentive Disbursements]]+[2]!Table32[[#This Row],[C&amp;I Incentive Disbursements]]</f>
        <v>0</v>
      </c>
      <c r="G39" s="198">
        <f>[2]!Table32[[#This Row],[Incentive Disbursements]]/'[2]1.) CLM Reference'!$B$5</f>
        <v>0</v>
      </c>
      <c r="H39" s="88">
        <v>0</v>
      </c>
      <c r="I39" s="197">
        <f>[2]!Table32[[#This Row],[Residential CLM $ Collected]]/'[2]1.) CLM Reference'!$B$4</f>
        <v>0</v>
      </c>
      <c r="J39" s="89">
        <v>0</v>
      </c>
      <c r="K39" s="198">
        <f>[2]!Table32[[#This Row],[Residential Incentive Disbursements]]/'[2]1.) CLM Reference'!$B$5</f>
        <v>0</v>
      </c>
      <c r="L39" s="88">
        <v>3329.8946000000001</v>
      </c>
      <c r="M39" s="197">
        <f>[2]!Table32[[#This Row],[C&amp;I CLM $ Collected]]/'[2]1.) CLM Reference'!$B$4</f>
        <v>1.1442695883945356E-4</v>
      </c>
      <c r="N39" s="89">
        <v>0</v>
      </c>
      <c r="O39" s="198">
        <f>[2]!Table32[[#This Row],[C&amp;I Incentive Disbursements]]/'[2]1.) CLM Reference'!$B$5</f>
        <v>0</v>
      </c>
      <c r="P39" t="str">
        <f>VLOOKUP(Table325[[#This Row],[Census Tract]],'UI EnergyBurden'!$A$2:$B$184,2,FALSE)</f>
        <v>No</v>
      </c>
      <c r="Q39">
        <f>VLOOKUP(Table325[[#This Row],[Census Tract]],'Population and Diversity Data'!B35:K856,10,FALSE)</f>
        <v>4</v>
      </c>
    </row>
    <row r="40" spans="1:17" x14ac:dyDescent="0.2">
      <c r="A40" s="229">
        <v>9001072600</v>
      </c>
      <c r="B40" s="5" t="s">
        <v>934</v>
      </c>
      <c r="C40" s="87" t="s">
        <v>944</v>
      </c>
      <c r="D40" s="88">
        <f>[2]!Table32[[#This Row],[Residential CLM $ Collected]]+[2]!Table32[[#This Row],[C&amp;I CLM $ Collected]]</f>
        <v>29978.312300000001</v>
      </c>
      <c r="E40" s="197">
        <f>[2]!Table32[[#This Row],[CLM $ Collected ]]/'[2]1.) CLM Reference'!$B$4</f>
        <v>1.0301608668419669E-3</v>
      </c>
      <c r="F40" s="89">
        <f>[2]!Table32[[#This Row],[Residential Incentive Disbursements]]+[2]!Table32[[#This Row],[C&amp;I Incentive Disbursements]]</f>
        <v>350</v>
      </c>
      <c r="G40" s="198">
        <f>[2]!Table32[[#This Row],[Incentive Disbursements]]/'[2]1.) CLM Reference'!$B$5</f>
        <v>2.0832108244167735E-5</v>
      </c>
      <c r="H40" s="88">
        <v>0</v>
      </c>
      <c r="I40" s="197">
        <f>[2]!Table32[[#This Row],[Residential CLM $ Collected]]/'[2]1.) CLM Reference'!$B$4</f>
        <v>0</v>
      </c>
      <c r="J40" s="89">
        <v>0</v>
      </c>
      <c r="K40" s="198">
        <f>[2]!Table32[[#This Row],[Residential Incentive Disbursements]]/'[2]1.) CLM Reference'!$B$5</f>
        <v>0</v>
      </c>
      <c r="L40" s="88">
        <v>29978.312300000001</v>
      </c>
      <c r="M40" s="197">
        <f>[2]!Table32[[#This Row],[C&amp;I CLM $ Collected]]/'[2]1.) CLM Reference'!$B$4</f>
        <v>1.0301608668419669E-3</v>
      </c>
      <c r="N40" s="89">
        <v>350</v>
      </c>
      <c r="O40" s="198">
        <f>[2]!Table32[[#This Row],[C&amp;I Incentive Disbursements]]/'[2]1.) CLM Reference'!$B$5</f>
        <v>2.0832108244167735E-5</v>
      </c>
      <c r="P40" t="str">
        <f>VLOOKUP(Table325[[#This Row],[Census Tract]],'UI EnergyBurden'!$A$2:$B$184,2,FALSE)</f>
        <v>No</v>
      </c>
      <c r="Q40">
        <f>VLOOKUP(Table325[[#This Row],[Census Tract]],'Population and Diversity Data'!B36:K857,10,FALSE)</f>
        <v>3</v>
      </c>
    </row>
    <row r="41" spans="1:17" x14ac:dyDescent="0.2">
      <c r="A41" s="229">
        <v>9001072700</v>
      </c>
      <c r="B41" s="5" t="s">
        <v>934</v>
      </c>
      <c r="C41" s="87" t="s">
        <v>944</v>
      </c>
      <c r="D41" s="88">
        <f>[2]!Table32[[#This Row],[Residential CLM $ Collected]]+[2]!Table32[[#This Row],[C&amp;I CLM $ Collected]]</f>
        <v>4154.7861000000003</v>
      </c>
      <c r="E41" s="197">
        <f>[2]!Table32[[#This Row],[CLM $ Collected ]]/'[2]1.) CLM Reference'!$B$4</f>
        <v>1.4277314905145459E-4</v>
      </c>
      <c r="F41" s="89">
        <f>[2]!Table32[[#This Row],[Residential Incentive Disbursements]]+[2]!Table32[[#This Row],[C&amp;I Incentive Disbursements]]</f>
        <v>0</v>
      </c>
      <c r="G41" s="198">
        <f>[2]!Table32[[#This Row],[Incentive Disbursements]]/'[2]1.) CLM Reference'!$B$5</f>
        <v>0</v>
      </c>
      <c r="H41" s="88">
        <v>0</v>
      </c>
      <c r="I41" s="197">
        <f>[2]!Table32[[#This Row],[Residential CLM $ Collected]]/'[2]1.) CLM Reference'!$B$4</f>
        <v>0</v>
      </c>
      <c r="J41" s="89">
        <v>0</v>
      </c>
      <c r="K41" s="198">
        <f>[2]!Table32[[#This Row],[Residential Incentive Disbursements]]/'[2]1.) CLM Reference'!$B$5</f>
        <v>0</v>
      </c>
      <c r="L41" s="88">
        <v>4154.7861000000003</v>
      </c>
      <c r="M41" s="197">
        <f>[2]!Table32[[#This Row],[C&amp;I CLM $ Collected]]/'[2]1.) CLM Reference'!$B$4</f>
        <v>1.4277314905145459E-4</v>
      </c>
      <c r="N41" s="89">
        <v>0</v>
      </c>
      <c r="O41" s="198">
        <f>[2]!Table32[[#This Row],[C&amp;I Incentive Disbursements]]/'[2]1.) CLM Reference'!$B$5</f>
        <v>0</v>
      </c>
      <c r="P41" t="str">
        <f>VLOOKUP(Table325[[#This Row],[Census Tract]],'UI EnergyBurden'!$A$2:$B$184,2,FALSE)</f>
        <v>No</v>
      </c>
      <c r="Q41">
        <f>VLOOKUP(Table325[[#This Row],[Census Tract]],'Population and Diversity Data'!B37:K858,10,FALSE)</f>
        <v>4</v>
      </c>
    </row>
    <row r="42" spans="1:17" x14ac:dyDescent="0.2">
      <c r="A42" s="229">
        <v>9001072800</v>
      </c>
      <c r="B42" s="5" t="s">
        <v>934</v>
      </c>
      <c r="C42" s="87" t="s">
        <v>944</v>
      </c>
      <c r="D42" s="88">
        <f>[2]!Table32[[#This Row],[Residential CLM $ Collected]]+[2]!Table32[[#This Row],[C&amp;I CLM $ Collected]]</f>
        <v>1798.4163000000001</v>
      </c>
      <c r="E42" s="197">
        <f>[2]!Table32[[#This Row],[CLM $ Collected ]]/'[2]1.) CLM Reference'!$B$4</f>
        <v>6.1799946441638828E-5</v>
      </c>
      <c r="F42" s="89">
        <f>[2]!Table32[[#This Row],[Residential Incentive Disbursements]]+[2]!Table32[[#This Row],[C&amp;I Incentive Disbursements]]</f>
        <v>0</v>
      </c>
      <c r="G42" s="198">
        <f>[2]!Table32[[#This Row],[Incentive Disbursements]]/'[2]1.) CLM Reference'!$B$5</f>
        <v>0</v>
      </c>
      <c r="H42" s="88">
        <v>0</v>
      </c>
      <c r="I42" s="197">
        <f>[2]!Table32[[#This Row],[Residential CLM $ Collected]]/'[2]1.) CLM Reference'!$B$4</f>
        <v>0</v>
      </c>
      <c r="J42" s="89">
        <v>0</v>
      </c>
      <c r="K42" s="198">
        <f>[2]!Table32[[#This Row],[Residential Incentive Disbursements]]/'[2]1.) CLM Reference'!$B$5</f>
        <v>0</v>
      </c>
      <c r="L42" s="88">
        <v>1798.4163000000001</v>
      </c>
      <c r="M42" s="197">
        <f>[2]!Table32[[#This Row],[C&amp;I CLM $ Collected]]/'[2]1.) CLM Reference'!$B$4</f>
        <v>6.1799946441638828E-5</v>
      </c>
      <c r="N42" s="89">
        <v>0</v>
      </c>
      <c r="O42" s="198">
        <f>[2]!Table32[[#This Row],[C&amp;I Incentive Disbursements]]/'[2]1.) CLM Reference'!$B$5</f>
        <v>0</v>
      </c>
      <c r="P42" t="str">
        <f>VLOOKUP(Table325[[#This Row],[Census Tract]],'UI EnergyBurden'!$A$2:$B$184,2,FALSE)</f>
        <v>No</v>
      </c>
      <c r="Q42">
        <f>VLOOKUP(Table325[[#This Row],[Census Tract]],'Population and Diversity Data'!B38:K859,10,FALSE)</f>
        <v>5</v>
      </c>
    </row>
    <row r="43" spans="1:17" x14ac:dyDescent="0.2">
      <c r="A43" s="229">
        <v>9001072900</v>
      </c>
      <c r="B43" s="5" t="s">
        <v>934</v>
      </c>
      <c r="C43" s="87" t="s">
        <v>944</v>
      </c>
      <c r="D43" s="88">
        <f>[2]!Table32[[#This Row],[Residential CLM $ Collected]]+[2]!Table32[[#This Row],[C&amp;I CLM $ Collected]]</f>
        <v>37765.5844</v>
      </c>
      <c r="E43" s="197">
        <f>[2]!Table32[[#This Row],[CLM $ Collected ]]/'[2]1.) CLM Reference'!$B$4</f>
        <v>1.2977590857340378E-3</v>
      </c>
      <c r="F43" s="89">
        <f>[2]!Table32[[#This Row],[Residential Incentive Disbursements]]+[2]!Table32[[#This Row],[C&amp;I Incentive Disbursements]]</f>
        <v>0</v>
      </c>
      <c r="G43" s="198">
        <f>[2]!Table32[[#This Row],[Incentive Disbursements]]/'[2]1.) CLM Reference'!$B$5</f>
        <v>0</v>
      </c>
      <c r="H43" s="88">
        <v>0</v>
      </c>
      <c r="I43" s="197">
        <f>[2]!Table32[[#This Row],[Residential CLM $ Collected]]/'[2]1.) CLM Reference'!$B$4</f>
        <v>0</v>
      </c>
      <c r="J43" s="89">
        <v>0</v>
      </c>
      <c r="K43" s="198">
        <f>[2]!Table32[[#This Row],[Residential Incentive Disbursements]]/'[2]1.) CLM Reference'!$B$5</f>
        <v>0</v>
      </c>
      <c r="L43" s="88">
        <v>37765.5844</v>
      </c>
      <c r="M43" s="197">
        <f>[2]!Table32[[#This Row],[C&amp;I CLM $ Collected]]/'[2]1.) CLM Reference'!$B$4</f>
        <v>1.2977590857340378E-3</v>
      </c>
      <c r="N43" s="89">
        <v>0</v>
      </c>
      <c r="O43" s="198">
        <f>[2]!Table32[[#This Row],[C&amp;I Incentive Disbursements]]/'[2]1.) CLM Reference'!$B$5</f>
        <v>0</v>
      </c>
      <c r="P43" t="str">
        <f>VLOOKUP(Table325[[#This Row],[Census Tract]],'UI EnergyBurden'!$A$2:$B$184,2,FALSE)</f>
        <v>No</v>
      </c>
      <c r="Q43">
        <f>VLOOKUP(Table325[[#This Row],[Census Tract]],'Population and Diversity Data'!B39:K860,10,FALSE)</f>
        <v>4</v>
      </c>
    </row>
    <row r="44" spans="1:17" x14ac:dyDescent="0.2">
      <c r="A44" s="229">
        <v>9001073000</v>
      </c>
      <c r="B44" s="5" t="s">
        <v>934</v>
      </c>
      <c r="C44" s="87" t="s">
        <v>944</v>
      </c>
      <c r="D44" s="88">
        <f>[2]!Table32[[#This Row],[Residential CLM $ Collected]]+[2]!Table32[[#This Row],[C&amp;I CLM $ Collected]]</f>
        <v>14444.051799999999</v>
      </c>
      <c r="E44" s="197">
        <f>[2]!Table32[[#This Row],[CLM $ Collected ]]/'[2]1.) CLM Reference'!$B$4</f>
        <v>4.9634871950407532E-4</v>
      </c>
      <c r="F44" s="89">
        <f>[2]!Table32[[#This Row],[Residential Incentive Disbursements]]+[2]!Table32[[#This Row],[C&amp;I Incentive Disbursements]]</f>
        <v>1360</v>
      </c>
      <c r="G44" s="198">
        <f>[2]!Table32[[#This Row],[Incentive Disbursements]]/'[2]1.) CLM Reference'!$B$5</f>
        <v>8.0947620605908917E-5</v>
      </c>
      <c r="H44" s="88">
        <v>0</v>
      </c>
      <c r="I44" s="197">
        <f>[2]!Table32[[#This Row],[Residential CLM $ Collected]]/'[2]1.) CLM Reference'!$B$4</f>
        <v>0</v>
      </c>
      <c r="J44" s="89">
        <v>0</v>
      </c>
      <c r="K44" s="198">
        <f>[2]!Table32[[#This Row],[Residential Incentive Disbursements]]/'[2]1.) CLM Reference'!$B$5</f>
        <v>0</v>
      </c>
      <c r="L44" s="88">
        <v>14444.051799999999</v>
      </c>
      <c r="M44" s="197">
        <f>[2]!Table32[[#This Row],[C&amp;I CLM $ Collected]]/'[2]1.) CLM Reference'!$B$4</f>
        <v>4.9634871950407532E-4</v>
      </c>
      <c r="N44" s="89">
        <v>1360</v>
      </c>
      <c r="O44" s="198">
        <f>[2]!Table32[[#This Row],[C&amp;I Incentive Disbursements]]/'[2]1.) CLM Reference'!$B$5</f>
        <v>8.0947620605908917E-5</v>
      </c>
      <c r="P44" t="str">
        <f>VLOOKUP(Table325[[#This Row],[Census Tract]],'UI EnergyBurden'!$A$2:$B$184,2,FALSE)</f>
        <v>No</v>
      </c>
      <c r="Q44">
        <f>VLOOKUP(Table325[[#This Row],[Census Tract]],'Population and Diversity Data'!B40:K861,10,FALSE)</f>
        <v>4</v>
      </c>
    </row>
    <row r="45" spans="1:17" x14ac:dyDescent="0.2">
      <c r="A45" s="229">
        <v>9001073100</v>
      </c>
      <c r="B45" s="5" t="s">
        <v>934</v>
      </c>
      <c r="C45" s="87" t="s">
        <v>936</v>
      </c>
      <c r="D45" s="88">
        <f>[2]!Table32[[#This Row],[Residential CLM $ Collected]]+[2]!Table32[[#This Row],[C&amp;I CLM $ Collected]]</f>
        <v>43169.746700000003</v>
      </c>
      <c r="E45" s="197">
        <f>[2]!Table32[[#This Row],[CLM $ Collected ]]/'[2]1.) CLM Reference'!$B$4</f>
        <v>1.483465221016466E-3</v>
      </c>
      <c r="F45" s="89">
        <f>[2]!Table32[[#This Row],[Residential Incentive Disbursements]]+[2]!Table32[[#This Row],[C&amp;I Incentive Disbursements]]</f>
        <v>0</v>
      </c>
      <c r="G45" s="198">
        <f>[2]!Table32[[#This Row],[Incentive Disbursements]]/'[2]1.) CLM Reference'!$B$5</f>
        <v>0</v>
      </c>
      <c r="H45" s="88">
        <v>0</v>
      </c>
      <c r="I45" s="197">
        <f>[2]!Table32[[#This Row],[Residential CLM $ Collected]]/'[2]1.) CLM Reference'!$B$4</f>
        <v>0</v>
      </c>
      <c r="J45" s="89">
        <v>0</v>
      </c>
      <c r="K45" s="198">
        <f>[2]!Table32[[#This Row],[Residential Incentive Disbursements]]/'[2]1.) CLM Reference'!$B$5</f>
        <v>0</v>
      </c>
      <c r="L45" s="88">
        <v>43169.746700000003</v>
      </c>
      <c r="M45" s="197">
        <f>[2]!Table32[[#This Row],[C&amp;I CLM $ Collected]]/'[2]1.) CLM Reference'!$B$4</f>
        <v>1.483465221016466E-3</v>
      </c>
      <c r="N45" s="89">
        <v>0</v>
      </c>
      <c r="O45" s="198">
        <f>[2]!Table32[[#This Row],[C&amp;I Incentive Disbursements]]/'[2]1.) CLM Reference'!$B$5</f>
        <v>0</v>
      </c>
      <c r="P45" t="str">
        <f>VLOOKUP(Table325[[#This Row],[Census Tract]],'UI EnergyBurden'!$A$2:$B$184,2,FALSE)</f>
        <v>No</v>
      </c>
      <c r="Q45">
        <f>VLOOKUP(Table325[[#This Row],[Census Tract]],'Population and Diversity Data'!B41:K862,10,FALSE)</f>
        <v>5</v>
      </c>
    </row>
    <row r="46" spans="1:17" x14ac:dyDescent="0.2">
      <c r="A46" s="229">
        <v>9001073300</v>
      </c>
      <c r="B46" s="5" t="s">
        <v>934</v>
      </c>
      <c r="C46" s="87" t="s">
        <v>936</v>
      </c>
      <c r="D46" s="88">
        <f>[2]!Table32[[#This Row],[Residential CLM $ Collected]]+[2]!Table32[[#This Row],[C&amp;I CLM $ Collected]]</f>
        <v>11648.727500000001</v>
      </c>
      <c r="E46" s="197">
        <f>[2]!Table32[[#This Row],[CLM $ Collected ]]/'[2]1.) CLM Reference'!$B$4</f>
        <v>4.0029148735653999E-4</v>
      </c>
      <c r="F46" s="89">
        <f>[2]!Table32[[#This Row],[Residential Incentive Disbursements]]+[2]!Table32[[#This Row],[C&amp;I Incentive Disbursements]]</f>
        <v>0</v>
      </c>
      <c r="G46" s="198">
        <f>[2]!Table32[[#This Row],[Incentive Disbursements]]/'[2]1.) CLM Reference'!$B$5</f>
        <v>0</v>
      </c>
      <c r="H46" s="88">
        <v>0</v>
      </c>
      <c r="I46" s="197">
        <f>[2]!Table32[[#This Row],[Residential CLM $ Collected]]/'[2]1.) CLM Reference'!$B$4</f>
        <v>0</v>
      </c>
      <c r="J46" s="89">
        <v>0</v>
      </c>
      <c r="K46" s="198">
        <f>[2]!Table32[[#This Row],[Residential Incentive Disbursements]]/'[2]1.) CLM Reference'!$B$5</f>
        <v>0</v>
      </c>
      <c r="L46" s="88">
        <v>11648.727500000001</v>
      </c>
      <c r="M46" s="197">
        <f>[2]!Table32[[#This Row],[C&amp;I CLM $ Collected]]/'[2]1.) CLM Reference'!$B$4</f>
        <v>4.0029148735653999E-4</v>
      </c>
      <c r="N46" s="89">
        <v>0</v>
      </c>
      <c r="O46" s="198">
        <f>[2]!Table32[[#This Row],[C&amp;I Incentive Disbursements]]/'[2]1.) CLM Reference'!$B$5</f>
        <v>0</v>
      </c>
      <c r="P46" t="str">
        <f>VLOOKUP(Table325[[#This Row],[Census Tract]],'UI EnergyBurden'!$A$2:$B$184,2,FALSE)</f>
        <v>Yes</v>
      </c>
      <c r="Q46">
        <f>VLOOKUP(Table325[[#This Row],[Census Tract]],'Population and Diversity Data'!B42:K863,10,FALSE)</f>
        <v>5</v>
      </c>
    </row>
    <row r="47" spans="1:17" x14ac:dyDescent="0.2">
      <c r="A47" s="229">
        <v>9001073400</v>
      </c>
      <c r="B47" s="5" t="s">
        <v>934</v>
      </c>
      <c r="C47" s="87" t="s">
        <v>936</v>
      </c>
      <c r="D47" s="88">
        <f>[2]!Table32[[#This Row],[Residential CLM $ Collected]]+[2]!Table32[[#This Row],[C&amp;I CLM $ Collected]]</f>
        <v>11700.818600000001</v>
      </c>
      <c r="E47" s="197">
        <f>[2]!Table32[[#This Row],[CLM $ Collected ]]/'[2]1.) CLM Reference'!$B$4</f>
        <v>4.0208152183859294E-4</v>
      </c>
      <c r="F47" s="89">
        <f>[2]!Table32[[#This Row],[Residential Incentive Disbursements]]+[2]!Table32[[#This Row],[C&amp;I Incentive Disbursements]]</f>
        <v>0</v>
      </c>
      <c r="G47" s="198">
        <f>[2]!Table32[[#This Row],[Incentive Disbursements]]/'[2]1.) CLM Reference'!$B$5</f>
        <v>0</v>
      </c>
      <c r="H47" s="88">
        <v>0</v>
      </c>
      <c r="I47" s="197">
        <f>[2]!Table32[[#This Row],[Residential CLM $ Collected]]/'[2]1.) CLM Reference'!$B$4</f>
        <v>0</v>
      </c>
      <c r="J47" s="89">
        <v>0</v>
      </c>
      <c r="K47" s="198">
        <f>[2]!Table32[[#This Row],[Residential Incentive Disbursements]]/'[2]1.) CLM Reference'!$B$5</f>
        <v>0</v>
      </c>
      <c r="L47" s="88">
        <v>11700.818600000001</v>
      </c>
      <c r="M47" s="197">
        <f>[2]!Table32[[#This Row],[C&amp;I CLM $ Collected]]/'[2]1.) CLM Reference'!$B$4</f>
        <v>4.0208152183859294E-4</v>
      </c>
      <c r="N47" s="89">
        <v>0</v>
      </c>
      <c r="O47" s="198">
        <f>[2]!Table32[[#This Row],[C&amp;I Incentive Disbursements]]/'[2]1.) CLM Reference'!$B$5</f>
        <v>0</v>
      </c>
      <c r="P47" t="str">
        <f>VLOOKUP(Table325[[#This Row],[Census Tract]],'UI EnergyBurden'!$A$2:$B$184,2,FALSE)</f>
        <v>Yes</v>
      </c>
      <c r="Q47">
        <f>VLOOKUP(Table325[[#This Row],[Census Tract]],'Population and Diversity Data'!B43:K864,10,FALSE)</f>
        <v>5</v>
      </c>
    </row>
    <row r="48" spans="1:17" x14ac:dyDescent="0.2">
      <c r="A48" s="229">
        <v>9001073500</v>
      </c>
      <c r="B48" s="5" t="s">
        <v>934</v>
      </c>
      <c r="C48" s="87" t="s">
        <v>936</v>
      </c>
      <c r="D48" s="88">
        <f>[2]!Table32[[#This Row],[Residential CLM $ Collected]]+[2]!Table32[[#This Row],[C&amp;I CLM $ Collected]]</f>
        <v>2031.7844</v>
      </c>
      <c r="E48" s="197">
        <f>[2]!Table32[[#This Row],[CLM $ Collected ]]/'[2]1.) CLM Reference'!$B$4</f>
        <v>6.9819299959056918E-5</v>
      </c>
      <c r="F48" s="89">
        <f>[2]!Table32[[#This Row],[Residential Incentive Disbursements]]+[2]!Table32[[#This Row],[C&amp;I Incentive Disbursements]]</f>
        <v>0</v>
      </c>
      <c r="G48" s="198">
        <f>[2]!Table32[[#This Row],[Incentive Disbursements]]/'[2]1.) CLM Reference'!$B$5</f>
        <v>0</v>
      </c>
      <c r="H48" s="88">
        <v>0</v>
      </c>
      <c r="I48" s="197">
        <f>[2]!Table32[[#This Row],[Residential CLM $ Collected]]/'[2]1.) CLM Reference'!$B$4</f>
        <v>0</v>
      </c>
      <c r="J48" s="89">
        <v>0</v>
      </c>
      <c r="K48" s="198">
        <f>[2]!Table32[[#This Row],[Residential Incentive Disbursements]]/'[2]1.) CLM Reference'!$B$5</f>
        <v>0</v>
      </c>
      <c r="L48" s="88">
        <v>2031.7844</v>
      </c>
      <c r="M48" s="197">
        <f>[2]!Table32[[#This Row],[C&amp;I CLM $ Collected]]/'[2]1.) CLM Reference'!$B$4</f>
        <v>6.9819299959056918E-5</v>
      </c>
      <c r="N48" s="89">
        <v>0</v>
      </c>
      <c r="O48" s="198">
        <f>[2]!Table32[[#This Row],[C&amp;I Incentive Disbursements]]/'[2]1.) CLM Reference'!$B$5</f>
        <v>0</v>
      </c>
      <c r="P48" t="str">
        <f>VLOOKUP(Table325[[#This Row],[Census Tract]],'UI EnergyBurden'!$A$2:$B$184,2,FALSE)</f>
        <v>Yes</v>
      </c>
      <c r="Q48">
        <f>VLOOKUP(Table325[[#This Row],[Census Tract]],'Population and Diversity Data'!B44:K865,10,FALSE)</f>
        <v>5</v>
      </c>
    </row>
    <row r="49" spans="1:17" x14ac:dyDescent="0.2">
      <c r="A49" s="229">
        <v>9001073600</v>
      </c>
      <c r="B49" s="5" t="s">
        <v>934</v>
      </c>
      <c r="C49" s="87" t="s">
        <v>936</v>
      </c>
      <c r="D49" s="88">
        <f>[2]!Table32[[#This Row],[Residential CLM $ Collected]]+[2]!Table32[[#This Row],[C&amp;I CLM $ Collected]]</f>
        <v>7256.6374999999998</v>
      </c>
      <c r="E49" s="197">
        <f>[2]!Table32[[#This Row],[CLM $ Collected ]]/'[2]1.) CLM Reference'!$B$4</f>
        <v>2.4936373677573315E-4</v>
      </c>
      <c r="F49" s="89">
        <f>[2]!Table32[[#This Row],[Residential Incentive Disbursements]]+[2]!Table32[[#This Row],[C&amp;I Incentive Disbursements]]</f>
        <v>0</v>
      </c>
      <c r="G49" s="198">
        <f>[2]!Table32[[#This Row],[Incentive Disbursements]]/'[2]1.) CLM Reference'!$B$5</f>
        <v>0</v>
      </c>
      <c r="H49" s="88">
        <v>0</v>
      </c>
      <c r="I49" s="197">
        <f>[2]!Table32[[#This Row],[Residential CLM $ Collected]]/'[2]1.) CLM Reference'!$B$4</f>
        <v>0</v>
      </c>
      <c r="J49" s="89">
        <v>0</v>
      </c>
      <c r="K49" s="198">
        <f>[2]!Table32[[#This Row],[Residential Incentive Disbursements]]/'[2]1.) CLM Reference'!$B$5</f>
        <v>0</v>
      </c>
      <c r="L49" s="88">
        <v>7256.6374999999998</v>
      </c>
      <c r="M49" s="197">
        <f>[2]!Table32[[#This Row],[C&amp;I CLM $ Collected]]/'[2]1.) CLM Reference'!$B$4</f>
        <v>2.4936373677573315E-4</v>
      </c>
      <c r="N49" s="89">
        <v>0</v>
      </c>
      <c r="O49" s="198">
        <f>[2]!Table32[[#This Row],[C&amp;I Incentive Disbursements]]/'[2]1.) CLM Reference'!$B$5</f>
        <v>0</v>
      </c>
      <c r="P49" t="str">
        <f>VLOOKUP(Table325[[#This Row],[Census Tract]],'UI EnergyBurden'!$A$2:$B$184,2,FALSE)</f>
        <v>Yes</v>
      </c>
      <c r="Q49">
        <f>VLOOKUP(Table325[[#This Row],[Census Tract]],'Population and Diversity Data'!B45:K866,10,FALSE)</f>
        <v>5</v>
      </c>
    </row>
    <row r="50" spans="1:17" x14ac:dyDescent="0.2">
      <c r="A50" s="229">
        <v>9001073700</v>
      </c>
      <c r="B50" s="5" t="s">
        <v>934</v>
      </c>
      <c r="C50" s="87" t="s">
        <v>936</v>
      </c>
      <c r="D50" s="88">
        <f>[2]!Table32[[#This Row],[Residential CLM $ Collected]]+[2]!Table32[[#This Row],[C&amp;I CLM $ Collected]]</f>
        <v>175607.78</v>
      </c>
      <c r="E50" s="197">
        <f>[2]!Table32[[#This Row],[CLM $ Collected ]]/'[2]1.) CLM Reference'!$B$4</f>
        <v>6.0345045797989567E-3</v>
      </c>
      <c r="F50" s="89">
        <f>[2]!Table32[[#This Row],[Residential Incentive Disbursements]]+[2]!Table32[[#This Row],[C&amp;I Incentive Disbursements]]</f>
        <v>2975.52</v>
      </c>
      <c r="G50" s="198">
        <f>[2]!Table32[[#This Row],[Incentive Disbursements]]/'[2]1.) CLM Reference'!$B$5</f>
        <v>1.7710387063624565E-4</v>
      </c>
      <c r="H50" s="88">
        <v>0</v>
      </c>
      <c r="I50" s="197">
        <f>[2]!Table32[[#This Row],[Residential CLM $ Collected]]/'[2]1.) CLM Reference'!$B$4</f>
        <v>0</v>
      </c>
      <c r="J50" s="89">
        <v>0</v>
      </c>
      <c r="K50" s="198">
        <f>[2]!Table32[[#This Row],[Residential Incentive Disbursements]]/'[2]1.) CLM Reference'!$B$5</f>
        <v>0</v>
      </c>
      <c r="L50" s="88">
        <v>175607.78</v>
      </c>
      <c r="M50" s="197">
        <f>[2]!Table32[[#This Row],[C&amp;I CLM $ Collected]]/'[2]1.) CLM Reference'!$B$4</f>
        <v>6.0345045797989567E-3</v>
      </c>
      <c r="N50" s="89">
        <v>2975.52</v>
      </c>
      <c r="O50" s="198">
        <f>[2]!Table32[[#This Row],[C&amp;I Incentive Disbursements]]/'[2]1.) CLM Reference'!$B$5</f>
        <v>1.7710387063624565E-4</v>
      </c>
      <c r="P50" t="str">
        <f>VLOOKUP(Table325[[#This Row],[Census Tract]],'UI EnergyBurden'!$A$2:$B$184,2,FALSE)</f>
        <v>Yes</v>
      </c>
      <c r="Q50">
        <f>VLOOKUP(Table325[[#This Row],[Census Tract]],'Population and Diversity Data'!B46:K867,10,FALSE)</f>
        <v>5</v>
      </c>
    </row>
    <row r="51" spans="1:17" x14ac:dyDescent="0.2">
      <c r="A51" s="229">
        <v>9001073800</v>
      </c>
      <c r="B51" s="5" t="s">
        <v>934</v>
      </c>
      <c r="C51" s="87" t="s">
        <v>936</v>
      </c>
      <c r="D51" s="88">
        <f>[2]!Table32[[#This Row],[Residential CLM $ Collected]]+[2]!Table32[[#This Row],[C&amp;I CLM $ Collected]]</f>
        <v>46458.431499999999</v>
      </c>
      <c r="E51" s="197">
        <f>[2]!Table32[[#This Row],[CLM $ Collected ]]/'[2]1.) CLM Reference'!$B$4</f>
        <v>1.596476065337345E-3</v>
      </c>
      <c r="F51" s="89">
        <f>[2]!Table32[[#This Row],[Residential Incentive Disbursements]]+[2]!Table32[[#This Row],[C&amp;I Incentive Disbursements]]</f>
        <v>23408</v>
      </c>
      <c r="G51" s="198">
        <f>[2]!Table32[[#This Row],[Incentive Disbursements]]/'[2]1.) CLM Reference'!$B$5</f>
        <v>1.3932513993699382E-3</v>
      </c>
      <c r="H51" s="88">
        <v>0</v>
      </c>
      <c r="I51" s="197">
        <f>[2]!Table32[[#This Row],[Residential CLM $ Collected]]/'[2]1.) CLM Reference'!$B$4</f>
        <v>0</v>
      </c>
      <c r="J51" s="89">
        <v>0</v>
      </c>
      <c r="K51" s="198">
        <f>[2]!Table32[[#This Row],[Residential Incentive Disbursements]]/'[2]1.) CLM Reference'!$B$5</f>
        <v>0</v>
      </c>
      <c r="L51" s="88">
        <v>46458.431499999999</v>
      </c>
      <c r="M51" s="197">
        <f>[2]!Table32[[#This Row],[C&amp;I CLM $ Collected]]/'[2]1.) CLM Reference'!$B$4</f>
        <v>1.596476065337345E-3</v>
      </c>
      <c r="N51" s="89">
        <v>23408</v>
      </c>
      <c r="O51" s="198">
        <f>[2]!Table32[[#This Row],[C&amp;I Incentive Disbursements]]/'[2]1.) CLM Reference'!$B$5</f>
        <v>1.3932513993699382E-3</v>
      </c>
      <c r="P51" t="str">
        <f>VLOOKUP(Table325[[#This Row],[Census Tract]],'UI EnergyBurden'!$A$2:$B$184,2,FALSE)</f>
        <v>Yes</v>
      </c>
      <c r="Q51">
        <f>VLOOKUP(Table325[[#This Row],[Census Tract]],'Population and Diversity Data'!B47:K868,10,FALSE)</f>
        <v>5</v>
      </c>
    </row>
    <row r="52" spans="1:17" x14ac:dyDescent="0.2">
      <c r="A52" s="229">
        <v>9001073900</v>
      </c>
      <c r="B52" s="5" t="s">
        <v>934</v>
      </c>
      <c r="C52" s="87" t="s">
        <v>936</v>
      </c>
      <c r="D52" s="88">
        <f>[2]!Table32[[#This Row],[Residential CLM $ Collected]]+[2]!Table32[[#This Row],[C&amp;I CLM $ Collected]]</f>
        <v>7462.4552000000003</v>
      </c>
      <c r="E52" s="197">
        <f>[2]!Table32[[#This Row],[CLM $ Collected ]]/'[2]1.) CLM Reference'!$B$4</f>
        <v>2.5643636108231961E-4</v>
      </c>
      <c r="F52" s="89">
        <f>[2]!Table32[[#This Row],[Residential Incentive Disbursements]]+[2]!Table32[[#This Row],[C&amp;I Incentive Disbursements]]</f>
        <v>0</v>
      </c>
      <c r="G52" s="198">
        <f>[2]!Table32[[#This Row],[Incentive Disbursements]]/'[2]1.) CLM Reference'!$B$5</f>
        <v>0</v>
      </c>
      <c r="H52" s="88">
        <v>5912.9186</v>
      </c>
      <c r="I52" s="197">
        <f>[2]!Table32[[#This Row],[Residential CLM $ Collected]]/'[2]1.) CLM Reference'!$B$4</f>
        <v>2.031888016104892E-4</v>
      </c>
      <c r="J52" s="89">
        <v>0</v>
      </c>
      <c r="K52" s="198">
        <f>[2]!Table32[[#This Row],[Residential Incentive Disbursements]]/'[2]1.) CLM Reference'!$B$5</f>
        <v>0</v>
      </c>
      <c r="L52" s="88">
        <v>1549.5365999999999</v>
      </c>
      <c r="M52" s="197">
        <f>[2]!Table32[[#This Row],[C&amp;I CLM $ Collected]]/'[2]1.) CLM Reference'!$B$4</f>
        <v>5.3247559471830368E-5</v>
      </c>
      <c r="N52" s="89">
        <v>0</v>
      </c>
      <c r="O52" s="198">
        <f>[2]!Table32[[#This Row],[C&amp;I Incentive Disbursements]]/'[2]1.) CLM Reference'!$B$5</f>
        <v>0</v>
      </c>
      <c r="P52" t="str">
        <f>VLOOKUP(Table325[[#This Row],[Census Tract]],'UI EnergyBurden'!$A$2:$B$184,2,FALSE)</f>
        <v>Yes</v>
      </c>
      <c r="Q52">
        <f>VLOOKUP(Table325[[#This Row],[Census Tract]],'Population and Diversity Data'!B48:K869,10,FALSE)</f>
        <v>5</v>
      </c>
    </row>
    <row r="53" spans="1:17" x14ac:dyDescent="0.2">
      <c r="A53" s="229">
        <v>9001074000</v>
      </c>
      <c r="B53" s="5" t="s">
        <v>934</v>
      </c>
      <c r="C53" s="87" t="s">
        <v>936</v>
      </c>
      <c r="D53" s="88">
        <f>[2]!Table32[[#This Row],[Residential CLM $ Collected]]+[2]!Table32[[#This Row],[C&amp;I CLM $ Collected]]</f>
        <v>24043.608</v>
      </c>
      <c r="E53" s="197">
        <f>[2]!Table32[[#This Row],[CLM $ Collected ]]/'[2]1.) CLM Reference'!$B$4</f>
        <v>8.2622343150679791E-4</v>
      </c>
      <c r="F53" s="89">
        <f>[2]!Table32[[#This Row],[Residential Incentive Disbursements]]+[2]!Table32[[#This Row],[C&amp;I Incentive Disbursements]]</f>
        <v>0</v>
      </c>
      <c r="G53" s="198">
        <f>[2]!Table32[[#This Row],[Incentive Disbursements]]/'[2]1.) CLM Reference'!$B$5</f>
        <v>0</v>
      </c>
      <c r="H53" s="88">
        <v>0</v>
      </c>
      <c r="I53" s="197">
        <f>[2]!Table32[[#This Row],[Residential CLM $ Collected]]/'[2]1.) CLM Reference'!$B$4</f>
        <v>0</v>
      </c>
      <c r="J53" s="89">
        <v>0</v>
      </c>
      <c r="K53" s="198">
        <f>[2]!Table32[[#This Row],[Residential Incentive Disbursements]]/'[2]1.) CLM Reference'!$B$5</f>
        <v>0</v>
      </c>
      <c r="L53" s="88">
        <v>24043.608</v>
      </c>
      <c r="M53" s="197">
        <f>[2]!Table32[[#This Row],[C&amp;I CLM $ Collected]]/'[2]1.) CLM Reference'!$B$4</f>
        <v>8.2622343150679791E-4</v>
      </c>
      <c r="N53" s="89">
        <v>0</v>
      </c>
      <c r="O53" s="198">
        <f>[2]!Table32[[#This Row],[C&amp;I Incentive Disbursements]]/'[2]1.) CLM Reference'!$B$5</f>
        <v>0</v>
      </c>
      <c r="P53" t="str">
        <f>VLOOKUP(Table325[[#This Row],[Census Tract]],'UI EnergyBurden'!$A$2:$B$184,2,FALSE)</f>
        <v>Yes</v>
      </c>
      <c r="Q53">
        <f>VLOOKUP(Table325[[#This Row],[Census Tract]],'Population and Diversity Data'!B49:K870,10,FALSE)</f>
        <v>5</v>
      </c>
    </row>
    <row r="54" spans="1:17" x14ac:dyDescent="0.2">
      <c r="A54" s="229">
        <v>9001074300</v>
      </c>
      <c r="B54" s="5" t="s">
        <v>934</v>
      </c>
      <c r="C54" s="87" t="s">
        <v>936</v>
      </c>
      <c r="D54" s="88">
        <f>[2]!Table32[[#This Row],[Residential CLM $ Collected]]+[2]!Table32[[#This Row],[C&amp;I CLM $ Collected]]</f>
        <v>69615.934999999998</v>
      </c>
      <c r="E54" s="197">
        <f>[2]!Table32[[#This Row],[CLM $ Collected ]]/'[2]1.) CLM Reference'!$B$4</f>
        <v>2.3922498113949533E-3</v>
      </c>
      <c r="F54" s="89">
        <f>[2]!Table32[[#This Row],[Residential Incentive Disbursements]]+[2]!Table32[[#This Row],[C&amp;I Incentive Disbursements]]</f>
        <v>7205</v>
      </c>
      <c r="G54" s="198">
        <f>[2]!Table32[[#This Row],[Incentive Disbursements]]/'[2]1.) CLM Reference'!$B$5</f>
        <v>4.2884382828351013E-4</v>
      </c>
      <c r="H54" s="88">
        <v>0</v>
      </c>
      <c r="I54" s="197">
        <f>[2]!Table32[[#This Row],[Residential CLM $ Collected]]/'[2]1.) CLM Reference'!$B$4</f>
        <v>0</v>
      </c>
      <c r="J54" s="89">
        <v>0</v>
      </c>
      <c r="K54" s="198">
        <f>[2]!Table32[[#This Row],[Residential Incentive Disbursements]]/'[2]1.) CLM Reference'!$B$5</f>
        <v>0</v>
      </c>
      <c r="L54" s="88">
        <v>69615.934999999998</v>
      </c>
      <c r="M54" s="197">
        <f>[2]!Table32[[#This Row],[C&amp;I CLM $ Collected]]/'[2]1.) CLM Reference'!$B$4</f>
        <v>2.3922498113949533E-3</v>
      </c>
      <c r="N54" s="89">
        <v>7205</v>
      </c>
      <c r="O54" s="198">
        <f>[2]!Table32[[#This Row],[C&amp;I Incentive Disbursements]]/'[2]1.) CLM Reference'!$B$5</f>
        <v>4.2884382828351013E-4</v>
      </c>
      <c r="P54" t="str">
        <f>VLOOKUP(Table325[[#This Row],[Census Tract]],'UI EnergyBurden'!$A$2:$B$184,2,FALSE)</f>
        <v>Yes</v>
      </c>
      <c r="Q54">
        <f>VLOOKUP(Table325[[#This Row],[Census Tract]],'Population and Diversity Data'!B50:K871,10,FALSE)</f>
        <v>5</v>
      </c>
    </row>
    <row r="55" spans="1:17" x14ac:dyDescent="0.2">
      <c r="A55" s="229">
        <v>9001074400</v>
      </c>
      <c r="B55" s="5" t="s">
        <v>934</v>
      </c>
      <c r="C55" s="87" t="s">
        <v>936</v>
      </c>
      <c r="D55" s="88">
        <f>[2]!Table32[[#This Row],[Residential CLM $ Collected]]+[2]!Table32[[#This Row],[C&amp;I CLM $ Collected]]</f>
        <v>71389.851200000005</v>
      </c>
      <c r="E55" s="197">
        <f>[2]!Table32[[#This Row],[CLM $ Collected ]]/'[2]1.) CLM Reference'!$B$4</f>
        <v>2.4532078477250046E-3</v>
      </c>
      <c r="F55" s="89">
        <f>[2]!Table32[[#This Row],[Residential Incentive Disbursements]]+[2]!Table32[[#This Row],[C&amp;I Incentive Disbursements]]</f>
        <v>15529</v>
      </c>
      <c r="G55" s="198">
        <f>[2]!Table32[[#This Row],[Incentive Disbursements]]/'[2]1.) CLM Reference'!$B$5</f>
        <v>9.2429088263908793E-4</v>
      </c>
      <c r="H55" s="88">
        <v>0</v>
      </c>
      <c r="I55" s="197">
        <f>[2]!Table32[[#This Row],[Residential CLM $ Collected]]/'[2]1.) CLM Reference'!$B$4</f>
        <v>0</v>
      </c>
      <c r="J55" s="89">
        <v>0</v>
      </c>
      <c r="K55" s="198">
        <f>[2]!Table32[[#This Row],[Residential Incentive Disbursements]]/'[2]1.) CLM Reference'!$B$5</f>
        <v>0</v>
      </c>
      <c r="L55" s="88">
        <v>71389.851200000005</v>
      </c>
      <c r="M55" s="197">
        <f>[2]!Table32[[#This Row],[C&amp;I CLM $ Collected]]/'[2]1.) CLM Reference'!$B$4</f>
        <v>2.4532078477250046E-3</v>
      </c>
      <c r="N55" s="89">
        <v>15529</v>
      </c>
      <c r="O55" s="198">
        <f>[2]!Table32[[#This Row],[C&amp;I Incentive Disbursements]]/'[2]1.) CLM Reference'!$B$5</f>
        <v>9.2429088263908793E-4</v>
      </c>
      <c r="P55" t="str">
        <f>VLOOKUP(Table325[[#This Row],[Census Tract]],'UI EnergyBurden'!$A$2:$B$184,2,FALSE)</f>
        <v>Yes</v>
      </c>
      <c r="Q55">
        <f>VLOOKUP(Table325[[#This Row],[Census Tract]],'Population and Diversity Data'!B51:K872,10,FALSE)</f>
        <v>5</v>
      </c>
    </row>
    <row r="56" spans="1:17" x14ac:dyDescent="0.2">
      <c r="A56" s="229">
        <v>9001080100</v>
      </c>
      <c r="B56" s="5" t="s">
        <v>956</v>
      </c>
      <c r="C56" s="87" t="s">
        <v>944</v>
      </c>
      <c r="D56" s="88">
        <f>[2]!Table32[[#This Row],[Residential CLM $ Collected]]+[2]!Table32[[#This Row],[C&amp;I CLM $ Collected]]</f>
        <v>30426.064299999998</v>
      </c>
      <c r="E56" s="197">
        <f>[2]!Table32[[#This Row],[CLM $ Collected ]]/'[2]1.) CLM Reference'!$B$4</f>
        <v>1.0455472096031709E-3</v>
      </c>
      <c r="F56" s="89">
        <f>[2]!Table32[[#This Row],[Residential Incentive Disbursements]]+[2]!Table32[[#This Row],[C&amp;I Incentive Disbursements]]</f>
        <v>29931</v>
      </c>
      <c r="G56" s="198">
        <f>[2]!Table32[[#This Row],[Incentive Disbursements]]/'[2]1.) CLM Reference'!$B$5</f>
        <v>1.7815023767319557E-3</v>
      </c>
      <c r="H56" s="88">
        <v>0</v>
      </c>
      <c r="I56" s="197">
        <f>[2]!Table32[[#This Row],[Residential CLM $ Collected]]/'[2]1.) CLM Reference'!$B$4</f>
        <v>0</v>
      </c>
      <c r="J56" s="89">
        <v>0</v>
      </c>
      <c r="K56" s="198">
        <f>[2]!Table32[[#This Row],[Residential Incentive Disbursements]]/'[2]1.) CLM Reference'!$B$5</f>
        <v>0</v>
      </c>
      <c r="L56" s="88">
        <v>30426.064299999998</v>
      </c>
      <c r="M56" s="197">
        <f>[2]!Table32[[#This Row],[C&amp;I CLM $ Collected]]/'[2]1.) CLM Reference'!$B$4</f>
        <v>1.0455472096031709E-3</v>
      </c>
      <c r="N56" s="89">
        <v>29931</v>
      </c>
      <c r="O56" s="198">
        <f>[2]!Table32[[#This Row],[C&amp;I Incentive Disbursements]]/'[2]1.) CLM Reference'!$B$5</f>
        <v>1.7815023767319557E-3</v>
      </c>
      <c r="P56" t="str">
        <f>VLOOKUP(Table325[[#This Row],[Census Tract]],'UI EnergyBurden'!$A$2:$B$184,2,FALSE)</f>
        <v>No</v>
      </c>
      <c r="Q56">
        <f>VLOOKUP(Table325[[#This Row],[Census Tract]],'Population and Diversity Data'!B52:K873,10,FALSE)</f>
        <v>5</v>
      </c>
    </row>
    <row r="57" spans="1:17" x14ac:dyDescent="0.2">
      <c r="A57" s="229">
        <v>9001080200</v>
      </c>
      <c r="B57" s="5" t="s">
        <v>956</v>
      </c>
      <c r="C57" s="87" t="s">
        <v>944</v>
      </c>
      <c r="D57" s="88">
        <f>[2]!Table32[[#This Row],[Residential CLM $ Collected]]+[2]!Table32[[#This Row],[C&amp;I CLM $ Collected]]</f>
        <v>27474.929800000002</v>
      </c>
      <c r="E57" s="197">
        <f>[2]!Table32[[#This Row],[CLM $ Collected ]]/'[2]1.) CLM Reference'!$B$4</f>
        <v>9.4413578776381569E-4</v>
      </c>
      <c r="F57" s="89">
        <f>[2]!Table32[[#This Row],[Residential Incentive Disbursements]]+[2]!Table32[[#This Row],[C&amp;I Incentive Disbursements]]</f>
        <v>0</v>
      </c>
      <c r="G57" s="198">
        <f>[2]!Table32[[#This Row],[Incentive Disbursements]]/'[2]1.) CLM Reference'!$B$5</f>
        <v>0</v>
      </c>
      <c r="H57" s="88">
        <v>0</v>
      </c>
      <c r="I57" s="197">
        <f>[2]!Table32[[#This Row],[Residential CLM $ Collected]]/'[2]1.) CLM Reference'!$B$4</f>
        <v>0</v>
      </c>
      <c r="J57" s="89">
        <v>0</v>
      </c>
      <c r="K57" s="198">
        <f>[2]!Table32[[#This Row],[Residential Incentive Disbursements]]/'[2]1.) CLM Reference'!$B$5</f>
        <v>0</v>
      </c>
      <c r="L57" s="88">
        <v>27474.929800000002</v>
      </c>
      <c r="M57" s="197">
        <f>[2]!Table32[[#This Row],[C&amp;I CLM $ Collected]]/'[2]1.) CLM Reference'!$B$4</f>
        <v>9.4413578776381569E-4</v>
      </c>
      <c r="N57" s="89">
        <v>0</v>
      </c>
      <c r="O57" s="198">
        <f>[2]!Table32[[#This Row],[C&amp;I Incentive Disbursements]]/'[2]1.) CLM Reference'!$B$5</f>
        <v>0</v>
      </c>
      <c r="P57" t="str">
        <f>VLOOKUP(Table325[[#This Row],[Census Tract]],'UI EnergyBurden'!$A$2:$B$184,2,FALSE)</f>
        <v>No</v>
      </c>
      <c r="Q57">
        <f>VLOOKUP(Table325[[#This Row],[Census Tract]],'Population and Diversity Data'!B53:K874,10,FALSE)</f>
        <v>4</v>
      </c>
    </row>
    <row r="58" spans="1:17" x14ac:dyDescent="0.2">
      <c r="A58" s="229">
        <v>9001080400</v>
      </c>
      <c r="B58" s="5" t="s">
        <v>956</v>
      </c>
      <c r="C58" s="87" t="s">
        <v>944</v>
      </c>
      <c r="D58" s="88">
        <f>[2]!Table32[[#This Row],[Residential CLM $ Collected]]+[2]!Table32[[#This Row],[C&amp;I CLM $ Collected]]</f>
        <v>94995.182000000001</v>
      </c>
      <c r="E58" s="197">
        <f>[2]!Table32[[#This Row],[CLM $ Collected ]]/'[2]1.) CLM Reference'!$B$4</f>
        <v>3.2643705241182106E-3</v>
      </c>
      <c r="F58" s="89">
        <f>[2]!Table32[[#This Row],[Residential Incentive Disbursements]]+[2]!Table32[[#This Row],[C&amp;I Incentive Disbursements]]</f>
        <v>44725</v>
      </c>
      <c r="G58" s="198">
        <f>[2]!Table32[[#This Row],[Incentive Disbursements]]/'[2]1.) CLM Reference'!$B$5</f>
        <v>2.6620458320582912E-3</v>
      </c>
      <c r="H58" s="88">
        <v>0</v>
      </c>
      <c r="I58" s="197">
        <f>[2]!Table32[[#This Row],[Residential CLM $ Collected]]/'[2]1.) CLM Reference'!$B$4</f>
        <v>0</v>
      </c>
      <c r="J58" s="89">
        <v>0</v>
      </c>
      <c r="K58" s="198">
        <f>[2]!Table32[[#This Row],[Residential Incentive Disbursements]]/'[2]1.) CLM Reference'!$B$5</f>
        <v>0</v>
      </c>
      <c r="L58" s="88">
        <v>94995.182000000001</v>
      </c>
      <c r="M58" s="197">
        <f>[2]!Table32[[#This Row],[C&amp;I CLM $ Collected]]/'[2]1.) CLM Reference'!$B$4</f>
        <v>3.2643705241182106E-3</v>
      </c>
      <c r="N58" s="89">
        <v>44725</v>
      </c>
      <c r="O58" s="198">
        <f>[2]!Table32[[#This Row],[C&amp;I Incentive Disbursements]]/'[2]1.) CLM Reference'!$B$5</f>
        <v>2.6620458320582912E-3</v>
      </c>
      <c r="P58" t="str">
        <f>VLOOKUP(Table325[[#This Row],[Census Tract]],'UI EnergyBurden'!$A$2:$B$184,2,FALSE)</f>
        <v>No</v>
      </c>
      <c r="Q58">
        <f>VLOOKUP(Table325[[#This Row],[Census Tract]],'Population and Diversity Data'!B54:K875,10,FALSE)</f>
        <v>3</v>
      </c>
    </row>
    <row r="59" spans="1:17" x14ac:dyDescent="0.2">
      <c r="A59" s="229">
        <v>9001080500</v>
      </c>
      <c r="B59" s="5" t="s">
        <v>956</v>
      </c>
      <c r="C59" s="87" t="s">
        <v>944</v>
      </c>
      <c r="D59" s="88">
        <f>[2]!Table32[[#This Row],[Residential CLM $ Collected]]+[2]!Table32[[#This Row],[C&amp;I CLM $ Collected]]</f>
        <v>93423.159499999994</v>
      </c>
      <c r="E59" s="197">
        <f>[2]!Table32[[#This Row],[CLM $ Collected ]]/'[2]1.) CLM Reference'!$B$4</f>
        <v>3.2103502695725577E-3</v>
      </c>
      <c r="F59" s="89">
        <f>[2]!Table32[[#This Row],[Residential Incentive Disbursements]]+[2]!Table32[[#This Row],[C&amp;I Incentive Disbursements]]</f>
        <v>84674.5</v>
      </c>
      <c r="G59" s="198">
        <f>[2]!Table32[[#This Row],[Incentive Disbursements]]/'[2]1.) CLM Reference'!$B$5</f>
        <v>5.0398524272022311E-3</v>
      </c>
      <c r="H59" s="88">
        <v>0</v>
      </c>
      <c r="I59" s="197">
        <f>[2]!Table32[[#This Row],[Residential CLM $ Collected]]/'[2]1.) CLM Reference'!$B$4</f>
        <v>0</v>
      </c>
      <c r="J59" s="89">
        <v>0</v>
      </c>
      <c r="K59" s="198">
        <f>[2]!Table32[[#This Row],[Residential Incentive Disbursements]]/'[2]1.) CLM Reference'!$B$5</f>
        <v>0</v>
      </c>
      <c r="L59" s="88">
        <v>93423.159499999994</v>
      </c>
      <c r="M59" s="197">
        <f>[2]!Table32[[#This Row],[C&amp;I CLM $ Collected]]/'[2]1.) CLM Reference'!$B$4</f>
        <v>3.2103502695725577E-3</v>
      </c>
      <c r="N59" s="89">
        <v>84674.5</v>
      </c>
      <c r="O59" s="198">
        <f>[2]!Table32[[#This Row],[C&amp;I Incentive Disbursements]]/'[2]1.) CLM Reference'!$B$5</f>
        <v>5.0398524272022311E-3</v>
      </c>
      <c r="P59" t="str">
        <f>VLOOKUP(Table325[[#This Row],[Census Tract]],'UI EnergyBurden'!$A$2:$B$184,2,FALSE)</f>
        <v>No</v>
      </c>
      <c r="Q59">
        <f>VLOOKUP(Table325[[#This Row],[Census Tract]],'Population and Diversity Data'!B55:K876,10,FALSE)</f>
        <v>1</v>
      </c>
    </row>
    <row r="60" spans="1:17" x14ac:dyDescent="0.2">
      <c r="A60" s="229">
        <v>9001080600</v>
      </c>
      <c r="B60" s="5" t="s">
        <v>956</v>
      </c>
      <c r="C60" s="87" t="s">
        <v>944</v>
      </c>
      <c r="D60" s="88">
        <f>[2]!Table32[[#This Row],[Residential CLM $ Collected]]+[2]!Table32[[#This Row],[C&amp;I CLM $ Collected]]</f>
        <v>47038.957799999996</v>
      </c>
      <c r="E60" s="197">
        <f>[2]!Table32[[#This Row],[CLM $ Collected ]]/'[2]1.) CLM Reference'!$B$4</f>
        <v>1.6164250027707761E-3</v>
      </c>
      <c r="F60" s="89">
        <f>[2]!Table32[[#This Row],[Residential Incentive Disbursements]]+[2]!Table32[[#This Row],[C&amp;I Incentive Disbursements]]</f>
        <v>75</v>
      </c>
      <c r="G60" s="198">
        <f>[2]!Table32[[#This Row],[Incentive Disbursements]]/'[2]1.) CLM Reference'!$B$5</f>
        <v>4.4640231951788005E-6</v>
      </c>
      <c r="H60" s="88">
        <v>0</v>
      </c>
      <c r="I60" s="197">
        <f>[2]!Table32[[#This Row],[Residential CLM $ Collected]]/'[2]1.) CLM Reference'!$B$4</f>
        <v>0</v>
      </c>
      <c r="J60" s="89">
        <v>0</v>
      </c>
      <c r="K60" s="198">
        <f>[2]!Table32[[#This Row],[Residential Incentive Disbursements]]/'[2]1.) CLM Reference'!$B$5</f>
        <v>0</v>
      </c>
      <c r="L60" s="88">
        <v>47038.957799999996</v>
      </c>
      <c r="M60" s="197">
        <f>[2]!Table32[[#This Row],[C&amp;I CLM $ Collected]]/'[2]1.) CLM Reference'!$B$4</f>
        <v>1.6164250027707761E-3</v>
      </c>
      <c r="N60" s="89">
        <v>75</v>
      </c>
      <c r="O60" s="198">
        <f>[2]!Table32[[#This Row],[C&amp;I Incentive Disbursements]]/'[2]1.) CLM Reference'!$B$5</f>
        <v>4.4640231951788005E-6</v>
      </c>
      <c r="P60" t="str">
        <f>VLOOKUP(Table325[[#This Row],[Census Tract]],'UI EnergyBurden'!$A$2:$B$184,2,FALSE)</f>
        <v>No</v>
      </c>
      <c r="Q60">
        <f>VLOOKUP(Table325[[#This Row],[Census Tract]],'Population and Diversity Data'!B56:K877,10,FALSE)</f>
        <v>2</v>
      </c>
    </row>
    <row r="61" spans="1:17" x14ac:dyDescent="0.2">
      <c r="A61" s="229">
        <v>9001080700</v>
      </c>
      <c r="B61" s="5" t="s">
        <v>956</v>
      </c>
      <c r="C61" s="87" t="s">
        <v>944</v>
      </c>
      <c r="D61" s="88">
        <f>[2]!Table32[[#This Row],[Residential CLM $ Collected]]+[2]!Table32[[#This Row],[C&amp;I CLM $ Collected]]</f>
        <v>34462.429799999998</v>
      </c>
      <c r="E61" s="197">
        <f>[2]!Table32[[#This Row],[CLM $ Collected ]]/'[2]1.) CLM Reference'!$B$4</f>
        <v>1.1842510078944114E-3</v>
      </c>
      <c r="F61" s="89">
        <f>[2]!Table32[[#This Row],[Residential Incentive Disbursements]]+[2]!Table32[[#This Row],[C&amp;I Incentive Disbursements]]</f>
        <v>6890</v>
      </c>
      <c r="G61" s="198">
        <f>[2]!Table32[[#This Row],[Incentive Disbursements]]/'[2]1.) CLM Reference'!$B$5</f>
        <v>4.1009493086375913E-4</v>
      </c>
      <c r="H61" s="88">
        <v>0</v>
      </c>
      <c r="I61" s="197">
        <f>[2]!Table32[[#This Row],[Residential CLM $ Collected]]/'[2]1.) CLM Reference'!$B$4</f>
        <v>0</v>
      </c>
      <c r="J61" s="89">
        <v>0</v>
      </c>
      <c r="K61" s="198">
        <f>[2]!Table32[[#This Row],[Residential Incentive Disbursements]]/'[2]1.) CLM Reference'!$B$5</f>
        <v>0</v>
      </c>
      <c r="L61" s="88">
        <v>34462.429799999998</v>
      </c>
      <c r="M61" s="197">
        <f>[2]!Table32[[#This Row],[C&amp;I CLM $ Collected]]/'[2]1.) CLM Reference'!$B$4</f>
        <v>1.1842510078944114E-3</v>
      </c>
      <c r="N61" s="89">
        <v>6890</v>
      </c>
      <c r="O61" s="198">
        <f>[2]!Table32[[#This Row],[C&amp;I Incentive Disbursements]]/'[2]1.) CLM Reference'!$B$5</f>
        <v>4.1009493086375913E-4</v>
      </c>
      <c r="P61" t="str">
        <f>VLOOKUP(Table325[[#This Row],[Census Tract]],'UI EnergyBurden'!$A$2:$B$184,2,FALSE)</f>
        <v>No</v>
      </c>
      <c r="Q61">
        <f>VLOOKUP(Table325[[#This Row],[Census Tract]],'Population and Diversity Data'!B57:K878,10,FALSE)</f>
        <v>1</v>
      </c>
    </row>
    <row r="62" spans="1:17" x14ac:dyDescent="0.2">
      <c r="A62" s="229">
        <v>9001080800</v>
      </c>
      <c r="B62" s="5" t="s">
        <v>956</v>
      </c>
      <c r="C62" s="87" t="s">
        <v>944</v>
      </c>
      <c r="D62" s="88">
        <f>[2]!Table32[[#This Row],[Residential CLM $ Collected]]+[2]!Table32[[#This Row],[C&amp;I CLM $ Collected]]</f>
        <v>82882.264999999999</v>
      </c>
      <c r="E62" s="197">
        <f>[2]!Table32[[#This Row],[CLM $ Collected ]]/'[2]1.) CLM Reference'!$B$4</f>
        <v>2.8481278433484599E-3</v>
      </c>
      <c r="F62" s="89">
        <f>[2]!Table32[[#This Row],[Residential Incentive Disbursements]]+[2]!Table32[[#This Row],[C&amp;I Incentive Disbursements]]</f>
        <v>35040</v>
      </c>
      <c r="G62" s="198">
        <f>[2]!Table32[[#This Row],[Incentive Disbursements]]/'[2]1.) CLM Reference'!$B$5</f>
        <v>2.0855916367875354E-3</v>
      </c>
      <c r="H62" s="88">
        <v>0</v>
      </c>
      <c r="I62" s="197">
        <f>[2]!Table32[[#This Row],[Residential CLM $ Collected]]/'[2]1.) CLM Reference'!$B$4</f>
        <v>0</v>
      </c>
      <c r="J62" s="89">
        <v>0</v>
      </c>
      <c r="K62" s="198">
        <f>[2]!Table32[[#This Row],[Residential Incentive Disbursements]]/'[2]1.) CLM Reference'!$B$5</f>
        <v>0</v>
      </c>
      <c r="L62" s="88">
        <v>82882.264999999999</v>
      </c>
      <c r="M62" s="197">
        <f>[2]!Table32[[#This Row],[C&amp;I CLM $ Collected]]/'[2]1.) CLM Reference'!$B$4</f>
        <v>2.8481278433484599E-3</v>
      </c>
      <c r="N62" s="89">
        <v>35040</v>
      </c>
      <c r="O62" s="198">
        <f>[2]!Table32[[#This Row],[C&amp;I Incentive Disbursements]]/'[2]1.) CLM Reference'!$B$5</f>
        <v>2.0855916367875354E-3</v>
      </c>
      <c r="P62" t="str">
        <f>VLOOKUP(Table325[[#This Row],[Census Tract]],'UI EnergyBurden'!$A$2:$B$184,2,FALSE)</f>
        <v>No</v>
      </c>
      <c r="Q62">
        <f>VLOOKUP(Table325[[#This Row],[Census Tract]],'Population and Diversity Data'!B58:K879,10,FALSE)</f>
        <v>2</v>
      </c>
    </row>
    <row r="63" spans="1:17" x14ac:dyDescent="0.2">
      <c r="A63" s="229">
        <v>9001080900</v>
      </c>
      <c r="B63" s="5" t="s">
        <v>956</v>
      </c>
      <c r="C63" s="87" t="s">
        <v>944</v>
      </c>
      <c r="D63" s="88">
        <f>[2]!Table32[[#This Row],[Residential CLM $ Collected]]+[2]!Table32[[#This Row],[C&amp;I CLM $ Collected]]</f>
        <v>3132.4115000000002</v>
      </c>
      <c r="E63" s="197">
        <f>[2]!Table32[[#This Row],[CLM $ Collected ]]/'[2]1.) CLM Reference'!$B$4</f>
        <v>1.0764074087472048E-4</v>
      </c>
      <c r="F63" s="89">
        <f>[2]!Table32[[#This Row],[Residential Incentive Disbursements]]+[2]!Table32[[#This Row],[C&amp;I Incentive Disbursements]]</f>
        <v>0</v>
      </c>
      <c r="G63" s="198">
        <f>[2]!Table32[[#This Row],[Incentive Disbursements]]/'[2]1.) CLM Reference'!$B$5</f>
        <v>0</v>
      </c>
      <c r="H63" s="88">
        <v>0</v>
      </c>
      <c r="I63" s="197">
        <f>[2]!Table32[[#This Row],[Residential CLM $ Collected]]/'[2]1.) CLM Reference'!$B$4</f>
        <v>0</v>
      </c>
      <c r="J63" s="89">
        <v>0</v>
      </c>
      <c r="K63" s="198">
        <f>[2]!Table32[[#This Row],[Residential Incentive Disbursements]]/'[2]1.) CLM Reference'!$B$5</f>
        <v>0</v>
      </c>
      <c r="L63" s="88">
        <v>3132.4115000000002</v>
      </c>
      <c r="M63" s="197">
        <f>[2]!Table32[[#This Row],[C&amp;I CLM $ Collected]]/'[2]1.) CLM Reference'!$B$4</f>
        <v>1.0764074087472048E-4</v>
      </c>
      <c r="N63" s="89">
        <v>0</v>
      </c>
      <c r="O63" s="198">
        <f>[2]!Table32[[#This Row],[C&amp;I Incentive Disbursements]]/'[2]1.) CLM Reference'!$B$5</f>
        <v>0</v>
      </c>
      <c r="P63" t="str">
        <f>VLOOKUP(Table325[[#This Row],[Census Tract]],'UI EnergyBurden'!$A$2:$B$184,2,FALSE)</f>
        <v>No</v>
      </c>
      <c r="Q63">
        <f>VLOOKUP(Table325[[#This Row],[Census Tract]],'Population and Diversity Data'!B59:K880,10,FALSE)</f>
        <v>4</v>
      </c>
    </row>
    <row r="64" spans="1:17" x14ac:dyDescent="0.2">
      <c r="A64" s="229">
        <v>9001081000</v>
      </c>
      <c r="B64" s="5" t="s">
        <v>956</v>
      </c>
      <c r="C64" s="87" t="s">
        <v>944</v>
      </c>
      <c r="D64" s="88">
        <f>[2]!Table32[[#This Row],[Residential CLM $ Collected]]+[2]!Table32[[#This Row],[C&amp;I CLM $ Collected]]</f>
        <v>6311.1261999999997</v>
      </c>
      <c r="E64" s="197">
        <f>[2]!Table32[[#This Row],[CLM $ Collected ]]/'[2]1.) CLM Reference'!$B$4</f>
        <v>2.1687262351126576E-4</v>
      </c>
      <c r="F64" s="89">
        <f>[2]!Table32[[#This Row],[Residential Incentive Disbursements]]+[2]!Table32[[#This Row],[C&amp;I Incentive Disbursements]]</f>
        <v>0</v>
      </c>
      <c r="G64" s="198">
        <f>[2]!Table32[[#This Row],[Incentive Disbursements]]/'[2]1.) CLM Reference'!$B$5</f>
        <v>0</v>
      </c>
      <c r="H64" s="88">
        <v>0</v>
      </c>
      <c r="I64" s="197">
        <f>[2]!Table32[[#This Row],[Residential CLM $ Collected]]/'[2]1.) CLM Reference'!$B$4</f>
        <v>0</v>
      </c>
      <c r="J64" s="89">
        <v>0</v>
      </c>
      <c r="K64" s="198">
        <f>[2]!Table32[[#This Row],[Residential Incentive Disbursements]]/'[2]1.) CLM Reference'!$B$5</f>
        <v>0</v>
      </c>
      <c r="L64" s="88">
        <v>6311.1261999999997</v>
      </c>
      <c r="M64" s="197">
        <f>[2]!Table32[[#This Row],[C&amp;I CLM $ Collected]]/'[2]1.) CLM Reference'!$B$4</f>
        <v>2.1687262351126576E-4</v>
      </c>
      <c r="N64" s="89">
        <v>0</v>
      </c>
      <c r="O64" s="198">
        <f>[2]!Table32[[#This Row],[C&amp;I Incentive Disbursements]]/'[2]1.) CLM Reference'!$B$5</f>
        <v>0</v>
      </c>
      <c r="P64" t="str">
        <f>VLOOKUP(Table325[[#This Row],[Census Tract]],'UI EnergyBurden'!$A$2:$B$184,2,FALSE)</f>
        <v>No</v>
      </c>
      <c r="Q64">
        <f>VLOOKUP(Table325[[#This Row],[Census Tract]],'Population and Diversity Data'!B60:K881,10,FALSE)</f>
        <v>2</v>
      </c>
    </row>
    <row r="65" spans="1:17" x14ac:dyDescent="0.2">
      <c r="A65" s="229">
        <v>9001081100</v>
      </c>
      <c r="B65" s="5" t="s">
        <v>956</v>
      </c>
      <c r="C65" s="87" t="s">
        <v>944</v>
      </c>
      <c r="D65" s="88">
        <f>[2]!Table32[[#This Row],[Residential CLM $ Collected]]+[2]!Table32[[#This Row],[C&amp;I CLM $ Collected]]</f>
        <v>31194.002799999998</v>
      </c>
      <c r="E65" s="197">
        <f>[2]!Table32[[#This Row],[CLM $ Collected ]]/'[2]1.) CLM Reference'!$B$4</f>
        <v>1.0719362932488611E-3</v>
      </c>
      <c r="F65" s="89">
        <f>[2]!Table32[[#This Row],[Residential Incentive Disbursements]]+[2]!Table32[[#This Row],[C&amp;I Incentive Disbursements]]</f>
        <v>104783</v>
      </c>
      <c r="G65" s="198">
        <f>[2]!Table32[[#This Row],[Incentive Disbursements]]/'[2]1.) CLM Reference'!$B$5</f>
        <v>6.2367165661389367E-3</v>
      </c>
      <c r="H65" s="88">
        <v>0</v>
      </c>
      <c r="I65" s="197">
        <f>[2]!Table32[[#This Row],[Residential CLM $ Collected]]/'[2]1.) CLM Reference'!$B$4</f>
        <v>0</v>
      </c>
      <c r="J65" s="89">
        <v>0</v>
      </c>
      <c r="K65" s="198">
        <f>[2]!Table32[[#This Row],[Residential Incentive Disbursements]]/'[2]1.) CLM Reference'!$B$5</f>
        <v>0</v>
      </c>
      <c r="L65" s="88">
        <v>31194.002799999998</v>
      </c>
      <c r="M65" s="197">
        <f>[2]!Table32[[#This Row],[C&amp;I CLM $ Collected]]/'[2]1.) CLM Reference'!$B$4</f>
        <v>1.0719362932488611E-3</v>
      </c>
      <c r="N65" s="89">
        <v>104783</v>
      </c>
      <c r="O65" s="198">
        <f>[2]!Table32[[#This Row],[C&amp;I Incentive Disbursements]]/'[2]1.) CLM Reference'!$B$5</f>
        <v>6.2367165661389367E-3</v>
      </c>
      <c r="P65" t="str">
        <f>VLOOKUP(Table325[[#This Row],[Census Tract]],'UI EnergyBurden'!$A$2:$B$184,2,FALSE)</f>
        <v>No</v>
      </c>
      <c r="Q65">
        <f>VLOOKUP(Table325[[#This Row],[Census Tract]],'Population and Diversity Data'!B61:K882,10,FALSE)</f>
        <v>1</v>
      </c>
    </row>
    <row r="66" spans="1:17" x14ac:dyDescent="0.2">
      <c r="A66" s="229">
        <v>9001081200</v>
      </c>
      <c r="B66" s="5" t="s">
        <v>956</v>
      </c>
      <c r="C66" s="87" t="s">
        <v>944</v>
      </c>
      <c r="D66" s="88">
        <f>[2]!Table32[[#This Row],[Residential CLM $ Collected]]+[2]!Table32[[#This Row],[C&amp;I CLM $ Collected]]</f>
        <v>16496.093799999999</v>
      </c>
      <c r="E66" s="197">
        <f>[2]!Table32[[#This Row],[CLM $ Collected ]]/'[2]1.) CLM Reference'!$B$4</f>
        <v>5.6686414226575369E-4</v>
      </c>
      <c r="F66" s="89">
        <f>[2]!Table32[[#This Row],[Residential Incentive Disbursements]]+[2]!Table32[[#This Row],[C&amp;I Incentive Disbursements]]</f>
        <v>0</v>
      </c>
      <c r="G66" s="198">
        <f>[2]!Table32[[#This Row],[Incentive Disbursements]]/'[2]1.) CLM Reference'!$B$5</f>
        <v>0</v>
      </c>
      <c r="H66" s="88">
        <v>0</v>
      </c>
      <c r="I66" s="197">
        <f>[2]!Table32[[#This Row],[Residential CLM $ Collected]]/'[2]1.) CLM Reference'!$B$4</f>
        <v>0</v>
      </c>
      <c r="J66" s="89">
        <v>0</v>
      </c>
      <c r="K66" s="198">
        <f>[2]!Table32[[#This Row],[Residential Incentive Disbursements]]/'[2]1.) CLM Reference'!$B$5</f>
        <v>0</v>
      </c>
      <c r="L66" s="88">
        <v>16496.093799999999</v>
      </c>
      <c r="M66" s="197">
        <f>[2]!Table32[[#This Row],[C&amp;I CLM $ Collected]]/'[2]1.) CLM Reference'!$B$4</f>
        <v>5.6686414226575369E-4</v>
      </c>
      <c r="N66" s="89">
        <v>0</v>
      </c>
      <c r="O66" s="198">
        <f>[2]!Table32[[#This Row],[C&amp;I Incentive Disbursements]]/'[2]1.) CLM Reference'!$B$5</f>
        <v>0</v>
      </c>
      <c r="P66" t="str">
        <f>VLOOKUP(Table325[[#This Row],[Census Tract]],'UI EnergyBurden'!$A$2:$B$184,2,FALSE)</f>
        <v>No</v>
      </c>
      <c r="Q66">
        <f>VLOOKUP(Table325[[#This Row],[Census Tract]],'Population and Diversity Data'!B62:K883,10,FALSE)</f>
        <v>3</v>
      </c>
    </row>
    <row r="67" spans="1:17" x14ac:dyDescent="0.2">
      <c r="A67" s="229">
        <v>9001081300</v>
      </c>
      <c r="B67" s="5" t="s">
        <v>956</v>
      </c>
      <c r="C67" s="87" t="s">
        <v>944</v>
      </c>
      <c r="D67" s="88">
        <f>[2]!Table32[[#This Row],[Residential CLM $ Collected]]+[2]!Table32[[#This Row],[C&amp;I CLM $ Collected]]</f>
        <v>167987.89379999999</v>
      </c>
      <c r="E67" s="197">
        <f>[2]!Table32[[#This Row],[CLM $ Collected ]]/'[2]1.) CLM Reference'!$B$4</f>
        <v>5.7726583326028081E-3</v>
      </c>
      <c r="F67" s="89">
        <f>[2]!Table32[[#This Row],[Residential Incentive Disbursements]]+[2]!Table32[[#This Row],[C&amp;I Incentive Disbursements]]</f>
        <v>79769</v>
      </c>
      <c r="G67" s="198">
        <f>[2]!Table32[[#This Row],[Incentive Disbursements]]/'[2]1.) CLM Reference'!$B$5</f>
        <v>4.7478755500829032E-3</v>
      </c>
      <c r="H67" s="88">
        <v>6526.4359999999997</v>
      </c>
      <c r="I67" s="197">
        <f>[2]!Table32[[#This Row],[Residential CLM $ Collected]]/'[2]1.) CLM Reference'!$B$4</f>
        <v>2.242714299546682E-4</v>
      </c>
      <c r="J67" s="89">
        <v>0</v>
      </c>
      <c r="K67" s="198">
        <f>[2]!Table32[[#This Row],[Residential Incentive Disbursements]]/'[2]1.) CLM Reference'!$B$5</f>
        <v>0</v>
      </c>
      <c r="L67" s="88">
        <v>161461.4578</v>
      </c>
      <c r="M67" s="197">
        <f>[2]!Table32[[#This Row],[C&amp;I CLM $ Collected]]/'[2]1.) CLM Reference'!$B$4</f>
        <v>5.54838690264814E-3</v>
      </c>
      <c r="N67" s="89">
        <v>79769</v>
      </c>
      <c r="O67" s="198">
        <f>[2]!Table32[[#This Row],[C&amp;I Incentive Disbursements]]/'[2]1.) CLM Reference'!$B$5</f>
        <v>4.7478755500829032E-3</v>
      </c>
      <c r="P67" t="str">
        <f>VLOOKUP(Table325[[#This Row],[Census Tract]],'UI EnergyBurden'!$A$2:$B$184,2,FALSE)</f>
        <v>No</v>
      </c>
      <c r="Q67">
        <f>VLOOKUP(Table325[[#This Row],[Census Tract]],'Population and Diversity Data'!B63:K884,10,FALSE)</f>
        <v>4</v>
      </c>
    </row>
    <row r="68" spans="1:17" x14ac:dyDescent="0.2">
      <c r="A68" s="229">
        <v>9001090100</v>
      </c>
      <c r="B68" s="5" t="s">
        <v>2985</v>
      </c>
      <c r="C68" s="87" t="s">
        <v>944</v>
      </c>
      <c r="D68" s="88">
        <f>[2]!Table32[[#This Row],[Residential CLM $ Collected]]+[2]!Table32[[#This Row],[C&amp;I CLM $ Collected]]</f>
        <v>64761.160300000003</v>
      </c>
      <c r="E68" s="197">
        <f>[2]!Table32[[#This Row],[CLM $ Collected ]]/'[2]1.) CLM Reference'!$B$4</f>
        <v>2.2254225776525641E-3</v>
      </c>
      <c r="F68" s="89">
        <f>[2]!Table32[[#This Row],[Residential Incentive Disbursements]]+[2]!Table32[[#This Row],[C&amp;I Incentive Disbursements]]</f>
        <v>200</v>
      </c>
      <c r="G68" s="198">
        <f>[2]!Table32[[#This Row],[Incentive Disbursements]]/'[2]1.) CLM Reference'!$B$5</f>
        <v>1.1904061853810134E-5</v>
      </c>
      <c r="H68" s="88">
        <v>0</v>
      </c>
      <c r="I68" s="197">
        <f>[2]!Table32[[#This Row],[Residential CLM $ Collected]]/'[2]1.) CLM Reference'!$B$4</f>
        <v>0</v>
      </c>
      <c r="J68" s="89">
        <v>0</v>
      </c>
      <c r="K68" s="198">
        <f>[2]!Table32[[#This Row],[Residential Incentive Disbursements]]/'[2]1.) CLM Reference'!$B$5</f>
        <v>0</v>
      </c>
      <c r="L68" s="88">
        <v>64761.160300000003</v>
      </c>
      <c r="M68" s="197">
        <f>[2]!Table32[[#This Row],[C&amp;I CLM $ Collected]]/'[2]1.) CLM Reference'!$B$4</f>
        <v>2.2254225776525641E-3</v>
      </c>
      <c r="N68" s="89">
        <v>200</v>
      </c>
      <c r="O68" s="198">
        <f>[2]!Table32[[#This Row],[C&amp;I Incentive Disbursements]]/'[2]1.) CLM Reference'!$B$5</f>
        <v>1.1904061853810134E-5</v>
      </c>
      <c r="P68" t="str">
        <f>VLOOKUP(Table325[[#This Row],[Census Tract]],'UI EnergyBurden'!$A$2:$B$184,2,FALSE)</f>
        <v>No</v>
      </c>
      <c r="Q68">
        <f>VLOOKUP(Table325[[#This Row],[Census Tract]],'Population and Diversity Data'!B64:K885,10,FALSE)</f>
        <v>1</v>
      </c>
    </row>
    <row r="69" spans="1:17" x14ac:dyDescent="0.2">
      <c r="A69" s="229">
        <v>9001090200</v>
      </c>
      <c r="B69" s="5" t="s">
        <v>2985</v>
      </c>
      <c r="C69" s="87" t="s">
        <v>944</v>
      </c>
      <c r="D69" s="88">
        <f>[2]!Table32[[#This Row],[Residential CLM $ Collected]]+[2]!Table32[[#This Row],[C&amp;I CLM $ Collected]]</f>
        <v>33524.442799999997</v>
      </c>
      <c r="E69" s="197">
        <f>[2]!Table32[[#This Row],[CLM $ Collected ]]/'[2]1.) CLM Reference'!$B$4</f>
        <v>1.1520184561971466E-3</v>
      </c>
      <c r="F69" s="89">
        <f>[2]!Table32[[#This Row],[Residential Incentive Disbursements]]+[2]!Table32[[#This Row],[C&amp;I Incentive Disbursements]]</f>
        <v>0</v>
      </c>
      <c r="G69" s="198">
        <f>[2]!Table32[[#This Row],[Incentive Disbursements]]/'[2]1.) CLM Reference'!$B$5</f>
        <v>0</v>
      </c>
      <c r="H69" s="88">
        <v>0</v>
      </c>
      <c r="I69" s="197">
        <f>[2]!Table32[[#This Row],[Residential CLM $ Collected]]/'[2]1.) CLM Reference'!$B$4</f>
        <v>0</v>
      </c>
      <c r="J69" s="89">
        <v>0</v>
      </c>
      <c r="K69" s="198">
        <f>[2]!Table32[[#This Row],[Residential Incentive Disbursements]]/'[2]1.) CLM Reference'!$B$5</f>
        <v>0</v>
      </c>
      <c r="L69" s="88">
        <v>33524.442799999997</v>
      </c>
      <c r="M69" s="197">
        <f>[2]!Table32[[#This Row],[C&amp;I CLM $ Collected]]/'[2]1.) CLM Reference'!$B$4</f>
        <v>1.1520184561971466E-3</v>
      </c>
      <c r="N69" s="89">
        <v>0</v>
      </c>
      <c r="O69" s="198">
        <f>[2]!Table32[[#This Row],[C&amp;I Incentive Disbursements]]/'[2]1.) CLM Reference'!$B$5</f>
        <v>0</v>
      </c>
      <c r="P69" t="str">
        <f>VLOOKUP(Table325[[#This Row],[Census Tract]],'UI EnergyBurden'!$A$2:$B$184,2,FALSE)</f>
        <v>No</v>
      </c>
      <c r="Q69">
        <f>VLOOKUP(Table325[[#This Row],[Census Tract]],'Population and Diversity Data'!B65:K886,10,FALSE)</f>
        <v>3</v>
      </c>
    </row>
    <row r="70" spans="1:17" x14ac:dyDescent="0.2">
      <c r="A70" s="229">
        <v>9001090300</v>
      </c>
      <c r="B70" s="5" t="s">
        <v>2985</v>
      </c>
      <c r="C70" s="87" t="s">
        <v>944</v>
      </c>
      <c r="D70" s="88">
        <f>[2]!Table32[[#This Row],[Residential CLM $ Collected]]+[2]!Table32[[#This Row],[C&amp;I CLM $ Collected]]</f>
        <v>91398.118099999992</v>
      </c>
      <c r="E70" s="197">
        <f>[2]!Table32[[#This Row],[CLM $ Collected ]]/'[2]1.) CLM Reference'!$B$4</f>
        <v>3.1407626829486478E-3</v>
      </c>
      <c r="F70" s="89">
        <f>[2]!Table32[[#This Row],[Residential Incentive Disbursements]]+[2]!Table32[[#This Row],[C&amp;I Incentive Disbursements]]</f>
        <v>0</v>
      </c>
      <c r="G70" s="198">
        <f>[2]!Table32[[#This Row],[Incentive Disbursements]]/'[2]1.) CLM Reference'!$B$5</f>
        <v>0</v>
      </c>
      <c r="H70" s="88">
        <v>2789.9992999999999</v>
      </c>
      <c r="I70" s="197">
        <f>[2]!Table32[[#This Row],[Residential CLM $ Collected]]/'[2]1.) CLM Reference'!$B$4</f>
        <v>9.5874246308938493E-5</v>
      </c>
      <c r="J70" s="89">
        <v>0</v>
      </c>
      <c r="K70" s="198">
        <f>[2]!Table32[[#This Row],[Residential Incentive Disbursements]]/'[2]1.) CLM Reference'!$B$5</f>
        <v>0</v>
      </c>
      <c r="L70" s="88">
        <v>88608.118799999997</v>
      </c>
      <c r="M70" s="197">
        <f>[2]!Table32[[#This Row],[C&amp;I CLM $ Collected]]/'[2]1.) CLM Reference'!$B$4</f>
        <v>3.0448884366397096E-3</v>
      </c>
      <c r="N70" s="89">
        <v>0</v>
      </c>
      <c r="O70" s="198">
        <f>[2]!Table32[[#This Row],[C&amp;I Incentive Disbursements]]/'[2]1.) CLM Reference'!$B$5</f>
        <v>0</v>
      </c>
      <c r="P70" t="str">
        <f>VLOOKUP(Table325[[#This Row],[Census Tract]],'UI EnergyBurden'!$A$2:$B$184,2,FALSE)</f>
        <v>No</v>
      </c>
      <c r="Q70">
        <f>VLOOKUP(Table325[[#This Row],[Census Tract]],'Population and Diversity Data'!B66:K887,10,FALSE)</f>
        <v>3</v>
      </c>
    </row>
    <row r="71" spans="1:17" x14ac:dyDescent="0.2">
      <c r="A71" s="229">
        <v>9001090400</v>
      </c>
      <c r="B71" s="5" t="s">
        <v>2985</v>
      </c>
      <c r="C71" s="87" t="s">
        <v>944</v>
      </c>
      <c r="D71" s="88">
        <f>[2]!Table32[[#This Row],[Residential CLM $ Collected]]+[2]!Table32[[#This Row],[C&amp;I CLM $ Collected]]</f>
        <v>82588.587100000004</v>
      </c>
      <c r="E71" s="197">
        <f>[2]!Table32[[#This Row],[CLM $ Collected ]]/'[2]1.) CLM Reference'!$B$4</f>
        <v>2.8380360317411626E-3</v>
      </c>
      <c r="F71" s="89">
        <f>[2]!Table32[[#This Row],[Residential Incentive Disbursements]]+[2]!Table32[[#This Row],[C&amp;I Incentive Disbursements]]</f>
        <v>56839</v>
      </c>
      <c r="G71" s="198">
        <f>[2]!Table32[[#This Row],[Incentive Disbursements]]/'[2]1.) CLM Reference'!$B$5</f>
        <v>3.3830748585435711E-3</v>
      </c>
      <c r="H71" s="88">
        <v>0</v>
      </c>
      <c r="I71" s="197">
        <f>[2]!Table32[[#This Row],[Residential CLM $ Collected]]/'[2]1.) CLM Reference'!$B$4</f>
        <v>0</v>
      </c>
      <c r="J71" s="89">
        <v>0</v>
      </c>
      <c r="K71" s="198">
        <f>[2]!Table32[[#This Row],[Residential Incentive Disbursements]]/'[2]1.) CLM Reference'!$B$5</f>
        <v>0</v>
      </c>
      <c r="L71" s="88">
        <v>82588.587100000004</v>
      </c>
      <c r="M71" s="197">
        <f>[2]!Table32[[#This Row],[C&amp;I CLM $ Collected]]/'[2]1.) CLM Reference'!$B$4</f>
        <v>2.8380360317411626E-3</v>
      </c>
      <c r="N71" s="89">
        <v>56839</v>
      </c>
      <c r="O71" s="198">
        <f>[2]!Table32[[#This Row],[C&amp;I Incentive Disbursements]]/'[2]1.) CLM Reference'!$B$5</f>
        <v>3.3830748585435711E-3</v>
      </c>
      <c r="P71" t="str">
        <f>VLOOKUP(Table325[[#This Row],[Census Tract]],'UI EnergyBurden'!$A$2:$B$184,2,FALSE)</f>
        <v>No</v>
      </c>
      <c r="Q71">
        <f>VLOOKUP(Table325[[#This Row],[Census Tract]],'Population and Diversity Data'!B67:K888,10,FALSE)</f>
        <v>4</v>
      </c>
    </row>
    <row r="72" spans="1:17" x14ac:dyDescent="0.2">
      <c r="A72" s="229">
        <v>9001090500</v>
      </c>
      <c r="B72" s="5" t="s">
        <v>2985</v>
      </c>
      <c r="C72" s="87" t="s">
        <v>944</v>
      </c>
      <c r="D72" s="88">
        <f>[2]!Table32[[#This Row],[Residential CLM $ Collected]]+[2]!Table32[[#This Row],[C&amp;I CLM $ Collected]]</f>
        <v>262382.63909999997</v>
      </c>
      <c r="E72" s="197">
        <f>[2]!Table32[[#This Row],[CLM $ Collected ]]/'[2]1.) CLM Reference'!$B$4</f>
        <v>9.0163957275052765E-3</v>
      </c>
      <c r="F72" s="89">
        <f>[2]!Table32[[#This Row],[Residential Incentive Disbursements]]+[2]!Table32[[#This Row],[C&amp;I Incentive Disbursements]]</f>
        <v>146069</v>
      </c>
      <c r="G72" s="198">
        <f>[2]!Table32[[#This Row],[Incentive Disbursements]]/'[2]1.) CLM Reference'!$B$5</f>
        <v>8.6940720546209629E-3</v>
      </c>
      <c r="H72" s="88">
        <v>0</v>
      </c>
      <c r="I72" s="197">
        <f>[2]!Table32[[#This Row],[Residential CLM $ Collected]]/'[2]1.) CLM Reference'!$B$4</f>
        <v>0</v>
      </c>
      <c r="J72" s="89">
        <v>0</v>
      </c>
      <c r="K72" s="198">
        <f>[2]!Table32[[#This Row],[Residential Incentive Disbursements]]/'[2]1.) CLM Reference'!$B$5</f>
        <v>0</v>
      </c>
      <c r="L72" s="88">
        <v>262382.63909999997</v>
      </c>
      <c r="M72" s="197">
        <f>[2]!Table32[[#This Row],[C&amp;I CLM $ Collected]]/'[2]1.) CLM Reference'!$B$4</f>
        <v>9.0163957275052765E-3</v>
      </c>
      <c r="N72" s="89">
        <v>146069</v>
      </c>
      <c r="O72" s="198">
        <f>[2]!Table32[[#This Row],[C&amp;I Incentive Disbursements]]/'[2]1.) CLM Reference'!$B$5</f>
        <v>8.6940720546209629E-3</v>
      </c>
      <c r="P72" t="str">
        <f>VLOOKUP(Table325[[#This Row],[Census Tract]],'UI EnergyBurden'!$A$2:$B$184,2,FALSE)</f>
        <v>No</v>
      </c>
      <c r="Q72">
        <f>VLOOKUP(Table325[[#This Row],[Census Tract]],'Population and Diversity Data'!B68:K889,10,FALSE)</f>
        <v>3</v>
      </c>
    </row>
    <row r="73" spans="1:17" x14ac:dyDescent="0.2">
      <c r="A73" s="229">
        <v>9001090600</v>
      </c>
      <c r="B73" s="5" t="s">
        <v>2985</v>
      </c>
      <c r="C73" s="87" t="s">
        <v>944</v>
      </c>
      <c r="D73" s="88">
        <f>[2]!Table32[[#This Row],[Residential CLM $ Collected]]+[2]!Table32[[#This Row],[C&amp;I CLM $ Collected]]</f>
        <v>21139.378799999999</v>
      </c>
      <c r="E73" s="197">
        <f>[2]!Table32[[#This Row],[CLM $ Collected ]]/'[2]1.) CLM Reference'!$B$4</f>
        <v>7.2642384171535542E-4</v>
      </c>
      <c r="F73" s="89">
        <f>[2]!Table32[[#This Row],[Residential Incentive Disbursements]]+[2]!Table32[[#This Row],[C&amp;I Incentive Disbursements]]</f>
        <v>0</v>
      </c>
      <c r="G73" s="198">
        <f>[2]!Table32[[#This Row],[Incentive Disbursements]]/'[2]1.) CLM Reference'!$B$5</f>
        <v>0</v>
      </c>
      <c r="H73" s="88">
        <v>0</v>
      </c>
      <c r="I73" s="197">
        <f>[2]!Table32[[#This Row],[Residential CLM $ Collected]]/'[2]1.) CLM Reference'!$B$4</f>
        <v>0</v>
      </c>
      <c r="J73" s="89">
        <v>0</v>
      </c>
      <c r="K73" s="198">
        <f>[2]!Table32[[#This Row],[Residential Incentive Disbursements]]/'[2]1.) CLM Reference'!$B$5</f>
        <v>0</v>
      </c>
      <c r="L73" s="88">
        <v>21139.378799999999</v>
      </c>
      <c r="M73" s="197">
        <f>[2]!Table32[[#This Row],[C&amp;I CLM $ Collected]]/'[2]1.) CLM Reference'!$B$4</f>
        <v>7.2642384171535542E-4</v>
      </c>
      <c r="N73" s="89">
        <v>0</v>
      </c>
      <c r="O73" s="198">
        <f>[2]!Table32[[#This Row],[C&amp;I Incentive Disbursements]]/'[2]1.) CLM Reference'!$B$5</f>
        <v>0</v>
      </c>
      <c r="P73" t="str">
        <f>VLOOKUP(Table325[[#This Row],[Census Tract]],'UI EnergyBurden'!$A$2:$B$184,2,FALSE)</f>
        <v>No</v>
      </c>
      <c r="Q73">
        <f>VLOOKUP(Table325[[#This Row],[Census Tract]],'Population and Diversity Data'!B69:K890,10,FALSE)</f>
        <v>2</v>
      </c>
    </row>
    <row r="74" spans="1:17" x14ac:dyDescent="0.2">
      <c r="A74" s="229">
        <v>9001090700</v>
      </c>
      <c r="B74" s="5" t="s">
        <v>2985</v>
      </c>
      <c r="C74" s="87" t="s">
        <v>944</v>
      </c>
      <c r="D74" s="88">
        <f>[2]!Table32[[#This Row],[Residential CLM $ Collected]]+[2]!Table32[[#This Row],[C&amp;I CLM $ Collected]]</f>
        <v>46069.947800000002</v>
      </c>
      <c r="E74" s="197">
        <f>[2]!Table32[[#This Row],[CLM $ Collected ]]/'[2]1.) CLM Reference'!$B$4</f>
        <v>1.5831263910414384E-3</v>
      </c>
      <c r="F74" s="89">
        <f>[2]!Table32[[#This Row],[Residential Incentive Disbursements]]+[2]!Table32[[#This Row],[C&amp;I Incentive Disbursements]]</f>
        <v>0</v>
      </c>
      <c r="G74" s="198">
        <f>[2]!Table32[[#This Row],[Incentive Disbursements]]/'[2]1.) CLM Reference'!$B$5</f>
        <v>0</v>
      </c>
      <c r="H74" s="88">
        <v>1844.7194999999999</v>
      </c>
      <c r="I74" s="197">
        <f>[2]!Table32[[#This Row],[Residential CLM $ Collected]]/'[2]1.) CLM Reference'!$B$4</f>
        <v>6.3391088203463661E-5</v>
      </c>
      <c r="J74" s="89">
        <v>0</v>
      </c>
      <c r="K74" s="198">
        <f>[2]!Table32[[#This Row],[Residential Incentive Disbursements]]/'[2]1.) CLM Reference'!$B$5</f>
        <v>0</v>
      </c>
      <c r="L74" s="88">
        <v>44225.228300000002</v>
      </c>
      <c r="M74" s="197">
        <f>[2]!Table32[[#This Row],[C&amp;I CLM $ Collected]]/'[2]1.) CLM Reference'!$B$4</f>
        <v>1.5197353028379747E-3</v>
      </c>
      <c r="N74" s="89">
        <v>0</v>
      </c>
      <c r="O74" s="198">
        <f>[2]!Table32[[#This Row],[C&amp;I Incentive Disbursements]]/'[2]1.) CLM Reference'!$B$5</f>
        <v>0</v>
      </c>
      <c r="P74" t="str">
        <f>VLOOKUP(Table325[[#This Row],[Census Tract]],'UI EnergyBurden'!$A$2:$B$184,2,FALSE)</f>
        <v>No</v>
      </c>
      <c r="Q74">
        <f>VLOOKUP(Table325[[#This Row],[Census Tract]],'Population and Diversity Data'!B70:K891,10,FALSE)</f>
        <v>3</v>
      </c>
    </row>
    <row r="75" spans="1:17" x14ac:dyDescent="0.2">
      <c r="A75" s="229">
        <v>9001105100</v>
      </c>
      <c r="B75" s="5" t="s">
        <v>2983</v>
      </c>
      <c r="C75" s="87" t="s">
        <v>944</v>
      </c>
      <c r="D75" s="88">
        <f>[2]!Table32[[#This Row],[Residential CLM $ Collected]]+[2]!Table32[[#This Row],[C&amp;I CLM $ Collected]]</f>
        <v>31652.1731</v>
      </c>
      <c r="E75" s="197">
        <f>[2]!Table32[[#This Row],[CLM $ Collected ]]/'[2]1.) CLM Reference'!$B$4</f>
        <v>1.0876806456555589E-3</v>
      </c>
      <c r="F75" s="89">
        <f>[2]!Table32[[#This Row],[Residential Incentive Disbursements]]+[2]!Table32[[#This Row],[C&amp;I Incentive Disbursements]]</f>
        <v>60</v>
      </c>
      <c r="G75" s="198">
        <f>[2]!Table32[[#This Row],[Incentive Disbursements]]/'[2]1.) CLM Reference'!$B$5</f>
        <v>3.5712185561430403E-6</v>
      </c>
      <c r="H75" s="88">
        <v>0</v>
      </c>
      <c r="I75" s="197">
        <f>[2]!Table32[[#This Row],[Residential CLM $ Collected]]/'[2]1.) CLM Reference'!$B$4</f>
        <v>0</v>
      </c>
      <c r="J75" s="89">
        <v>0</v>
      </c>
      <c r="K75" s="198">
        <f>[2]!Table32[[#This Row],[Residential Incentive Disbursements]]/'[2]1.) CLM Reference'!$B$5</f>
        <v>0</v>
      </c>
      <c r="L75" s="88">
        <v>31652.1731</v>
      </c>
      <c r="M75" s="197">
        <f>[2]!Table32[[#This Row],[C&amp;I CLM $ Collected]]/'[2]1.) CLM Reference'!$B$4</f>
        <v>1.0876806456555589E-3</v>
      </c>
      <c r="N75" s="89">
        <v>60</v>
      </c>
      <c r="O75" s="198">
        <f>[2]!Table32[[#This Row],[C&amp;I Incentive Disbursements]]/'[2]1.) CLM Reference'!$B$5</f>
        <v>3.5712185561430403E-6</v>
      </c>
      <c r="P75" t="str">
        <f>VLOOKUP(Table325[[#This Row],[Census Tract]],'UI EnergyBurden'!$A$2:$B$184,2,FALSE)</f>
        <v>No</v>
      </c>
      <c r="Q75">
        <f>VLOOKUP(Table325[[#This Row],[Census Tract]],'Population and Diversity Data'!B71:K892,10,FALSE)</f>
        <v>1</v>
      </c>
    </row>
    <row r="76" spans="1:17" x14ac:dyDescent="0.2">
      <c r="A76" s="229">
        <v>9001105200</v>
      </c>
      <c r="B76" s="5" t="s">
        <v>2983</v>
      </c>
      <c r="C76" s="87" t="s">
        <v>944</v>
      </c>
      <c r="D76" s="88">
        <f>[2]!Table32[[#This Row],[Residential CLM $ Collected]]+[2]!Table32[[#This Row],[C&amp;I CLM $ Collected]]</f>
        <v>1963.6956</v>
      </c>
      <c r="E76" s="197">
        <f>[2]!Table32[[#This Row],[CLM $ Collected ]]/'[2]1.) CLM Reference'!$B$4</f>
        <v>6.7479527908906201E-5</v>
      </c>
      <c r="F76" s="89">
        <f>[2]!Table32[[#This Row],[Residential Incentive Disbursements]]+[2]!Table32[[#This Row],[C&amp;I Incentive Disbursements]]</f>
        <v>0</v>
      </c>
      <c r="G76" s="198">
        <f>[2]!Table32[[#This Row],[Incentive Disbursements]]/'[2]1.) CLM Reference'!$B$5</f>
        <v>0</v>
      </c>
      <c r="H76" s="88">
        <v>0</v>
      </c>
      <c r="I76" s="197">
        <f>[2]!Table32[[#This Row],[Residential CLM $ Collected]]/'[2]1.) CLM Reference'!$B$4</f>
        <v>0</v>
      </c>
      <c r="J76" s="89">
        <v>0</v>
      </c>
      <c r="K76" s="198">
        <f>[2]!Table32[[#This Row],[Residential Incentive Disbursements]]/'[2]1.) CLM Reference'!$B$5</f>
        <v>0</v>
      </c>
      <c r="L76" s="88">
        <v>1963.6956</v>
      </c>
      <c r="M76" s="197">
        <f>[2]!Table32[[#This Row],[C&amp;I CLM $ Collected]]/'[2]1.) CLM Reference'!$B$4</f>
        <v>6.7479527908906201E-5</v>
      </c>
      <c r="N76" s="89">
        <v>0</v>
      </c>
      <c r="O76" s="198">
        <f>[2]!Table32[[#This Row],[C&amp;I Incentive Disbursements]]/'[2]1.) CLM Reference'!$B$5</f>
        <v>0</v>
      </c>
      <c r="P76" t="str">
        <f>VLOOKUP(Table325[[#This Row],[Census Tract]],'UI EnergyBurden'!$A$2:$B$184,2,FALSE)</f>
        <v>No</v>
      </c>
      <c r="Q76">
        <f>VLOOKUP(Table325[[#This Row],[Census Tract]],'Population and Diversity Data'!B72:K893,10,FALSE)</f>
        <v>3</v>
      </c>
    </row>
    <row r="77" spans="1:17" x14ac:dyDescent="0.2">
      <c r="A77" s="229">
        <v>9001110100</v>
      </c>
      <c r="B77" s="5" t="s">
        <v>2990</v>
      </c>
      <c r="C77" s="87" t="s">
        <v>944</v>
      </c>
      <c r="D77" s="88">
        <f>[2]!Table32[[#This Row],[Residential CLM $ Collected]]+[2]!Table32[[#This Row],[C&amp;I CLM $ Collected]]</f>
        <v>48465.287400000001</v>
      </c>
      <c r="E77" s="197">
        <f>[2]!Table32[[#This Row],[CLM $ Collected ]]/'[2]1.) CLM Reference'!$B$4</f>
        <v>1.6654387338452357E-3</v>
      </c>
      <c r="F77" s="89">
        <f>[2]!Table32[[#This Row],[Residential Incentive Disbursements]]+[2]!Table32[[#This Row],[C&amp;I Incentive Disbursements]]</f>
        <v>9127</v>
      </c>
      <c r="G77" s="198">
        <f>[2]!Table32[[#This Row],[Incentive Disbursements]]/'[2]1.) CLM Reference'!$B$5</f>
        <v>5.4324186269862551E-4</v>
      </c>
      <c r="H77" s="88">
        <v>0</v>
      </c>
      <c r="I77" s="197">
        <f>[2]!Table32[[#This Row],[Residential CLM $ Collected]]/'[2]1.) CLM Reference'!$B$4</f>
        <v>0</v>
      </c>
      <c r="J77" s="89">
        <v>0</v>
      </c>
      <c r="K77" s="198">
        <f>[2]!Table32[[#This Row],[Residential Incentive Disbursements]]/'[2]1.) CLM Reference'!$B$5</f>
        <v>0</v>
      </c>
      <c r="L77" s="88">
        <v>48465.287400000001</v>
      </c>
      <c r="M77" s="197">
        <f>[2]!Table32[[#This Row],[C&amp;I CLM $ Collected]]/'[2]1.) CLM Reference'!$B$4</f>
        <v>1.6654387338452357E-3</v>
      </c>
      <c r="N77" s="89">
        <v>9127</v>
      </c>
      <c r="O77" s="198">
        <f>[2]!Table32[[#This Row],[C&amp;I Incentive Disbursements]]/'[2]1.) CLM Reference'!$B$5</f>
        <v>5.4324186269862551E-4</v>
      </c>
      <c r="P77" t="str">
        <f>VLOOKUP(Table325[[#This Row],[Census Tract]],'UI EnergyBurden'!$A$2:$B$184,2,FALSE)</f>
        <v>No</v>
      </c>
      <c r="Q77">
        <f>VLOOKUP(Table325[[#This Row],[Census Tract]],'Population and Diversity Data'!B73:K894,10,FALSE)</f>
        <v>3</v>
      </c>
    </row>
    <row r="78" spans="1:17" x14ac:dyDescent="0.2">
      <c r="A78" s="229">
        <v>9001110201</v>
      </c>
      <c r="B78" s="5" t="s">
        <v>2990</v>
      </c>
      <c r="C78" s="87" t="s">
        <v>944</v>
      </c>
      <c r="D78" s="88">
        <f>[2]!Table32[[#This Row],[Residential CLM $ Collected]]+[2]!Table32[[#This Row],[C&amp;I CLM $ Collected]]</f>
        <v>11511.554400000001</v>
      </c>
      <c r="E78" s="197">
        <f>[2]!Table32[[#This Row],[CLM $ Collected ]]/'[2]1.) CLM Reference'!$B$4</f>
        <v>3.9557773435439385E-4</v>
      </c>
      <c r="F78" s="89">
        <f>[2]!Table32[[#This Row],[Residential Incentive Disbursements]]+[2]!Table32[[#This Row],[C&amp;I Incentive Disbursements]]</f>
        <v>502700</v>
      </c>
      <c r="G78" s="198">
        <f>[2]!Table32[[#This Row],[Incentive Disbursements]]/'[2]1.) CLM Reference'!$B$5</f>
        <v>2.9920859469551774E-2</v>
      </c>
      <c r="H78" s="88">
        <v>0</v>
      </c>
      <c r="I78" s="197">
        <f>[2]!Table32[[#This Row],[Residential CLM $ Collected]]/'[2]1.) CLM Reference'!$B$4</f>
        <v>0</v>
      </c>
      <c r="J78" s="89">
        <v>0</v>
      </c>
      <c r="K78" s="198">
        <f>[2]!Table32[[#This Row],[Residential Incentive Disbursements]]/'[2]1.) CLM Reference'!$B$5</f>
        <v>0</v>
      </c>
      <c r="L78" s="88">
        <v>11511.554400000001</v>
      </c>
      <c r="M78" s="197">
        <f>[2]!Table32[[#This Row],[C&amp;I CLM $ Collected]]/'[2]1.) CLM Reference'!$B$4</f>
        <v>3.9557773435439385E-4</v>
      </c>
      <c r="N78" s="89">
        <v>502700</v>
      </c>
      <c r="O78" s="198">
        <f>[2]!Table32[[#This Row],[C&amp;I Incentive Disbursements]]/'[2]1.) CLM Reference'!$B$5</f>
        <v>2.9920859469551774E-2</v>
      </c>
      <c r="P78" t="str">
        <f>VLOOKUP(Table325[[#This Row],[Census Tract]],'UI EnergyBurden'!$A$2:$B$184,2,FALSE)</f>
        <v>No</v>
      </c>
      <c r="Q78">
        <f>VLOOKUP(Table325[[#This Row],[Census Tract]],'Population and Diversity Data'!B74:K895,10,FALSE)</f>
        <v>4</v>
      </c>
    </row>
    <row r="79" spans="1:17" x14ac:dyDescent="0.2">
      <c r="A79" s="229">
        <v>9001110202</v>
      </c>
      <c r="B79" s="5" t="s">
        <v>2990</v>
      </c>
      <c r="C79" s="87" t="s">
        <v>944</v>
      </c>
      <c r="D79" s="88">
        <f>[2]!Table32[[#This Row],[Residential CLM $ Collected]]+[2]!Table32[[#This Row],[C&amp;I CLM $ Collected]]</f>
        <v>476788.71539999999</v>
      </c>
      <c r="E79" s="197">
        <f>[2]!Table32[[#This Row],[CLM $ Collected ]]/'[2]1.) CLM Reference'!$B$4</f>
        <v>1.6384147027413941E-2</v>
      </c>
      <c r="F79" s="89">
        <f>[2]!Table32[[#This Row],[Residential Incentive Disbursements]]+[2]!Table32[[#This Row],[C&amp;I Incentive Disbursements]]</f>
        <v>192127</v>
      </c>
      <c r="G79" s="198">
        <f>[2]!Table32[[#This Row],[Incentive Disbursements]]/'[2]1.) CLM Reference'!$B$5</f>
        <v>1.1435458458934898E-2</v>
      </c>
      <c r="H79" s="88">
        <v>6043.2620999999999</v>
      </c>
      <c r="I79" s="197">
        <f>[2]!Table32[[#This Row],[Residential CLM $ Collected]]/'[2]1.) CLM Reference'!$B$4</f>
        <v>2.0766786539511779E-4</v>
      </c>
      <c r="J79" s="89">
        <v>0</v>
      </c>
      <c r="K79" s="198">
        <f>[2]!Table32[[#This Row],[Residential Incentive Disbursements]]/'[2]1.) CLM Reference'!$B$5</f>
        <v>0</v>
      </c>
      <c r="L79" s="88">
        <v>470745.45329999999</v>
      </c>
      <c r="M79" s="197">
        <f>[2]!Table32[[#This Row],[C&amp;I CLM $ Collected]]/'[2]1.) CLM Reference'!$B$4</f>
        <v>1.6176479162018823E-2</v>
      </c>
      <c r="N79" s="89">
        <v>192127</v>
      </c>
      <c r="O79" s="198">
        <f>[2]!Table32[[#This Row],[C&amp;I Incentive Disbursements]]/'[2]1.) CLM Reference'!$B$5</f>
        <v>1.1435458458934898E-2</v>
      </c>
      <c r="P79" t="str">
        <f>VLOOKUP(Table325[[#This Row],[Census Tract]],'UI EnergyBurden'!$A$2:$B$184,2,FALSE)</f>
        <v>No</v>
      </c>
      <c r="Q79">
        <f>VLOOKUP(Table325[[#This Row],[Census Tract]],'Population and Diversity Data'!B75:K896,10,FALSE)</f>
        <v>2</v>
      </c>
    </row>
    <row r="80" spans="1:17" x14ac:dyDescent="0.2">
      <c r="A80" s="229">
        <v>9001110301</v>
      </c>
      <c r="B80" s="5" t="s">
        <v>2990</v>
      </c>
      <c r="C80" s="87" t="s">
        <v>944</v>
      </c>
      <c r="D80" s="88">
        <f>[2]!Table32[[#This Row],[Residential CLM $ Collected]]+[2]!Table32[[#This Row],[C&amp;I CLM $ Collected]]</f>
        <v>61755.966899999999</v>
      </c>
      <c r="E80" s="197">
        <f>[2]!Table32[[#This Row],[CLM $ Collected ]]/'[2]1.) CLM Reference'!$B$4</f>
        <v>2.1221535007615424E-3</v>
      </c>
      <c r="F80" s="89">
        <f>[2]!Table32[[#This Row],[Residential Incentive Disbursements]]+[2]!Table32[[#This Row],[C&amp;I Incentive Disbursements]]</f>
        <v>0</v>
      </c>
      <c r="G80" s="198">
        <f>[2]!Table32[[#This Row],[Incentive Disbursements]]/'[2]1.) CLM Reference'!$B$5</f>
        <v>0</v>
      </c>
      <c r="H80" s="88">
        <v>0</v>
      </c>
      <c r="I80" s="197">
        <f>[2]!Table32[[#This Row],[Residential CLM $ Collected]]/'[2]1.) CLM Reference'!$B$4</f>
        <v>0</v>
      </c>
      <c r="J80" s="89">
        <v>0</v>
      </c>
      <c r="K80" s="198">
        <f>[2]!Table32[[#This Row],[Residential Incentive Disbursements]]/'[2]1.) CLM Reference'!$B$5</f>
        <v>0</v>
      </c>
      <c r="L80" s="88">
        <v>61755.966899999999</v>
      </c>
      <c r="M80" s="197">
        <f>[2]!Table32[[#This Row],[C&amp;I CLM $ Collected]]/'[2]1.) CLM Reference'!$B$4</f>
        <v>2.1221535007615424E-3</v>
      </c>
      <c r="N80" s="89">
        <v>0</v>
      </c>
      <c r="O80" s="198">
        <f>[2]!Table32[[#This Row],[C&amp;I Incentive Disbursements]]/'[2]1.) CLM Reference'!$B$5</f>
        <v>0</v>
      </c>
      <c r="P80" t="str">
        <f>VLOOKUP(Table325[[#This Row],[Census Tract]],'UI EnergyBurden'!$A$2:$B$184,2,FALSE)</f>
        <v>No</v>
      </c>
      <c r="Q80">
        <f>VLOOKUP(Table325[[#This Row],[Census Tract]],'Population and Diversity Data'!B76:K897,10,FALSE)</f>
        <v>3</v>
      </c>
    </row>
    <row r="81" spans="1:17" x14ac:dyDescent="0.2">
      <c r="A81" s="229">
        <v>9001110302</v>
      </c>
      <c r="B81" s="5" t="s">
        <v>2990</v>
      </c>
      <c r="C81" s="87" t="s">
        <v>944</v>
      </c>
      <c r="D81" s="88">
        <f>[2]!Table32[[#This Row],[Residential CLM $ Collected]]+[2]!Table32[[#This Row],[C&amp;I CLM $ Collected]]</f>
        <v>392782.05839999998</v>
      </c>
      <c r="E81" s="197">
        <f>[2]!Table32[[#This Row],[CLM $ Collected ]]/'[2]1.) CLM Reference'!$B$4</f>
        <v>1.3497381097111193E-2</v>
      </c>
      <c r="F81" s="89">
        <f>[2]!Table32[[#This Row],[Residential Incentive Disbursements]]+[2]!Table32[[#This Row],[C&amp;I Incentive Disbursements]]</f>
        <v>90344</v>
      </c>
      <c r="G81" s="198">
        <f>[2]!Table32[[#This Row],[Incentive Disbursements]]/'[2]1.) CLM Reference'!$B$5</f>
        <v>5.3773028206031137E-3</v>
      </c>
      <c r="H81" s="88">
        <v>0</v>
      </c>
      <c r="I81" s="197">
        <f>[2]!Table32[[#This Row],[Residential CLM $ Collected]]/'[2]1.) CLM Reference'!$B$4</f>
        <v>0</v>
      </c>
      <c r="J81" s="89">
        <v>0</v>
      </c>
      <c r="K81" s="198">
        <f>[2]!Table32[[#This Row],[Residential Incentive Disbursements]]/'[2]1.) CLM Reference'!$B$5</f>
        <v>0</v>
      </c>
      <c r="L81" s="88">
        <v>392782.05839999998</v>
      </c>
      <c r="M81" s="197">
        <f>[2]!Table32[[#This Row],[C&amp;I CLM $ Collected]]/'[2]1.) CLM Reference'!$B$4</f>
        <v>1.3497381097111193E-2</v>
      </c>
      <c r="N81" s="89">
        <v>90344</v>
      </c>
      <c r="O81" s="198">
        <f>[2]!Table32[[#This Row],[C&amp;I Incentive Disbursements]]/'[2]1.) CLM Reference'!$B$5</f>
        <v>5.3773028206031137E-3</v>
      </c>
      <c r="P81" t="str">
        <f>VLOOKUP(Table325[[#This Row],[Census Tract]],'UI EnergyBurden'!$A$2:$B$184,2,FALSE)</f>
        <v>No</v>
      </c>
      <c r="Q81">
        <f>VLOOKUP(Table325[[#This Row],[Census Tract]],'Population and Diversity Data'!B77:K898,10,FALSE)</f>
        <v>3</v>
      </c>
    </row>
    <row r="82" spans="1:17" x14ac:dyDescent="0.2">
      <c r="A82" s="229">
        <v>9001110500</v>
      </c>
      <c r="B82" s="5" t="s">
        <v>2990</v>
      </c>
      <c r="C82" s="87" t="s">
        <v>944</v>
      </c>
      <c r="D82" s="88">
        <f>[2]!Table32[[#This Row],[Residential CLM $ Collected]]+[2]!Table32[[#This Row],[C&amp;I CLM $ Collected]]</f>
        <v>11423.925499999999</v>
      </c>
      <c r="E82" s="197">
        <f>[2]!Table32[[#This Row],[CLM $ Collected ]]/'[2]1.) CLM Reference'!$B$4</f>
        <v>3.9256649533996778E-4</v>
      </c>
      <c r="F82" s="89">
        <f>[2]!Table32[[#This Row],[Residential Incentive Disbursements]]+[2]!Table32[[#This Row],[C&amp;I Incentive Disbursements]]</f>
        <v>0</v>
      </c>
      <c r="G82" s="198">
        <f>[2]!Table32[[#This Row],[Incentive Disbursements]]/'[2]1.) CLM Reference'!$B$5</f>
        <v>0</v>
      </c>
      <c r="H82" s="88">
        <v>0</v>
      </c>
      <c r="I82" s="197">
        <f>[2]!Table32[[#This Row],[Residential CLM $ Collected]]/'[2]1.) CLM Reference'!$B$4</f>
        <v>0</v>
      </c>
      <c r="J82" s="89">
        <v>0</v>
      </c>
      <c r="K82" s="198">
        <f>[2]!Table32[[#This Row],[Residential Incentive Disbursements]]/'[2]1.) CLM Reference'!$B$5</f>
        <v>0</v>
      </c>
      <c r="L82" s="88">
        <v>11423.925499999999</v>
      </c>
      <c r="M82" s="197">
        <f>[2]!Table32[[#This Row],[C&amp;I CLM $ Collected]]/'[2]1.) CLM Reference'!$B$4</f>
        <v>3.9256649533996778E-4</v>
      </c>
      <c r="N82" s="89">
        <v>0</v>
      </c>
      <c r="O82" s="198">
        <f>[2]!Table32[[#This Row],[C&amp;I Incentive Disbursements]]/'[2]1.) CLM Reference'!$B$5</f>
        <v>0</v>
      </c>
      <c r="P82" t="str">
        <f>VLOOKUP(Table325[[#This Row],[Census Tract]],'UI EnergyBurden'!$A$2:$B$184,2,FALSE)</f>
        <v>No</v>
      </c>
      <c r="Q82">
        <f>VLOOKUP(Table325[[#This Row],[Census Tract]],'Population and Diversity Data'!B78:K899,10,FALSE)</f>
        <v>1</v>
      </c>
    </row>
    <row r="83" spans="1:17" x14ac:dyDescent="0.2">
      <c r="A83" s="229">
        <v>9001110600</v>
      </c>
      <c r="B83" s="5" t="s">
        <v>2990</v>
      </c>
      <c r="C83" s="87" t="s">
        <v>944</v>
      </c>
      <c r="D83" s="88">
        <f>[2]!Table32[[#This Row],[Residential CLM $ Collected]]+[2]!Table32[[#This Row],[C&amp;I CLM $ Collected]]</f>
        <v>19630.0101</v>
      </c>
      <c r="E83" s="197">
        <f>[2]!Table32[[#This Row],[CLM $ Collected ]]/'[2]1.) CLM Reference'!$B$4</f>
        <v>6.7455659339210237E-4</v>
      </c>
      <c r="F83" s="89">
        <f>[2]!Table32[[#This Row],[Residential Incentive Disbursements]]+[2]!Table32[[#This Row],[C&amp;I Incentive Disbursements]]</f>
        <v>139005</v>
      </c>
      <c r="G83" s="198">
        <f>[2]!Table32[[#This Row],[Incentive Disbursements]]/'[2]1.) CLM Reference'!$B$5</f>
        <v>8.2736205899443891E-3</v>
      </c>
      <c r="H83" s="88">
        <v>0</v>
      </c>
      <c r="I83" s="197">
        <f>[2]!Table32[[#This Row],[Residential CLM $ Collected]]/'[2]1.) CLM Reference'!$B$4</f>
        <v>0</v>
      </c>
      <c r="J83" s="89">
        <v>0</v>
      </c>
      <c r="K83" s="198">
        <f>[2]!Table32[[#This Row],[Residential Incentive Disbursements]]/'[2]1.) CLM Reference'!$B$5</f>
        <v>0</v>
      </c>
      <c r="L83" s="88">
        <v>19630.0101</v>
      </c>
      <c r="M83" s="197">
        <f>[2]!Table32[[#This Row],[C&amp;I CLM $ Collected]]/'[2]1.) CLM Reference'!$B$4</f>
        <v>6.7455659339210237E-4</v>
      </c>
      <c r="N83" s="89">
        <v>139005</v>
      </c>
      <c r="O83" s="198">
        <f>[2]!Table32[[#This Row],[C&amp;I Incentive Disbursements]]/'[2]1.) CLM Reference'!$B$5</f>
        <v>8.2736205899443891E-3</v>
      </c>
      <c r="P83" t="str">
        <f>VLOOKUP(Table325[[#This Row],[Census Tract]],'UI EnergyBurden'!$A$2:$B$184,2,FALSE)</f>
        <v>No</v>
      </c>
      <c r="Q83">
        <f>VLOOKUP(Table325[[#This Row],[Census Tract]],'Population and Diversity Data'!B79:K900,10,FALSE)</f>
        <v>2</v>
      </c>
    </row>
    <row r="84" spans="1:17" x14ac:dyDescent="0.2">
      <c r="A84" s="229">
        <v>9001257200</v>
      </c>
      <c r="B84" s="5" t="s">
        <v>934</v>
      </c>
      <c r="C84" s="87" t="s">
        <v>944</v>
      </c>
      <c r="D84" s="88">
        <f>[2]!Table32[[#This Row],[Residential CLM $ Collected]]+[2]!Table32[[#This Row],[C&amp;I CLM $ Collected]]</f>
        <v>153837.17310000001</v>
      </c>
      <c r="E84" s="197">
        <f>[2]!Table32[[#This Row],[CLM $ Collected ]]/'[2]1.) CLM Reference'!$B$4</f>
        <v>5.2863895074311343E-3</v>
      </c>
      <c r="F84" s="89">
        <f>[2]!Table32[[#This Row],[Residential Incentive Disbursements]]+[2]!Table32[[#This Row],[C&amp;I Incentive Disbursements]]</f>
        <v>39199</v>
      </c>
      <c r="G84" s="198">
        <f>[2]!Table32[[#This Row],[Incentive Disbursements]]/'[2]1.) CLM Reference'!$B$5</f>
        <v>2.3331366030375175E-3</v>
      </c>
      <c r="H84" s="88">
        <v>0</v>
      </c>
      <c r="I84" s="197">
        <f>[2]!Table32[[#This Row],[Residential CLM $ Collected]]/'[2]1.) CLM Reference'!$B$4</f>
        <v>0</v>
      </c>
      <c r="J84" s="89">
        <v>0</v>
      </c>
      <c r="K84" s="198">
        <f>[2]!Table32[[#This Row],[Residential Incentive Disbursements]]/'[2]1.) CLM Reference'!$B$5</f>
        <v>0</v>
      </c>
      <c r="L84" s="88">
        <v>153837.17310000001</v>
      </c>
      <c r="M84" s="197">
        <f>[2]!Table32[[#This Row],[C&amp;I CLM $ Collected]]/'[2]1.) CLM Reference'!$B$4</f>
        <v>5.2863895074311343E-3</v>
      </c>
      <c r="N84" s="89">
        <v>39199</v>
      </c>
      <c r="O84" s="198">
        <f>[2]!Table32[[#This Row],[C&amp;I Incentive Disbursements]]/'[2]1.) CLM Reference'!$B$5</f>
        <v>2.3331366030375175E-3</v>
      </c>
      <c r="P84" t="str">
        <f>VLOOKUP(Table325[[#This Row],[Census Tract]],'UI EnergyBurden'!$A$2:$B$184,2,FALSE)</f>
        <v>Yes</v>
      </c>
      <c r="Q84">
        <f>VLOOKUP(Table325[[#This Row],[Census Tract]],'Population and Diversity Data'!B80:K901,10,FALSE)</f>
        <v>4</v>
      </c>
    </row>
    <row r="85" spans="1:17" x14ac:dyDescent="0.2">
      <c r="A85" s="229">
        <v>9009120100</v>
      </c>
      <c r="B85" s="5" t="s">
        <v>2992</v>
      </c>
      <c r="C85" s="87" t="s">
        <v>944</v>
      </c>
      <c r="D85" s="88">
        <f>[2]!Table32[[#This Row],[Residential CLM $ Collected]]+[2]!Table32[[#This Row],[C&amp;I CLM $ Collected]]</f>
        <v>31654.256600000001</v>
      </c>
      <c r="E85" s="197">
        <f>[2]!Table32[[#This Row],[CLM $ Collected ]]/'[2]1.) CLM Reference'!$B$4</f>
        <v>1.0877522420864917E-3</v>
      </c>
      <c r="F85" s="89">
        <f>[2]!Table32[[#This Row],[Residential Incentive Disbursements]]+[2]!Table32[[#This Row],[C&amp;I Incentive Disbursements]]</f>
        <v>10957</v>
      </c>
      <c r="G85" s="198">
        <f>[2]!Table32[[#This Row],[Incentive Disbursements]]/'[2]1.) CLM Reference'!$B$5</f>
        <v>6.5216402866098819E-4</v>
      </c>
      <c r="H85" s="88">
        <v>0</v>
      </c>
      <c r="I85" s="197">
        <f>[2]!Table32[[#This Row],[Residential CLM $ Collected]]/'[2]1.) CLM Reference'!$B$4</f>
        <v>0</v>
      </c>
      <c r="J85" s="89">
        <v>0</v>
      </c>
      <c r="K85" s="198">
        <f>[2]!Table32[[#This Row],[Residential Incentive Disbursements]]/'[2]1.) CLM Reference'!$B$5</f>
        <v>0</v>
      </c>
      <c r="L85" s="88">
        <v>31654.256600000001</v>
      </c>
      <c r="M85" s="197">
        <f>[2]!Table32[[#This Row],[C&amp;I CLM $ Collected]]/'[2]1.) CLM Reference'!$B$4</f>
        <v>1.0877522420864917E-3</v>
      </c>
      <c r="N85" s="89">
        <v>10957</v>
      </c>
      <c r="O85" s="198">
        <f>[2]!Table32[[#This Row],[C&amp;I Incentive Disbursements]]/'[2]1.) CLM Reference'!$B$5</f>
        <v>6.5216402866098819E-4</v>
      </c>
      <c r="P85" t="str">
        <f>VLOOKUP(Table325[[#This Row],[Census Tract]],'UI EnergyBurden'!$A$2:$B$184,2,FALSE)</f>
        <v>No</v>
      </c>
      <c r="Q85">
        <f>VLOOKUP(Table325[[#This Row],[Census Tract]],'Population and Diversity Data'!B81:K902,10,FALSE)</f>
        <v>2</v>
      </c>
    </row>
    <row r="86" spans="1:17" x14ac:dyDescent="0.2">
      <c r="A86" s="229">
        <v>9009120200</v>
      </c>
      <c r="B86" s="5" t="s">
        <v>2992</v>
      </c>
      <c r="C86" s="87" t="s">
        <v>944</v>
      </c>
      <c r="D86" s="88">
        <f>[2]!Table32[[#This Row],[Residential CLM $ Collected]]+[2]!Table32[[#This Row],[C&amp;I CLM $ Collected]]</f>
        <v>118643.1523</v>
      </c>
      <c r="E86" s="197">
        <f>[2]!Table32[[#This Row],[CLM $ Collected ]]/'[2]1.) CLM Reference'!$B$4</f>
        <v>4.0769984445799337E-3</v>
      </c>
      <c r="F86" s="89">
        <f>[2]!Table32[[#This Row],[Residential Incentive Disbursements]]+[2]!Table32[[#This Row],[C&amp;I Incentive Disbursements]]</f>
        <v>1084</v>
      </c>
      <c r="G86" s="198">
        <f>[2]!Table32[[#This Row],[Incentive Disbursements]]/'[2]1.) CLM Reference'!$B$5</f>
        <v>6.4520015247650933E-5</v>
      </c>
      <c r="H86" s="88">
        <v>0</v>
      </c>
      <c r="I86" s="197">
        <f>[2]!Table32[[#This Row],[Residential CLM $ Collected]]/'[2]1.) CLM Reference'!$B$4</f>
        <v>0</v>
      </c>
      <c r="J86" s="89">
        <v>0</v>
      </c>
      <c r="K86" s="198">
        <f>[2]!Table32[[#This Row],[Residential Incentive Disbursements]]/'[2]1.) CLM Reference'!$B$5</f>
        <v>0</v>
      </c>
      <c r="L86" s="88">
        <v>118643.1523</v>
      </c>
      <c r="M86" s="197">
        <f>[2]!Table32[[#This Row],[C&amp;I CLM $ Collected]]/'[2]1.) CLM Reference'!$B$4</f>
        <v>4.0769984445799337E-3</v>
      </c>
      <c r="N86" s="89">
        <v>1084</v>
      </c>
      <c r="O86" s="198">
        <f>[2]!Table32[[#This Row],[C&amp;I Incentive Disbursements]]/'[2]1.) CLM Reference'!$B$5</f>
        <v>6.4520015247650933E-5</v>
      </c>
      <c r="P86" t="str">
        <f>VLOOKUP(Table325[[#This Row],[Census Tract]],'UI EnergyBurden'!$A$2:$B$184,2,FALSE)</f>
        <v>Yes</v>
      </c>
      <c r="Q86">
        <f>VLOOKUP(Table325[[#This Row],[Census Tract]],'Population and Diversity Data'!B82:K903,10,FALSE)</f>
        <v>4</v>
      </c>
    </row>
    <row r="87" spans="1:17" x14ac:dyDescent="0.2">
      <c r="A87" s="229">
        <v>9009125100</v>
      </c>
      <c r="B87" s="5" t="s">
        <v>2991</v>
      </c>
      <c r="C87" s="87" t="s">
        <v>944</v>
      </c>
      <c r="D87" s="88">
        <f>[2]!Table32[[#This Row],[Residential CLM $ Collected]]+[2]!Table32[[#This Row],[C&amp;I CLM $ Collected]]</f>
        <v>30307.9912</v>
      </c>
      <c r="E87" s="197">
        <f>[2]!Table32[[#This Row],[CLM $ Collected ]]/'[2]1.) CLM Reference'!$B$4</f>
        <v>1.0414898001723299E-3</v>
      </c>
      <c r="F87" s="89">
        <f>[2]!Table32[[#This Row],[Residential Incentive Disbursements]]+[2]!Table32[[#This Row],[C&amp;I Incentive Disbursements]]</f>
        <v>0</v>
      </c>
      <c r="G87" s="198">
        <f>[2]!Table32[[#This Row],[Incentive Disbursements]]/'[2]1.) CLM Reference'!$B$5</f>
        <v>0</v>
      </c>
      <c r="H87" s="88">
        <v>0</v>
      </c>
      <c r="I87" s="197">
        <f>[2]!Table32[[#This Row],[Residential CLM $ Collected]]/'[2]1.) CLM Reference'!$B$4</f>
        <v>0</v>
      </c>
      <c r="J87" s="89">
        <v>0</v>
      </c>
      <c r="K87" s="198">
        <f>[2]!Table32[[#This Row],[Residential Incentive Disbursements]]/'[2]1.) CLM Reference'!$B$5</f>
        <v>0</v>
      </c>
      <c r="L87" s="88">
        <v>30307.9912</v>
      </c>
      <c r="M87" s="197">
        <f>[2]!Table32[[#This Row],[C&amp;I CLM $ Collected]]/'[2]1.) CLM Reference'!$B$4</f>
        <v>1.0414898001723299E-3</v>
      </c>
      <c r="N87" s="89">
        <v>0</v>
      </c>
      <c r="O87" s="198">
        <f>[2]!Table32[[#This Row],[C&amp;I Incentive Disbursements]]/'[2]1.) CLM Reference'!$B$5</f>
        <v>0</v>
      </c>
      <c r="P87" t="str">
        <f>VLOOKUP(Table325[[#This Row],[Census Tract]],'UI EnergyBurden'!$A$2:$B$184,2,FALSE)</f>
        <v>No</v>
      </c>
      <c r="Q87">
        <f>VLOOKUP(Table325[[#This Row],[Census Tract]],'Population and Diversity Data'!B83:K904,10,FALSE)</f>
        <v>1</v>
      </c>
    </row>
    <row r="88" spans="1:17" x14ac:dyDescent="0.2">
      <c r="A88" s="229">
        <v>9009125200</v>
      </c>
      <c r="B88" s="5" t="s">
        <v>2991</v>
      </c>
      <c r="C88" s="87" t="s">
        <v>944</v>
      </c>
      <c r="D88" s="88">
        <f>[2]!Table32[[#This Row],[Residential CLM $ Collected]]+[2]!Table32[[#This Row],[C&amp;I CLM $ Collected]]</f>
        <v>21318.6878</v>
      </c>
      <c r="E88" s="197">
        <f>[2]!Table32[[#This Row],[CLM $ Collected ]]/'[2]1.) CLM Reference'!$B$4</f>
        <v>7.3258553330839984E-4</v>
      </c>
      <c r="F88" s="89">
        <f>[2]!Table32[[#This Row],[Residential Incentive Disbursements]]+[2]!Table32[[#This Row],[C&amp;I Incentive Disbursements]]</f>
        <v>0</v>
      </c>
      <c r="G88" s="198">
        <f>[2]!Table32[[#This Row],[Incentive Disbursements]]/'[2]1.) CLM Reference'!$B$5</f>
        <v>0</v>
      </c>
      <c r="H88" s="88">
        <v>0</v>
      </c>
      <c r="I88" s="197">
        <f>[2]!Table32[[#This Row],[Residential CLM $ Collected]]/'[2]1.) CLM Reference'!$B$4</f>
        <v>0</v>
      </c>
      <c r="J88" s="89">
        <v>0</v>
      </c>
      <c r="K88" s="198">
        <f>[2]!Table32[[#This Row],[Residential Incentive Disbursements]]/'[2]1.) CLM Reference'!$B$5</f>
        <v>0</v>
      </c>
      <c r="L88" s="88">
        <v>21318.6878</v>
      </c>
      <c r="M88" s="197">
        <f>[2]!Table32[[#This Row],[C&amp;I CLM $ Collected]]/'[2]1.) CLM Reference'!$B$4</f>
        <v>7.3258553330839984E-4</v>
      </c>
      <c r="N88" s="89">
        <v>0</v>
      </c>
      <c r="O88" s="198">
        <f>[2]!Table32[[#This Row],[C&amp;I Incentive Disbursements]]/'[2]1.) CLM Reference'!$B$5</f>
        <v>0</v>
      </c>
      <c r="P88" t="str">
        <f>VLOOKUP(Table325[[#This Row],[Census Tract]],'UI EnergyBurden'!$A$2:$B$184,2,FALSE)</f>
        <v>No</v>
      </c>
      <c r="Q88">
        <f>VLOOKUP(Table325[[#This Row],[Census Tract]],'Population and Diversity Data'!B84:K905,10,FALSE)</f>
        <v>3</v>
      </c>
    </row>
    <row r="89" spans="1:17" x14ac:dyDescent="0.2">
      <c r="A89" s="229">
        <v>9009125300</v>
      </c>
      <c r="B89" s="5" t="s">
        <v>2991</v>
      </c>
      <c r="C89" s="87" t="s">
        <v>936</v>
      </c>
      <c r="D89" s="88">
        <f>[2]!Table32[[#This Row],[Residential CLM $ Collected]]+[2]!Table32[[#This Row],[C&amp;I CLM $ Collected]]</f>
        <v>48303.706700000002</v>
      </c>
      <c r="E89" s="197">
        <f>[2]!Table32[[#This Row],[CLM $ Collected ]]/'[2]1.) CLM Reference'!$B$4</f>
        <v>1.6598862493587445E-3</v>
      </c>
      <c r="F89" s="89">
        <f>[2]!Table32[[#This Row],[Residential Incentive Disbursements]]+[2]!Table32[[#This Row],[C&amp;I Incentive Disbursements]]</f>
        <v>7789</v>
      </c>
      <c r="G89" s="198">
        <f>[2]!Table32[[#This Row],[Incentive Disbursements]]/'[2]1.) CLM Reference'!$B$5</f>
        <v>4.6360368889663569E-4</v>
      </c>
      <c r="H89" s="88">
        <v>0</v>
      </c>
      <c r="I89" s="197">
        <f>[2]!Table32[[#This Row],[Residential CLM $ Collected]]/'[2]1.) CLM Reference'!$B$4</f>
        <v>0</v>
      </c>
      <c r="J89" s="89">
        <v>0</v>
      </c>
      <c r="K89" s="198">
        <f>[2]!Table32[[#This Row],[Residential Incentive Disbursements]]/'[2]1.) CLM Reference'!$B$5</f>
        <v>0</v>
      </c>
      <c r="L89" s="88">
        <v>48303.706700000002</v>
      </c>
      <c r="M89" s="197">
        <f>[2]!Table32[[#This Row],[C&amp;I CLM $ Collected]]/'[2]1.) CLM Reference'!$B$4</f>
        <v>1.6598862493587445E-3</v>
      </c>
      <c r="N89" s="89">
        <v>7789</v>
      </c>
      <c r="O89" s="198">
        <f>[2]!Table32[[#This Row],[C&amp;I Incentive Disbursements]]/'[2]1.) CLM Reference'!$B$5</f>
        <v>4.6360368889663569E-4</v>
      </c>
      <c r="P89" t="str">
        <f>VLOOKUP(Table325[[#This Row],[Census Tract]],'UI EnergyBurden'!$A$2:$B$184,2,FALSE)</f>
        <v>No</v>
      </c>
      <c r="Q89">
        <f>VLOOKUP(Table325[[#This Row],[Census Tract]],'Population and Diversity Data'!B85:K906,10,FALSE)</f>
        <v>5</v>
      </c>
    </row>
    <row r="90" spans="1:17" x14ac:dyDescent="0.2">
      <c r="A90" s="229">
        <v>9009125400</v>
      </c>
      <c r="B90" s="5" t="s">
        <v>2991</v>
      </c>
      <c r="C90" s="87" t="s">
        <v>944</v>
      </c>
      <c r="D90" s="88">
        <f>[2]!Table32[[#This Row],[Residential CLM $ Collected]]+[2]!Table32[[#This Row],[C&amp;I CLM $ Collected]]</f>
        <v>19413.7742</v>
      </c>
      <c r="E90" s="197">
        <f>[2]!Table32[[#This Row],[CLM $ Collected ]]/'[2]1.) CLM Reference'!$B$4</f>
        <v>6.6712596287637615E-4</v>
      </c>
      <c r="F90" s="89">
        <f>[2]!Table32[[#This Row],[Residential Incentive Disbursements]]+[2]!Table32[[#This Row],[C&amp;I Incentive Disbursements]]</f>
        <v>150</v>
      </c>
      <c r="G90" s="198">
        <f>[2]!Table32[[#This Row],[Incentive Disbursements]]/'[2]1.) CLM Reference'!$B$5</f>
        <v>8.928046390357601E-6</v>
      </c>
      <c r="H90" s="88">
        <v>0</v>
      </c>
      <c r="I90" s="197">
        <f>[2]!Table32[[#This Row],[Residential CLM $ Collected]]/'[2]1.) CLM Reference'!$B$4</f>
        <v>0</v>
      </c>
      <c r="J90" s="89">
        <v>0</v>
      </c>
      <c r="K90" s="198">
        <f>[2]!Table32[[#This Row],[Residential Incentive Disbursements]]/'[2]1.) CLM Reference'!$B$5</f>
        <v>0</v>
      </c>
      <c r="L90" s="88">
        <v>19413.7742</v>
      </c>
      <c r="M90" s="197">
        <f>[2]!Table32[[#This Row],[C&amp;I CLM $ Collected]]/'[2]1.) CLM Reference'!$B$4</f>
        <v>6.6712596287637615E-4</v>
      </c>
      <c r="N90" s="89">
        <v>150</v>
      </c>
      <c r="O90" s="198">
        <f>[2]!Table32[[#This Row],[C&amp;I Incentive Disbursements]]/'[2]1.) CLM Reference'!$B$5</f>
        <v>8.928046390357601E-6</v>
      </c>
      <c r="P90" t="str">
        <f>VLOOKUP(Table325[[#This Row],[Census Tract]],'UI EnergyBurden'!$A$2:$B$184,2,FALSE)</f>
        <v>No</v>
      </c>
      <c r="Q90">
        <f>VLOOKUP(Table325[[#This Row],[Census Tract]],'Population and Diversity Data'!B86:K907,10,FALSE)</f>
        <v>3</v>
      </c>
    </row>
    <row r="91" spans="1:17" x14ac:dyDescent="0.2">
      <c r="A91" s="229">
        <v>9009140100</v>
      </c>
      <c r="B91" s="5" t="s">
        <v>943</v>
      </c>
      <c r="C91" s="87" t="s">
        <v>936</v>
      </c>
      <c r="D91" s="88">
        <f>[2]!Table32[[#This Row],[Residential CLM $ Collected]]+[2]!Table32[[#This Row],[C&amp;I CLM $ Collected]]</f>
        <v>620841.98750000005</v>
      </c>
      <c r="E91" s="197">
        <f>[2]!Table32[[#This Row],[CLM $ Collected ]]/'[2]1.) CLM Reference'!$B$4</f>
        <v>2.1334327083345834E-2</v>
      </c>
      <c r="F91" s="89">
        <f>[2]!Table32[[#This Row],[Residential Incentive Disbursements]]+[2]!Table32[[#This Row],[C&amp;I Incentive Disbursements]]</f>
        <v>90664</v>
      </c>
      <c r="G91" s="198">
        <f>[2]!Table32[[#This Row],[Incentive Disbursements]]/'[2]1.) CLM Reference'!$B$5</f>
        <v>5.3963493195692104E-3</v>
      </c>
      <c r="H91" s="88">
        <v>0</v>
      </c>
      <c r="I91" s="197">
        <f>[2]!Table32[[#This Row],[Residential CLM $ Collected]]/'[2]1.) CLM Reference'!$B$4</f>
        <v>0</v>
      </c>
      <c r="J91" s="89">
        <v>0</v>
      </c>
      <c r="K91" s="198">
        <f>[2]!Table32[[#This Row],[Residential Incentive Disbursements]]/'[2]1.) CLM Reference'!$B$5</f>
        <v>0</v>
      </c>
      <c r="L91" s="88">
        <v>620841.98750000005</v>
      </c>
      <c r="M91" s="197">
        <f>[2]!Table32[[#This Row],[C&amp;I CLM $ Collected]]/'[2]1.) CLM Reference'!$B$4</f>
        <v>2.1334327083345834E-2</v>
      </c>
      <c r="N91" s="89">
        <v>90664</v>
      </c>
      <c r="O91" s="198">
        <f>[2]!Table32[[#This Row],[C&amp;I Incentive Disbursements]]/'[2]1.) CLM Reference'!$B$5</f>
        <v>5.3963493195692104E-3</v>
      </c>
      <c r="P91" t="str">
        <f>VLOOKUP(Table325[[#This Row],[Census Tract]],'UI EnergyBurden'!$A$2:$B$184,2,FALSE)</f>
        <v>No</v>
      </c>
      <c r="Q91">
        <f>VLOOKUP(Table325[[#This Row],[Census Tract]],'Population and Diversity Data'!B87:K908,10,FALSE)</f>
        <v>5</v>
      </c>
    </row>
    <row r="92" spans="1:17" x14ac:dyDescent="0.2">
      <c r="A92" s="229">
        <v>9009140200</v>
      </c>
      <c r="B92" s="5" t="s">
        <v>943</v>
      </c>
      <c r="C92" s="87" t="s">
        <v>936</v>
      </c>
      <c r="D92" s="88">
        <f>[2]!Table32[[#This Row],[Residential CLM $ Collected]]+[2]!Table32[[#This Row],[C&amp;I CLM $ Collected]]</f>
        <v>440777.92950000003</v>
      </c>
      <c r="E92" s="197">
        <f>[2]!Table32[[#This Row],[CLM $ Collected ]]/'[2]1.) CLM Reference'!$B$4</f>
        <v>1.5146689026204032E-2</v>
      </c>
      <c r="F92" s="89">
        <f>[2]!Table32[[#This Row],[Residential Incentive Disbursements]]+[2]!Table32[[#This Row],[C&amp;I Incentive Disbursements]]</f>
        <v>74388.570000000007</v>
      </c>
      <c r="G92" s="198">
        <f>[2]!Table32[[#This Row],[Incentive Disbursements]]/'[2]1.) CLM Reference'!$B$5</f>
        <v>4.4276306924824248E-3</v>
      </c>
      <c r="H92" s="88">
        <v>18545.705000000002</v>
      </c>
      <c r="I92" s="197">
        <f>[2]!Table32[[#This Row],[Residential CLM $ Collected]]/'[2]1.) CLM Reference'!$B$4</f>
        <v>6.3729603413983384E-4</v>
      </c>
      <c r="J92" s="89">
        <v>0</v>
      </c>
      <c r="K92" s="198">
        <f>[2]!Table32[[#This Row],[Residential Incentive Disbursements]]/'[2]1.) CLM Reference'!$B$5</f>
        <v>0</v>
      </c>
      <c r="L92" s="88">
        <v>422232.22450000001</v>
      </c>
      <c r="M92" s="197">
        <f>[2]!Table32[[#This Row],[C&amp;I CLM $ Collected]]/'[2]1.) CLM Reference'!$B$4</f>
        <v>1.4509392992064198E-2</v>
      </c>
      <c r="N92" s="89">
        <v>74388.570000000007</v>
      </c>
      <c r="O92" s="198">
        <f>[2]!Table32[[#This Row],[C&amp;I Incentive Disbursements]]/'[2]1.) CLM Reference'!$B$5</f>
        <v>4.4276306924824248E-3</v>
      </c>
      <c r="P92" t="str">
        <f>VLOOKUP(Table325[[#This Row],[Census Tract]],'UI EnergyBurden'!$A$2:$B$184,2,FALSE)</f>
        <v>Yes</v>
      </c>
      <c r="Q92">
        <f>VLOOKUP(Table325[[#This Row],[Census Tract]],'Population and Diversity Data'!B88:K909,10,FALSE)</f>
        <v>3</v>
      </c>
    </row>
    <row r="93" spans="1:17" x14ac:dyDescent="0.2">
      <c r="A93" s="229">
        <v>9009140300</v>
      </c>
      <c r="B93" s="5" t="s">
        <v>943</v>
      </c>
      <c r="C93" s="87" t="s">
        <v>936</v>
      </c>
      <c r="D93" s="88">
        <f>[2]!Table32[[#This Row],[Residential CLM $ Collected]]+[2]!Table32[[#This Row],[C&amp;I CLM $ Collected]]</f>
        <v>396586.79239999998</v>
      </c>
      <c r="E93" s="197">
        <f>[2]!Table32[[#This Row],[CLM $ Collected ]]/'[2]1.) CLM Reference'!$B$4</f>
        <v>1.3628125217604698E-2</v>
      </c>
      <c r="F93" s="89">
        <f>[2]!Table32[[#This Row],[Residential Incentive Disbursements]]+[2]!Table32[[#This Row],[C&amp;I Incentive Disbursements]]</f>
        <v>344</v>
      </c>
      <c r="G93" s="198">
        <f>[2]!Table32[[#This Row],[Incentive Disbursements]]/'[2]1.) CLM Reference'!$B$5</f>
        <v>2.0474986388553432E-5</v>
      </c>
      <c r="H93" s="88">
        <v>0</v>
      </c>
      <c r="I93" s="197">
        <f>[2]!Table32[[#This Row],[Residential CLM $ Collected]]/'[2]1.) CLM Reference'!$B$4</f>
        <v>0</v>
      </c>
      <c r="J93" s="89">
        <v>0</v>
      </c>
      <c r="K93" s="198">
        <f>[2]!Table32[[#This Row],[Residential Incentive Disbursements]]/'[2]1.) CLM Reference'!$B$5</f>
        <v>0</v>
      </c>
      <c r="L93" s="88">
        <v>396586.79239999998</v>
      </c>
      <c r="M93" s="197">
        <f>[2]!Table32[[#This Row],[C&amp;I CLM $ Collected]]/'[2]1.) CLM Reference'!$B$4</f>
        <v>1.3628125217604698E-2</v>
      </c>
      <c r="N93" s="89">
        <v>344</v>
      </c>
      <c r="O93" s="198">
        <f>[2]!Table32[[#This Row],[C&amp;I Incentive Disbursements]]/'[2]1.) CLM Reference'!$B$5</f>
        <v>2.0474986388553432E-5</v>
      </c>
      <c r="P93" t="str">
        <f>VLOOKUP(Table325[[#This Row],[Census Tract]],'UI EnergyBurden'!$A$2:$B$184,2,FALSE)</f>
        <v>Yes</v>
      </c>
      <c r="Q93">
        <f>VLOOKUP(Table325[[#This Row],[Census Tract]],'Population and Diversity Data'!B89:K910,10,FALSE)</f>
        <v>5</v>
      </c>
    </row>
    <row r="94" spans="1:17" x14ac:dyDescent="0.2">
      <c r="A94" s="229">
        <v>9009140400</v>
      </c>
      <c r="B94" s="5" t="s">
        <v>943</v>
      </c>
      <c r="C94" s="87" t="s">
        <v>936</v>
      </c>
      <c r="D94" s="88">
        <f>[2]!Table32[[#This Row],[Residential CLM $ Collected]]+[2]!Table32[[#This Row],[C&amp;I CLM $ Collected]]</f>
        <v>16626.321499999998</v>
      </c>
      <c r="E94" s="197">
        <f>[2]!Table32[[#This Row],[CLM $ Collected ]]/'[2]1.) CLM Reference'!$B$4</f>
        <v>5.7133922675270908E-4</v>
      </c>
      <c r="F94" s="89">
        <f>[2]!Table32[[#This Row],[Residential Incentive Disbursements]]+[2]!Table32[[#This Row],[C&amp;I Incentive Disbursements]]</f>
        <v>40</v>
      </c>
      <c r="G94" s="198">
        <f>[2]!Table32[[#This Row],[Incentive Disbursements]]/'[2]1.) CLM Reference'!$B$5</f>
        <v>2.3808123707620267E-6</v>
      </c>
      <c r="H94" s="88">
        <v>0</v>
      </c>
      <c r="I94" s="197">
        <f>[2]!Table32[[#This Row],[Residential CLM $ Collected]]/'[2]1.) CLM Reference'!$B$4</f>
        <v>0</v>
      </c>
      <c r="J94" s="89">
        <v>0</v>
      </c>
      <c r="K94" s="198">
        <f>[2]!Table32[[#This Row],[Residential Incentive Disbursements]]/'[2]1.) CLM Reference'!$B$5</f>
        <v>0</v>
      </c>
      <c r="L94" s="88">
        <v>16626.321499999998</v>
      </c>
      <c r="M94" s="197">
        <f>[2]!Table32[[#This Row],[C&amp;I CLM $ Collected]]/'[2]1.) CLM Reference'!$B$4</f>
        <v>5.7133922675270908E-4</v>
      </c>
      <c r="N94" s="89">
        <v>40</v>
      </c>
      <c r="O94" s="198">
        <f>[2]!Table32[[#This Row],[C&amp;I Incentive Disbursements]]/'[2]1.) CLM Reference'!$B$5</f>
        <v>2.3808123707620267E-6</v>
      </c>
      <c r="P94" t="str">
        <f>VLOOKUP(Table325[[#This Row],[Census Tract]],'UI EnergyBurden'!$A$2:$B$184,2,FALSE)</f>
        <v>No</v>
      </c>
      <c r="Q94">
        <f>VLOOKUP(Table325[[#This Row],[Census Tract]],'Population and Diversity Data'!B90:K911,10,FALSE)</f>
        <v>5</v>
      </c>
    </row>
    <row r="95" spans="1:17" x14ac:dyDescent="0.2">
      <c r="A95" s="229">
        <v>9009140500</v>
      </c>
      <c r="B95" s="5" t="s">
        <v>943</v>
      </c>
      <c r="C95" s="87" t="s">
        <v>936</v>
      </c>
      <c r="D95" s="88">
        <f>[2]!Table32[[#This Row],[Residential CLM $ Collected]]+[2]!Table32[[#This Row],[C&amp;I CLM $ Collected]]</f>
        <v>20302.3325</v>
      </c>
      <c r="E95" s="197">
        <f>[2]!Table32[[#This Row],[CLM $ Collected ]]/'[2]1.) CLM Reference'!$B$4</f>
        <v>6.9765996957453253E-4</v>
      </c>
      <c r="F95" s="89">
        <f>[2]!Table32[[#This Row],[Residential Incentive Disbursements]]+[2]!Table32[[#This Row],[C&amp;I Incentive Disbursements]]</f>
        <v>100</v>
      </c>
      <c r="G95" s="198">
        <f>[2]!Table32[[#This Row],[Incentive Disbursements]]/'[2]1.) CLM Reference'!$B$5</f>
        <v>5.9520309269050671E-6</v>
      </c>
      <c r="H95" s="88">
        <v>0</v>
      </c>
      <c r="I95" s="197">
        <f>[2]!Table32[[#This Row],[Residential CLM $ Collected]]/'[2]1.) CLM Reference'!$B$4</f>
        <v>0</v>
      </c>
      <c r="J95" s="89">
        <v>0</v>
      </c>
      <c r="K95" s="198">
        <f>[2]!Table32[[#This Row],[Residential Incentive Disbursements]]/'[2]1.) CLM Reference'!$B$5</f>
        <v>0</v>
      </c>
      <c r="L95" s="88">
        <v>20302.3325</v>
      </c>
      <c r="M95" s="197">
        <f>[2]!Table32[[#This Row],[C&amp;I CLM $ Collected]]/'[2]1.) CLM Reference'!$B$4</f>
        <v>6.9765996957453253E-4</v>
      </c>
      <c r="N95" s="89">
        <v>100</v>
      </c>
      <c r="O95" s="198">
        <f>[2]!Table32[[#This Row],[C&amp;I Incentive Disbursements]]/'[2]1.) CLM Reference'!$B$5</f>
        <v>5.9520309269050671E-6</v>
      </c>
      <c r="P95" t="str">
        <f>VLOOKUP(Table325[[#This Row],[Census Tract]],'UI EnergyBurden'!$A$2:$B$184,2,FALSE)</f>
        <v>Yes</v>
      </c>
      <c r="Q95">
        <f>VLOOKUP(Table325[[#This Row],[Census Tract]],'Population and Diversity Data'!B91:K912,10,FALSE)</f>
        <v>5</v>
      </c>
    </row>
    <row r="96" spans="1:17" x14ac:dyDescent="0.2">
      <c r="A96" s="229">
        <v>9009140600</v>
      </c>
      <c r="B96" s="5" t="s">
        <v>943</v>
      </c>
      <c r="C96" s="87" t="s">
        <v>936</v>
      </c>
      <c r="D96" s="88">
        <f>[2]!Table32[[#This Row],[Residential CLM $ Collected]]+[2]!Table32[[#This Row],[C&amp;I CLM $ Collected]]</f>
        <v>62155.3321</v>
      </c>
      <c r="E96" s="197">
        <f>[2]!Table32[[#This Row],[CLM $ Collected ]]/'[2]1.) CLM Reference'!$B$4</f>
        <v>2.1358771018936355E-3</v>
      </c>
      <c r="F96" s="89">
        <f>[2]!Table32[[#This Row],[Residential Incentive Disbursements]]+[2]!Table32[[#This Row],[C&amp;I Incentive Disbursements]]</f>
        <v>0</v>
      </c>
      <c r="G96" s="198">
        <f>[2]!Table32[[#This Row],[Incentive Disbursements]]/'[2]1.) CLM Reference'!$B$5</f>
        <v>0</v>
      </c>
      <c r="H96" s="88">
        <v>0</v>
      </c>
      <c r="I96" s="197">
        <f>[2]!Table32[[#This Row],[Residential CLM $ Collected]]/'[2]1.) CLM Reference'!$B$4</f>
        <v>0</v>
      </c>
      <c r="J96" s="89">
        <v>0</v>
      </c>
      <c r="K96" s="198">
        <f>[2]!Table32[[#This Row],[Residential Incentive Disbursements]]/'[2]1.) CLM Reference'!$B$5</f>
        <v>0</v>
      </c>
      <c r="L96" s="88">
        <v>62155.3321</v>
      </c>
      <c r="M96" s="197">
        <f>[2]!Table32[[#This Row],[C&amp;I CLM $ Collected]]/'[2]1.) CLM Reference'!$B$4</f>
        <v>2.1358771018936355E-3</v>
      </c>
      <c r="N96" s="89">
        <v>0</v>
      </c>
      <c r="O96" s="198">
        <f>[2]!Table32[[#This Row],[C&amp;I Incentive Disbursements]]/'[2]1.) CLM Reference'!$B$5</f>
        <v>0</v>
      </c>
      <c r="P96" t="str">
        <f>VLOOKUP(Table325[[#This Row],[Census Tract]],'UI EnergyBurden'!$A$2:$B$184,2,FALSE)</f>
        <v>Yes</v>
      </c>
      <c r="Q96">
        <f>VLOOKUP(Table325[[#This Row],[Census Tract]],'Population and Diversity Data'!B92:K913,10,FALSE)</f>
        <v>5</v>
      </c>
    </row>
    <row r="97" spans="1:17" x14ac:dyDescent="0.2">
      <c r="A97" s="229">
        <v>9009140700</v>
      </c>
      <c r="B97" s="5" t="s">
        <v>943</v>
      </c>
      <c r="C97" s="87" t="s">
        <v>936</v>
      </c>
      <c r="D97" s="88">
        <f>[2]!Table32[[#This Row],[Residential CLM $ Collected]]+[2]!Table32[[#This Row],[C&amp;I CLM $ Collected]]</f>
        <v>54912.122300000003</v>
      </c>
      <c r="E97" s="197">
        <f>[2]!Table32[[#This Row],[CLM $ Collected ]]/'[2]1.) CLM Reference'!$B$4</f>
        <v>1.886974788393945E-3</v>
      </c>
      <c r="F97" s="89">
        <f>[2]!Table32[[#This Row],[Residential Incentive Disbursements]]+[2]!Table32[[#This Row],[C&amp;I Incentive Disbursements]]</f>
        <v>0</v>
      </c>
      <c r="G97" s="198">
        <f>[2]!Table32[[#This Row],[Incentive Disbursements]]/'[2]1.) CLM Reference'!$B$5</f>
        <v>0</v>
      </c>
      <c r="H97" s="88">
        <v>0</v>
      </c>
      <c r="I97" s="197">
        <f>[2]!Table32[[#This Row],[Residential CLM $ Collected]]/'[2]1.) CLM Reference'!$B$4</f>
        <v>0</v>
      </c>
      <c r="J97" s="89">
        <v>0</v>
      </c>
      <c r="K97" s="198">
        <f>[2]!Table32[[#This Row],[Residential Incentive Disbursements]]/'[2]1.) CLM Reference'!$B$5</f>
        <v>0</v>
      </c>
      <c r="L97" s="88">
        <v>54912.122300000003</v>
      </c>
      <c r="M97" s="197">
        <f>[2]!Table32[[#This Row],[C&amp;I CLM $ Collected]]/'[2]1.) CLM Reference'!$B$4</f>
        <v>1.886974788393945E-3</v>
      </c>
      <c r="N97" s="89">
        <v>0</v>
      </c>
      <c r="O97" s="198">
        <f>[2]!Table32[[#This Row],[C&amp;I Incentive Disbursements]]/'[2]1.) CLM Reference'!$B$5</f>
        <v>0</v>
      </c>
      <c r="P97" t="str">
        <f>VLOOKUP(Table325[[#This Row],[Census Tract]],'UI EnergyBurden'!$A$2:$B$184,2,FALSE)</f>
        <v>No</v>
      </c>
      <c r="Q97">
        <f>VLOOKUP(Table325[[#This Row],[Census Tract]],'Population and Diversity Data'!B93:K914,10,FALSE)</f>
        <v>5</v>
      </c>
    </row>
    <row r="98" spans="1:17" x14ac:dyDescent="0.2">
      <c r="A98" s="229">
        <v>9009140800</v>
      </c>
      <c r="B98" s="5" t="s">
        <v>943</v>
      </c>
      <c r="C98" s="87" t="s">
        <v>936</v>
      </c>
      <c r="D98" s="88">
        <f>[2]!Table32[[#This Row],[Residential CLM $ Collected]]+[2]!Table32[[#This Row],[C&amp;I CLM $ Collected]]</f>
        <v>167440.6943</v>
      </c>
      <c r="E98" s="197">
        <f>[2]!Table32[[#This Row],[CLM $ Collected ]]/'[2]1.) CLM Reference'!$B$4</f>
        <v>5.7538546219197528E-3</v>
      </c>
      <c r="F98" s="89">
        <f>[2]!Table32[[#This Row],[Residential Incentive Disbursements]]+[2]!Table32[[#This Row],[C&amp;I Incentive Disbursements]]</f>
        <v>0</v>
      </c>
      <c r="G98" s="198">
        <f>[2]!Table32[[#This Row],[Incentive Disbursements]]/'[2]1.) CLM Reference'!$B$5</f>
        <v>0</v>
      </c>
      <c r="H98" s="88">
        <v>618.14779999999996</v>
      </c>
      <c r="I98" s="197">
        <f>[2]!Table32[[#This Row],[Residential CLM $ Collected]]/'[2]1.) CLM Reference'!$B$4</f>
        <v>2.1241745269444494E-5</v>
      </c>
      <c r="J98" s="89">
        <v>0</v>
      </c>
      <c r="K98" s="198">
        <f>[2]!Table32[[#This Row],[Residential Incentive Disbursements]]/'[2]1.) CLM Reference'!$B$5</f>
        <v>0</v>
      </c>
      <c r="L98" s="88">
        <v>166822.5465</v>
      </c>
      <c r="M98" s="197">
        <f>[2]!Table32[[#This Row],[C&amp;I CLM $ Collected]]/'[2]1.) CLM Reference'!$B$4</f>
        <v>5.7326128766503077E-3</v>
      </c>
      <c r="N98" s="89">
        <v>0</v>
      </c>
      <c r="O98" s="198">
        <f>[2]!Table32[[#This Row],[C&amp;I Incentive Disbursements]]/'[2]1.) CLM Reference'!$B$5</f>
        <v>0</v>
      </c>
      <c r="P98" t="str">
        <f>VLOOKUP(Table325[[#This Row],[Census Tract]],'UI EnergyBurden'!$A$2:$B$184,2,FALSE)</f>
        <v>No</v>
      </c>
      <c r="Q98">
        <f>VLOOKUP(Table325[[#This Row],[Census Tract]],'Population and Diversity Data'!B94:K915,10,FALSE)</f>
        <v>4</v>
      </c>
    </row>
    <row r="99" spans="1:17" x14ac:dyDescent="0.2">
      <c r="A99" s="229">
        <v>9009140900</v>
      </c>
      <c r="B99" s="5" t="s">
        <v>943</v>
      </c>
      <c r="C99" s="87" t="s">
        <v>936</v>
      </c>
      <c r="D99" s="88">
        <f>[2]!Table32[[#This Row],[Residential CLM $ Collected]]+[2]!Table32[[#This Row],[C&amp;I CLM $ Collected]]</f>
        <v>3203.2554</v>
      </c>
      <c r="E99" s="197">
        <f>[2]!Table32[[#This Row],[CLM $ Collected ]]/'[2]1.) CLM Reference'!$B$4</f>
        <v>1.1007518790776661E-4</v>
      </c>
      <c r="F99" s="89">
        <f>[2]!Table32[[#This Row],[Residential Incentive Disbursements]]+[2]!Table32[[#This Row],[C&amp;I Incentive Disbursements]]</f>
        <v>0</v>
      </c>
      <c r="G99" s="198">
        <f>[2]!Table32[[#This Row],[Incentive Disbursements]]/'[2]1.) CLM Reference'!$B$5</f>
        <v>0</v>
      </c>
      <c r="H99" s="88">
        <v>0</v>
      </c>
      <c r="I99" s="197">
        <f>[2]!Table32[[#This Row],[Residential CLM $ Collected]]/'[2]1.) CLM Reference'!$B$4</f>
        <v>0</v>
      </c>
      <c r="J99" s="89">
        <v>0</v>
      </c>
      <c r="K99" s="198">
        <f>[2]!Table32[[#This Row],[Residential Incentive Disbursements]]/'[2]1.) CLM Reference'!$B$5</f>
        <v>0</v>
      </c>
      <c r="L99" s="88">
        <v>3203.2554</v>
      </c>
      <c r="M99" s="197">
        <f>[2]!Table32[[#This Row],[C&amp;I CLM $ Collected]]/'[2]1.) CLM Reference'!$B$4</f>
        <v>1.1007518790776661E-4</v>
      </c>
      <c r="N99" s="89">
        <v>0</v>
      </c>
      <c r="O99" s="198">
        <f>[2]!Table32[[#This Row],[C&amp;I Incentive Disbursements]]/'[2]1.) CLM Reference'!$B$5</f>
        <v>0</v>
      </c>
      <c r="P99" t="str">
        <f>VLOOKUP(Table325[[#This Row],[Census Tract]],'UI EnergyBurden'!$A$2:$B$184,2,FALSE)</f>
        <v>No</v>
      </c>
      <c r="Q99">
        <f>VLOOKUP(Table325[[#This Row],[Census Tract]],'Population and Diversity Data'!B95:K916,10,FALSE)</f>
        <v>3</v>
      </c>
    </row>
    <row r="100" spans="1:17" x14ac:dyDescent="0.2">
      <c r="A100" s="229">
        <v>9009141000</v>
      </c>
      <c r="B100" s="5" t="s">
        <v>943</v>
      </c>
      <c r="C100" s="87" t="s">
        <v>944</v>
      </c>
      <c r="D100" s="88">
        <f>[2]!Table32[[#This Row],[Residential CLM $ Collected]]+[2]!Table32[[#This Row],[C&amp;I CLM $ Collected]]</f>
        <v>10510.4792</v>
      </c>
      <c r="E100" s="197">
        <f>[2]!Table32[[#This Row],[CLM $ Collected ]]/'[2]1.) CLM Reference'!$B$4</f>
        <v>3.6117724891392437E-4</v>
      </c>
      <c r="F100" s="89">
        <f>[2]!Table32[[#This Row],[Residential Incentive Disbursements]]+[2]!Table32[[#This Row],[C&amp;I Incentive Disbursements]]</f>
        <v>70</v>
      </c>
      <c r="G100" s="198">
        <f>[2]!Table32[[#This Row],[Incentive Disbursements]]/'[2]1.) CLM Reference'!$B$5</f>
        <v>4.1664216488335467E-6</v>
      </c>
      <c r="H100" s="88">
        <v>0</v>
      </c>
      <c r="I100" s="197">
        <f>[2]!Table32[[#This Row],[Residential CLM $ Collected]]/'[2]1.) CLM Reference'!$B$4</f>
        <v>0</v>
      </c>
      <c r="J100" s="89">
        <v>0</v>
      </c>
      <c r="K100" s="198">
        <f>[2]!Table32[[#This Row],[Residential Incentive Disbursements]]/'[2]1.) CLM Reference'!$B$5</f>
        <v>0</v>
      </c>
      <c r="L100" s="88">
        <v>10510.4792</v>
      </c>
      <c r="M100" s="197">
        <f>[2]!Table32[[#This Row],[C&amp;I CLM $ Collected]]/'[2]1.) CLM Reference'!$B$4</f>
        <v>3.6117724891392437E-4</v>
      </c>
      <c r="N100" s="89">
        <v>70</v>
      </c>
      <c r="O100" s="198">
        <f>[2]!Table32[[#This Row],[C&amp;I Incentive Disbursements]]/'[2]1.) CLM Reference'!$B$5</f>
        <v>4.1664216488335467E-6</v>
      </c>
      <c r="P100" t="str">
        <f>VLOOKUP(Table325[[#This Row],[Census Tract]],'UI EnergyBurden'!$A$2:$B$184,2,FALSE)</f>
        <v>No</v>
      </c>
      <c r="Q100">
        <f>VLOOKUP(Table325[[#This Row],[Census Tract]],'Population and Diversity Data'!B96:K917,10,FALSE)</f>
        <v>4</v>
      </c>
    </row>
    <row r="101" spans="1:17" x14ac:dyDescent="0.2">
      <c r="A101" s="229">
        <v>9009141100</v>
      </c>
      <c r="B101" s="5" t="s">
        <v>943</v>
      </c>
      <c r="C101" s="87" t="s">
        <v>944</v>
      </c>
      <c r="D101" s="88">
        <f>[2]!Table32[[#This Row],[Residential CLM $ Collected]]+[2]!Table32[[#This Row],[C&amp;I CLM $ Collected]]</f>
        <v>16102.516600000001</v>
      </c>
      <c r="E101" s="197">
        <f>[2]!Table32[[#This Row],[CLM $ Collected ]]/'[2]1.) CLM Reference'!$B$4</f>
        <v>5.5333943729024267E-4</v>
      </c>
      <c r="F101" s="89">
        <f>[2]!Table32[[#This Row],[Residential Incentive Disbursements]]+[2]!Table32[[#This Row],[C&amp;I Incentive Disbursements]]</f>
        <v>0</v>
      </c>
      <c r="G101" s="198">
        <f>[2]!Table32[[#This Row],[Incentive Disbursements]]/'[2]1.) CLM Reference'!$B$5</f>
        <v>0</v>
      </c>
      <c r="H101" s="88">
        <v>0</v>
      </c>
      <c r="I101" s="197">
        <f>[2]!Table32[[#This Row],[Residential CLM $ Collected]]/'[2]1.) CLM Reference'!$B$4</f>
        <v>0</v>
      </c>
      <c r="J101" s="89">
        <v>0</v>
      </c>
      <c r="K101" s="198">
        <f>[2]!Table32[[#This Row],[Residential Incentive Disbursements]]/'[2]1.) CLM Reference'!$B$5</f>
        <v>0</v>
      </c>
      <c r="L101" s="88">
        <v>16102.516600000001</v>
      </c>
      <c r="M101" s="197">
        <f>[2]!Table32[[#This Row],[C&amp;I CLM $ Collected]]/'[2]1.) CLM Reference'!$B$4</f>
        <v>5.5333943729024267E-4</v>
      </c>
      <c r="N101" s="89">
        <v>0</v>
      </c>
      <c r="O101" s="198">
        <f>[2]!Table32[[#This Row],[C&amp;I Incentive Disbursements]]/'[2]1.) CLM Reference'!$B$5</f>
        <v>0</v>
      </c>
      <c r="P101" t="str">
        <f>VLOOKUP(Table325[[#This Row],[Census Tract]],'UI EnergyBurden'!$A$2:$B$184,2,FALSE)</f>
        <v>No</v>
      </c>
      <c r="Q101">
        <f>VLOOKUP(Table325[[#This Row],[Census Tract]],'Population and Diversity Data'!B97:K918,10,FALSE)</f>
        <v>4</v>
      </c>
    </row>
    <row r="102" spans="1:17" x14ac:dyDescent="0.2">
      <c r="A102" s="229">
        <v>9009141200</v>
      </c>
      <c r="B102" s="5" t="s">
        <v>943</v>
      </c>
      <c r="C102" s="87" t="s">
        <v>944</v>
      </c>
      <c r="D102" s="88">
        <f>[2]!Table32[[#This Row],[Residential CLM $ Collected]]+[2]!Table32[[#This Row],[C&amp;I CLM $ Collected]]</f>
        <v>36435.988100000002</v>
      </c>
      <c r="E102" s="197">
        <f>[2]!Table32[[#This Row],[CLM $ Collected ]]/'[2]1.) CLM Reference'!$B$4</f>
        <v>1.2520694530672291E-3</v>
      </c>
      <c r="F102" s="89">
        <f>[2]!Table32[[#This Row],[Residential Incentive Disbursements]]+[2]!Table32[[#This Row],[C&amp;I Incentive Disbursements]]</f>
        <v>15941.24</v>
      </c>
      <c r="G102" s="198">
        <f>[2]!Table32[[#This Row],[Incentive Disbursements]]/'[2]1.) CLM Reference'!$B$5</f>
        <v>9.4882753493216135E-4</v>
      </c>
      <c r="H102" s="88">
        <v>0</v>
      </c>
      <c r="I102" s="197">
        <f>[2]!Table32[[#This Row],[Residential CLM $ Collected]]/'[2]1.) CLM Reference'!$B$4</f>
        <v>0</v>
      </c>
      <c r="J102" s="89">
        <v>0</v>
      </c>
      <c r="K102" s="198">
        <f>[2]!Table32[[#This Row],[Residential Incentive Disbursements]]/'[2]1.) CLM Reference'!$B$5</f>
        <v>0</v>
      </c>
      <c r="L102" s="88">
        <v>36435.988100000002</v>
      </c>
      <c r="M102" s="197">
        <f>[2]!Table32[[#This Row],[C&amp;I CLM $ Collected]]/'[2]1.) CLM Reference'!$B$4</f>
        <v>1.2520694530672291E-3</v>
      </c>
      <c r="N102" s="89">
        <v>15941.24</v>
      </c>
      <c r="O102" s="198">
        <f>[2]!Table32[[#This Row],[C&amp;I Incentive Disbursements]]/'[2]1.) CLM Reference'!$B$5</f>
        <v>9.4882753493216135E-4</v>
      </c>
      <c r="P102" t="str">
        <f>VLOOKUP(Table325[[#This Row],[Census Tract]],'UI EnergyBurden'!$A$2:$B$184,2,FALSE)</f>
        <v>No</v>
      </c>
      <c r="Q102">
        <f>VLOOKUP(Table325[[#This Row],[Census Tract]],'Population and Diversity Data'!B98:K919,10,FALSE)</f>
        <v>5</v>
      </c>
    </row>
    <row r="103" spans="1:17" x14ac:dyDescent="0.2">
      <c r="A103" s="229">
        <v>9009141300</v>
      </c>
      <c r="B103" s="5" t="s">
        <v>943</v>
      </c>
      <c r="C103" s="87" t="s">
        <v>936</v>
      </c>
      <c r="D103" s="88">
        <f>[2]!Table32[[#This Row],[Residential CLM $ Collected]]+[2]!Table32[[#This Row],[C&amp;I CLM $ Collected]]</f>
        <v>68425.132500000007</v>
      </c>
      <c r="E103" s="197">
        <f>[2]!Table32[[#This Row],[CLM $ Collected ]]/'[2]1.) CLM Reference'!$B$4</f>
        <v>2.3513296247159466E-3</v>
      </c>
      <c r="F103" s="89">
        <f>[2]!Table32[[#This Row],[Residential Incentive Disbursements]]+[2]!Table32[[#This Row],[C&amp;I Incentive Disbursements]]</f>
        <v>0</v>
      </c>
      <c r="G103" s="198">
        <f>[2]!Table32[[#This Row],[Incentive Disbursements]]/'[2]1.) CLM Reference'!$B$5</f>
        <v>0</v>
      </c>
      <c r="H103" s="88">
        <v>0</v>
      </c>
      <c r="I103" s="197">
        <f>[2]!Table32[[#This Row],[Residential CLM $ Collected]]/'[2]1.) CLM Reference'!$B$4</f>
        <v>0</v>
      </c>
      <c r="J103" s="89">
        <v>0</v>
      </c>
      <c r="K103" s="198">
        <f>[2]!Table32[[#This Row],[Residential Incentive Disbursements]]/'[2]1.) CLM Reference'!$B$5</f>
        <v>0</v>
      </c>
      <c r="L103" s="88">
        <v>68425.132500000007</v>
      </c>
      <c r="M103" s="197">
        <f>[2]!Table32[[#This Row],[C&amp;I CLM $ Collected]]/'[2]1.) CLM Reference'!$B$4</f>
        <v>2.3513296247159466E-3</v>
      </c>
      <c r="N103" s="89">
        <v>0</v>
      </c>
      <c r="O103" s="198">
        <f>[2]!Table32[[#This Row],[C&amp;I Incentive Disbursements]]/'[2]1.) CLM Reference'!$B$5</f>
        <v>0</v>
      </c>
      <c r="P103" t="str">
        <f>VLOOKUP(Table325[[#This Row],[Census Tract]],'UI EnergyBurden'!$A$2:$B$184,2,FALSE)</f>
        <v>No</v>
      </c>
      <c r="Q103">
        <f>VLOOKUP(Table325[[#This Row],[Census Tract]],'Population and Diversity Data'!B99:K920,10,FALSE)</f>
        <v>3</v>
      </c>
    </row>
    <row r="104" spans="1:17" x14ac:dyDescent="0.2">
      <c r="A104" s="229">
        <v>9009141400</v>
      </c>
      <c r="B104" s="5" t="s">
        <v>943</v>
      </c>
      <c r="C104" s="87" t="s">
        <v>944</v>
      </c>
      <c r="D104" s="88">
        <f>[2]!Table32[[#This Row],[Residential CLM $ Collected]]+[2]!Table32[[#This Row],[C&amp;I CLM $ Collected]]</f>
        <v>107295.5113</v>
      </c>
      <c r="E104" s="197">
        <f>[2]!Table32[[#This Row],[CLM $ Collected ]]/'[2]1.) CLM Reference'!$B$4</f>
        <v>3.6870533545365742E-3</v>
      </c>
      <c r="F104" s="89">
        <f>[2]!Table32[[#This Row],[Residential Incentive Disbursements]]+[2]!Table32[[#This Row],[C&amp;I Incentive Disbursements]]</f>
        <v>6672</v>
      </c>
      <c r="G104" s="198">
        <f>[2]!Table32[[#This Row],[Incentive Disbursements]]/'[2]1.) CLM Reference'!$B$5</f>
        <v>3.9711950344310608E-4</v>
      </c>
      <c r="H104" s="88">
        <v>0</v>
      </c>
      <c r="I104" s="197">
        <f>[2]!Table32[[#This Row],[Residential CLM $ Collected]]/'[2]1.) CLM Reference'!$B$4</f>
        <v>0</v>
      </c>
      <c r="J104" s="89">
        <v>0</v>
      </c>
      <c r="K104" s="198">
        <f>[2]!Table32[[#This Row],[Residential Incentive Disbursements]]/'[2]1.) CLM Reference'!$B$5</f>
        <v>0</v>
      </c>
      <c r="L104" s="88">
        <v>107295.5113</v>
      </c>
      <c r="M104" s="197">
        <f>[2]!Table32[[#This Row],[C&amp;I CLM $ Collected]]/'[2]1.) CLM Reference'!$B$4</f>
        <v>3.6870533545365742E-3</v>
      </c>
      <c r="N104" s="89">
        <v>6672</v>
      </c>
      <c r="O104" s="198">
        <f>[2]!Table32[[#This Row],[C&amp;I Incentive Disbursements]]/'[2]1.) CLM Reference'!$B$5</f>
        <v>3.9711950344310608E-4</v>
      </c>
      <c r="P104" t="str">
        <f>VLOOKUP(Table325[[#This Row],[Census Tract]],'UI EnergyBurden'!$A$2:$B$184,2,FALSE)</f>
        <v>No</v>
      </c>
      <c r="Q104">
        <f>VLOOKUP(Table325[[#This Row],[Census Tract]],'Population and Diversity Data'!B100:K921,10,FALSE)</f>
        <v>5</v>
      </c>
    </row>
    <row r="105" spans="1:17" x14ac:dyDescent="0.2">
      <c r="A105" s="229">
        <v>9009141500</v>
      </c>
      <c r="B105" s="5" t="s">
        <v>943</v>
      </c>
      <c r="C105" s="87" t="s">
        <v>936</v>
      </c>
      <c r="D105" s="88">
        <f>[2]!Table32[[#This Row],[Residential CLM $ Collected]]+[2]!Table32[[#This Row],[C&amp;I CLM $ Collected]]</f>
        <v>95856.074399999998</v>
      </c>
      <c r="E105" s="197">
        <f>[2]!Table32[[#This Row],[CLM $ Collected ]]/'[2]1.) CLM Reference'!$B$4</f>
        <v>3.2939538326169234E-3</v>
      </c>
      <c r="F105" s="89">
        <f>[2]!Table32[[#This Row],[Residential Incentive Disbursements]]+[2]!Table32[[#This Row],[C&amp;I Incentive Disbursements]]</f>
        <v>9499</v>
      </c>
      <c r="G105" s="198">
        <f>[2]!Table32[[#This Row],[Incentive Disbursements]]/'[2]1.) CLM Reference'!$B$5</f>
        <v>5.6538341774671236E-4</v>
      </c>
      <c r="H105" s="88">
        <v>0</v>
      </c>
      <c r="I105" s="197">
        <f>[2]!Table32[[#This Row],[Residential CLM $ Collected]]/'[2]1.) CLM Reference'!$B$4</f>
        <v>0</v>
      </c>
      <c r="J105" s="89">
        <v>0</v>
      </c>
      <c r="K105" s="198">
        <f>[2]!Table32[[#This Row],[Residential Incentive Disbursements]]/'[2]1.) CLM Reference'!$B$5</f>
        <v>0</v>
      </c>
      <c r="L105" s="88">
        <v>95856.074399999998</v>
      </c>
      <c r="M105" s="197">
        <f>[2]!Table32[[#This Row],[C&amp;I CLM $ Collected]]/'[2]1.) CLM Reference'!$B$4</f>
        <v>3.2939538326169234E-3</v>
      </c>
      <c r="N105" s="89">
        <v>9499</v>
      </c>
      <c r="O105" s="198">
        <f>[2]!Table32[[#This Row],[C&amp;I Incentive Disbursements]]/'[2]1.) CLM Reference'!$B$5</f>
        <v>5.6538341774671236E-4</v>
      </c>
      <c r="P105" t="str">
        <f>VLOOKUP(Table325[[#This Row],[Census Tract]],'UI EnergyBurden'!$A$2:$B$184,2,FALSE)</f>
        <v>Yes</v>
      </c>
      <c r="Q105">
        <f>VLOOKUP(Table325[[#This Row],[Census Tract]],'Population and Diversity Data'!B101:K922,10,FALSE)</f>
        <v>3</v>
      </c>
    </row>
    <row r="106" spans="1:17" x14ac:dyDescent="0.2">
      <c r="A106" s="229">
        <v>9009141600</v>
      </c>
      <c r="B106" s="5" t="s">
        <v>943</v>
      </c>
      <c r="C106" s="87" t="s">
        <v>936</v>
      </c>
      <c r="D106" s="88">
        <f>[2]!Table32[[#This Row],[Residential CLM $ Collected]]+[2]!Table32[[#This Row],[C&amp;I CLM $ Collected]]</f>
        <v>72142.353499999997</v>
      </c>
      <c r="E106" s="197">
        <f>[2]!Table32[[#This Row],[CLM $ Collected ]]/'[2]1.) CLM Reference'!$B$4</f>
        <v>2.4790664889290511E-3</v>
      </c>
      <c r="F106" s="89">
        <f>[2]!Table32[[#This Row],[Residential Incentive Disbursements]]+[2]!Table32[[#This Row],[C&amp;I Incentive Disbursements]]</f>
        <v>60</v>
      </c>
      <c r="G106" s="198">
        <f>[2]!Table32[[#This Row],[Incentive Disbursements]]/'[2]1.) CLM Reference'!$B$5</f>
        <v>3.5712185561430403E-6</v>
      </c>
      <c r="H106" s="88">
        <v>6964.5801000000001</v>
      </c>
      <c r="I106" s="197">
        <f>[2]!Table32[[#This Row],[Residential CLM $ Collected]]/'[2]1.) CLM Reference'!$B$4</f>
        <v>2.3932761128138329E-4</v>
      </c>
      <c r="J106" s="89">
        <v>0</v>
      </c>
      <c r="K106" s="198">
        <f>[2]!Table32[[#This Row],[Residential Incentive Disbursements]]/'[2]1.) CLM Reference'!$B$5</f>
        <v>0</v>
      </c>
      <c r="L106" s="88">
        <v>65177.773399999998</v>
      </c>
      <c r="M106" s="197">
        <f>[2]!Table32[[#This Row],[C&amp;I CLM $ Collected]]/'[2]1.) CLM Reference'!$B$4</f>
        <v>2.2397388776476679E-3</v>
      </c>
      <c r="N106" s="89">
        <v>60</v>
      </c>
      <c r="O106" s="198">
        <f>[2]!Table32[[#This Row],[C&amp;I Incentive Disbursements]]/'[2]1.) CLM Reference'!$B$5</f>
        <v>3.5712185561430403E-6</v>
      </c>
      <c r="P106" t="str">
        <f>VLOOKUP(Table325[[#This Row],[Census Tract]],'UI EnergyBurden'!$A$2:$B$184,2,FALSE)</f>
        <v>Yes</v>
      </c>
      <c r="Q106">
        <f>VLOOKUP(Table325[[#This Row],[Census Tract]],'Population and Diversity Data'!B102:K923,10,FALSE)</f>
        <v>4</v>
      </c>
    </row>
    <row r="107" spans="1:17" x14ac:dyDescent="0.2">
      <c r="A107" s="229">
        <v>9009141800</v>
      </c>
      <c r="B107" s="5" t="s">
        <v>943</v>
      </c>
      <c r="C107" s="87" t="s">
        <v>944</v>
      </c>
      <c r="D107" s="88">
        <f>[2]!Table32[[#This Row],[Residential CLM $ Collected]]+[2]!Table32[[#This Row],[C&amp;I CLM $ Collected]]</f>
        <v>77177.016300000003</v>
      </c>
      <c r="E107" s="197">
        <f>[2]!Table32[[#This Row],[CLM $ Collected ]]/'[2]1.) CLM Reference'!$B$4</f>
        <v>2.6520753141892049E-3</v>
      </c>
      <c r="F107" s="89">
        <f>[2]!Table32[[#This Row],[Residential Incentive Disbursements]]+[2]!Table32[[#This Row],[C&amp;I Incentive Disbursements]]</f>
        <v>1830</v>
      </c>
      <c r="G107" s="198">
        <f>[2]!Table32[[#This Row],[Incentive Disbursements]]/'[2]1.) CLM Reference'!$B$5</f>
        <v>1.0892216596236273E-4</v>
      </c>
      <c r="H107" s="88">
        <v>0</v>
      </c>
      <c r="I107" s="197">
        <f>[2]!Table32[[#This Row],[Residential CLM $ Collected]]/'[2]1.) CLM Reference'!$B$4</f>
        <v>0</v>
      </c>
      <c r="J107" s="89">
        <v>0</v>
      </c>
      <c r="K107" s="198">
        <f>[2]!Table32[[#This Row],[Residential Incentive Disbursements]]/'[2]1.) CLM Reference'!$B$5</f>
        <v>0</v>
      </c>
      <c r="L107" s="88">
        <v>77177.016300000003</v>
      </c>
      <c r="M107" s="197">
        <f>[2]!Table32[[#This Row],[C&amp;I CLM $ Collected]]/'[2]1.) CLM Reference'!$B$4</f>
        <v>2.6520753141892049E-3</v>
      </c>
      <c r="N107" s="89">
        <v>1830</v>
      </c>
      <c r="O107" s="198">
        <f>[2]!Table32[[#This Row],[C&amp;I Incentive Disbursements]]/'[2]1.) CLM Reference'!$B$5</f>
        <v>1.0892216596236273E-4</v>
      </c>
      <c r="P107" t="str">
        <f>VLOOKUP(Table325[[#This Row],[Census Tract]],'UI EnergyBurden'!$A$2:$B$184,2,FALSE)</f>
        <v>No</v>
      </c>
      <c r="Q107">
        <f>VLOOKUP(Table325[[#This Row],[Census Tract]],'Population and Diversity Data'!B103:K924,10,FALSE)</f>
        <v>5</v>
      </c>
    </row>
    <row r="108" spans="1:17" x14ac:dyDescent="0.2">
      <c r="A108" s="229">
        <v>9009141900</v>
      </c>
      <c r="B108" s="5" t="s">
        <v>943</v>
      </c>
      <c r="C108" s="87" t="s">
        <v>944</v>
      </c>
      <c r="D108" s="88">
        <f>[2]!Table32[[#This Row],[Residential CLM $ Collected]]+[2]!Table32[[#This Row],[C&amp;I CLM $ Collected]]</f>
        <v>30629.914100000002</v>
      </c>
      <c r="E108" s="197">
        <f>[2]!Table32[[#This Row],[CLM $ Collected ]]/'[2]1.) CLM Reference'!$B$4</f>
        <v>1.0525522099037905E-3</v>
      </c>
      <c r="F108" s="89">
        <f>[2]!Table32[[#This Row],[Residential Incentive Disbursements]]+[2]!Table32[[#This Row],[C&amp;I Incentive Disbursements]]</f>
        <v>0</v>
      </c>
      <c r="G108" s="198">
        <f>[2]!Table32[[#This Row],[Incentive Disbursements]]/'[2]1.) CLM Reference'!$B$5</f>
        <v>0</v>
      </c>
      <c r="H108" s="88">
        <v>0</v>
      </c>
      <c r="I108" s="197">
        <f>[2]!Table32[[#This Row],[Residential CLM $ Collected]]/'[2]1.) CLM Reference'!$B$4</f>
        <v>0</v>
      </c>
      <c r="J108" s="89">
        <v>0</v>
      </c>
      <c r="K108" s="198">
        <f>[2]!Table32[[#This Row],[Residential Incentive Disbursements]]/'[2]1.) CLM Reference'!$B$5</f>
        <v>0</v>
      </c>
      <c r="L108" s="88">
        <v>30629.914100000002</v>
      </c>
      <c r="M108" s="197">
        <f>[2]!Table32[[#This Row],[C&amp;I CLM $ Collected]]/'[2]1.) CLM Reference'!$B$4</f>
        <v>1.0525522099037905E-3</v>
      </c>
      <c r="N108" s="89">
        <v>0</v>
      </c>
      <c r="O108" s="198">
        <f>[2]!Table32[[#This Row],[C&amp;I Incentive Disbursements]]/'[2]1.) CLM Reference'!$B$5</f>
        <v>0</v>
      </c>
      <c r="P108" t="str">
        <f>VLOOKUP(Table325[[#This Row],[Census Tract]],'UI EnergyBurden'!$A$2:$B$184,2,FALSE)</f>
        <v>No</v>
      </c>
      <c r="Q108">
        <f>VLOOKUP(Table325[[#This Row],[Census Tract]],'Population and Diversity Data'!B104:K925,10,FALSE)</f>
        <v>5</v>
      </c>
    </row>
    <row r="109" spans="1:17" x14ac:dyDescent="0.2">
      <c r="A109" s="229">
        <v>9009142000</v>
      </c>
      <c r="B109" s="5" t="s">
        <v>943</v>
      </c>
      <c r="C109" s="87" t="s">
        <v>944</v>
      </c>
      <c r="D109" s="88">
        <f>[2]!Table32[[#This Row],[Residential CLM $ Collected]]+[2]!Table32[[#This Row],[C&amp;I CLM $ Collected]]</f>
        <v>35141.119099999996</v>
      </c>
      <c r="E109" s="197">
        <f>[2]!Table32[[#This Row],[CLM $ Collected ]]/'[2]1.) CLM Reference'!$B$4</f>
        <v>1.2075731732854352E-3</v>
      </c>
      <c r="F109" s="89">
        <f>[2]!Table32[[#This Row],[Residential Incentive Disbursements]]+[2]!Table32[[#This Row],[C&amp;I Incentive Disbursements]]</f>
        <v>210</v>
      </c>
      <c r="G109" s="198">
        <f>[2]!Table32[[#This Row],[Incentive Disbursements]]/'[2]1.) CLM Reference'!$B$5</f>
        <v>1.2499264946500642E-5</v>
      </c>
      <c r="H109" s="88">
        <v>8758.2502999999997</v>
      </c>
      <c r="I109" s="197">
        <f>[2]!Table32[[#This Row],[Residential CLM $ Collected]]/'[2]1.) CLM Reference'!$B$4</f>
        <v>3.0096446493643725E-4</v>
      </c>
      <c r="J109" s="89">
        <v>0</v>
      </c>
      <c r="K109" s="198">
        <f>[2]!Table32[[#This Row],[Residential Incentive Disbursements]]/'[2]1.) CLM Reference'!$B$5</f>
        <v>0</v>
      </c>
      <c r="L109" s="88">
        <v>26382.8688</v>
      </c>
      <c r="M109" s="197">
        <f>[2]!Table32[[#This Row],[C&amp;I CLM $ Collected]]/'[2]1.) CLM Reference'!$B$4</f>
        <v>9.0660870834899799E-4</v>
      </c>
      <c r="N109" s="89">
        <v>210</v>
      </c>
      <c r="O109" s="198">
        <f>[2]!Table32[[#This Row],[C&amp;I Incentive Disbursements]]/'[2]1.) CLM Reference'!$B$5</f>
        <v>1.2499264946500642E-5</v>
      </c>
      <c r="P109" t="str">
        <f>VLOOKUP(Table325[[#This Row],[Census Tract]],'UI EnergyBurden'!$A$2:$B$184,2,FALSE)</f>
        <v>No</v>
      </c>
      <c r="Q109">
        <f>VLOOKUP(Table325[[#This Row],[Census Tract]],'Population and Diversity Data'!B105:K926,10,FALSE)</f>
        <v>5</v>
      </c>
    </row>
    <row r="110" spans="1:17" x14ac:dyDescent="0.2">
      <c r="A110" s="229">
        <v>9009142100</v>
      </c>
      <c r="B110" s="5" t="s">
        <v>943</v>
      </c>
      <c r="C110" s="87" t="s">
        <v>936</v>
      </c>
      <c r="D110" s="88">
        <f>[2]!Table32[[#This Row],[Residential CLM $ Collected]]+[2]!Table32[[#This Row],[C&amp;I CLM $ Collected]]</f>
        <v>638.05809999999997</v>
      </c>
      <c r="E110" s="197">
        <f>[2]!Table32[[#This Row],[CLM $ Collected ]]/'[2]1.) CLM Reference'!$B$4</f>
        <v>2.1925933615400302E-5</v>
      </c>
      <c r="F110" s="89">
        <f>[2]!Table32[[#This Row],[Residential Incentive Disbursements]]+[2]!Table32[[#This Row],[C&amp;I Incentive Disbursements]]</f>
        <v>1180</v>
      </c>
      <c r="G110" s="198">
        <f>[2]!Table32[[#This Row],[Incentive Disbursements]]/'[2]1.) CLM Reference'!$B$5</f>
        <v>7.023396493747979E-5</v>
      </c>
      <c r="H110" s="88">
        <v>0</v>
      </c>
      <c r="I110" s="197">
        <f>[2]!Table32[[#This Row],[Residential CLM $ Collected]]/'[2]1.) CLM Reference'!$B$4</f>
        <v>0</v>
      </c>
      <c r="J110" s="89">
        <v>0</v>
      </c>
      <c r="K110" s="198">
        <f>[2]!Table32[[#This Row],[Residential Incentive Disbursements]]/'[2]1.) CLM Reference'!$B$5</f>
        <v>0</v>
      </c>
      <c r="L110" s="88">
        <v>638.05809999999997</v>
      </c>
      <c r="M110" s="197">
        <f>[2]!Table32[[#This Row],[C&amp;I CLM $ Collected]]/'[2]1.) CLM Reference'!$B$4</f>
        <v>2.1925933615400302E-5</v>
      </c>
      <c r="N110" s="89">
        <v>1180</v>
      </c>
      <c r="O110" s="198">
        <f>[2]!Table32[[#This Row],[C&amp;I Incentive Disbursements]]/'[2]1.) CLM Reference'!$B$5</f>
        <v>7.023396493747979E-5</v>
      </c>
      <c r="P110" t="str">
        <f>VLOOKUP(Table325[[#This Row],[Census Tract]],'UI EnergyBurden'!$A$2:$B$184,2,FALSE)</f>
        <v>No</v>
      </c>
      <c r="Q110">
        <f>VLOOKUP(Table325[[#This Row],[Census Tract]],'Population and Diversity Data'!B106:K927,10,FALSE)</f>
        <v>5</v>
      </c>
    </row>
    <row r="111" spans="1:17" x14ac:dyDescent="0.2">
      <c r="A111" s="229">
        <v>9009142200</v>
      </c>
      <c r="B111" s="5" t="s">
        <v>943</v>
      </c>
      <c r="C111" s="87" t="s">
        <v>944</v>
      </c>
      <c r="D111" s="88">
        <f>[2]!Table32[[#This Row],[Residential CLM $ Collected]]+[2]!Table32[[#This Row],[C&amp;I CLM $ Collected]]</f>
        <v>34699.039299999997</v>
      </c>
      <c r="E111" s="197">
        <f>[2]!Table32[[#This Row],[CLM $ Collected ]]/'[2]1.) CLM Reference'!$B$4</f>
        <v>1.1923817473831397E-3</v>
      </c>
      <c r="F111" s="89">
        <f>[2]!Table32[[#This Row],[Residential Incentive Disbursements]]+[2]!Table32[[#This Row],[C&amp;I Incentive Disbursements]]</f>
        <v>44425</v>
      </c>
      <c r="G111" s="198">
        <f>[2]!Table32[[#This Row],[Incentive Disbursements]]/'[2]1.) CLM Reference'!$B$5</f>
        <v>2.6441897392775761E-3</v>
      </c>
      <c r="H111" s="88">
        <v>0</v>
      </c>
      <c r="I111" s="197">
        <f>[2]!Table32[[#This Row],[Residential CLM $ Collected]]/'[2]1.) CLM Reference'!$B$4</f>
        <v>0</v>
      </c>
      <c r="J111" s="89">
        <v>0</v>
      </c>
      <c r="K111" s="198">
        <f>[2]!Table32[[#This Row],[Residential Incentive Disbursements]]/'[2]1.) CLM Reference'!$B$5</f>
        <v>0</v>
      </c>
      <c r="L111" s="88">
        <v>34699.039299999997</v>
      </c>
      <c r="M111" s="197">
        <f>[2]!Table32[[#This Row],[C&amp;I CLM $ Collected]]/'[2]1.) CLM Reference'!$B$4</f>
        <v>1.1923817473831397E-3</v>
      </c>
      <c r="N111" s="89">
        <v>44425</v>
      </c>
      <c r="O111" s="198">
        <f>[2]!Table32[[#This Row],[C&amp;I Incentive Disbursements]]/'[2]1.) CLM Reference'!$B$5</f>
        <v>2.6441897392775761E-3</v>
      </c>
      <c r="P111" t="str">
        <f>VLOOKUP(Table325[[#This Row],[Census Tract]],'UI EnergyBurden'!$A$2:$B$184,2,FALSE)</f>
        <v>No</v>
      </c>
      <c r="Q111">
        <f>VLOOKUP(Table325[[#This Row],[Census Tract]],'Population and Diversity Data'!B107:K928,10,FALSE)</f>
        <v>4</v>
      </c>
    </row>
    <row r="112" spans="1:17" x14ac:dyDescent="0.2">
      <c r="A112" s="229">
        <v>9009142300</v>
      </c>
      <c r="B112" s="5" t="s">
        <v>943</v>
      </c>
      <c r="C112" s="87" t="s">
        <v>936</v>
      </c>
      <c r="D112" s="88">
        <f>[2]!Table32[[#This Row],[Residential CLM $ Collected]]+[2]!Table32[[#This Row],[C&amp;I CLM $ Collected]]</f>
        <v>24439.176200000002</v>
      </c>
      <c r="E112" s="197">
        <f>[2]!Table32[[#This Row],[CLM $ Collected ]]/'[2]1.) CLM Reference'!$B$4</f>
        <v>8.3981655428599846E-4</v>
      </c>
      <c r="F112" s="89">
        <f>[2]!Table32[[#This Row],[Residential Incentive Disbursements]]+[2]!Table32[[#This Row],[C&amp;I Incentive Disbursements]]</f>
        <v>2254</v>
      </c>
      <c r="G112" s="198">
        <f>[2]!Table32[[#This Row],[Incentive Disbursements]]/'[2]1.) CLM Reference'!$B$5</f>
        <v>1.3415877709244023E-4</v>
      </c>
      <c r="H112" s="88">
        <v>0</v>
      </c>
      <c r="I112" s="197">
        <f>[2]!Table32[[#This Row],[Residential CLM $ Collected]]/'[2]1.) CLM Reference'!$B$4</f>
        <v>0</v>
      </c>
      <c r="J112" s="89">
        <v>0</v>
      </c>
      <c r="K112" s="198">
        <f>[2]!Table32[[#This Row],[Residential Incentive Disbursements]]/'[2]1.) CLM Reference'!$B$5</f>
        <v>0</v>
      </c>
      <c r="L112" s="88">
        <v>24439.176200000002</v>
      </c>
      <c r="M112" s="197">
        <f>[2]!Table32[[#This Row],[C&amp;I CLM $ Collected]]/'[2]1.) CLM Reference'!$B$4</f>
        <v>8.3981655428599846E-4</v>
      </c>
      <c r="N112" s="89">
        <v>2254</v>
      </c>
      <c r="O112" s="198">
        <f>[2]!Table32[[#This Row],[C&amp;I Incentive Disbursements]]/'[2]1.) CLM Reference'!$B$5</f>
        <v>1.3415877709244023E-4</v>
      </c>
      <c r="P112" t="str">
        <f>VLOOKUP(Table325[[#This Row],[Census Tract]],'UI EnergyBurden'!$A$2:$B$184,2,FALSE)</f>
        <v>Yes</v>
      </c>
      <c r="Q112">
        <f>VLOOKUP(Table325[[#This Row],[Census Tract]],'Population and Diversity Data'!B108:K929,10,FALSE)</f>
        <v>5</v>
      </c>
    </row>
    <row r="113" spans="1:17" x14ac:dyDescent="0.2">
      <c r="A113" s="229">
        <v>9009142400</v>
      </c>
      <c r="B113" s="5" t="s">
        <v>943</v>
      </c>
      <c r="C113" s="87" t="s">
        <v>936</v>
      </c>
      <c r="D113" s="88">
        <f>[2]!Table32[[#This Row],[Residential CLM $ Collected]]+[2]!Table32[[#This Row],[C&amp;I CLM $ Collected]]</f>
        <v>32270.552200000002</v>
      </c>
      <c r="E113" s="197">
        <f>[2]!Table32[[#This Row],[CLM $ Collected ]]/'[2]1.) CLM Reference'!$B$4</f>
        <v>1.1089303392112883E-3</v>
      </c>
      <c r="F113" s="89">
        <f>[2]!Table32[[#This Row],[Residential Incentive Disbursements]]+[2]!Table32[[#This Row],[C&amp;I Incentive Disbursements]]</f>
        <v>0</v>
      </c>
      <c r="G113" s="198">
        <f>[2]!Table32[[#This Row],[Incentive Disbursements]]/'[2]1.) CLM Reference'!$B$5</f>
        <v>0</v>
      </c>
      <c r="H113" s="88">
        <v>7242.7465000000002</v>
      </c>
      <c r="I113" s="197">
        <f>[2]!Table32[[#This Row],[Residential CLM $ Collected]]/'[2]1.) CLM Reference'!$B$4</f>
        <v>2.4888639287264417E-4</v>
      </c>
      <c r="J113" s="89">
        <v>0</v>
      </c>
      <c r="K113" s="198">
        <f>[2]!Table32[[#This Row],[Residential Incentive Disbursements]]/'[2]1.) CLM Reference'!$B$5</f>
        <v>0</v>
      </c>
      <c r="L113" s="88">
        <v>25027.805700000001</v>
      </c>
      <c r="M113" s="197">
        <f>[2]!Table32[[#This Row],[C&amp;I CLM $ Collected]]/'[2]1.) CLM Reference'!$B$4</f>
        <v>8.6004394633864417E-4</v>
      </c>
      <c r="N113" s="89">
        <v>0</v>
      </c>
      <c r="O113" s="198">
        <f>[2]!Table32[[#This Row],[C&amp;I Incentive Disbursements]]/'[2]1.) CLM Reference'!$B$5</f>
        <v>0</v>
      </c>
      <c r="P113" t="str">
        <f>VLOOKUP(Table325[[#This Row],[Census Tract]],'UI EnergyBurden'!$A$2:$B$184,2,FALSE)</f>
        <v>Yes</v>
      </c>
      <c r="Q113">
        <f>VLOOKUP(Table325[[#This Row],[Census Tract]],'Population and Diversity Data'!B109:K930,10,FALSE)</f>
        <v>5</v>
      </c>
    </row>
    <row r="114" spans="1:17" x14ac:dyDescent="0.2">
      <c r="A114" s="229">
        <v>9009142500</v>
      </c>
      <c r="B114" s="5" t="s">
        <v>943</v>
      </c>
      <c r="C114" s="87" t="s">
        <v>936</v>
      </c>
      <c r="D114" s="88">
        <f>[2]!Table32[[#This Row],[Residential CLM $ Collected]]+[2]!Table32[[#This Row],[C&amp;I CLM $ Collected]]</f>
        <v>125901.9893</v>
      </c>
      <c r="E114" s="197">
        <f>[2]!Table32[[#This Row],[CLM $ Collected ]]/'[2]1.) CLM Reference'!$B$4</f>
        <v>4.32643776395698E-3</v>
      </c>
      <c r="F114" s="89">
        <f>[2]!Table32[[#This Row],[Residential Incentive Disbursements]]+[2]!Table32[[#This Row],[C&amp;I Incentive Disbursements]]</f>
        <v>0</v>
      </c>
      <c r="G114" s="198">
        <f>[2]!Table32[[#This Row],[Incentive Disbursements]]/'[2]1.) CLM Reference'!$B$5</f>
        <v>0</v>
      </c>
      <c r="H114" s="88">
        <v>0</v>
      </c>
      <c r="I114" s="197">
        <f>[2]!Table32[[#This Row],[Residential CLM $ Collected]]/'[2]1.) CLM Reference'!$B$4</f>
        <v>0</v>
      </c>
      <c r="J114" s="89">
        <v>0</v>
      </c>
      <c r="K114" s="198">
        <f>[2]!Table32[[#This Row],[Residential Incentive Disbursements]]/'[2]1.) CLM Reference'!$B$5</f>
        <v>0</v>
      </c>
      <c r="L114" s="88">
        <v>125901.9893</v>
      </c>
      <c r="M114" s="197">
        <f>[2]!Table32[[#This Row],[C&amp;I CLM $ Collected]]/'[2]1.) CLM Reference'!$B$4</f>
        <v>4.32643776395698E-3</v>
      </c>
      <c r="N114" s="89">
        <v>0</v>
      </c>
      <c r="O114" s="198">
        <f>[2]!Table32[[#This Row],[C&amp;I Incentive Disbursements]]/'[2]1.) CLM Reference'!$B$5</f>
        <v>0</v>
      </c>
      <c r="P114" t="str">
        <f>VLOOKUP(Table325[[#This Row],[Census Tract]],'UI EnergyBurden'!$A$2:$B$184,2,FALSE)</f>
        <v>Yes</v>
      </c>
      <c r="Q114">
        <f>VLOOKUP(Table325[[#This Row],[Census Tract]],'Population and Diversity Data'!B110:K931,10,FALSE)</f>
        <v>5</v>
      </c>
    </row>
    <row r="115" spans="1:17" x14ac:dyDescent="0.2">
      <c r="A115" s="229">
        <v>9009142601</v>
      </c>
      <c r="B115" s="5" t="s">
        <v>943</v>
      </c>
      <c r="C115" s="87" t="s">
        <v>944</v>
      </c>
      <c r="D115" s="88">
        <f>[2]!Table32[[#This Row],[Residential CLM $ Collected]]+[2]!Table32[[#This Row],[C&amp;I CLM $ Collected]]</f>
        <v>42790.523500000003</v>
      </c>
      <c r="E115" s="197">
        <f>[2]!Table32[[#This Row],[CLM $ Collected ]]/'[2]1.) CLM Reference'!$B$4</f>
        <v>1.4704337702620288E-3</v>
      </c>
      <c r="F115" s="89">
        <f>[2]!Table32[[#This Row],[Residential Incentive Disbursements]]+[2]!Table32[[#This Row],[C&amp;I Incentive Disbursements]]</f>
        <v>64029</v>
      </c>
      <c r="G115" s="198">
        <f>[2]!Table32[[#This Row],[Incentive Disbursements]]/'[2]1.) CLM Reference'!$B$5</f>
        <v>3.8110258821880457E-3</v>
      </c>
      <c r="H115" s="88">
        <v>0</v>
      </c>
      <c r="I115" s="197">
        <f>[2]!Table32[[#This Row],[Residential CLM $ Collected]]/'[2]1.) CLM Reference'!$B$4</f>
        <v>0</v>
      </c>
      <c r="J115" s="89">
        <v>800</v>
      </c>
      <c r="K115" s="198">
        <f>[2]!Table32[[#This Row],[Residential Incentive Disbursements]]/'[2]1.) CLM Reference'!$B$5</f>
        <v>4.7616247415240537E-5</v>
      </c>
      <c r="L115" s="88">
        <v>42790.523500000003</v>
      </c>
      <c r="M115" s="197">
        <f>[2]!Table32[[#This Row],[C&amp;I CLM $ Collected]]/'[2]1.) CLM Reference'!$B$4</f>
        <v>1.4704337702620288E-3</v>
      </c>
      <c r="N115" s="89">
        <v>63229</v>
      </c>
      <c r="O115" s="198">
        <f>[2]!Table32[[#This Row],[C&amp;I Incentive Disbursements]]/'[2]1.) CLM Reference'!$B$5</f>
        <v>3.7634096347728052E-3</v>
      </c>
      <c r="P115" t="str">
        <f>VLOOKUP(Table325[[#This Row],[Census Tract]],'UI EnergyBurden'!$A$2:$B$184,2,FALSE)</f>
        <v>No</v>
      </c>
      <c r="Q115">
        <f>VLOOKUP(Table325[[#This Row],[Census Tract]],'Population and Diversity Data'!B111:K932,10,FALSE)</f>
        <v>5</v>
      </c>
    </row>
    <row r="116" spans="1:17" x14ac:dyDescent="0.2">
      <c r="A116" s="229">
        <v>9009142603</v>
      </c>
      <c r="B116" s="5" t="s">
        <v>943</v>
      </c>
      <c r="C116" s="87" t="s">
        <v>936</v>
      </c>
      <c r="D116" s="88">
        <f>[2]!Table32[[#This Row],[Residential CLM $ Collected]]+[2]!Table32[[#This Row],[C&amp;I CLM $ Collected]]</f>
        <v>51234.490700000002</v>
      </c>
      <c r="E116" s="197">
        <f>[2]!Table32[[#This Row],[CLM $ Collected ]]/'[2]1.) CLM Reference'!$B$4</f>
        <v>1.7605983560228201E-3</v>
      </c>
      <c r="F116" s="89">
        <f>[2]!Table32[[#This Row],[Residential Incentive Disbursements]]+[2]!Table32[[#This Row],[C&amp;I Incentive Disbursements]]</f>
        <v>0</v>
      </c>
      <c r="G116" s="198">
        <f>[2]!Table32[[#This Row],[Incentive Disbursements]]/'[2]1.) CLM Reference'!$B$5</f>
        <v>0</v>
      </c>
      <c r="H116" s="88">
        <v>51234.490700000002</v>
      </c>
      <c r="I116" s="197">
        <f>[2]!Table32[[#This Row],[Residential CLM $ Collected]]/'[2]1.) CLM Reference'!$B$4</f>
        <v>1.7605983560228201E-3</v>
      </c>
      <c r="J116" s="89">
        <v>0</v>
      </c>
      <c r="K116" s="198">
        <f>[2]!Table32[[#This Row],[Residential Incentive Disbursements]]/'[2]1.) CLM Reference'!$B$5</f>
        <v>0</v>
      </c>
      <c r="L116" s="88">
        <v>0</v>
      </c>
      <c r="M116" s="197">
        <f>[2]!Table32[[#This Row],[C&amp;I CLM $ Collected]]/'[2]1.) CLM Reference'!$B$4</f>
        <v>0</v>
      </c>
      <c r="N116" s="89">
        <v>0</v>
      </c>
      <c r="O116" s="198">
        <f>[2]!Table32[[#This Row],[C&amp;I Incentive Disbursements]]/'[2]1.) CLM Reference'!$B$5</f>
        <v>0</v>
      </c>
      <c r="P116" t="str">
        <f>VLOOKUP(Table325[[#This Row],[Census Tract]],'UI EnergyBurden'!$A$2:$B$184,2,FALSE)</f>
        <v>No</v>
      </c>
      <c r="Q116">
        <f>VLOOKUP(Table325[[#This Row],[Census Tract]],'Population and Diversity Data'!B112:K933,10,FALSE)</f>
        <v>5</v>
      </c>
    </row>
    <row r="117" spans="1:17" x14ac:dyDescent="0.2">
      <c r="A117" s="229">
        <v>9009142604</v>
      </c>
      <c r="B117" s="5" t="s">
        <v>943</v>
      </c>
      <c r="C117" s="87" t="s">
        <v>944</v>
      </c>
      <c r="D117" s="88">
        <f>[2]!Table32[[#This Row],[Residential CLM $ Collected]]+[2]!Table32[[#This Row],[C&amp;I CLM $ Collected]]</f>
        <v>38758.672400000003</v>
      </c>
      <c r="E117" s="197">
        <f>[2]!Table32[[#This Row],[CLM $ Collected ]]/'[2]1.) CLM Reference'!$B$4</f>
        <v>1.3318851027256733E-3</v>
      </c>
      <c r="F117" s="89">
        <f>[2]!Table32[[#This Row],[Residential Incentive Disbursements]]+[2]!Table32[[#This Row],[C&amp;I Incentive Disbursements]]</f>
        <v>0</v>
      </c>
      <c r="G117" s="198">
        <f>[2]!Table32[[#This Row],[Incentive Disbursements]]/'[2]1.) CLM Reference'!$B$5</f>
        <v>0</v>
      </c>
      <c r="H117" s="88">
        <v>0</v>
      </c>
      <c r="I117" s="197">
        <f>[2]!Table32[[#This Row],[Residential CLM $ Collected]]/'[2]1.) CLM Reference'!$B$4</f>
        <v>0</v>
      </c>
      <c r="J117" s="89">
        <v>0</v>
      </c>
      <c r="K117" s="198">
        <f>[2]!Table32[[#This Row],[Residential Incentive Disbursements]]/'[2]1.) CLM Reference'!$B$5</f>
        <v>0</v>
      </c>
      <c r="L117" s="88">
        <v>38758.672400000003</v>
      </c>
      <c r="M117" s="197">
        <f>[2]!Table32[[#This Row],[C&amp;I CLM $ Collected]]/'[2]1.) CLM Reference'!$B$4</f>
        <v>1.3318851027256733E-3</v>
      </c>
      <c r="N117" s="89">
        <v>0</v>
      </c>
      <c r="O117" s="198">
        <f>[2]!Table32[[#This Row],[C&amp;I Incentive Disbursements]]/'[2]1.) CLM Reference'!$B$5</f>
        <v>0</v>
      </c>
      <c r="P117" t="str">
        <f>VLOOKUP(Table325[[#This Row],[Census Tract]],'UI EnergyBurden'!$A$2:$B$184,2,FALSE)</f>
        <v>No</v>
      </c>
      <c r="Q117">
        <f>VLOOKUP(Table325[[#This Row],[Census Tract]],'Population and Diversity Data'!B113:K934,10,FALSE)</f>
        <v>4</v>
      </c>
    </row>
    <row r="118" spans="1:17" x14ac:dyDescent="0.2">
      <c r="A118" s="229">
        <v>9009142700</v>
      </c>
      <c r="B118" s="5" t="s">
        <v>943</v>
      </c>
      <c r="C118" s="87" t="s">
        <v>944</v>
      </c>
      <c r="D118" s="88">
        <f>[2]!Table32[[#This Row],[Residential CLM $ Collected]]+[2]!Table32[[#This Row],[C&amp;I CLM $ Collected]]</f>
        <v>203276.48869999999</v>
      </c>
      <c r="E118" s="197">
        <f>[2]!Table32[[#This Row],[CLM $ Collected ]]/'[2]1.) CLM Reference'!$B$4</f>
        <v>6.9852992961109174E-3</v>
      </c>
      <c r="F118" s="89">
        <f>[2]!Table32[[#This Row],[Residential Incentive Disbursements]]+[2]!Table32[[#This Row],[C&amp;I Incentive Disbursements]]</f>
        <v>83813</v>
      </c>
      <c r="G118" s="198">
        <f>[2]!Table32[[#This Row],[Incentive Disbursements]]/'[2]1.) CLM Reference'!$B$5</f>
        <v>4.988575680766944E-3</v>
      </c>
      <c r="H118" s="88">
        <v>0</v>
      </c>
      <c r="I118" s="197">
        <f>[2]!Table32[[#This Row],[Residential CLM $ Collected]]/'[2]1.) CLM Reference'!$B$4</f>
        <v>0</v>
      </c>
      <c r="J118" s="89">
        <v>0</v>
      </c>
      <c r="K118" s="198">
        <f>[2]!Table32[[#This Row],[Residential Incentive Disbursements]]/'[2]1.) CLM Reference'!$B$5</f>
        <v>0</v>
      </c>
      <c r="L118" s="88">
        <v>203276.48869999999</v>
      </c>
      <c r="M118" s="197">
        <f>[2]!Table32[[#This Row],[C&amp;I CLM $ Collected]]/'[2]1.) CLM Reference'!$B$4</f>
        <v>6.9852992961109174E-3</v>
      </c>
      <c r="N118" s="89">
        <v>83813</v>
      </c>
      <c r="O118" s="198">
        <f>[2]!Table32[[#This Row],[C&amp;I Incentive Disbursements]]/'[2]1.) CLM Reference'!$B$5</f>
        <v>4.988575680766944E-3</v>
      </c>
      <c r="P118" t="str">
        <f>VLOOKUP(Table325[[#This Row],[Census Tract]],'UI EnergyBurden'!$A$2:$B$184,2,FALSE)</f>
        <v>Yes</v>
      </c>
      <c r="Q118">
        <f>VLOOKUP(Table325[[#This Row],[Census Tract]],'Population and Diversity Data'!B114:K935,10,FALSE)</f>
        <v>5</v>
      </c>
    </row>
    <row r="119" spans="1:17" x14ac:dyDescent="0.2">
      <c r="A119" s="229">
        <v>9009142800</v>
      </c>
      <c r="B119" s="5" t="s">
        <v>943</v>
      </c>
      <c r="C119" s="87" t="s">
        <v>944</v>
      </c>
      <c r="D119" s="88">
        <f>[2]!Table32[[#This Row],[Residential CLM $ Collected]]+[2]!Table32[[#This Row],[C&amp;I CLM $ Collected]]</f>
        <v>21034.6178</v>
      </c>
      <c r="E119" s="197">
        <f>[2]!Table32[[#This Row],[CLM $ Collected ]]/'[2]1.) CLM Reference'!$B$4</f>
        <v>7.228238831355915E-4</v>
      </c>
      <c r="F119" s="89">
        <f>[2]!Table32[[#This Row],[Residential Incentive Disbursements]]+[2]!Table32[[#This Row],[C&amp;I Incentive Disbursements]]</f>
        <v>90</v>
      </c>
      <c r="G119" s="198">
        <f>[2]!Table32[[#This Row],[Incentive Disbursements]]/'[2]1.) CLM Reference'!$B$5</f>
        <v>5.3568278342145603E-6</v>
      </c>
      <c r="H119" s="88">
        <v>0</v>
      </c>
      <c r="I119" s="197">
        <f>[2]!Table32[[#This Row],[Residential CLM $ Collected]]/'[2]1.) CLM Reference'!$B$4</f>
        <v>0</v>
      </c>
      <c r="J119" s="89">
        <v>0</v>
      </c>
      <c r="K119" s="198">
        <f>[2]!Table32[[#This Row],[Residential Incentive Disbursements]]/'[2]1.) CLM Reference'!$B$5</f>
        <v>0</v>
      </c>
      <c r="L119" s="88">
        <v>21034.6178</v>
      </c>
      <c r="M119" s="197">
        <f>[2]!Table32[[#This Row],[C&amp;I CLM $ Collected]]/'[2]1.) CLM Reference'!$B$4</f>
        <v>7.228238831355915E-4</v>
      </c>
      <c r="N119" s="89">
        <v>90</v>
      </c>
      <c r="O119" s="198">
        <f>[2]!Table32[[#This Row],[C&amp;I Incentive Disbursements]]/'[2]1.) CLM Reference'!$B$5</f>
        <v>5.3568278342145603E-6</v>
      </c>
      <c r="P119" t="str">
        <f>VLOOKUP(Table325[[#This Row],[Census Tract]],'UI EnergyBurden'!$A$2:$B$184,2,FALSE)</f>
        <v>No</v>
      </c>
      <c r="Q119">
        <f>VLOOKUP(Table325[[#This Row],[Census Tract]],'Population and Diversity Data'!B115:K936,10,FALSE)</f>
        <v>3</v>
      </c>
    </row>
    <row r="120" spans="1:17" x14ac:dyDescent="0.2">
      <c r="A120" s="229">
        <v>9009150100</v>
      </c>
      <c r="B120" s="5" t="s">
        <v>2989</v>
      </c>
      <c r="C120" s="87" t="s">
        <v>944</v>
      </c>
      <c r="D120" s="88">
        <f>[2]!Table32[[#This Row],[Residential CLM $ Collected]]+[2]!Table32[[#This Row],[C&amp;I CLM $ Collected]]</f>
        <v>58753.898999999998</v>
      </c>
      <c r="E120" s="197">
        <f>[2]!Table32[[#This Row],[CLM $ Collected ]]/'[2]1.) CLM Reference'!$B$4</f>
        <v>2.0189918271078045E-3</v>
      </c>
      <c r="F120" s="89">
        <f>[2]!Table32[[#This Row],[Residential Incentive Disbursements]]+[2]!Table32[[#This Row],[C&amp;I Incentive Disbursements]]</f>
        <v>1791</v>
      </c>
      <c r="G120" s="198">
        <f>[2]!Table32[[#This Row],[Incentive Disbursements]]/'[2]1.) CLM Reference'!$B$5</f>
        <v>1.0660087390086975E-4</v>
      </c>
      <c r="H120" s="88">
        <v>0</v>
      </c>
      <c r="I120" s="197">
        <f>[2]!Table32[[#This Row],[Residential CLM $ Collected]]/'[2]1.) CLM Reference'!$B$4</f>
        <v>0</v>
      </c>
      <c r="J120" s="89">
        <v>0</v>
      </c>
      <c r="K120" s="198">
        <f>[2]!Table32[[#This Row],[Residential Incentive Disbursements]]/'[2]1.) CLM Reference'!$B$5</f>
        <v>0</v>
      </c>
      <c r="L120" s="88">
        <v>58753.898999999998</v>
      </c>
      <c r="M120" s="197">
        <f>[2]!Table32[[#This Row],[C&amp;I CLM $ Collected]]/'[2]1.) CLM Reference'!$B$4</f>
        <v>2.0189918271078045E-3</v>
      </c>
      <c r="N120" s="89">
        <v>1791</v>
      </c>
      <c r="O120" s="198">
        <f>[2]!Table32[[#This Row],[C&amp;I Incentive Disbursements]]/'[2]1.) CLM Reference'!$B$5</f>
        <v>1.0660087390086975E-4</v>
      </c>
      <c r="P120" t="str">
        <f>VLOOKUP(Table325[[#This Row],[Census Tract]],'UI EnergyBurden'!$A$2:$B$184,2,FALSE)</f>
        <v>No</v>
      </c>
      <c r="Q120">
        <f>VLOOKUP(Table325[[#This Row],[Census Tract]],'Population and Diversity Data'!B116:K937,10,FALSE)</f>
        <v>3</v>
      </c>
    </row>
    <row r="121" spans="1:17" x14ac:dyDescent="0.2">
      <c r="A121" s="229">
        <v>9009150200</v>
      </c>
      <c r="B121" s="5" t="s">
        <v>2989</v>
      </c>
      <c r="C121" s="87" t="s">
        <v>944</v>
      </c>
      <c r="D121" s="88">
        <f>[2]!Table32[[#This Row],[Residential CLM $ Collected]]+[2]!Table32[[#This Row],[C&amp;I CLM $ Collected]]</f>
        <v>47790.5746</v>
      </c>
      <c r="E121" s="197">
        <f>[2]!Table32[[#This Row],[CLM $ Collected ]]/'[2]1.) CLM Reference'!$B$4</f>
        <v>1.6422532150621328E-3</v>
      </c>
      <c r="F121" s="89">
        <f>[2]!Table32[[#This Row],[Residential Incentive Disbursements]]+[2]!Table32[[#This Row],[C&amp;I Incentive Disbursements]]</f>
        <v>0</v>
      </c>
      <c r="G121" s="198">
        <f>[2]!Table32[[#This Row],[Incentive Disbursements]]/'[2]1.) CLM Reference'!$B$5</f>
        <v>0</v>
      </c>
      <c r="H121" s="88">
        <v>0</v>
      </c>
      <c r="I121" s="197">
        <f>[2]!Table32[[#This Row],[Residential CLM $ Collected]]/'[2]1.) CLM Reference'!$B$4</f>
        <v>0</v>
      </c>
      <c r="J121" s="89">
        <v>0</v>
      </c>
      <c r="K121" s="198">
        <f>[2]!Table32[[#This Row],[Residential Incentive Disbursements]]/'[2]1.) CLM Reference'!$B$5</f>
        <v>0</v>
      </c>
      <c r="L121" s="88">
        <v>47790.5746</v>
      </c>
      <c r="M121" s="197">
        <f>[2]!Table32[[#This Row],[C&amp;I CLM $ Collected]]/'[2]1.) CLM Reference'!$B$4</f>
        <v>1.6422532150621328E-3</v>
      </c>
      <c r="N121" s="89">
        <v>0</v>
      </c>
      <c r="O121" s="198">
        <f>[2]!Table32[[#This Row],[C&amp;I Incentive Disbursements]]/'[2]1.) CLM Reference'!$B$5</f>
        <v>0</v>
      </c>
      <c r="P121" t="str">
        <f>VLOOKUP(Table325[[#This Row],[Census Tract]],'UI EnergyBurden'!$A$2:$B$184,2,FALSE)</f>
        <v>No</v>
      </c>
      <c r="Q121">
        <f>VLOOKUP(Table325[[#This Row],[Census Tract]],'Population and Diversity Data'!B117:K938,10,FALSE)</f>
        <v>4</v>
      </c>
    </row>
    <row r="122" spans="1:17" x14ac:dyDescent="0.2">
      <c r="A122" s="229">
        <v>9009150300</v>
      </c>
      <c r="B122" s="5" t="s">
        <v>2989</v>
      </c>
      <c r="C122" s="87" t="s">
        <v>944</v>
      </c>
      <c r="D122" s="88">
        <f>[2]!Table32[[#This Row],[Residential CLM $ Collected]]+[2]!Table32[[#This Row],[C&amp;I CLM $ Collected]]</f>
        <v>22054.677199999998</v>
      </c>
      <c r="E122" s="197">
        <f>[2]!Table32[[#This Row],[CLM $ Collected ]]/'[2]1.) CLM Reference'!$B$4</f>
        <v>7.5787673284969282E-4</v>
      </c>
      <c r="F122" s="89">
        <f>[2]!Table32[[#This Row],[Residential Incentive Disbursements]]+[2]!Table32[[#This Row],[C&amp;I Incentive Disbursements]]</f>
        <v>250</v>
      </c>
      <c r="G122" s="198">
        <f>[2]!Table32[[#This Row],[Incentive Disbursements]]/'[2]1.) CLM Reference'!$B$5</f>
        <v>1.4880077317262669E-5</v>
      </c>
      <c r="H122" s="88">
        <v>0</v>
      </c>
      <c r="I122" s="197">
        <f>[2]!Table32[[#This Row],[Residential CLM $ Collected]]/'[2]1.) CLM Reference'!$B$4</f>
        <v>0</v>
      </c>
      <c r="J122" s="89">
        <v>0</v>
      </c>
      <c r="K122" s="198">
        <f>[2]!Table32[[#This Row],[Residential Incentive Disbursements]]/'[2]1.) CLM Reference'!$B$5</f>
        <v>0</v>
      </c>
      <c r="L122" s="88">
        <v>22054.677199999998</v>
      </c>
      <c r="M122" s="197">
        <f>[2]!Table32[[#This Row],[C&amp;I CLM $ Collected]]/'[2]1.) CLM Reference'!$B$4</f>
        <v>7.5787673284969282E-4</v>
      </c>
      <c r="N122" s="89">
        <v>250</v>
      </c>
      <c r="O122" s="198">
        <f>[2]!Table32[[#This Row],[C&amp;I Incentive Disbursements]]/'[2]1.) CLM Reference'!$B$5</f>
        <v>1.4880077317262669E-5</v>
      </c>
      <c r="P122" t="str">
        <f>VLOOKUP(Table325[[#This Row],[Census Tract]],'UI EnergyBurden'!$A$2:$B$184,2,FALSE)</f>
        <v>No</v>
      </c>
      <c r="Q122">
        <f>VLOOKUP(Table325[[#This Row],[Census Tract]],'Population and Diversity Data'!B118:K939,10,FALSE)</f>
        <v>3</v>
      </c>
    </row>
    <row r="123" spans="1:17" x14ac:dyDescent="0.2">
      <c r="A123" s="229">
        <v>9009150500</v>
      </c>
      <c r="B123" s="5" t="s">
        <v>2989</v>
      </c>
      <c r="C123" s="87" t="s">
        <v>944</v>
      </c>
      <c r="D123" s="88">
        <f>[2]!Table32[[#This Row],[Residential CLM $ Collected]]+[2]!Table32[[#This Row],[C&amp;I CLM $ Collected]]</f>
        <v>11394.1178</v>
      </c>
      <c r="E123" s="197">
        <f>[2]!Table32[[#This Row],[CLM $ Collected ]]/'[2]1.) CLM Reference'!$B$4</f>
        <v>3.9154219731534E-4</v>
      </c>
      <c r="F123" s="89">
        <f>[2]!Table32[[#This Row],[Residential Incentive Disbursements]]+[2]!Table32[[#This Row],[C&amp;I Incentive Disbursements]]</f>
        <v>0</v>
      </c>
      <c r="G123" s="198">
        <f>[2]!Table32[[#This Row],[Incentive Disbursements]]/'[2]1.) CLM Reference'!$B$5</f>
        <v>0</v>
      </c>
      <c r="H123" s="88">
        <v>0</v>
      </c>
      <c r="I123" s="197">
        <f>[2]!Table32[[#This Row],[Residential CLM $ Collected]]/'[2]1.) CLM Reference'!$B$4</f>
        <v>0</v>
      </c>
      <c r="J123" s="89">
        <v>0</v>
      </c>
      <c r="K123" s="198">
        <f>[2]!Table32[[#This Row],[Residential Incentive Disbursements]]/'[2]1.) CLM Reference'!$B$5</f>
        <v>0</v>
      </c>
      <c r="L123" s="88">
        <v>11394.1178</v>
      </c>
      <c r="M123" s="197">
        <f>[2]!Table32[[#This Row],[C&amp;I CLM $ Collected]]/'[2]1.) CLM Reference'!$B$4</f>
        <v>3.9154219731534E-4</v>
      </c>
      <c r="N123" s="89">
        <v>0</v>
      </c>
      <c r="O123" s="198">
        <f>[2]!Table32[[#This Row],[C&amp;I Incentive Disbursements]]/'[2]1.) CLM Reference'!$B$5</f>
        <v>0</v>
      </c>
      <c r="P123" t="str">
        <f>VLOOKUP(Table325[[#This Row],[Census Tract]],'UI EnergyBurden'!$A$2:$B$184,2,FALSE)</f>
        <v>No</v>
      </c>
      <c r="Q123">
        <f>VLOOKUP(Table325[[#This Row],[Census Tract]],'Population and Diversity Data'!B119:K940,10,FALSE)</f>
        <v>2</v>
      </c>
    </row>
    <row r="124" spans="1:17" x14ac:dyDescent="0.2">
      <c r="A124" s="229">
        <v>9009150600</v>
      </c>
      <c r="B124" s="5" t="s">
        <v>2989</v>
      </c>
      <c r="C124" s="87" t="s">
        <v>944</v>
      </c>
      <c r="D124" s="88">
        <f>[2]!Table32[[#This Row],[Residential CLM $ Collected]]+[2]!Table32[[#This Row],[C&amp;I CLM $ Collected]]</f>
        <v>225626.00099999999</v>
      </c>
      <c r="E124" s="197">
        <f>[2]!Table32[[#This Row],[CLM $ Collected ]]/'[2]1.) CLM Reference'!$B$4</f>
        <v>7.7533076060538088E-3</v>
      </c>
      <c r="F124" s="89">
        <f>[2]!Table32[[#This Row],[Residential Incentive Disbursements]]+[2]!Table32[[#This Row],[C&amp;I Incentive Disbursements]]</f>
        <v>96057</v>
      </c>
      <c r="G124" s="198">
        <f>[2]!Table32[[#This Row],[Incentive Disbursements]]/'[2]1.) CLM Reference'!$B$5</f>
        <v>5.7173423474572004E-3</v>
      </c>
      <c r="H124" s="88">
        <v>0</v>
      </c>
      <c r="I124" s="197">
        <f>[2]!Table32[[#This Row],[Residential CLM $ Collected]]/'[2]1.) CLM Reference'!$B$4</f>
        <v>0</v>
      </c>
      <c r="J124" s="89">
        <v>0</v>
      </c>
      <c r="K124" s="198">
        <f>[2]!Table32[[#This Row],[Residential Incentive Disbursements]]/'[2]1.) CLM Reference'!$B$5</f>
        <v>0</v>
      </c>
      <c r="L124" s="88">
        <v>225626.00099999999</v>
      </c>
      <c r="M124" s="197">
        <f>[2]!Table32[[#This Row],[C&amp;I CLM $ Collected]]/'[2]1.) CLM Reference'!$B$4</f>
        <v>7.7533076060538088E-3</v>
      </c>
      <c r="N124" s="89">
        <v>96057</v>
      </c>
      <c r="O124" s="198">
        <f>[2]!Table32[[#This Row],[C&amp;I Incentive Disbursements]]/'[2]1.) CLM Reference'!$B$5</f>
        <v>5.7173423474572004E-3</v>
      </c>
      <c r="P124" t="str">
        <f>VLOOKUP(Table325[[#This Row],[Census Tract]],'UI EnergyBurden'!$A$2:$B$184,2,FALSE)</f>
        <v>No</v>
      </c>
      <c r="Q124">
        <f>VLOOKUP(Table325[[#This Row],[Census Tract]],'Population and Diversity Data'!B120:K941,10,FALSE)</f>
        <v>3</v>
      </c>
    </row>
    <row r="125" spans="1:17" x14ac:dyDescent="0.2">
      <c r="A125" s="229">
        <v>9009150700</v>
      </c>
      <c r="B125" s="5" t="s">
        <v>2989</v>
      </c>
      <c r="C125" s="87" t="s">
        <v>944</v>
      </c>
      <c r="D125" s="88">
        <f>[2]!Table32[[#This Row],[Residential CLM $ Collected]]+[2]!Table32[[#This Row],[C&amp;I CLM $ Collected]]</f>
        <v>71448.268599999996</v>
      </c>
      <c r="E125" s="197">
        <f>[2]!Table32[[#This Row],[CLM $ Collected ]]/'[2]1.) CLM Reference'!$B$4</f>
        <v>2.4552152762560178E-3</v>
      </c>
      <c r="F125" s="89">
        <f>[2]!Table32[[#This Row],[Residential Incentive Disbursements]]+[2]!Table32[[#This Row],[C&amp;I Incentive Disbursements]]</f>
        <v>16584</v>
      </c>
      <c r="G125" s="198">
        <f>[2]!Table32[[#This Row],[Incentive Disbursements]]/'[2]1.) CLM Reference'!$B$5</f>
        <v>9.8708480891793638E-4</v>
      </c>
      <c r="H125" s="88">
        <v>0</v>
      </c>
      <c r="I125" s="197">
        <f>[2]!Table32[[#This Row],[Residential CLM $ Collected]]/'[2]1.) CLM Reference'!$B$4</f>
        <v>0</v>
      </c>
      <c r="J125" s="89">
        <v>0</v>
      </c>
      <c r="K125" s="198">
        <f>[2]!Table32[[#This Row],[Residential Incentive Disbursements]]/'[2]1.) CLM Reference'!$B$5</f>
        <v>0</v>
      </c>
      <c r="L125" s="88">
        <v>71448.268599999996</v>
      </c>
      <c r="M125" s="197">
        <f>[2]!Table32[[#This Row],[C&amp;I CLM $ Collected]]/'[2]1.) CLM Reference'!$B$4</f>
        <v>2.4552152762560178E-3</v>
      </c>
      <c r="N125" s="89">
        <v>16584</v>
      </c>
      <c r="O125" s="198">
        <f>[2]!Table32[[#This Row],[C&amp;I Incentive Disbursements]]/'[2]1.) CLM Reference'!$B$5</f>
        <v>9.8708480891793638E-4</v>
      </c>
      <c r="P125" t="str">
        <f>VLOOKUP(Table325[[#This Row],[Census Tract]],'UI EnergyBurden'!$A$2:$B$184,2,FALSE)</f>
        <v>No</v>
      </c>
      <c r="Q125">
        <f>VLOOKUP(Table325[[#This Row],[Census Tract]],'Population and Diversity Data'!B121:K942,10,FALSE)</f>
        <v>3</v>
      </c>
    </row>
    <row r="126" spans="1:17" x14ac:dyDescent="0.2">
      <c r="A126" s="229">
        <v>9009150800</v>
      </c>
      <c r="B126" s="5" t="s">
        <v>2989</v>
      </c>
      <c r="C126" s="87" t="s">
        <v>944</v>
      </c>
      <c r="D126" s="88">
        <f>[2]!Table32[[#This Row],[Residential CLM $ Collected]]+[2]!Table32[[#This Row],[C&amp;I CLM $ Collected]]</f>
        <v>202449.05009999999</v>
      </c>
      <c r="E126" s="197">
        <f>[2]!Table32[[#This Row],[CLM $ Collected ]]/'[2]1.) CLM Reference'!$B$4</f>
        <v>6.9568655785318756E-3</v>
      </c>
      <c r="F126" s="89">
        <f>[2]!Table32[[#This Row],[Residential Incentive Disbursements]]+[2]!Table32[[#This Row],[C&amp;I Incentive Disbursements]]</f>
        <v>16410</v>
      </c>
      <c r="G126" s="198">
        <f>[2]!Table32[[#This Row],[Incentive Disbursements]]/'[2]1.) CLM Reference'!$B$5</f>
        <v>9.7672827510512147E-4</v>
      </c>
      <c r="H126" s="88">
        <v>0</v>
      </c>
      <c r="I126" s="197">
        <f>[2]!Table32[[#This Row],[Residential CLM $ Collected]]/'[2]1.) CLM Reference'!$B$4</f>
        <v>0</v>
      </c>
      <c r="J126" s="89">
        <v>0</v>
      </c>
      <c r="K126" s="198">
        <f>[2]!Table32[[#This Row],[Residential Incentive Disbursements]]/'[2]1.) CLM Reference'!$B$5</f>
        <v>0</v>
      </c>
      <c r="L126" s="88">
        <v>202449.05009999999</v>
      </c>
      <c r="M126" s="197">
        <f>[2]!Table32[[#This Row],[C&amp;I CLM $ Collected]]/'[2]1.) CLM Reference'!$B$4</f>
        <v>6.9568655785318756E-3</v>
      </c>
      <c r="N126" s="89">
        <v>16410</v>
      </c>
      <c r="O126" s="198">
        <f>[2]!Table32[[#This Row],[C&amp;I Incentive Disbursements]]/'[2]1.) CLM Reference'!$B$5</f>
        <v>9.7672827510512147E-4</v>
      </c>
      <c r="P126" t="str">
        <f>VLOOKUP(Table325[[#This Row],[Census Tract]],'UI EnergyBurden'!$A$2:$B$184,2,FALSE)</f>
        <v>No</v>
      </c>
      <c r="Q126">
        <f>VLOOKUP(Table325[[#This Row],[Census Tract]],'Population and Diversity Data'!B122:K943,10,FALSE)</f>
        <v>4</v>
      </c>
    </row>
    <row r="127" spans="1:17" x14ac:dyDescent="0.2">
      <c r="A127" s="229">
        <v>9009150900</v>
      </c>
      <c r="B127" s="5" t="s">
        <v>2989</v>
      </c>
      <c r="C127" s="87" t="s">
        <v>944</v>
      </c>
      <c r="D127" s="88">
        <f>[2]!Table32[[#This Row],[Residential CLM $ Collected]]+[2]!Table32[[#This Row],[C&amp;I CLM $ Collected]]</f>
        <v>231960.74220000001</v>
      </c>
      <c r="E127" s="197">
        <f>[2]!Table32[[#This Row],[CLM $ Collected ]]/'[2]1.) CLM Reference'!$B$4</f>
        <v>7.9709917245093884E-3</v>
      </c>
      <c r="F127" s="89">
        <f>[2]!Table32[[#This Row],[Residential Incentive Disbursements]]+[2]!Table32[[#This Row],[C&amp;I Incentive Disbursements]]</f>
        <v>850</v>
      </c>
      <c r="G127" s="198">
        <f>[2]!Table32[[#This Row],[Incentive Disbursements]]/'[2]1.) CLM Reference'!$B$5</f>
        <v>5.059226287869307E-5</v>
      </c>
      <c r="H127" s="88">
        <v>0</v>
      </c>
      <c r="I127" s="197">
        <f>[2]!Table32[[#This Row],[Residential CLM $ Collected]]/'[2]1.) CLM Reference'!$B$4</f>
        <v>0</v>
      </c>
      <c r="J127" s="89">
        <v>0</v>
      </c>
      <c r="K127" s="198">
        <f>[2]!Table32[[#This Row],[Residential Incentive Disbursements]]/'[2]1.) CLM Reference'!$B$5</f>
        <v>0</v>
      </c>
      <c r="L127" s="88">
        <v>231960.74220000001</v>
      </c>
      <c r="M127" s="197">
        <f>[2]!Table32[[#This Row],[C&amp;I CLM $ Collected]]/'[2]1.) CLM Reference'!$B$4</f>
        <v>7.9709917245093884E-3</v>
      </c>
      <c r="N127" s="89">
        <v>850</v>
      </c>
      <c r="O127" s="198">
        <f>[2]!Table32[[#This Row],[C&amp;I Incentive Disbursements]]/'[2]1.) CLM Reference'!$B$5</f>
        <v>5.059226287869307E-5</v>
      </c>
      <c r="P127" t="str">
        <f>VLOOKUP(Table325[[#This Row],[Census Tract]],'UI EnergyBurden'!$A$2:$B$184,2,FALSE)</f>
        <v>No</v>
      </c>
      <c r="Q127">
        <f>VLOOKUP(Table325[[#This Row],[Census Tract]],'Population and Diversity Data'!B123:K944,10,FALSE)</f>
        <v>1</v>
      </c>
    </row>
    <row r="128" spans="1:17" x14ac:dyDescent="0.2">
      <c r="A128" s="229">
        <v>9009151000</v>
      </c>
      <c r="B128" s="5" t="s">
        <v>2989</v>
      </c>
      <c r="C128" s="87" t="s">
        <v>944</v>
      </c>
      <c r="D128" s="88">
        <f>[2]!Table32[[#This Row],[Residential CLM $ Collected]]+[2]!Table32[[#This Row],[C&amp;I CLM $ Collected]]</f>
        <v>3718.1469999999999</v>
      </c>
      <c r="E128" s="197">
        <f>[2]!Table32[[#This Row],[CLM $ Collected ]]/'[2]1.) CLM Reference'!$B$4</f>
        <v>1.2776868484907532E-4</v>
      </c>
      <c r="F128" s="89">
        <f>[2]!Table32[[#This Row],[Residential Incentive Disbursements]]+[2]!Table32[[#This Row],[C&amp;I Incentive Disbursements]]</f>
        <v>0</v>
      </c>
      <c r="G128" s="198">
        <f>[2]!Table32[[#This Row],[Incentive Disbursements]]/'[2]1.) CLM Reference'!$B$5</f>
        <v>0</v>
      </c>
      <c r="H128" s="88">
        <v>0</v>
      </c>
      <c r="I128" s="197">
        <f>[2]!Table32[[#This Row],[Residential CLM $ Collected]]/'[2]1.) CLM Reference'!$B$4</f>
        <v>0</v>
      </c>
      <c r="J128" s="89">
        <v>0</v>
      </c>
      <c r="K128" s="198">
        <f>[2]!Table32[[#This Row],[Residential Incentive Disbursements]]/'[2]1.) CLM Reference'!$B$5</f>
        <v>0</v>
      </c>
      <c r="L128" s="88">
        <v>3718.1469999999999</v>
      </c>
      <c r="M128" s="197">
        <f>[2]!Table32[[#This Row],[C&amp;I CLM $ Collected]]/'[2]1.) CLM Reference'!$B$4</f>
        <v>1.2776868484907532E-4</v>
      </c>
      <c r="N128" s="89">
        <v>0</v>
      </c>
      <c r="O128" s="198">
        <f>[2]!Table32[[#This Row],[C&amp;I Incentive Disbursements]]/'[2]1.) CLM Reference'!$B$5</f>
        <v>0</v>
      </c>
      <c r="P128" t="str">
        <f>VLOOKUP(Table325[[#This Row],[Census Tract]],'UI EnergyBurden'!$A$2:$B$184,2,FALSE)</f>
        <v>No</v>
      </c>
      <c r="Q128">
        <f>VLOOKUP(Table325[[#This Row],[Census Tract]],'Population and Diversity Data'!B124:K945,10,FALSE)</f>
        <v>3</v>
      </c>
    </row>
    <row r="129" spans="1:17" x14ac:dyDescent="0.2">
      <c r="A129" s="229">
        <v>9009151100</v>
      </c>
      <c r="B129" s="5" t="s">
        <v>2989</v>
      </c>
      <c r="C129" s="87" t="s">
        <v>944</v>
      </c>
      <c r="D129" s="88">
        <f>[2]!Table32[[#This Row],[Residential CLM $ Collected]]+[2]!Table32[[#This Row],[C&amp;I CLM $ Collected]]</f>
        <v>85261.554799999998</v>
      </c>
      <c r="E129" s="197">
        <f>[2]!Table32[[#This Row],[CLM $ Collected ]]/'[2]1.) CLM Reference'!$B$4</f>
        <v>2.9298886582438417E-3</v>
      </c>
      <c r="F129" s="89">
        <f>[2]!Table32[[#This Row],[Residential Incentive Disbursements]]+[2]!Table32[[#This Row],[C&amp;I Incentive Disbursements]]</f>
        <v>153338.10999999999</v>
      </c>
      <c r="G129" s="198">
        <f>[2]!Table32[[#This Row],[Incentive Disbursements]]/'[2]1.) CLM Reference'!$B$5</f>
        <v>9.1267317299317113E-3</v>
      </c>
      <c r="H129" s="88">
        <v>0</v>
      </c>
      <c r="I129" s="197">
        <f>[2]!Table32[[#This Row],[Residential CLM $ Collected]]/'[2]1.) CLM Reference'!$B$4</f>
        <v>0</v>
      </c>
      <c r="J129" s="89">
        <v>0</v>
      </c>
      <c r="K129" s="198">
        <f>[2]!Table32[[#This Row],[Residential Incentive Disbursements]]/'[2]1.) CLM Reference'!$B$5</f>
        <v>0</v>
      </c>
      <c r="L129" s="88">
        <v>85261.554799999998</v>
      </c>
      <c r="M129" s="197">
        <f>[2]!Table32[[#This Row],[C&amp;I CLM $ Collected]]/'[2]1.) CLM Reference'!$B$4</f>
        <v>2.9298886582438417E-3</v>
      </c>
      <c r="N129" s="89">
        <v>153338.10999999999</v>
      </c>
      <c r="O129" s="198">
        <f>[2]!Table32[[#This Row],[C&amp;I Incentive Disbursements]]/'[2]1.) CLM Reference'!$B$5</f>
        <v>9.1267317299317113E-3</v>
      </c>
      <c r="P129" t="str">
        <f>VLOOKUP(Table325[[#This Row],[Census Tract]],'UI EnergyBurden'!$A$2:$B$184,2,FALSE)</f>
        <v>No</v>
      </c>
      <c r="Q129">
        <f>VLOOKUP(Table325[[#This Row],[Census Tract]],'Population and Diversity Data'!B125:K946,10,FALSE)</f>
        <v>3</v>
      </c>
    </row>
    <row r="130" spans="1:17" x14ac:dyDescent="0.2">
      <c r="A130" s="229">
        <v>9009151200</v>
      </c>
      <c r="B130" s="5" t="s">
        <v>2989</v>
      </c>
      <c r="C130" s="87" t="s">
        <v>944</v>
      </c>
      <c r="D130" s="88">
        <f>[2]!Table32[[#This Row],[Residential CLM $ Collected]]+[2]!Table32[[#This Row],[C&amp;I CLM $ Collected]]</f>
        <v>24946.427899999999</v>
      </c>
      <c r="E130" s="197">
        <f>[2]!Table32[[#This Row],[CLM $ Collected ]]/'[2]1.) CLM Reference'!$B$4</f>
        <v>8.5724751723513883E-4</v>
      </c>
      <c r="F130" s="89">
        <f>[2]!Table32[[#This Row],[Residential Incentive Disbursements]]+[2]!Table32[[#This Row],[C&amp;I Incentive Disbursements]]</f>
        <v>37695</v>
      </c>
      <c r="G130" s="198">
        <f>[2]!Table32[[#This Row],[Incentive Disbursements]]/'[2]1.) CLM Reference'!$B$5</f>
        <v>2.243618057896865E-3</v>
      </c>
      <c r="H130" s="88">
        <v>0</v>
      </c>
      <c r="I130" s="197">
        <f>[2]!Table32[[#This Row],[Residential CLM $ Collected]]/'[2]1.) CLM Reference'!$B$4</f>
        <v>0</v>
      </c>
      <c r="J130" s="89">
        <v>0</v>
      </c>
      <c r="K130" s="198">
        <f>[2]!Table32[[#This Row],[Residential Incentive Disbursements]]/'[2]1.) CLM Reference'!$B$5</f>
        <v>0</v>
      </c>
      <c r="L130" s="88">
        <v>24946.427899999999</v>
      </c>
      <c r="M130" s="197">
        <f>[2]!Table32[[#This Row],[C&amp;I CLM $ Collected]]/'[2]1.) CLM Reference'!$B$4</f>
        <v>8.5724751723513883E-4</v>
      </c>
      <c r="N130" s="89">
        <v>37695</v>
      </c>
      <c r="O130" s="198">
        <f>[2]!Table32[[#This Row],[C&amp;I Incentive Disbursements]]/'[2]1.) CLM Reference'!$B$5</f>
        <v>2.243618057896865E-3</v>
      </c>
      <c r="P130" t="str">
        <f>VLOOKUP(Table325[[#This Row],[Census Tract]],'UI EnergyBurden'!$A$2:$B$184,2,FALSE)</f>
        <v>No</v>
      </c>
      <c r="Q130">
        <f>VLOOKUP(Table325[[#This Row],[Census Tract]],'Population and Diversity Data'!B126:K947,10,FALSE)</f>
        <v>2</v>
      </c>
    </row>
    <row r="131" spans="1:17" x14ac:dyDescent="0.2">
      <c r="A131" s="229">
        <v>9009154100</v>
      </c>
      <c r="B131" s="5" t="s">
        <v>950</v>
      </c>
      <c r="C131" s="87" t="s">
        <v>944</v>
      </c>
      <c r="D131" s="88">
        <f>[2]!Table32[[#This Row],[Residential CLM $ Collected]]+[2]!Table32[[#This Row],[C&amp;I CLM $ Collected]]</f>
        <v>57891.270400000001</v>
      </c>
      <c r="E131" s="197">
        <f>[2]!Table32[[#This Row],[CLM $ Collected ]]/'[2]1.) CLM Reference'!$B$4</f>
        <v>1.9893488566348244E-3</v>
      </c>
      <c r="F131" s="89">
        <f>[2]!Table32[[#This Row],[Residential Incentive Disbursements]]+[2]!Table32[[#This Row],[C&amp;I Incentive Disbursements]]</f>
        <v>800</v>
      </c>
      <c r="G131" s="198">
        <f>[2]!Table32[[#This Row],[Incentive Disbursements]]/'[2]1.) CLM Reference'!$B$5</f>
        <v>4.7616247415240537E-5</v>
      </c>
      <c r="H131" s="88">
        <v>1038.3493000000001</v>
      </c>
      <c r="I131" s="197">
        <f>[2]!Table32[[#This Row],[Residential CLM $ Collected]]/'[2]1.) CLM Reference'!$B$4</f>
        <v>3.5681355383463312E-5</v>
      </c>
      <c r="J131" s="89">
        <v>0</v>
      </c>
      <c r="K131" s="198">
        <f>[2]!Table32[[#This Row],[Residential Incentive Disbursements]]/'[2]1.) CLM Reference'!$B$5</f>
        <v>0</v>
      </c>
      <c r="L131" s="88">
        <v>56852.9211</v>
      </c>
      <c r="M131" s="197">
        <f>[2]!Table32[[#This Row],[C&amp;I CLM $ Collected]]/'[2]1.) CLM Reference'!$B$4</f>
        <v>1.9536675012513612E-3</v>
      </c>
      <c r="N131" s="89">
        <v>800</v>
      </c>
      <c r="O131" s="198">
        <f>[2]!Table32[[#This Row],[C&amp;I Incentive Disbursements]]/'[2]1.) CLM Reference'!$B$5</f>
        <v>4.7616247415240537E-5</v>
      </c>
      <c r="P131" t="str">
        <f>VLOOKUP(Table325[[#This Row],[Census Tract]],'UI EnergyBurden'!$A$2:$B$184,2,FALSE)</f>
        <v>No</v>
      </c>
      <c r="Q131">
        <f>VLOOKUP(Table325[[#This Row],[Census Tract]],'Population and Diversity Data'!B127:K948,10,FALSE)</f>
        <v>4</v>
      </c>
    </row>
    <row r="132" spans="1:17" x14ac:dyDescent="0.2">
      <c r="A132" s="229">
        <v>9009154200</v>
      </c>
      <c r="B132" s="5" t="s">
        <v>950</v>
      </c>
      <c r="C132" s="87" t="s">
        <v>944</v>
      </c>
      <c r="D132" s="88">
        <f>[2]!Table32[[#This Row],[Residential CLM $ Collected]]+[2]!Table32[[#This Row],[C&amp;I CLM $ Collected]]</f>
        <v>23658.1571</v>
      </c>
      <c r="E132" s="197">
        <f>[2]!Table32[[#This Row],[CLM $ Collected ]]/'[2]1.) CLM Reference'!$B$4</f>
        <v>8.1297797494822382E-4</v>
      </c>
      <c r="F132" s="89">
        <f>[2]!Table32[[#This Row],[Residential Incentive Disbursements]]+[2]!Table32[[#This Row],[C&amp;I Incentive Disbursements]]</f>
        <v>0</v>
      </c>
      <c r="G132" s="198">
        <f>[2]!Table32[[#This Row],[Incentive Disbursements]]/'[2]1.) CLM Reference'!$B$5</f>
        <v>0</v>
      </c>
      <c r="H132" s="88">
        <v>0</v>
      </c>
      <c r="I132" s="197">
        <f>[2]!Table32[[#This Row],[Residential CLM $ Collected]]/'[2]1.) CLM Reference'!$B$4</f>
        <v>0</v>
      </c>
      <c r="J132" s="89">
        <v>0</v>
      </c>
      <c r="K132" s="198">
        <f>[2]!Table32[[#This Row],[Residential Incentive Disbursements]]/'[2]1.) CLM Reference'!$B$5</f>
        <v>0</v>
      </c>
      <c r="L132" s="88">
        <v>23658.1571</v>
      </c>
      <c r="M132" s="197">
        <f>[2]!Table32[[#This Row],[C&amp;I CLM $ Collected]]/'[2]1.) CLM Reference'!$B$4</f>
        <v>8.1297797494822382E-4</v>
      </c>
      <c r="N132" s="89">
        <v>0</v>
      </c>
      <c r="O132" s="198">
        <f>[2]!Table32[[#This Row],[C&amp;I Incentive Disbursements]]/'[2]1.) CLM Reference'!$B$5</f>
        <v>0</v>
      </c>
      <c r="P132" t="str">
        <f>VLOOKUP(Table325[[#This Row],[Census Tract]],'UI EnergyBurden'!$A$2:$B$184,2,FALSE)</f>
        <v>No</v>
      </c>
      <c r="Q132">
        <f>VLOOKUP(Table325[[#This Row],[Census Tract]],'Population and Diversity Data'!B128:K949,10,FALSE)</f>
        <v>4</v>
      </c>
    </row>
    <row r="133" spans="1:17" x14ac:dyDescent="0.2">
      <c r="A133" s="229">
        <v>9009154500</v>
      </c>
      <c r="B133" s="5" t="s">
        <v>3005</v>
      </c>
      <c r="C133" s="87" t="s">
        <v>936</v>
      </c>
      <c r="D133" s="88">
        <f>[2]!Table32[[#This Row],[Residential CLM $ Collected]]+[2]!Table32[[#This Row],[C&amp;I CLM $ Collected]]</f>
        <v>4149.2298000000001</v>
      </c>
      <c r="E133" s="197">
        <f>[2]!Table32[[#This Row],[CLM $ Collected ]]/'[2]1.) CLM Reference'!$B$4</f>
        <v>1.4258221492657278E-4</v>
      </c>
      <c r="F133" s="89">
        <f>[2]!Table32[[#This Row],[Residential Incentive Disbursements]]+[2]!Table32[[#This Row],[C&amp;I Incentive Disbursements]]</f>
        <v>50</v>
      </c>
      <c r="G133" s="198">
        <f>[2]!Table32[[#This Row],[Incentive Disbursements]]/'[2]1.) CLM Reference'!$B$5</f>
        <v>2.9760154634525335E-6</v>
      </c>
      <c r="H133" s="88">
        <v>0</v>
      </c>
      <c r="I133" s="197">
        <f>[2]!Table32[[#This Row],[Residential CLM $ Collected]]/'[2]1.) CLM Reference'!$B$4</f>
        <v>0</v>
      </c>
      <c r="J133" s="89">
        <v>0</v>
      </c>
      <c r="K133" s="198">
        <f>[2]!Table32[[#This Row],[Residential Incentive Disbursements]]/'[2]1.) CLM Reference'!$B$5</f>
        <v>0</v>
      </c>
      <c r="L133" s="88">
        <v>4149.2298000000001</v>
      </c>
      <c r="M133" s="197">
        <f>[2]!Table32[[#This Row],[C&amp;I CLM $ Collected]]/'[2]1.) CLM Reference'!$B$4</f>
        <v>1.4258221492657278E-4</v>
      </c>
      <c r="N133" s="89">
        <v>50</v>
      </c>
      <c r="O133" s="198">
        <f>[2]!Table32[[#This Row],[C&amp;I Incentive Disbursements]]/'[2]1.) CLM Reference'!$B$5</f>
        <v>2.9760154634525335E-6</v>
      </c>
      <c r="P133" t="str">
        <f>VLOOKUP(Table325[[#This Row],[Census Tract]],'UI EnergyBurden'!$A$2:$B$184,2,FALSE)</f>
        <v>No</v>
      </c>
      <c r="Q133">
        <f>VLOOKUP(Table325[[#This Row],[Census Tract]],'Population and Diversity Data'!B129:K950,10,FALSE)</f>
        <v>4</v>
      </c>
    </row>
    <row r="134" spans="1:17" x14ac:dyDescent="0.2">
      <c r="A134" s="229">
        <v>9009154500</v>
      </c>
      <c r="B134" s="5" t="s">
        <v>950</v>
      </c>
      <c r="C134" s="87" t="s">
        <v>936</v>
      </c>
      <c r="D134" s="88">
        <f>[2]!Table32[[#This Row],[Residential CLM $ Collected]]+[2]!Table32[[#This Row],[C&amp;I CLM $ Collected]]</f>
        <v>4240.4471000000003</v>
      </c>
      <c r="E134" s="197">
        <f>[2]!Table32[[#This Row],[CLM $ Collected ]]/'[2]1.) CLM Reference'!$B$4</f>
        <v>1.4571676405991356E-4</v>
      </c>
      <c r="F134" s="89">
        <f>[2]!Table32[[#This Row],[Residential Incentive Disbursements]]+[2]!Table32[[#This Row],[C&amp;I Incentive Disbursements]]</f>
        <v>2970</v>
      </c>
      <c r="G134" s="198">
        <f>[2]!Table32[[#This Row],[Incentive Disbursements]]/'[2]1.) CLM Reference'!$B$5</f>
        <v>1.767753185290805E-4</v>
      </c>
      <c r="H134" s="88">
        <v>0</v>
      </c>
      <c r="I134" s="197">
        <f>[2]!Table32[[#This Row],[Residential CLM $ Collected]]/'[2]1.) CLM Reference'!$B$4</f>
        <v>0</v>
      </c>
      <c r="J134" s="89">
        <v>0</v>
      </c>
      <c r="K134" s="198">
        <f>[2]!Table32[[#This Row],[Residential Incentive Disbursements]]/'[2]1.) CLM Reference'!$B$5</f>
        <v>0</v>
      </c>
      <c r="L134" s="88">
        <v>4240.4471000000003</v>
      </c>
      <c r="M134" s="197">
        <f>[2]!Table32[[#This Row],[C&amp;I CLM $ Collected]]/'[2]1.) CLM Reference'!$B$4</f>
        <v>1.4571676405991356E-4</v>
      </c>
      <c r="N134" s="89">
        <v>2970</v>
      </c>
      <c r="O134" s="198">
        <f>[2]!Table32[[#This Row],[C&amp;I Incentive Disbursements]]/'[2]1.) CLM Reference'!$B$5</f>
        <v>1.767753185290805E-4</v>
      </c>
      <c r="P134" t="str">
        <f>VLOOKUP(Table325[[#This Row],[Census Tract]],'UI EnergyBurden'!$A$2:$B$184,2,FALSE)</f>
        <v>No</v>
      </c>
      <c r="Q134">
        <f>VLOOKUP(Table325[[#This Row],[Census Tract]],'Population and Diversity Data'!B130:K951,10,FALSE)</f>
        <v>4</v>
      </c>
    </row>
    <row r="135" spans="1:17" x14ac:dyDescent="0.2">
      <c r="A135" s="229">
        <v>9009154600</v>
      </c>
      <c r="B135" s="5" t="s">
        <v>950</v>
      </c>
      <c r="C135" s="87" t="s">
        <v>944</v>
      </c>
      <c r="D135" s="88">
        <f>[2]!Table32[[#This Row],[Residential CLM $ Collected]]+[2]!Table32[[#This Row],[C&amp;I CLM $ Collected]]</f>
        <v>52236.260499999997</v>
      </c>
      <c r="E135" s="197">
        <f>[2]!Table32[[#This Row],[CLM $ Collected ]]/'[2]1.) CLM Reference'!$B$4</f>
        <v>1.7950227103766207E-3</v>
      </c>
      <c r="F135" s="89">
        <f>[2]!Table32[[#This Row],[Residential Incentive Disbursements]]+[2]!Table32[[#This Row],[C&amp;I Incentive Disbursements]]</f>
        <v>360</v>
      </c>
      <c r="G135" s="198">
        <f>[2]!Table32[[#This Row],[Incentive Disbursements]]/'[2]1.) CLM Reference'!$B$5</f>
        <v>2.1427311336858241E-5</v>
      </c>
      <c r="H135" s="88">
        <v>0</v>
      </c>
      <c r="I135" s="197">
        <f>[2]!Table32[[#This Row],[Residential CLM $ Collected]]/'[2]1.) CLM Reference'!$B$4</f>
        <v>0</v>
      </c>
      <c r="J135" s="89">
        <v>0</v>
      </c>
      <c r="K135" s="198">
        <f>[2]!Table32[[#This Row],[Residential Incentive Disbursements]]/'[2]1.) CLM Reference'!$B$5</f>
        <v>0</v>
      </c>
      <c r="L135" s="88">
        <v>52236.260499999997</v>
      </c>
      <c r="M135" s="197">
        <f>[2]!Table32[[#This Row],[C&amp;I CLM $ Collected]]/'[2]1.) CLM Reference'!$B$4</f>
        <v>1.7950227103766207E-3</v>
      </c>
      <c r="N135" s="89">
        <v>360</v>
      </c>
      <c r="O135" s="198">
        <f>[2]!Table32[[#This Row],[C&amp;I Incentive Disbursements]]/'[2]1.) CLM Reference'!$B$5</f>
        <v>2.1427311336858241E-5</v>
      </c>
      <c r="P135" t="str">
        <f>VLOOKUP(Table325[[#This Row],[Census Tract]],'UI EnergyBurden'!$A$2:$B$184,2,FALSE)</f>
        <v>No</v>
      </c>
      <c r="Q135">
        <f>VLOOKUP(Table325[[#This Row],[Census Tract]],'Population and Diversity Data'!B131:K952,10,FALSE)</f>
        <v>5</v>
      </c>
    </row>
    <row r="136" spans="1:17" x14ac:dyDescent="0.2">
      <c r="A136" s="229">
        <v>9009154700</v>
      </c>
      <c r="B136" s="5" t="s">
        <v>950</v>
      </c>
      <c r="C136" s="87" t="s">
        <v>944</v>
      </c>
      <c r="D136" s="88">
        <f>[2]!Table32[[#This Row],[Residential CLM $ Collected]]+[2]!Table32[[#This Row],[C&amp;I CLM $ Collected]]</f>
        <v>321864.88760000002</v>
      </c>
      <c r="E136" s="197">
        <f>[2]!Table32[[#This Row],[CLM $ Collected ]]/'[2]1.) CLM Reference'!$B$4</f>
        <v>1.1060416220162208E-2</v>
      </c>
      <c r="F136" s="89">
        <f>[2]!Table32[[#This Row],[Residential Incentive Disbursements]]+[2]!Table32[[#This Row],[C&amp;I Incentive Disbursements]]</f>
        <v>13474</v>
      </c>
      <c r="G136" s="198">
        <f>[2]!Table32[[#This Row],[Incentive Disbursements]]/'[2]1.) CLM Reference'!$B$5</f>
        <v>8.0197664709118872E-4</v>
      </c>
      <c r="H136" s="88">
        <v>0</v>
      </c>
      <c r="I136" s="197">
        <f>[2]!Table32[[#This Row],[Residential CLM $ Collected]]/'[2]1.) CLM Reference'!$B$4</f>
        <v>0</v>
      </c>
      <c r="J136" s="89">
        <v>0</v>
      </c>
      <c r="K136" s="198">
        <f>[2]!Table32[[#This Row],[Residential Incentive Disbursements]]/'[2]1.) CLM Reference'!$B$5</f>
        <v>0</v>
      </c>
      <c r="L136" s="88">
        <v>321864.88760000002</v>
      </c>
      <c r="M136" s="197">
        <f>[2]!Table32[[#This Row],[C&amp;I CLM $ Collected]]/'[2]1.) CLM Reference'!$B$4</f>
        <v>1.1060416220162208E-2</v>
      </c>
      <c r="N136" s="89">
        <v>13474</v>
      </c>
      <c r="O136" s="198">
        <f>[2]!Table32[[#This Row],[C&amp;I Incentive Disbursements]]/'[2]1.) CLM Reference'!$B$5</f>
        <v>8.0197664709118872E-4</v>
      </c>
      <c r="P136" t="str">
        <f>VLOOKUP(Table325[[#This Row],[Census Tract]],'UI EnergyBurden'!$A$2:$B$184,2,FALSE)</f>
        <v>No</v>
      </c>
      <c r="Q136">
        <f>VLOOKUP(Table325[[#This Row],[Census Tract]],'Population and Diversity Data'!B132:K953,10,FALSE)</f>
        <v>3</v>
      </c>
    </row>
    <row r="137" spans="1:17" x14ac:dyDescent="0.2">
      <c r="A137" s="229">
        <v>9009154800</v>
      </c>
      <c r="B137" s="5" t="s">
        <v>950</v>
      </c>
      <c r="C137" s="87" t="s">
        <v>944</v>
      </c>
      <c r="D137" s="88">
        <f>[2]!Table32[[#This Row],[Residential CLM $ Collected]]+[2]!Table32[[#This Row],[C&amp;I CLM $ Collected]]</f>
        <v>675.56370000000004</v>
      </c>
      <c r="E137" s="197">
        <f>[2]!Table32[[#This Row],[CLM $ Collected ]]/'[2]1.) CLM Reference'!$B$4</f>
        <v>2.3214758717386716E-5</v>
      </c>
      <c r="F137" s="89">
        <f>[2]!Table32[[#This Row],[Residential Incentive Disbursements]]+[2]!Table32[[#This Row],[C&amp;I Incentive Disbursements]]</f>
        <v>0</v>
      </c>
      <c r="G137" s="198">
        <f>[2]!Table32[[#This Row],[Incentive Disbursements]]/'[2]1.) CLM Reference'!$B$5</f>
        <v>0</v>
      </c>
      <c r="H137" s="88">
        <v>0</v>
      </c>
      <c r="I137" s="197">
        <f>[2]!Table32[[#This Row],[Residential CLM $ Collected]]/'[2]1.) CLM Reference'!$B$4</f>
        <v>0</v>
      </c>
      <c r="J137" s="89">
        <v>0</v>
      </c>
      <c r="K137" s="198">
        <f>[2]!Table32[[#This Row],[Residential Incentive Disbursements]]/'[2]1.) CLM Reference'!$B$5</f>
        <v>0</v>
      </c>
      <c r="L137" s="88">
        <v>675.56370000000004</v>
      </c>
      <c r="M137" s="197">
        <f>[2]!Table32[[#This Row],[C&amp;I CLM $ Collected]]/'[2]1.) CLM Reference'!$B$4</f>
        <v>2.3214758717386716E-5</v>
      </c>
      <c r="N137" s="89">
        <v>0</v>
      </c>
      <c r="O137" s="198">
        <f>[2]!Table32[[#This Row],[C&amp;I Incentive Disbursements]]/'[2]1.) CLM Reference'!$B$5</f>
        <v>0</v>
      </c>
      <c r="P137" t="str">
        <f>VLOOKUP(Table325[[#This Row],[Census Tract]],'UI EnergyBurden'!$A$2:$B$184,2,FALSE)</f>
        <v>No</v>
      </c>
      <c r="Q137">
        <f>VLOOKUP(Table325[[#This Row],[Census Tract]],'Population and Diversity Data'!B133:K954,10,FALSE)</f>
        <v>2</v>
      </c>
    </row>
    <row r="138" spans="1:17" x14ac:dyDescent="0.2">
      <c r="A138" s="229">
        <v>9009154900</v>
      </c>
      <c r="B138" s="5" t="s">
        <v>950</v>
      </c>
      <c r="C138" s="87" t="s">
        <v>944</v>
      </c>
      <c r="D138" s="88">
        <f>[2]!Table32[[#This Row],[Residential CLM $ Collected]]+[2]!Table32[[#This Row],[C&amp;I CLM $ Collected]]</f>
        <v>19853.538799999998</v>
      </c>
      <c r="E138" s="197">
        <f>[2]!Table32[[#This Row],[CLM $ Collected ]]/'[2]1.) CLM Reference'!$B$4</f>
        <v>6.8223783031603883E-4</v>
      </c>
      <c r="F138" s="89">
        <f>[2]!Table32[[#This Row],[Residential Incentive Disbursements]]+[2]!Table32[[#This Row],[C&amp;I Incentive Disbursements]]</f>
        <v>0</v>
      </c>
      <c r="G138" s="198">
        <f>[2]!Table32[[#This Row],[Incentive Disbursements]]/'[2]1.) CLM Reference'!$B$5</f>
        <v>0</v>
      </c>
      <c r="H138" s="88">
        <v>0</v>
      </c>
      <c r="I138" s="197">
        <f>[2]!Table32[[#This Row],[Residential CLM $ Collected]]/'[2]1.) CLM Reference'!$B$4</f>
        <v>0</v>
      </c>
      <c r="J138" s="89">
        <v>0</v>
      </c>
      <c r="K138" s="198">
        <f>[2]!Table32[[#This Row],[Residential Incentive Disbursements]]/'[2]1.) CLM Reference'!$B$5</f>
        <v>0</v>
      </c>
      <c r="L138" s="88">
        <v>19853.538799999998</v>
      </c>
      <c r="M138" s="197">
        <f>[2]!Table32[[#This Row],[C&amp;I CLM $ Collected]]/'[2]1.) CLM Reference'!$B$4</f>
        <v>6.8223783031603883E-4</v>
      </c>
      <c r="N138" s="89">
        <v>0</v>
      </c>
      <c r="O138" s="198">
        <f>[2]!Table32[[#This Row],[C&amp;I Incentive Disbursements]]/'[2]1.) CLM Reference'!$B$5</f>
        <v>0</v>
      </c>
      <c r="P138" t="str">
        <f>VLOOKUP(Table325[[#This Row],[Census Tract]],'UI EnergyBurden'!$A$2:$B$184,2,FALSE)</f>
        <v>No</v>
      </c>
      <c r="Q138">
        <f>VLOOKUP(Table325[[#This Row],[Census Tract]],'Population and Diversity Data'!B134:K955,10,FALSE)</f>
        <v>2</v>
      </c>
    </row>
    <row r="139" spans="1:17" x14ac:dyDescent="0.2">
      <c r="A139" s="229">
        <v>9009155000</v>
      </c>
      <c r="B139" s="5" t="s">
        <v>950</v>
      </c>
      <c r="C139" s="87" t="s">
        <v>944</v>
      </c>
      <c r="D139" s="88">
        <f>[2]!Table32[[#This Row],[Residential CLM $ Collected]]+[2]!Table32[[#This Row],[C&amp;I CLM $ Collected]]</f>
        <v>27257.304800000002</v>
      </c>
      <c r="E139" s="197">
        <f>[2]!Table32[[#This Row],[CLM $ Collected ]]/'[2]1.) CLM Reference'!$B$4</f>
        <v>9.366574228577805E-4</v>
      </c>
      <c r="F139" s="89">
        <f>[2]!Table32[[#This Row],[Residential Incentive Disbursements]]+[2]!Table32[[#This Row],[C&amp;I Incentive Disbursements]]</f>
        <v>0</v>
      </c>
      <c r="G139" s="198">
        <f>[2]!Table32[[#This Row],[Incentive Disbursements]]/'[2]1.) CLM Reference'!$B$5</f>
        <v>0</v>
      </c>
      <c r="H139" s="88">
        <v>0</v>
      </c>
      <c r="I139" s="197">
        <f>[2]!Table32[[#This Row],[Residential CLM $ Collected]]/'[2]1.) CLM Reference'!$B$4</f>
        <v>0</v>
      </c>
      <c r="J139" s="89">
        <v>0</v>
      </c>
      <c r="K139" s="198">
        <f>[2]!Table32[[#This Row],[Residential Incentive Disbursements]]/'[2]1.) CLM Reference'!$B$5</f>
        <v>0</v>
      </c>
      <c r="L139" s="88">
        <v>27257.304800000002</v>
      </c>
      <c r="M139" s="197">
        <f>[2]!Table32[[#This Row],[C&amp;I CLM $ Collected]]/'[2]1.) CLM Reference'!$B$4</f>
        <v>9.366574228577805E-4</v>
      </c>
      <c r="N139" s="89">
        <v>0</v>
      </c>
      <c r="O139" s="198">
        <f>[2]!Table32[[#This Row],[C&amp;I Incentive Disbursements]]/'[2]1.) CLM Reference'!$B$5</f>
        <v>0</v>
      </c>
      <c r="P139" t="str">
        <f>VLOOKUP(Table325[[#This Row],[Census Tract]],'UI EnergyBurden'!$A$2:$B$184,2,FALSE)</f>
        <v>No</v>
      </c>
      <c r="Q139">
        <f>VLOOKUP(Table325[[#This Row],[Census Tract]],'Population and Diversity Data'!B135:K956,10,FALSE)</f>
        <v>5</v>
      </c>
    </row>
    <row r="140" spans="1:17" x14ac:dyDescent="0.2">
      <c r="A140" s="229">
        <v>9009155100</v>
      </c>
      <c r="B140" s="5" t="s">
        <v>950</v>
      </c>
      <c r="C140" s="87" t="s">
        <v>936</v>
      </c>
      <c r="D140" s="88">
        <f>[2]!Table32[[#This Row],[Residential CLM $ Collected]]+[2]!Table32[[#This Row],[C&amp;I CLM $ Collected]]</f>
        <v>14796.650600000001</v>
      </c>
      <c r="E140" s="197">
        <f>[2]!Table32[[#This Row],[CLM $ Collected ]]/'[2]1.) CLM Reference'!$B$4</f>
        <v>5.0846526168365081E-4</v>
      </c>
      <c r="F140" s="89">
        <f>[2]!Table32[[#This Row],[Residential Incentive Disbursements]]+[2]!Table32[[#This Row],[C&amp;I Incentive Disbursements]]</f>
        <v>0</v>
      </c>
      <c r="G140" s="198">
        <f>[2]!Table32[[#This Row],[Incentive Disbursements]]/'[2]1.) CLM Reference'!$B$5</f>
        <v>0</v>
      </c>
      <c r="H140" s="88">
        <v>6202.3136000000004</v>
      </c>
      <c r="I140" s="197">
        <f>[2]!Table32[[#This Row],[Residential CLM $ Collected]]/'[2]1.) CLM Reference'!$B$4</f>
        <v>2.131334376218944E-4</v>
      </c>
      <c r="J140" s="89">
        <v>0</v>
      </c>
      <c r="K140" s="198">
        <f>[2]!Table32[[#This Row],[Residential Incentive Disbursements]]/'[2]1.) CLM Reference'!$B$5</f>
        <v>0</v>
      </c>
      <c r="L140" s="88">
        <v>8594.3369999999995</v>
      </c>
      <c r="M140" s="197">
        <f>[2]!Table32[[#This Row],[C&amp;I CLM $ Collected]]/'[2]1.) CLM Reference'!$B$4</f>
        <v>2.9533182406175641E-4</v>
      </c>
      <c r="N140" s="89">
        <v>0</v>
      </c>
      <c r="O140" s="198">
        <f>[2]!Table32[[#This Row],[C&amp;I Incentive Disbursements]]/'[2]1.) CLM Reference'!$B$5</f>
        <v>0</v>
      </c>
      <c r="P140" t="str">
        <f>VLOOKUP(Table325[[#This Row],[Census Tract]],'UI EnergyBurden'!$A$2:$B$184,2,FALSE)</f>
        <v>No</v>
      </c>
      <c r="Q140">
        <f>VLOOKUP(Table325[[#This Row],[Census Tract]],'Population and Diversity Data'!B136:K957,10,FALSE)</f>
        <v>4</v>
      </c>
    </row>
    <row r="141" spans="1:17" x14ac:dyDescent="0.2">
      <c r="A141" s="229">
        <v>9009157100</v>
      </c>
      <c r="B141" s="5" t="s">
        <v>2993</v>
      </c>
      <c r="C141" s="87" t="s">
        <v>944</v>
      </c>
      <c r="D141" s="88">
        <f>[2]!Table32[[#This Row],[Residential CLM $ Collected]]+[2]!Table32[[#This Row],[C&amp;I CLM $ Collected]]</f>
        <v>217387.0416</v>
      </c>
      <c r="E141" s="197">
        <f>[2]!Table32[[#This Row],[CLM $ Collected ]]/'[2]1.) CLM Reference'!$B$4</f>
        <v>7.4701878135703687E-3</v>
      </c>
      <c r="F141" s="89">
        <f>[2]!Table32[[#This Row],[Residential Incentive Disbursements]]+[2]!Table32[[#This Row],[C&amp;I Incentive Disbursements]]</f>
        <v>114872</v>
      </c>
      <c r="G141" s="198">
        <f>[2]!Table32[[#This Row],[Incentive Disbursements]]/'[2]1.) CLM Reference'!$B$5</f>
        <v>6.837216966354389E-3</v>
      </c>
      <c r="H141" s="88">
        <v>602.17309999999998</v>
      </c>
      <c r="I141" s="197">
        <f>[2]!Table32[[#This Row],[Residential CLM $ Collected]]/'[2]1.) CLM Reference'!$B$4</f>
        <v>2.0692798062715303E-5</v>
      </c>
      <c r="J141" s="89">
        <v>0</v>
      </c>
      <c r="K141" s="198">
        <f>[2]!Table32[[#This Row],[Residential Incentive Disbursements]]/'[2]1.) CLM Reference'!$B$5</f>
        <v>0</v>
      </c>
      <c r="L141" s="88">
        <v>216784.86850000001</v>
      </c>
      <c r="M141" s="197">
        <f>[2]!Table32[[#This Row],[C&amp;I CLM $ Collected]]/'[2]1.) CLM Reference'!$B$4</f>
        <v>7.4494950155076537E-3</v>
      </c>
      <c r="N141" s="89">
        <v>114872</v>
      </c>
      <c r="O141" s="198">
        <f>[2]!Table32[[#This Row],[C&amp;I Incentive Disbursements]]/'[2]1.) CLM Reference'!$B$5</f>
        <v>6.837216966354389E-3</v>
      </c>
      <c r="P141" t="str">
        <f>VLOOKUP(Table325[[#This Row],[Census Tract]],'UI EnergyBurden'!$A$2:$B$184,2,FALSE)</f>
        <v>No</v>
      </c>
      <c r="Q141">
        <f>VLOOKUP(Table325[[#This Row],[Census Tract]],'Population and Diversity Data'!B137:K958,10,FALSE)</f>
        <v>5</v>
      </c>
    </row>
    <row r="142" spans="1:17" x14ac:dyDescent="0.2">
      <c r="A142" s="229">
        <v>9009157200</v>
      </c>
      <c r="B142" s="5" t="s">
        <v>2993</v>
      </c>
      <c r="C142" s="87" t="s">
        <v>944</v>
      </c>
      <c r="D142" s="88">
        <f>[2]!Table32[[#This Row],[Residential CLM $ Collected]]+[2]!Table32[[#This Row],[C&amp;I CLM $ Collected]]</f>
        <v>3565.3463999999999</v>
      </c>
      <c r="E142" s="197">
        <f>[2]!Table32[[#This Row],[CLM $ Collected ]]/'[2]1.) CLM Reference'!$B$4</f>
        <v>1.2251791566051187E-4</v>
      </c>
      <c r="F142" s="89">
        <f>[2]!Table32[[#This Row],[Residential Incentive Disbursements]]+[2]!Table32[[#This Row],[C&amp;I Incentive Disbursements]]</f>
        <v>0</v>
      </c>
      <c r="G142" s="198">
        <f>[2]!Table32[[#This Row],[Incentive Disbursements]]/'[2]1.) CLM Reference'!$B$5</f>
        <v>0</v>
      </c>
      <c r="H142" s="88">
        <v>0</v>
      </c>
      <c r="I142" s="197">
        <f>[2]!Table32[[#This Row],[Residential CLM $ Collected]]/'[2]1.) CLM Reference'!$B$4</f>
        <v>0</v>
      </c>
      <c r="J142" s="89">
        <v>0</v>
      </c>
      <c r="K142" s="198">
        <f>[2]!Table32[[#This Row],[Residential Incentive Disbursements]]/'[2]1.) CLM Reference'!$B$5</f>
        <v>0</v>
      </c>
      <c r="L142" s="88">
        <v>3565.3463999999999</v>
      </c>
      <c r="M142" s="197">
        <f>[2]!Table32[[#This Row],[C&amp;I CLM $ Collected]]/'[2]1.) CLM Reference'!$B$4</f>
        <v>1.2251791566051187E-4</v>
      </c>
      <c r="N142" s="89">
        <v>0</v>
      </c>
      <c r="O142" s="198">
        <f>[2]!Table32[[#This Row],[C&amp;I Incentive Disbursements]]/'[2]1.) CLM Reference'!$B$5</f>
        <v>0</v>
      </c>
      <c r="P142" t="str">
        <f>VLOOKUP(Table325[[#This Row],[Census Tract]],'UI EnergyBurden'!$A$2:$B$184,2,FALSE)</f>
        <v>No</v>
      </c>
      <c r="Q142">
        <f>VLOOKUP(Table325[[#This Row],[Census Tract]],'Population and Diversity Data'!B138:K959,10,FALSE)</f>
        <v>2</v>
      </c>
    </row>
    <row r="143" spans="1:17" x14ac:dyDescent="0.2">
      <c r="A143" s="229">
        <v>9009157300</v>
      </c>
      <c r="B143" s="5" t="s">
        <v>2992</v>
      </c>
      <c r="C143" s="87" t="s">
        <v>944</v>
      </c>
      <c r="D143" s="88">
        <f>[2]!Table32[[#This Row],[Residential CLM $ Collected]]+[2]!Table32[[#This Row],[C&amp;I CLM $ Collected]]</f>
        <v>3201.6347000000001</v>
      </c>
      <c r="E143" s="197">
        <f>[2]!Table32[[#This Row],[CLM $ Collected ]]/'[2]1.) CLM Reference'!$B$4</f>
        <v>1.1001949492211142E-4</v>
      </c>
      <c r="F143" s="89">
        <f>[2]!Table32[[#This Row],[Residential Incentive Disbursements]]+[2]!Table32[[#This Row],[C&amp;I Incentive Disbursements]]</f>
        <v>0</v>
      </c>
      <c r="G143" s="198">
        <f>[2]!Table32[[#This Row],[Incentive Disbursements]]/'[2]1.) CLM Reference'!$B$5</f>
        <v>0</v>
      </c>
      <c r="H143" s="88">
        <v>0</v>
      </c>
      <c r="I143" s="197">
        <f>[2]!Table32[[#This Row],[Residential CLM $ Collected]]/'[2]1.) CLM Reference'!$B$4</f>
        <v>0</v>
      </c>
      <c r="J143" s="89">
        <v>0</v>
      </c>
      <c r="K143" s="198">
        <f>[2]!Table32[[#This Row],[Residential Incentive Disbursements]]/'[2]1.) CLM Reference'!$B$5</f>
        <v>0</v>
      </c>
      <c r="L143" s="88">
        <v>3201.6347000000001</v>
      </c>
      <c r="M143" s="197">
        <f>[2]!Table32[[#This Row],[C&amp;I CLM $ Collected]]/'[2]1.) CLM Reference'!$B$4</f>
        <v>1.1001949492211142E-4</v>
      </c>
      <c r="N143" s="89">
        <v>0</v>
      </c>
      <c r="O143" s="198">
        <f>[2]!Table32[[#This Row],[C&amp;I Incentive Disbursements]]/'[2]1.) CLM Reference'!$B$5</f>
        <v>0</v>
      </c>
      <c r="P143" t="str">
        <f>VLOOKUP(Table325[[#This Row],[Census Tract]],'UI EnergyBurden'!$A$2:$B$184,2,FALSE)</f>
        <v>No</v>
      </c>
      <c r="Q143">
        <f>VLOOKUP(Table325[[#This Row],[Census Tract]],'Population and Diversity Data'!B139:K960,10,FALSE)</f>
        <v>3</v>
      </c>
    </row>
    <row r="144" spans="1:17" x14ac:dyDescent="0.2">
      <c r="A144" s="229">
        <v>9009157300</v>
      </c>
      <c r="B144" s="5" t="s">
        <v>2993</v>
      </c>
      <c r="C144" s="87" t="s">
        <v>944</v>
      </c>
      <c r="D144" s="88">
        <f>[2]!Table32[[#This Row],[Residential CLM $ Collected]]+[2]!Table32[[#This Row],[C&amp;I CLM $ Collected]]</f>
        <v>5578.9567999999999</v>
      </c>
      <c r="E144" s="197">
        <f>[2]!Table32[[#This Row],[CLM $ Collected ]]/'[2]1.) CLM Reference'!$B$4</f>
        <v>1.9171269268423375E-4</v>
      </c>
      <c r="F144" s="89">
        <f>[2]!Table32[[#This Row],[Residential Incentive Disbursements]]+[2]!Table32[[#This Row],[C&amp;I Incentive Disbursements]]</f>
        <v>1070</v>
      </c>
      <c r="G144" s="198">
        <f>[2]!Table32[[#This Row],[Incentive Disbursements]]/'[2]1.) CLM Reference'!$B$5</f>
        <v>6.3686730917884214E-5</v>
      </c>
      <c r="H144" s="88">
        <v>0</v>
      </c>
      <c r="I144" s="197">
        <f>[2]!Table32[[#This Row],[Residential CLM $ Collected]]/'[2]1.) CLM Reference'!$B$4</f>
        <v>0</v>
      </c>
      <c r="J144" s="89">
        <v>0</v>
      </c>
      <c r="K144" s="198">
        <f>[2]!Table32[[#This Row],[Residential Incentive Disbursements]]/'[2]1.) CLM Reference'!$B$5</f>
        <v>0</v>
      </c>
      <c r="L144" s="88">
        <v>5578.9567999999999</v>
      </c>
      <c r="M144" s="197">
        <f>[2]!Table32[[#This Row],[C&amp;I CLM $ Collected]]/'[2]1.) CLM Reference'!$B$4</f>
        <v>1.9171269268423375E-4</v>
      </c>
      <c r="N144" s="89">
        <v>1070</v>
      </c>
      <c r="O144" s="198">
        <f>[2]!Table32[[#This Row],[C&amp;I Incentive Disbursements]]/'[2]1.) CLM Reference'!$B$5</f>
        <v>6.3686730917884214E-5</v>
      </c>
      <c r="P144" t="str">
        <f>VLOOKUP(Table325[[#This Row],[Census Tract]],'UI EnergyBurden'!$A$2:$B$184,2,FALSE)</f>
        <v>No</v>
      </c>
      <c r="Q144">
        <f>VLOOKUP(Table325[[#This Row],[Census Tract]],'Population and Diversity Data'!B140:K961,10,FALSE)</f>
        <v>3</v>
      </c>
    </row>
    <row r="145" spans="1:17" x14ac:dyDescent="0.2">
      <c r="A145" s="229">
        <v>9009157400</v>
      </c>
      <c r="B145" s="5" t="s">
        <v>2993</v>
      </c>
      <c r="C145" s="87" t="s">
        <v>944</v>
      </c>
      <c r="D145" s="88">
        <f>[2]!Table32[[#This Row],[Residential CLM $ Collected]]+[2]!Table32[[#This Row],[C&amp;I CLM $ Collected]]</f>
        <v>5794.7875999999997</v>
      </c>
      <c r="E145" s="197">
        <f>[2]!Table32[[#This Row],[CLM $ Collected ]]/'[2]1.) CLM Reference'!$B$4</f>
        <v>1.9912940253081159E-4</v>
      </c>
      <c r="F145" s="89">
        <f>[2]!Table32[[#This Row],[Residential Incentive Disbursements]]+[2]!Table32[[#This Row],[C&amp;I Incentive Disbursements]]</f>
        <v>0</v>
      </c>
      <c r="G145" s="198">
        <f>[2]!Table32[[#This Row],[Incentive Disbursements]]/'[2]1.) CLM Reference'!$B$5</f>
        <v>0</v>
      </c>
      <c r="H145" s="88">
        <v>0</v>
      </c>
      <c r="I145" s="197">
        <f>[2]!Table32[[#This Row],[Residential CLM $ Collected]]/'[2]1.) CLM Reference'!$B$4</f>
        <v>0</v>
      </c>
      <c r="J145" s="89">
        <v>0</v>
      </c>
      <c r="K145" s="198">
        <f>[2]!Table32[[#This Row],[Residential Incentive Disbursements]]/'[2]1.) CLM Reference'!$B$5</f>
        <v>0</v>
      </c>
      <c r="L145" s="88">
        <v>5794.7875999999997</v>
      </c>
      <c r="M145" s="197">
        <f>[2]!Table32[[#This Row],[C&amp;I CLM $ Collected]]/'[2]1.) CLM Reference'!$B$4</f>
        <v>1.9912940253081159E-4</v>
      </c>
      <c r="N145" s="89">
        <v>0</v>
      </c>
      <c r="O145" s="198">
        <f>[2]!Table32[[#This Row],[C&amp;I Incentive Disbursements]]/'[2]1.) CLM Reference'!$B$5</f>
        <v>0</v>
      </c>
      <c r="P145" t="str">
        <f>VLOOKUP(Table325[[#This Row],[Census Tract]],'UI EnergyBurden'!$A$2:$B$184,2,FALSE)</f>
        <v>No</v>
      </c>
      <c r="Q145">
        <f>VLOOKUP(Table325[[#This Row],[Census Tract]],'Population and Diversity Data'!B141:K962,10,FALSE)</f>
        <v>3</v>
      </c>
    </row>
    <row r="146" spans="1:17" x14ac:dyDescent="0.2">
      <c r="A146" s="229">
        <v>9009160100</v>
      </c>
      <c r="B146" s="5" t="s">
        <v>2995</v>
      </c>
      <c r="C146" s="87" t="s">
        <v>944</v>
      </c>
      <c r="D146" s="88">
        <f>[2]!Table32[[#This Row],[Residential CLM $ Collected]]+[2]!Table32[[#This Row],[C&amp;I CLM $ Collected]]</f>
        <v>8585.7708999999995</v>
      </c>
      <c r="E146" s="197">
        <f>[2]!Table32[[#This Row],[CLM $ Collected ]]/'[2]1.) CLM Reference'!$B$4</f>
        <v>2.9503746256091053E-4</v>
      </c>
      <c r="F146" s="89">
        <f>[2]!Table32[[#This Row],[Residential Incentive Disbursements]]+[2]!Table32[[#This Row],[C&amp;I Incentive Disbursements]]</f>
        <v>0</v>
      </c>
      <c r="G146" s="198">
        <f>[2]!Table32[[#This Row],[Incentive Disbursements]]/'[2]1.) CLM Reference'!$B$5</f>
        <v>0</v>
      </c>
      <c r="H146" s="88">
        <v>0</v>
      </c>
      <c r="I146" s="197">
        <f>[2]!Table32[[#This Row],[Residential CLM $ Collected]]/'[2]1.) CLM Reference'!$B$4</f>
        <v>0</v>
      </c>
      <c r="J146" s="89">
        <v>0</v>
      </c>
      <c r="K146" s="198">
        <f>[2]!Table32[[#This Row],[Residential Incentive Disbursements]]/'[2]1.) CLM Reference'!$B$5</f>
        <v>0</v>
      </c>
      <c r="L146" s="88">
        <v>8585.7708999999995</v>
      </c>
      <c r="M146" s="197">
        <f>[2]!Table32[[#This Row],[C&amp;I CLM $ Collected]]/'[2]1.) CLM Reference'!$B$4</f>
        <v>2.9503746256091053E-4</v>
      </c>
      <c r="N146" s="89">
        <v>0</v>
      </c>
      <c r="O146" s="198">
        <f>[2]!Table32[[#This Row],[C&amp;I Incentive Disbursements]]/'[2]1.) CLM Reference'!$B$5</f>
        <v>0</v>
      </c>
      <c r="P146" t="str">
        <f>VLOOKUP(Table325[[#This Row],[Census Tract]],'UI EnergyBurden'!$A$2:$B$184,2,FALSE)</f>
        <v>No</v>
      </c>
      <c r="Q146">
        <f>VLOOKUP(Table325[[#This Row],[Census Tract]],'Population and Diversity Data'!B142:K963,10,FALSE)</f>
        <v>5</v>
      </c>
    </row>
    <row r="147" spans="1:17" x14ac:dyDescent="0.2">
      <c r="A147" s="229">
        <v>9009160200</v>
      </c>
      <c r="B147" s="5" t="s">
        <v>2995</v>
      </c>
      <c r="C147" s="87" t="s">
        <v>944</v>
      </c>
      <c r="D147" s="88">
        <f>[2]!Table32[[#This Row],[Residential CLM $ Collected]]+[2]!Table32[[#This Row],[C&amp;I CLM $ Collected]]</f>
        <v>50736.268400000001</v>
      </c>
      <c r="E147" s="197">
        <f>[2]!Table32[[#This Row],[CLM $ Collected ]]/'[2]1.) CLM Reference'!$B$4</f>
        <v>1.743477675201572E-3</v>
      </c>
      <c r="F147" s="89">
        <f>[2]!Table32[[#This Row],[Residential Incentive Disbursements]]+[2]!Table32[[#This Row],[C&amp;I Incentive Disbursements]]</f>
        <v>728</v>
      </c>
      <c r="G147" s="198">
        <f>[2]!Table32[[#This Row],[Incentive Disbursements]]/'[2]1.) CLM Reference'!$B$5</f>
        <v>4.3330785147868887E-5</v>
      </c>
      <c r="H147" s="88">
        <v>0</v>
      </c>
      <c r="I147" s="197">
        <f>[2]!Table32[[#This Row],[Residential CLM $ Collected]]/'[2]1.) CLM Reference'!$B$4</f>
        <v>0</v>
      </c>
      <c r="J147" s="89">
        <v>0</v>
      </c>
      <c r="K147" s="198">
        <f>[2]!Table32[[#This Row],[Residential Incentive Disbursements]]/'[2]1.) CLM Reference'!$B$5</f>
        <v>0</v>
      </c>
      <c r="L147" s="88">
        <v>50736.268400000001</v>
      </c>
      <c r="M147" s="197">
        <f>[2]!Table32[[#This Row],[C&amp;I CLM $ Collected]]/'[2]1.) CLM Reference'!$B$4</f>
        <v>1.743477675201572E-3</v>
      </c>
      <c r="N147" s="89">
        <v>728</v>
      </c>
      <c r="O147" s="198">
        <f>[2]!Table32[[#This Row],[C&amp;I Incentive Disbursements]]/'[2]1.) CLM Reference'!$B$5</f>
        <v>4.3330785147868887E-5</v>
      </c>
      <c r="P147" t="str">
        <f>VLOOKUP(Table325[[#This Row],[Census Tract]],'UI EnergyBurden'!$A$2:$B$184,2,FALSE)</f>
        <v>No</v>
      </c>
      <c r="Q147">
        <f>VLOOKUP(Table325[[#This Row],[Census Tract]],'Population and Diversity Data'!B143:K964,10,FALSE)</f>
        <v>4</v>
      </c>
    </row>
    <row r="148" spans="1:17" x14ac:dyDescent="0.2">
      <c r="A148" s="229">
        <v>9009165100</v>
      </c>
      <c r="B148" s="5" t="s">
        <v>953</v>
      </c>
      <c r="C148" s="87" t="s">
        <v>944</v>
      </c>
      <c r="D148" s="88">
        <f>[2]!Table32[[#This Row],[Residential CLM $ Collected]]+[2]!Table32[[#This Row],[C&amp;I CLM $ Collected]]</f>
        <v>45742.0052</v>
      </c>
      <c r="E148" s="197">
        <f>[2]!Table32[[#This Row],[CLM $ Collected ]]/'[2]1.) CLM Reference'!$B$4</f>
        <v>1.5718571231216959E-3</v>
      </c>
      <c r="F148" s="89">
        <f>[2]!Table32[[#This Row],[Residential Incentive Disbursements]]+[2]!Table32[[#This Row],[C&amp;I Incentive Disbursements]]</f>
        <v>8424</v>
      </c>
      <c r="G148" s="198">
        <f>[2]!Table32[[#This Row],[Incentive Disbursements]]/'[2]1.) CLM Reference'!$B$5</f>
        <v>5.0139908528248282E-4</v>
      </c>
      <c r="H148" s="88">
        <v>0</v>
      </c>
      <c r="I148" s="197">
        <f>[2]!Table32[[#This Row],[Residential CLM $ Collected]]/'[2]1.) CLM Reference'!$B$4</f>
        <v>0</v>
      </c>
      <c r="J148" s="89">
        <v>0</v>
      </c>
      <c r="K148" s="198">
        <f>[2]!Table32[[#This Row],[Residential Incentive Disbursements]]/'[2]1.) CLM Reference'!$B$5</f>
        <v>0</v>
      </c>
      <c r="L148" s="88">
        <v>45742.0052</v>
      </c>
      <c r="M148" s="197">
        <f>[2]!Table32[[#This Row],[C&amp;I CLM $ Collected]]/'[2]1.) CLM Reference'!$B$4</f>
        <v>1.5718571231216959E-3</v>
      </c>
      <c r="N148" s="89">
        <v>8424</v>
      </c>
      <c r="O148" s="198">
        <f>[2]!Table32[[#This Row],[C&amp;I Incentive Disbursements]]/'[2]1.) CLM Reference'!$B$5</f>
        <v>5.0139908528248282E-4</v>
      </c>
      <c r="P148" t="str">
        <f>VLOOKUP(Table325[[#This Row],[Census Tract]],'UI EnergyBurden'!$A$2:$B$184,2,FALSE)</f>
        <v>No</v>
      </c>
      <c r="Q148">
        <f>VLOOKUP(Table325[[#This Row],[Census Tract]],'Population and Diversity Data'!B144:K965,10,FALSE)</f>
        <v>5</v>
      </c>
    </row>
    <row r="149" spans="1:17" x14ac:dyDescent="0.2">
      <c r="A149" s="229">
        <v>9009165200</v>
      </c>
      <c r="B149" s="5" t="s">
        <v>953</v>
      </c>
      <c r="C149" s="87" t="s">
        <v>944</v>
      </c>
      <c r="D149" s="88">
        <f>[2]!Table32[[#This Row],[Residential CLM $ Collected]]+[2]!Table32[[#This Row],[C&amp;I CLM $ Collected]]</f>
        <v>5316.3019000000004</v>
      </c>
      <c r="E149" s="197">
        <f>[2]!Table32[[#This Row],[CLM $ Collected ]]/'[2]1.) CLM Reference'!$B$4</f>
        <v>1.8268694110900951E-4</v>
      </c>
      <c r="F149" s="89">
        <f>[2]!Table32[[#This Row],[Residential Incentive Disbursements]]+[2]!Table32[[#This Row],[C&amp;I Incentive Disbursements]]</f>
        <v>595</v>
      </c>
      <c r="G149" s="198">
        <f>[2]!Table32[[#This Row],[Incentive Disbursements]]/'[2]1.) CLM Reference'!$B$5</f>
        <v>3.541458401508515E-5</v>
      </c>
      <c r="H149" s="88">
        <v>1504.854</v>
      </c>
      <c r="I149" s="197">
        <f>[2]!Table32[[#This Row],[Residential CLM $ Collected]]/'[2]1.) CLM Reference'!$B$4</f>
        <v>5.1712107259306961E-5</v>
      </c>
      <c r="J149" s="89">
        <v>0</v>
      </c>
      <c r="K149" s="198">
        <f>[2]!Table32[[#This Row],[Residential Incentive Disbursements]]/'[2]1.) CLM Reference'!$B$5</f>
        <v>0</v>
      </c>
      <c r="L149" s="88">
        <v>3811.4479000000001</v>
      </c>
      <c r="M149" s="197">
        <f>[2]!Table32[[#This Row],[C&amp;I CLM $ Collected]]/'[2]1.) CLM Reference'!$B$4</f>
        <v>1.3097483384970254E-4</v>
      </c>
      <c r="N149" s="89">
        <v>595</v>
      </c>
      <c r="O149" s="198">
        <f>[2]!Table32[[#This Row],[C&amp;I Incentive Disbursements]]/'[2]1.) CLM Reference'!$B$5</f>
        <v>3.541458401508515E-5</v>
      </c>
      <c r="P149" t="str">
        <f>VLOOKUP(Table325[[#This Row],[Census Tract]],'UI EnergyBurden'!$A$2:$B$184,2,FALSE)</f>
        <v>No</v>
      </c>
      <c r="Q149">
        <f>VLOOKUP(Table325[[#This Row],[Census Tract]],'Population and Diversity Data'!B145:K966,10,FALSE)</f>
        <v>3</v>
      </c>
    </row>
    <row r="150" spans="1:17" x14ac:dyDescent="0.2">
      <c r="A150" s="229">
        <v>9009165300</v>
      </c>
      <c r="B150" s="5" t="s">
        <v>953</v>
      </c>
      <c r="C150" s="87" t="s">
        <v>944</v>
      </c>
      <c r="D150" s="88">
        <f>[2]!Table32[[#This Row],[Residential CLM $ Collected]]+[2]!Table32[[#This Row],[C&amp;I CLM $ Collected]]</f>
        <v>31918.416300000001</v>
      </c>
      <c r="E150" s="197">
        <f>[2]!Table32[[#This Row],[CLM $ Collected ]]/'[2]1.) CLM Reference'!$B$4</f>
        <v>1.0968297039133442E-3</v>
      </c>
      <c r="F150" s="89">
        <f>[2]!Table32[[#This Row],[Residential Incentive Disbursements]]+[2]!Table32[[#This Row],[C&amp;I Incentive Disbursements]]</f>
        <v>46563</v>
      </c>
      <c r="G150" s="198">
        <f>[2]!Table32[[#This Row],[Incentive Disbursements]]/'[2]1.) CLM Reference'!$B$5</f>
        <v>2.7714441604948063E-3</v>
      </c>
      <c r="H150" s="88">
        <v>0</v>
      </c>
      <c r="I150" s="197">
        <f>[2]!Table32[[#This Row],[Residential CLM $ Collected]]/'[2]1.) CLM Reference'!$B$4</f>
        <v>0</v>
      </c>
      <c r="J150" s="89">
        <v>0</v>
      </c>
      <c r="K150" s="198">
        <f>[2]!Table32[[#This Row],[Residential Incentive Disbursements]]/'[2]1.) CLM Reference'!$B$5</f>
        <v>0</v>
      </c>
      <c r="L150" s="88">
        <v>31918.416300000001</v>
      </c>
      <c r="M150" s="197">
        <f>[2]!Table32[[#This Row],[C&amp;I CLM $ Collected]]/'[2]1.) CLM Reference'!$B$4</f>
        <v>1.0968297039133442E-3</v>
      </c>
      <c r="N150" s="89">
        <v>46563</v>
      </c>
      <c r="O150" s="198">
        <f>[2]!Table32[[#This Row],[C&amp;I Incentive Disbursements]]/'[2]1.) CLM Reference'!$B$5</f>
        <v>2.7714441604948063E-3</v>
      </c>
      <c r="P150" t="str">
        <f>VLOOKUP(Table325[[#This Row],[Census Tract]],'UI EnergyBurden'!$A$2:$B$184,2,FALSE)</f>
        <v>No</v>
      </c>
      <c r="Q150">
        <f>VLOOKUP(Table325[[#This Row],[Census Tract]],'Population and Diversity Data'!B146:K967,10,FALSE)</f>
        <v>2</v>
      </c>
    </row>
    <row r="151" spans="1:17" x14ac:dyDescent="0.2">
      <c r="A151" s="229">
        <v>9009165400</v>
      </c>
      <c r="B151" s="5" t="s">
        <v>953</v>
      </c>
      <c r="C151" s="87" t="s">
        <v>944</v>
      </c>
      <c r="D151" s="88">
        <f>[2]!Table32[[#This Row],[Residential CLM $ Collected]]+[2]!Table32[[#This Row],[C&amp;I CLM $ Collected]]</f>
        <v>107930.2703</v>
      </c>
      <c r="E151" s="197">
        <f>[2]!Table32[[#This Row],[CLM $ Collected ]]/'[2]1.) CLM Reference'!$B$4</f>
        <v>3.7088659194045351E-3</v>
      </c>
      <c r="F151" s="89">
        <f>[2]!Table32[[#This Row],[Residential Incentive Disbursements]]+[2]!Table32[[#This Row],[C&amp;I Incentive Disbursements]]</f>
        <v>8117.9</v>
      </c>
      <c r="G151" s="198">
        <f>[2]!Table32[[#This Row],[Incentive Disbursements]]/'[2]1.) CLM Reference'!$B$5</f>
        <v>4.8317991861522645E-4</v>
      </c>
      <c r="H151" s="88">
        <v>7557.6082999999999</v>
      </c>
      <c r="I151" s="197">
        <f>[2]!Table32[[#This Row],[Residential CLM $ Collected]]/'[2]1.) CLM Reference'!$B$4</f>
        <v>2.597061582275945E-4</v>
      </c>
      <c r="J151" s="89">
        <v>0</v>
      </c>
      <c r="K151" s="198">
        <f>[2]!Table32[[#This Row],[Residential Incentive Disbursements]]/'[2]1.) CLM Reference'!$B$5</f>
        <v>0</v>
      </c>
      <c r="L151" s="88">
        <v>100372.662</v>
      </c>
      <c r="M151" s="197">
        <f>[2]!Table32[[#This Row],[C&amp;I CLM $ Collected]]/'[2]1.) CLM Reference'!$B$4</f>
        <v>3.4491597611769403E-3</v>
      </c>
      <c r="N151" s="89">
        <v>8117.9</v>
      </c>
      <c r="O151" s="198">
        <f>[2]!Table32[[#This Row],[C&amp;I Incentive Disbursements]]/'[2]1.) CLM Reference'!$B$5</f>
        <v>4.8317991861522645E-4</v>
      </c>
      <c r="P151" t="str">
        <f>VLOOKUP(Table325[[#This Row],[Census Tract]],'UI EnergyBurden'!$A$2:$B$184,2,FALSE)</f>
        <v>No</v>
      </c>
      <c r="Q151">
        <f>VLOOKUP(Table325[[#This Row],[Census Tract]],'Population and Diversity Data'!B147:K968,10,FALSE)</f>
        <v>3</v>
      </c>
    </row>
    <row r="152" spans="1:17" x14ac:dyDescent="0.2">
      <c r="A152" s="229">
        <v>9009165400</v>
      </c>
      <c r="B152" s="5" t="s">
        <v>943</v>
      </c>
      <c r="C152" s="87" t="s">
        <v>944</v>
      </c>
      <c r="D152" s="88">
        <f>[2]!Table32[[#This Row],[Residential CLM $ Collected]]+[2]!Table32[[#This Row],[C&amp;I CLM $ Collected]]</f>
        <v>2886.0785000000001</v>
      </c>
      <c r="E152" s="197">
        <f>[2]!Table32[[#This Row],[CLM $ Collected ]]/'[2]1.) CLM Reference'!$B$4</f>
        <v>9.9175867526537286E-5</v>
      </c>
      <c r="F152" s="89">
        <f>[2]!Table32[[#This Row],[Residential Incentive Disbursements]]+[2]!Table32[[#This Row],[C&amp;I Incentive Disbursements]]</f>
        <v>0</v>
      </c>
      <c r="G152" s="198">
        <f>[2]!Table32[[#This Row],[Incentive Disbursements]]/'[2]1.) CLM Reference'!$B$5</f>
        <v>0</v>
      </c>
      <c r="H152" s="88">
        <v>0</v>
      </c>
      <c r="I152" s="197">
        <f>[2]!Table32[[#This Row],[Residential CLM $ Collected]]/'[2]1.) CLM Reference'!$B$4</f>
        <v>0</v>
      </c>
      <c r="J152" s="89">
        <v>0</v>
      </c>
      <c r="K152" s="198">
        <f>[2]!Table32[[#This Row],[Residential Incentive Disbursements]]/'[2]1.) CLM Reference'!$B$5</f>
        <v>0</v>
      </c>
      <c r="L152" s="88">
        <v>2886.0785000000001</v>
      </c>
      <c r="M152" s="197">
        <f>[2]!Table32[[#This Row],[C&amp;I CLM $ Collected]]/'[2]1.) CLM Reference'!$B$4</f>
        <v>9.9175867526537286E-5</v>
      </c>
      <c r="N152" s="89">
        <v>0</v>
      </c>
      <c r="O152" s="198">
        <f>[2]!Table32[[#This Row],[C&amp;I Incentive Disbursements]]/'[2]1.) CLM Reference'!$B$5</f>
        <v>0</v>
      </c>
      <c r="P152" t="str">
        <f>VLOOKUP(Table325[[#This Row],[Census Tract]],'UI EnergyBurden'!$A$2:$B$184,2,FALSE)</f>
        <v>No</v>
      </c>
      <c r="Q152">
        <f>VLOOKUP(Table325[[#This Row],[Census Tract]],'Population and Diversity Data'!B148:K969,10,FALSE)</f>
        <v>3</v>
      </c>
    </row>
    <row r="153" spans="1:17" x14ac:dyDescent="0.2">
      <c r="A153" s="229">
        <v>9009165500</v>
      </c>
      <c r="B153" s="5" t="s">
        <v>953</v>
      </c>
      <c r="C153" s="87" t="s">
        <v>936</v>
      </c>
      <c r="D153" s="88">
        <f>[2]!Table32[[#This Row],[Residential CLM $ Collected]]+[2]!Table32[[#This Row],[C&amp;I CLM $ Collected]]</f>
        <v>16559.529200000001</v>
      </c>
      <c r="E153" s="197">
        <f>[2]!Table32[[#This Row],[CLM $ Collected ]]/'[2]1.) CLM Reference'!$B$4</f>
        <v>5.6904400702927039E-4</v>
      </c>
      <c r="F153" s="89">
        <f>[2]!Table32[[#This Row],[Residential Incentive Disbursements]]+[2]!Table32[[#This Row],[C&amp;I Incentive Disbursements]]</f>
        <v>830</v>
      </c>
      <c r="G153" s="198">
        <f>[2]!Table32[[#This Row],[Incentive Disbursements]]/'[2]1.) CLM Reference'!$B$5</f>
        <v>4.9401856693312058E-5</v>
      </c>
      <c r="H153" s="88">
        <v>0</v>
      </c>
      <c r="I153" s="197">
        <f>[2]!Table32[[#This Row],[Residential CLM $ Collected]]/'[2]1.) CLM Reference'!$B$4</f>
        <v>0</v>
      </c>
      <c r="J153" s="89">
        <v>0</v>
      </c>
      <c r="K153" s="198">
        <f>[2]!Table32[[#This Row],[Residential Incentive Disbursements]]/'[2]1.) CLM Reference'!$B$5</f>
        <v>0</v>
      </c>
      <c r="L153" s="88">
        <v>16559.529200000001</v>
      </c>
      <c r="M153" s="197">
        <f>[2]!Table32[[#This Row],[C&amp;I CLM $ Collected]]/'[2]1.) CLM Reference'!$B$4</f>
        <v>5.6904400702927039E-4</v>
      </c>
      <c r="N153" s="89">
        <v>830</v>
      </c>
      <c r="O153" s="198">
        <f>[2]!Table32[[#This Row],[C&amp;I Incentive Disbursements]]/'[2]1.) CLM Reference'!$B$5</f>
        <v>4.9401856693312058E-5</v>
      </c>
      <c r="P153" t="str">
        <f>VLOOKUP(Table325[[#This Row],[Census Tract]],'UI EnergyBurden'!$A$2:$B$184,2,FALSE)</f>
        <v>Yes</v>
      </c>
      <c r="Q153">
        <f>VLOOKUP(Table325[[#This Row],[Census Tract]],'Population and Diversity Data'!B149:K970,10,FALSE)</f>
        <v>4</v>
      </c>
    </row>
    <row r="154" spans="1:17" x14ac:dyDescent="0.2">
      <c r="A154" s="229">
        <v>9009165600</v>
      </c>
      <c r="B154" s="5" t="s">
        <v>953</v>
      </c>
      <c r="C154" s="87" t="s">
        <v>944</v>
      </c>
      <c r="D154" s="88">
        <f>[2]!Table32[[#This Row],[Residential CLM $ Collected]]+[2]!Table32[[#This Row],[C&amp;I CLM $ Collected]]</f>
        <v>19896.485000000001</v>
      </c>
      <c r="E154" s="197">
        <f>[2]!Table32[[#This Row],[CLM $ Collected ]]/'[2]1.) CLM Reference'!$B$4</f>
        <v>6.8371361368158772E-4</v>
      </c>
      <c r="F154" s="89">
        <f>[2]!Table32[[#This Row],[Residential Incentive Disbursements]]+[2]!Table32[[#This Row],[C&amp;I Incentive Disbursements]]</f>
        <v>28247</v>
      </c>
      <c r="G154" s="198">
        <f>[2]!Table32[[#This Row],[Incentive Disbursements]]/'[2]1.) CLM Reference'!$B$5</f>
        <v>1.6812701759228743E-3</v>
      </c>
      <c r="H154" s="88">
        <v>2069.29</v>
      </c>
      <c r="I154" s="197">
        <f>[2]!Table32[[#This Row],[Residential CLM $ Collected]]/'[2]1.) CLM Reference'!$B$4</f>
        <v>7.1108125061043333E-5</v>
      </c>
      <c r="J154" s="89">
        <v>0</v>
      </c>
      <c r="K154" s="198">
        <f>[2]!Table32[[#This Row],[Residential Incentive Disbursements]]/'[2]1.) CLM Reference'!$B$5</f>
        <v>0</v>
      </c>
      <c r="L154" s="88">
        <v>17827.195</v>
      </c>
      <c r="M154" s="197">
        <f>[2]!Table32[[#This Row],[C&amp;I CLM $ Collected]]/'[2]1.) CLM Reference'!$B$4</f>
        <v>6.1260548862054442E-4</v>
      </c>
      <c r="N154" s="89">
        <v>28247</v>
      </c>
      <c r="O154" s="198">
        <f>[2]!Table32[[#This Row],[C&amp;I Incentive Disbursements]]/'[2]1.) CLM Reference'!$B$5</f>
        <v>1.6812701759228743E-3</v>
      </c>
      <c r="P154" t="str">
        <f>VLOOKUP(Table325[[#This Row],[Census Tract]],'UI EnergyBurden'!$A$2:$B$184,2,FALSE)</f>
        <v>No</v>
      </c>
      <c r="Q154">
        <f>VLOOKUP(Table325[[#This Row],[Census Tract]],'Population and Diversity Data'!B150:K971,10,FALSE)</f>
        <v>5</v>
      </c>
    </row>
    <row r="155" spans="1:17" x14ac:dyDescent="0.2">
      <c r="A155" s="229">
        <v>9009165700</v>
      </c>
      <c r="B155" s="5" t="s">
        <v>953</v>
      </c>
      <c r="C155" s="87" t="s">
        <v>944</v>
      </c>
      <c r="D155" s="88">
        <f>[2]!Table32[[#This Row],[Residential CLM $ Collected]]+[2]!Table32[[#This Row],[C&amp;I CLM $ Collected]]</f>
        <v>25404.7137</v>
      </c>
      <c r="E155" s="197">
        <f>[2]!Table32[[#This Row],[CLM $ Collected ]]/'[2]1.) CLM Reference'!$B$4</f>
        <v>8.729958386304485E-4</v>
      </c>
      <c r="F155" s="89">
        <f>[2]!Table32[[#This Row],[Residential Incentive Disbursements]]+[2]!Table32[[#This Row],[C&amp;I Incentive Disbursements]]</f>
        <v>0</v>
      </c>
      <c r="G155" s="198">
        <f>[2]!Table32[[#This Row],[Incentive Disbursements]]/'[2]1.) CLM Reference'!$B$5</f>
        <v>0</v>
      </c>
      <c r="H155" s="88">
        <v>0</v>
      </c>
      <c r="I155" s="197">
        <f>[2]!Table32[[#This Row],[Residential CLM $ Collected]]/'[2]1.) CLM Reference'!$B$4</f>
        <v>0</v>
      </c>
      <c r="J155" s="89">
        <v>0</v>
      </c>
      <c r="K155" s="198">
        <f>[2]!Table32[[#This Row],[Residential Incentive Disbursements]]/'[2]1.) CLM Reference'!$B$5</f>
        <v>0</v>
      </c>
      <c r="L155" s="88">
        <v>25404.7137</v>
      </c>
      <c r="M155" s="197">
        <f>[2]!Table32[[#This Row],[C&amp;I CLM $ Collected]]/'[2]1.) CLM Reference'!$B$4</f>
        <v>8.729958386304485E-4</v>
      </c>
      <c r="N155" s="89">
        <v>0</v>
      </c>
      <c r="O155" s="198">
        <f>[2]!Table32[[#This Row],[C&amp;I Incentive Disbursements]]/'[2]1.) CLM Reference'!$B$5</f>
        <v>0</v>
      </c>
      <c r="P155" t="str">
        <f>VLOOKUP(Table325[[#This Row],[Census Tract]],'UI EnergyBurden'!$A$2:$B$184,2,FALSE)</f>
        <v>No</v>
      </c>
      <c r="Q155">
        <f>VLOOKUP(Table325[[#This Row],[Census Tract]],'Population and Diversity Data'!B151:K972,10,FALSE)</f>
        <v>4</v>
      </c>
    </row>
    <row r="156" spans="1:17" x14ac:dyDescent="0.2">
      <c r="A156" s="229">
        <v>9009165801</v>
      </c>
      <c r="B156" s="5" t="s">
        <v>953</v>
      </c>
      <c r="C156" s="87" t="s">
        <v>944</v>
      </c>
      <c r="D156" s="88">
        <f>[2]!Table32[[#This Row],[Residential CLM $ Collected]]+[2]!Table32[[#This Row],[C&amp;I CLM $ Collected]]</f>
        <v>115079.54239999999</v>
      </c>
      <c r="E156" s="197">
        <f>[2]!Table32[[#This Row],[CLM $ Collected ]]/'[2]1.) CLM Reference'!$B$4</f>
        <v>3.9545402012027492E-3</v>
      </c>
      <c r="F156" s="89">
        <f>[2]!Table32[[#This Row],[Residential Incentive Disbursements]]+[2]!Table32[[#This Row],[C&amp;I Incentive Disbursements]]</f>
        <v>147584.07</v>
      </c>
      <c r="G156" s="198">
        <f>[2]!Table32[[#This Row],[Incentive Disbursements]]/'[2]1.) CLM Reference'!$B$5</f>
        <v>8.784249489585224E-3</v>
      </c>
      <c r="H156" s="88">
        <v>5634.5207</v>
      </c>
      <c r="I156" s="197">
        <f>[2]!Table32[[#This Row],[Residential CLM $ Collected]]/'[2]1.) CLM Reference'!$B$4</f>
        <v>1.9362206486023582E-4</v>
      </c>
      <c r="J156" s="89">
        <v>0</v>
      </c>
      <c r="K156" s="198">
        <f>[2]!Table32[[#This Row],[Residential Incentive Disbursements]]/'[2]1.) CLM Reference'!$B$5</f>
        <v>0</v>
      </c>
      <c r="L156" s="88">
        <v>109445.0217</v>
      </c>
      <c r="M156" s="197">
        <f>[2]!Table32[[#This Row],[C&amp;I CLM $ Collected]]/'[2]1.) CLM Reference'!$B$4</f>
        <v>3.7609181363425139E-3</v>
      </c>
      <c r="N156" s="89">
        <v>147584.07</v>
      </c>
      <c r="O156" s="198">
        <f>[2]!Table32[[#This Row],[C&amp;I Incentive Disbursements]]/'[2]1.) CLM Reference'!$B$5</f>
        <v>8.784249489585224E-3</v>
      </c>
      <c r="P156" t="str">
        <f>VLOOKUP(Table325[[#This Row],[Census Tract]],'UI EnergyBurden'!$A$2:$B$184,2,FALSE)</f>
        <v>No</v>
      </c>
      <c r="Q156">
        <f>VLOOKUP(Table325[[#This Row],[Census Tract]],'Population and Diversity Data'!B152:K973,10,FALSE)</f>
        <v>4</v>
      </c>
    </row>
    <row r="157" spans="1:17" x14ac:dyDescent="0.2">
      <c r="A157" s="229">
        <v>9009165802</v>
      </c>
      <c r="B157" s="5" t="s">
        <v>953</v>
      </c>
      <c r="C157" s="87" t="s">
        <v>944</v>
      </c>
      <c r="D157" s="88">
        <f>[2]!Table32[[#This Row],[Residential CLM $ Collected]]+[2]!Table32[[#This Row],[C&amp;I CLM $ Collected]]</f>
        <v>4752.5604000000003</v>
      </c>
      <c r="E157" s="197">
        <f>[2]!Table32[[#This Row],[CLM $ Collected ]]/'[2]1.) CLM Reference'!$B$4</f>
        <v>1.6331478878425069E-4</v>
      </c>
      <c r="F157" s="89">
        <f>[2]!Table32[[#This Row],[Residential Incentive Disbursements]]+[2]!Table32[[#This Row],[C&amp;I Incentive Disbursements]]</f>
        <v>0</v>
      </c>
      <c r="G157" s="198">
        <f>[2]!Table32[[#This Row],[Incentive Disbursements]]/'[2]1.) CLM Reference'!$B$5</f>
        <v>0</v>
      </c>
      <c r="H157" s="88">
        <v>0</v>
      </c>
      <c r="I157" s="197">
        <f>[2]!Table32[[#This Row],[Residential CLM $ Collected]]/'[2]1.) CLM Reference'!$B$4</f>
        <v>0</v>
      </c>
      <c r="J157" s="89">
        <v>0</v>
      </c>
      <c r="K157" s="198">
        <f>[2]!Table32[[#This Row],[Residential Incentive Disbursements]]/'[2]1.) CLM Reference'!$B$5</f>
        <v>0</v>
      </c>
      <c r="L157" s="88">
        <v>4752.5604000000003</v>
      </c>
      <c r="M157" s="197">
        <f>[2]!Table32[[#This Row],[C&amp;I CLM $ Collected]]/'[2]1.) CLM Reference'!$B$4</f>
        <v>1.6331478878425069E-4</v>
      </c>
      <c r="N157" s="89">
        <v>0</v>
      </c>
      <c r="O157" s="198">
        <f>[2]!Table32[[#This Row],[C&amp;I Incentive Disbursements]]/'[2]1.) CLM Reference'!$B$5</f>
        <v>0</v>
      </c>
      <c r="P157" t="str">
        <f>VLOOKUP(Table325[[#This Row],[Census Tract]],'UI EnergyBurden'!$A$2:$B$184,2,FALSE)</f>
        <v>No</v>
      </c>
      <c r="Q157">
        <f>VLOOKUP(Table325[[#This Row],[Census Tract]],'Population and Diversity Data'!B153:K974,10,FALSE)</f>
        <v>3</v>
      </c>
    </row>
    <row r="158" spans="1:17" x14ac:dyDescent="0.2">
      <c r="A158" s="229">
        <v>9009165900</v>
      </c>
      <c r="B158" s="5" t="s">
        <v>953</v>
      </c>
      <c r="C158" s="87" t="s">
        <v>944</v>
      </c>
      <c r="D158" s="88">
        <f>[2]!Table32[[#This Row],[Residential CLM $ Collected]]+[2]!Table32[[#This Row],[C&amp;I CLM $ Collected]]</f>
        <v>98957.925600000002</v>
      </c>
      <c r="E158" s="197">
        <f>[2]!Table32[[#This Row],[CLM $ Collected ]]/'[2]1.) CLM Reference'!$B$4</f>
        <v>3.4005444134684948E-3</v>
      </c>
      <c r="F158" s="89">
        <f>[2]!Table32[[#This Row],[Residential Incentive Disbursements]]+[2]!Table32[[#This Row],[C&amp;I Incentive Disbursements]]</f>
        <v>1708</v>
      </c>
      <c r="G158" s="198">
        <f>[2]!Table32[[#This Row],[Incentive Disbursements]]/'[2]1.) CLM Reference'!$B$5</f>
        <v>1.0166068823153854E-4</v>
      </c>
      <c r="H158" s="88">
        <v>0</v>
      </c>
      <c r="I158" s="197">
        <f>[2]!Table32[[#This Row],[Residential CLM $ Collected]]/'[2]1.) CLM Reference'!$B$4</f>
        <v>0</v>
      </c>
      <c r="J158" s="89">
        <v>0</v>
      </c>
      <c r="K158" s="198">
        <f>[2]!Table32[[#This Row],[Residential Incentive Disbursements]]/'[2]1.) CLM Reference'!$B$5</f>
        <v>0</v>
      </c>
      <c r="L158" s="88">
        <v>98957.925600000002</v>
      </c>
      <c r="M158" s="197">
        <f>[2]!Table32[[#This Row],[C&amp;I CLM $ Collected]]/'[2]1.) CLM Reference'!$B$4</f>
        <v>3.4005444134684948E-3</v>
      </c>
      <c r="N158" s="89">
        <v>1708</v>
      </c>
      <c r="O158" s="198">
        <f>[2]!Table32[[#This Row],[C&amp;I Incentive Disbursements]]/'[2]1.) CLM Reference'!$B$5</f>
        <v>1.0166068823153854E-4</v>
      </c>
      <c r="P158" t="str">
        <f>VLOOKUP(Table325[[#This Row],[Census Tract]],'UI EnergyBurden'!$A$2:$B$184,2,FALSE)</f>
        <v>No</v>
      </c>
      <c r="Q158">
        <f>VLOOKUP(Table325[[#This Row],[Census Tract]],'Population and Diversity Data'!B154:K975,10,FALSE)</f>
        <v>3</v>
      </c>
    </row>
    <row r="159" spans="1:17" x14ac:dyDescent="0.2">
      <c r="A159" s="229">
        <v>9009166001</v>
      </c>
      <c r="B159" s="5" t="s">
        <v>953</v>
      </c>
      <c r="C159" s="87" t="s">
        <v>944</v>
      </c>
      <c r="D159" s="88">
        <f>[2]!Table32[[#This Row],[Residential CLM $ Collected]]+[2]!Table32[[#This Row],[C&amp;I CLM $ Collected]]</f>
        <v>45290.201699999998</v>
      </c>
      <c r="E159" s="197">
        <f>[2]!Table32[[#This Row],[CLM $ Collected ]]/'[2]1.) CLM Reference'!$B$4</f>
        <v>1.5563315564872382E-3</v>
      </c>
      <c r="F159" s="89">
        <f>[2]!Table32[[#This Row],[Residential Incentive Disbursements]]+[2]!Table32[[#This Row],[C&amp;I Incentive Disbursements]]</f>
        <v>50057</v>
      </c>
      <c r="G159" s="198">
        <f>[2]!Table32[[#This Row],[Incentive Disbursements]]/'[2]1.) CLM Reference'!$B$5</f>
        <v>2.9794081210808695E-3</v>
      </c>
      <c r="H159" s="88">
        <v>0</v>
      </c>
      <c r="I159" s="197">
        <f>[2]!Table32[[#This Row],[Residential CLM $ Collected]]/'[2]1.) CLM Reference'!$B$4</f>
        <v>0</v>
      </c>
      <c r="J159" s="89">
        <v>0</v>
      </c>
      <c r="K159" s="198">
        <f>[2]!Table32[[#This Row],[Residential Incentive Disbursements]]/'[2]1.) CLM Reference'!$B$5</f>
        <v>0</v>
      </c>
      <c r="L159" s="88">
        <v>45290.201699999998</v>
      </c>
      <c r="M159" s="197">
        <f>[2]!Table32[[#This Row],[C&amp;I CLM $ Collected]]/'[2]1.) CLM Reference'!$B$4</f>
        <v>1.5563315564872382E-3</v>
      </c>
      <c r="N159" s="89">
        <v>50057</v>
      </c>
      <c r="O159" s="198">
        <f>[2]!Table32[[#This Row],[C&amp;I Incentive Disbursements]]/'[2]1.) CLM Reference'!$B$5</f>
        <v>2.9794081210808695E-3</v>
      </c>
      <c r="P159" t="str">
        <f>VLOOKUP(Table325[[#This Row],[Census Tract]],'UI EnergyBurden'!$A$2:$B$184,2,FALSE)</f>
        <v>No</v>
      </c>
      <c r="Q159">
        <f>VLOOKUP(Table325[[#This Row],[Census Tract]],'Population and Diversity Data'!B155:K976,10,FALSE)</f>
        <v>4</v>
      </c>
    </row>
    <row r="160" spans="1:17" x14ac:dyDescent="0.2">
      <c r="A160" s="229">
        <v>9009166002</v>
      </c>
      <c r="B160" s="5" t="s">
        <v>953</v>
      </c>
      <c r="C160" s="87" t="s">
        <v>944</v>
      </c>
      <c r="D160" s="88">
        <f>[2]!Table32[[#This Row],[Residential CLM $ Collected]]+[2]!Table32[[#This Row],[C&amp;I CLM $ Collected]]</f>
        <v>105298.10710000001</v>
      </c>
      <c r="E160" s="197">
        <f>[2]!Table32[[#This Row],[CLM $ Collected ]]/'[2]1.) CLM Reference'!$B$4</f>
        <v>3.6184154798785742E-3</v>
      </c>
      <c r="F160" s="89">
        <f>[2]!Table32[[#This Row],[Residential Incentive Disbursements]]+[2]!Table32[[#This Row],[C&amp;I Incentive Disbursements]]</f>
        <v>0</v>
      </c>
      <c r="G160" s="198">
        <f>[2]!Table32[[#This Row],[Incentive Disbursements]]/'[2]1.) CLM Reference'!$B$5</f>
        <v>0</v>
      </c>
      <c r="H160" s="88">
        <v>2121.1496000000002</v>
      </c>
      <c r="I160" s="197">
        <f>[2]!Table32[[#This Row],[Residential CLM $ Collected]]/'[2]1.) CLM Reference'!$B$4</f>
        <v>7.2890204384103746E-5</v>
      </c>
      <c r="J160" s="89">
        <v>0</v>
      </c>
      <c r="K160" s="198">
        <f>[2]!Table32[[#This Row],[Residential Incentive Disbursements]]/'[2]1.) CLM Reference'!$B$5</f>
        <v>0</v>
      </c>
      <c r="L160" s="88">
        <v>103176.9575</v>
      </c>
      <c r="M160" s="197">
        <f>[2]!Table32[[#This Row],[C&amp;I CLM $ Collected]]/'[2]1.) CLM Reference'!$B$4</f>
        <v>3.5455252754944704E-3</v>
      </c>
      <c r="N160" s="89">
        <v>0</v>
      </c>
      <c r="O160" s="198">
        <f>[2]!Table32[[#This Row],[C&amp;I Incentive Disbursements]]/'[2]1.) CLM Reference'!$B$5</f>
        <v>0</v>
      </c>
      <c r="P160" t="str">
        <f>VLOOKUP(Table325[[#This Row],[Census Tract]],'UI EnergyBurden'!$A$2:$B$184,2,FALSE)</f>
        <v>No</v>
      </c>
      <c r="Q160">
        <f>VLOOKUP(Table325[[#This Row],[Census Tract]],'Population and Diversity Data'!B156:K977,10,FALSE)</f>
        <v>3</v>
      </c>
    </row>
    <row r="161" spans="1:17" x14ac:dyDescent="0.2">
      <c r="A161" s="229">
        <v>9009167100</v>
      </c>
      <c r="B161" s="5" t="s">
        <v>3005</v>
      </c>
      <c r="C161" s="87" t="s">
        <v>944</v>
      </c>
      <c r="D161" s="88">
        <f>[2]!Table32[[#This Row],[Residential CLM $ Collected]]+[2]!Table32[[#This Row],[C&amp;I CLM $ Collected]]</f>
        <v>93146.874100000001</v>
      </c>
      <c r="E161" s="197">
        <f>[2]!Table32[[#This Row],[CLM $ Collected ]]/'[2]1.) CLM Reference'!$B$4</f>
        <v>3.2008561257958323E-3</v>
      </c>
      <c r="F161" s="89">
        <f>[2]!Table32[[#This Row],[Residential Incentive Disbursements]]+[2]!Table32[[#This Row],[C&amp;I Incentive Disbursements]]</f>
        <v>1581.66</v>
      </c>
      <c r="G161" s="198">
        <f>[2]!Table32[[#This Row],[Incentive Disbursements]]/'[2]1.) CLM Reference'!$B$5</f>
        <v>9.4140892358486695E-5</v>
      </c>
      <c r="H161" s="88">
        <v>0</v>
      </c>
      <c r="I161" s="197">
        <f>[2]!Table32[[#This Row],[Residential CLM $ Collected]]/'[2]1.) CLM Reference'!$B$4</f>
        <v>0</v>
      </c>
      <c r="J161" s="89">
        <v>0</v>
      </c>
      <c r="K161" s="198">
        <f>[2]!Table32[[#This Row],[Residential Incentive Disbursements]]/'[2]1.) CLM Reference'!$B$5</f>
        <v>0</v>
      </c>
      <c r="L161" s="88">
        <v>93146.874100000001</v>
      </c>
      <c r="M161" s="197">
        <f>[2]!Table32[[#This Row],[C&amp;I CLM $ Collected]]/'[2]1.) CLM Reference'!$B$4</f>
        <v>3.2008561257958323E-3</v>
      </c>
      <c r="N161" s="89">
        <v>1581.66</v>
      </c>
      <c r="O161" s="198">
        <f>[2]!Table32[[#This Row],[C&amp;I Incentive Disbursements]]/'[2]1.) CLM Reference'!$B$5</f>
        <v>9.4140892358486695E-5</v>
      </c>
      <c r="P161" t="str">
        <f>VLOOKUP(Table325[[#This Row],[Census Tract]],'UI EnergyBurden'!$A$2:$B$184,2,FALSE)</f>
        <v>No</v>
      </c>
      <c r="Q161">
        <f>VLOOKUP(Table325[[#This Row],[Census Tract]],'Population and Diversity Data'!B157:K978,10,FALSE)</f>
        <v>3</v>
      </c>
    </row>
    <row r="162" spans="1:17" x14ac:dyDescent="0.2">
      <c r="A162" s="229">
        <v>9009167201</v>
      </c>
      <c r="B162" s="5" t="s">
        <v>3005</v>
      </c>
      <c r="C162" s="87" t="s">
        <v>944</v>
      </c>
      <c r="D162" s="88">
        <f>[2]!Table32[[#This Row],[Residential CLM $ Collected]]+[2]!Table32[[#This Row],[C&amp;I CLM $ Collected]]</f>
        <v>260614.27919999999</v>
      </c>
      <c r="E162" s="197">
        <f>[2]!Table32[[#This Row],[CLM $ Collected ]]/'[2]1.) CLM Reference'!$B$4</f>
        <v>8.9556286253001088E-3</v>
      </c>
      <c r="F162" s="89">
        <f>[2]!Table32[[#This Row],[Residential Incentive Disbursements]]+[2]!Table32[[#This Row],[C&amp;I Incentive Disbursements]]</f>
        <v>113338.29</v>
      </c>
      <c r="G162" s="198">
        <f>[2]!Table32[[#This Row],[Incentive Disbursements]]/'[2]1.) CLM Reference'!$B$5</f>
        <v>6.7459300728253532E-3</v>
      </c>
      <c r="H162" s="88">
        <v>0</v>
      </c>
      <c r="I162" s="197">
        <f>[2]!Table32[[#This Row],[Residential CLM $ Collected]]/'[2]1.) CLM Reference'!$B$4</f>
        <v>0</v>
      </c>
      <c r="J162" s="89">
        <v>0</v>
      </c>
      <c r="K162" s="198">
        <f>[2]!Table32[[#This Row],[Residential Incentive Disbursements]]/'[2]1.) CLM Reference'!$B$5</f>
        <v>0</v>
      </c>
      <c r="L162" s="88">
        <v>260614.27919999999</v>
      </c>
      <c r="M162" s="197">
        <f>[2]!Table32[[#This Row],[C&amp;I CLM $ Collected]]/'[2]1.) CLM Reference'!$B$4</f>
        <v>8.9556286253001088E-3</v>
      </c>
      <c r="N162" s="89">
        <v>113338.29</v>
      </c>
      <c r="O162" s="198">
        <f>[2]!Table32[[#This Row],[C&amp;I Incentive Disbursements]]/'[2]1.) CLM Reference'!$B$5</f>
        <v>6.7459300728253532E-3</v>
      </c>
      <c r="P162" t="str">
        <f>VLOOKUP(Table325[[#This Row],[Census Tract]],'UI EnergyBurden'!$A$2:$B$184,2,FALSE)</f>
        <v>No</v>
      </c>
      <c r="Q162">
        <f>VLOOKUP(Table325[[#This Row],[Census Tract]],'Population and Diversity Data'!B158:K979,10,FALSE)</f>
        <v>2</v>
      </c>
    </row>
    <row r="163" spans="1:17" x14ac:dyDescent="0.2">
      <c r="A163" s="229">
        <v>9009167202</v>
      </c>
      <c r="B163" s="5" t="s">
        <v>3005</v>
      </c>
      <c r="C163" s="87" t="s">
        <v>944</v>
      </c>
      <c r="D163" s="88">
        <f>[2]!Table32[[#This Row],[Residential CLM $ Collected]]+[2]!Table32[[#This Row],[C&amp;I CLM $ Collected]]</f>
        <v>216707.51319999999</v>
      </c>
      <c r="E163" s="197">
        <f>[2]!Table32[[#This Row],[CLM $ Collected ]]/'[2]1.) CLM Reference'!$B$4</f>
        <v>7.4468368137348062E-3</v>
      </c>
      <c r="F163" s="89">
        <f>[2]!Table32[[#This Row],[Residential Incentive Disbursements]]+[2]!Table32[[#This Row],[C&amp;I Incentive Disbursements]]</f>
        <v>507461</v>
      </c>
      <c r="G163" s="198">
        <f>[2]!Table32[[#This Row],[Incentive Disbursements]]/'[2]1.) CLM Reference'!$B$5</f>
        <v>3.0204235661981722E-2</v>
      </c>
      <c r="H163" s="88">
        <v>0</v>
      </c>
      <c r="I163" s="197">
        <f>[2]!Table32[[#This Row],[Residential CLM $ Collected]]/'[2]1.) CLM Reference'!$B$4</f>
        <v>0</v>
      </c>
      <c r="J163" s="89">
        <v>0</v>
      </c>
      <c r="K163" s="198">
        <f>[2]!Table32[[#This Row],[Residential Incentive Disbursements]]/'[2]1.) CLM Reference'!$B$5</f>
        <v>0</v>
      </c>
      <c r="L163" s="88">
        <v>216707.51319999999</v>
      </c>
      <c r="M163" s="197">
        <f>[2]!Table32[[#This Row],[C&amp;I CLM $ Collected]]/'[2]1.) CLM Reference'!$B$4</f>
        <v>7.4468368137348062E-3</v>
      </c>
      <c r="N163" s="89">
        <v>507461</v>
      </c>
      <c r="O163" s="198">
        <f>[2]!Table32[[#This Row],[C&amp;I Incentive Disbursements]]/'[2]1.) CLM Reference'!$B$5</f>
        <v>3.0204235661981722E-2</v>
      </c>
      <c r="P163" t="str">
        <f>VLOOKUP(Table325[[#This Row],[Census Tract]],'UI EnergyBurden'!$A$2:$B$184,2,FALSE)</f>
        <v>No</v>
      </c>
      <c r="Q163">
        <f>VLOOKUP(Table325[[#This Row],[Census Tract]],'Population and Diversity Data'!B159:K980,10,FALSE)</f>
        <v>4</v>
      </c>
    </row>
    <row r="164" spans="1:17" x14ac:dyDescent="0.2">
      <c r="A164" s="229">
        <v>9009167300</v>
      </c>
      <c r="B164" s="5" t="s">
        <v>3005</v>
      </c>
      <c r="C164" s="87" t="s">
        <v>944</v>
      </c>
      <c r="D164" s="88">
        <f>[2]!Table32[[#This Row],[Residential CLM $ Collected]]+[2]!Table32[[#This Row],[C&amp;I CLM $ Collected]]</f>
        <v>190974.886</v>
      </c>
      <c r="E164" s="197">
        <f>[2]!Table32[[#This Row],[CLM $ Collected ]]/'[2]1.) CLM Reference'!$B$4</f>
        <v>6.5625727071635647E-3</v>
      </c>
      <c r="F164" s="89">
        <f>[2]!Table32[[#This Row],[Residential Incentive Disbursements]]+[2]!Table32[[#This Row],[C&amp;I Incentive Disbursements]]</f>
        <v>0</v>
      </c>
      <c r="G164" s="198">
        <f>[2]!Table32[[#This Row],[Incentive Disbursements]]/'[2]1.) CLM Reference'!$B$5</f>
        <v>0</v>
      </c>
      <c r="H164" s="88">
        <v>0</v>
      </c>
      <c r="I164" s="197">
        <f>[2]!Table32[[#This Row],[Residential CLM $ Collected]]/'[2]1.) CLM Reference'!$B$4</f>
        <v>0</v>
      </c>
      <c r="J164" s="89">
        <v>0</v>
      </c>
      <c r="K164" s="198">
        <f>[2]!Table32[[#This Row],[Residential Incentive Disbursements]]/'[2]1.) CLM Reference'!$B$5</f>
        <v>0</v>
      </c>
      <c r="L164" s="88">
        <v>190974.886</v>
      </c>
      <c r="M164" s="197">
        <f>[2]!Table32[[#This Row],[C&amp;I CLM $ Collected]]/'[2]1.) CLM Reference'!$B$4</f>
        <v>6.5625727071635647E-3</v>
      </c>
      <c r="N164" s="89">
        <v>0</v>
      </c>
      <c r="O164" s="198">
        <f>[2]!Table32[[#This Row],[C&amp;I Incentive Disbursements]]/'[2]1.) CLM Reference'!$B$5</f>
        <v>0</v>
      </c>
      <c r="P164" t="str">
        <f>VLOOKUP(Table325[[#This Row],[Census Tract]],'UI EnergyBurden'!$A$2:$B$184,2,FALSE)</f>
        <v>No</v>
      </c>
      <c r="Q164">
        <f>VLOOKUP(Table325[[#This Row],[Census Tract]],'Population and Diversity Data'!B160:K981,10,FALSE)</f>
        <v>2</v>
      </c>
    </row>
    <row r="165" spans="1:17" x14ac:dyDescent="0.2">
      <c r="A165" s="229">
        <v>9009180100</v>
      </c>
      <c r="B165" s="5" t="s">
        <v>2997</v>
      </c>
      <c r="C165" s="87" t="s">
        <v>944</v>
      </c>
      <c r="D165" s="88">
        <f>[2]!Table32[[#This Row],[Residential CLM $ Collected]]+[2]!Table32[[#This Row],[C&amp;I CLM $ Collected]]</f>
        <v>24280.935099999999</v>
      </c>
      <c r="E165" s="197">
        <f>[2]!Table32[[#This Row],[CLM $ Collected ]]/'[2]1.) CLM Reference'!$B$4</f>
        <v>8.3437883027022625E-4</v>
      </c>
      <c r="F165" s="89">
        <f>[2]!Table32[[#This Row],[Residential Incentive Disbursements]]+[2]!Table32[[#This Row],[C&amp;I Incentive Disbursements]]</f>
        <v>12866</v>
      </c>
      <c r="G165" s="198">
        <f>[2]!Table32[[#This Row],[Incentive Disbursements]]/'[2]1.) CLM Reference'!$B$5</f>
        <v>7.6578829905560601E-4</v>
      </c>
      <c r="H165" s="88">
        <v>0</v>
      </c>
      <c r="I165" s="197">
        <f>[2]!Table32[[#This Row],[Residential CLM $ Collected]]/'[2]1.) CLM Reference'!$B$4</f>
        <v>0</v>
      </c>
      <c r="J165" s="89">
        <v>0</v>
      </c>
      <c r="K165" s="198">
        <f>[2]!Table32[[#This Row],[Residential Incentive Disbursements]]/'[2]1.) CLM Reference'!$B$5</f>
        <v>0</v>
      </c>
      <c r="L165" s="88">
        <v>24280.935099999999</v>
      </c>
      <c r="M165" s="197">
        <f>[2]!Table32[[#This Row],[C&amp;I CLM $ Collected]]/'[2]1.) CLM Reference'!$B$4</f>
        <v>8.3437883027022625E-4</v>
      </c>
      <c r="N165" s="89">
        <v>12866</v>
      </c>
      <c r="O165" s="198">
        <f>[2]!Table32[[#This Row],[C&amp;I Incentive Disbursements]]/'[2]1.) CLM Reference'!$B$5</f>
        <v>7.6578829905560601E-4</v>
      </c>
      <c r="P165" t="str">
        <f>VLOOKUP(Table325[[#This Row],[Census Tract]],'UI EnergyBurden'!$A$2:$B$184,2,FALSE)</f>
        <v>No</v>
      </c>
      <c r="Q165">
        <f>VLOOKUP(Table325[[#This Row],[Census Tract]],'Population and Diversity Data'!B161:K982,10,FALSE)</f>
        <v>5</v>
      </c>
    </row>
    <row r="166" spans="1:17" x14ac:dyDescent="0.2">
      <c r="A166" s="229">
        <v>9009180200</v>
      </c>
      <c r="B166" s="5" t="s">
        <v>2997</v>
      </c>
      <c r="C166" s="87" t="s">
        <v>944</v>
      </c>
      <c r="D166" s="88">
        <f>[2]!Table32[[#This Row],[Residential CLM $ Collected]]+[2]!Table32[[#This Row],[C&amp;I CLM $ Collected]]</f>
        <v>22798.3066</v>
      </c>
      <c r="E166" s="197">
        <f>[2]!Table32[[#This Row],[CLM $ Collected ]]/'[2]1.) CLM Reference'!$B$4</f>
        <v>7.8343046981950795E-4</v>
      </c>
      <c r="F166" s="89">
        <f>[2]!Table32[[#This Row],[Residential Incentive Disbursements]]+[2]!Table32[[#This Row],[C&amp;I Incentive Disbursements]]</f>
        <v>30</v>
      </c>
      <c r="G166" s="198">
        <f>[2]!Table32[[#This Row],[Incentive Disbursements]]/'[2]1.) CLM Reference'!$B$5</f>
        <v>1.7856092780715202E-6</v>
      </c>
      <c r="H166" s="88">
        <v>0</v>
      </c>
      <c r="I166" s="197">
        <f>[2]!Table32[[#This Row],[Residential CLM $ Collected]]/'[2]1.) CLM Reference'!$B$4</f>
        <v>0</v>
      </c>
      <c r="J166" s="89">
        <v>0</v>
      </c>
      <c r="K166" s="198">
        <f>[2]!Table32[[#This Row],[Residential Incentive Disbursements]]/'[2]1.) CLM Reference'!$B$5</f>
        <v>0</v>
      </c>
      <c r="L166" s="88">
        <v>22798.3066</v>
      </c>
      <c r="M166" s="197">
        <f>[2]!Table32[[#This Row],[C&amp;I CLM $ Collected]]/'[2]1.) CLM Reference'!$B$4</f>
        <v>7.8343046981950795E-4</v>
      </c>
      <c r="N166" s="89">
        <v>30</v>
      </c>
      <c r="O166" s="198">
        <f>[2]!Table32[[#This Row],[C&amp;I Incentive Disbursements]]/'[2]1.) CLM Reference'!$B$5</f>
        <v>1.7856092780715202E-6</v>
      </c>
      <c r="P166" t="str">
        <f>VLOOKUP(Table325[[#This Row],[Census Tract]],'UI EnergyBurden'!$A$2:$B$184,2,FALSE)</f>
        <v>No</v>
      </c>
      <c r="Q166">
        <f>VLOOKUP(Table325[[#This Row],[Census Tract]],'Population and Diversity Data'!B162:K983,10,FALSE)</f>
        <v>5</v>
      </c>
    </row>
    <row r="167" spans="1:17" x14ac:dyDescent="0.2">
      <c r="A167" s="229">
        <v>9009180200</v>
      </c>
      <c r="B167" s="5" t="s">
        <v>943</v>
      </c>
      <c r="C167" s="87" t="s">
        <v>944</v>
      </c>
      <c r="D167" s="88">
        <f>[2]!Table32[[#This Row],[Residential CLM $ Collected]]+[2]!Table32[[#This Row],[C&amp;I CLM $ Collected]]</f>
        <v>2993.6754999999998</v>
      </c>
      <c r="E167" s="197">
        <f>[2]!Table32[[#This Row],[CLM $ Collected ]]/'[2]1.) CLM Reference'!$B$4</f>
        <v>1.0287328109940192E-4</v>
      </c>
      <c r="F167" s="89">
        <f>[2]!Table32[[#This Row],[Residential Incentive Disbursements]]+[2]!Table32[[#This Row],[C&amp;I Incentive Disbursements]]</f>
        <v>0</v>
      </c>
      <c r="G167" s="198">
        <f>[2]!Table32[[#This Row],[Incentive Disbursements]]/'[2]1.) CLM Reference'!$B$5</f>
        <v>0</v>
      </c>
      <c r="H167" s="88">
        <v>0</v>
      </c>
      <c r="I167" s="197">
        <f>[2]!Table32[[#This Row],[Residential CLM $ Collected]]/'[2]1.) CLM Reference'!$B$4</f>
        <v>0</v>
      </c>
      <c r="J167" s="89">
        <v>0</v>
      </c>
      <c r="K167" s="198">
        <f>[2]!Table32[[#This Row],[Residential Incentive Disbursements]]/'[2]1.) CLM Reference'!$B$5</f>
        <v>0</v>
      </c>
      <c r="L167" s="88">
        <v>2993.6754999999998</v>
      </c>
      <c r="M167" s="197">
        <f>[2]!Table32[[#This Row],[C&amp;I CLM $ Collected]]/'[2]1.) CLM Reference'!$B$4</f>
        <v>1.0287328109940192E-4</v>
      </c>
      <c r="N167" s="89">
        <v>0</v>
      </c>
      <c r="O167" s="198">
        <f>[2]!Table32[[#This Row],[C&amp;I Incentive Disbursements]]/'[2]1.) CLM Reference'!$B$5</f>
        <v>0</v>
      </c>
      <c r="P167" t="str">
        <f>VLOOKUP(Table325[[#This Row],[Census Tract]],'UI EnergyBurden'!$A$2:$B$184,2,FALSE)</f>
        <v>No</v>
      </c>
      <c r="Q167">
        <f>VLOOKUP(Table325[[#This Row],[Census Tract]],'Population and Diversity Data'!B163:K984,10,FALSE)</f>
        <v>5</v>
      </c>
    </row>
    <row r="168" spans="1:17" x14ac:dyDescent="0.2">
      <c r="A168" s="229">
        <v>9009180300</v>
      </c>
      <c r="B168" s="5" t="s">
        <v>2997</v>
      </c>
      <c r="C168" s="87" t="s">
        <v>944</v>
      </c>
      <c r="D168" s="88">
        <f>[2]!Table32[[#This Row],[Residential CLM $ Collected]]+[2]!Table32[[#This Row],[C&amp;I CLM $ Collected]]</f>
        <v>32315.9293</v>
      </c>
      <c r="E168" s="197">
        <f>[2]!Table32[[#This Row],[CLM $ Collected ]]/'[2]1.) CLM Reference'!$B$4</f>
        <v>1.1104896569007893E-3</v>
      </c>
      <c r="F168" s="89">
        <f>[2]!Table32[[#This Row],[Residential Incentive Disbursements]]+[2]!Table32[[#This Row],[C&amp;I Incentive Disbursements]]</f>
        <v>0</v>
      </c>
      <c r="G168" s="198">
        <f>[2]!Table32[[#This Row],[Incentive Disbursements]]/'[2]1.) CLM Reference'!$B$5</f>
        <v>0</v>
      </c>
      <c r="H168" s="88">
        <v>0</v>
      </c>
      <c r="I168" s="197">
        <f>[2]!Table32[[#This Row],[Residential CLM $ Collected]]/'[2]1.) CLM Reference'!$B$4</f>
        <v>0</v>
      </c>
      <c r="J168" s="89">
        <v>0</v>
      </c>
      <c r="K168" s="198">
        <f>[2]!Table32[[#This Row],[Residential Incentive Disbursements]]/'[2]1.) CLM Reference'!$B$5</f>
        <v>0</v>
      </c>
      <c r="L168" s="88">
        <v>32315.9293</v>
      </c>
      <c r="M168" s="197">
        <f>[2]!Table32[[#This Row],[C&amp;I CLM $ Collected]]/'[2]1.) CLM Reference'!$B$4</f>
        <v>1.1104896569007893E-3</v>
      </c>
      <c r="N168" s="89">
        <v>0</v>
      </c>
      <c r="O168" s="198">
        <f>[2]!Table32[[#This Row],[C&amp;I Incentive Disbursements]]/'[2]1.) CLM Reference'!$B$5</f>
        <v>0</v>
      </c>
      <c r="P168" t="str">
        <f>VLOOKUP(Table325[[#This Row],[Census Tract]],'UI EnergyBurden'!$A$2:$B$184,2,FALSE)</f>
        <v>No</v>
      </c>
      <c r="Q168">
        <f>VLOOKUP(Table325[[#This Row],[Census Tract]],'Population and Diversity Data'!B164:K985,10,FALSE)</f>
        <v>3</v>
      </c>
    </row>
    <row r="169" spans="1:17" x14ac:dyDescent="0.2">
      <c r="A169" s="229">
        <v>9009180300</v>
      </c>
      <c r="B169" s="5" t="s">
        <v>3005</v>
      </c>
      <c r="C169" s="87" t="s">
        <v>944</v>
      </c>
      <c r="D169" s="88">
        <f>[2]!Table32[[#This Row],[Residential CLM $ Collected]]+[2]!Table32[[#This Row],[C&amp;I CLM $ Collected]]</f>
        <v>10134.6129</v>
      </c>
      <c r="E169" s="197">
        <f>[2]!Table32[[#This Row],[CLM $ Collected ]]/'[2]1.) CLM Reference'!$B$4</f>
        <v>3.4826115311940956E-4</v>
      </c>
      <c r="F169" s="89">
        <f>[2]!Table32[[#This Row],[Residential Incentive Disbursements]]+[2]!Table32[[#This Row],[C&amp;I Incentive Disbursements]]</f>
        <v>500</v>
      </c>
      <c r="G169" s="198">
        <f>[2]!Table32[[#This Row],[Incentive Disbursements]]/'[2]1.) CLM Reference'!$B$5</f>
        <v>2.9760154634525338E-5</v>
      </c>
      <c r="H169" s="88">
        <v>0</v>
      </c>
      <c r="I169" s="197">
        <f>[2]!Table32[[#This Row],[Residential CLM $ Collected]]/'[2]1.) CLM Reference'!$B$4</f>
        <v>0</v>
      </c>
      <c r="J169" s="89">
        <v>0</v>
      </c>
      <c r="K169" s="198">
        <f>[2]!Table32[[#This Row],[Residential Incentive Disbursements]]/'[2]1.) CLM Reference'!$B$5</f>
        <v>0</v>
      </c>
      <c r="L169" s="88">
        <v>10134.6129</v>
      </c>
      <c r="M169" s="197">
        <f>[2]!Table32[[#This Row],[C&amp;I CLM $ Collected]]/'[2]1.) CLM Reference'!$B$4</f>
        <v>3.4826115311940956E-4</v>
      </c>
      <c r="N169" s="89">
        <v>500</v>
      </c>
      <c r="O169" s="198">
        <f>[2]!Table32[[#This Row],[C&amp;I Incentive Disbursements]]/'[2]1.) CLM Reference'!$B$5</f>
        <v>2.9760154634525338E-5</v>
      </c>
      <c r="P169" t="str">
        <f>VLOOKUP(Table325[[#This Row],[Census Tract]],'UI EnergyBurden'!$A$2:$B$184,2,FALSE)</f>
        <v>No</v>
      </c>
      <c r="Q169">
        <f>VLOOKUP(Table325[[#This Row],[Census Tract]],'Population and Diversity Data'!B165:K986,10,FALSE)</f>
        <v>3</v>
      </c>
    </row>
    <row r="170" spans="1:17" x14ac:dyDescent="0.2">
      <c r="A170" s="229">
        <v>9009180400</v>
      </c>
      <c r="B170" s="5" t="s">
        <v>2997</v>
      </c>
      <c r="C170" s="87" t="s">
        <v>944</v>
      </c>
      <c r="D170" s="88">
        <f>[2]!Table32[[#This Row],[Residential CLM $ Collected]]+[2]!Table32[[#This Row],[C&amp;I CLM $ Collected]]</f>
        <v>17417.411800000002</v>
      </c>
      <c r="E170" s="197">
        <f>[2]!Table32[[#This Row],[CLM $ Collected ]]/'[2]1.) CLM Reference'!$B$4</f>
        <v>5.9852388815201927E-4</v>
      </c>
      <c r="F170" s="89">
        <f>[2]!Table32[[#This Row],[Residential Incentive Disbursements]]+[2]!Table32[[#This Row],[C&amp;I Incentive Disbursements]]</f>
        <v>29346</v>
      </c>
      <c r="G170" s="198">
        <f>[2]!Table32[[#This Row],[Incentive Disbursements]]/'[2]1.) CLM Reference'!$B$5</f>
        <v>1.7466829958095609E-3</v>
      </c>
      <c r="H170" s="88">
        <v>0</v>
      </c>
      <c r="I170" s="197">
        <f>[2]!Table32[[#This Row],[Residential CLM $ Collected]]/'[2]1.) CLM Reference'!$B$4</f>
        <v>0</v>
      </c>
      <c r="J170" s="89">
        <v>0</v>
      </c>
      <c r="K170" s="198">
        <f>[2]!Table32[[#This Row],[Residential Incentive Disbursements]]/'[2]1.) CLM Reference'!$B$5</f>
        <v>0</v>
      </c>
      <c r="L170" s="88">
        <v>17417.411800000002</v>
      </c>
      <c r="M170" s="197">
        <f>[2]!Table32[[#This Row],[C&amp;I CLM $ Collected]]/'[2]1.) CLM Reference'!$B$4</f>
        <v>5.9852388815201927E-4</v>
      </c>
      <c r="N170" s="89">
        <v>29346</v>
      </c>
      <c r="O170" s="198">
        <f>[2]!Table32[[#This Row],[C&amp;I Incentive Disbursements]]/'[2]1.) CLM Reference'!$B$5</f>
        <v>1.7466829958095609E-3</v>
      </c>
      <c r="P170" t="str">
        <f>VLOOKUP(Table325[[#This Row],[Census Tract]],'UI EnergyBurden'!$A$2:$B$184,2,FALSE)</f>
        <v>No</v>
      </c>
      <c r="Q170">
        <f>VLOOKUP(Table325[[#This Row],[Census Tract]],'Population and Diversity Data'!B166:K987,10,FALSE)</f>
        <v>4</v>
      </c>
    </row>
    <row r="171" spans="1:17" x14ac:dyDescent="0.2">
      <c r="A171" s="229">
        <v>9009180500</v>
      </c>
      <c r="B171" s="5" t="s">
        <v>2997</v>
      </c>
      <c r="C171" s="87" t="s">
        <v>944</v>
      </c>
      <c r="D171" s="88">
        <f>[2]!Table32[[#This Row],[Residential CLM $ Collected]]+[2]!Table32[[#This Row],[C&amp;I CLM $ Collected]]</f>
        <v>20826.716400000001</v>
      </c>
      <c r="E171" s="197">
        <f>[2]!Table32[[#This Row],[CLM $ Collected ]]/'[2]1.) CLM Reference'!$B$4</f>
        <v>7.1567965552536477E-4</v>
      </c>
      <c r="F171" s="89">
        <f>[2]!Table32[[#This Row],[Residential Incentive Disbursements]]+[2]!Table32[[#This Row],[C&amp;I Incentive Disbursements]]</f>
        <v>10040</v>
      </c>
      <c r="G171" s="198">
        <f>[2]!Table32[[#This Row],[Incentive Disbursements]]/'[2]1.) CLM Reference'!$B$5</f>
        <v>5.9758390506126872E-4</v>
      </c>
      <c r="H171" s="88">
        <v>0</v>
      </c>
      <c r="I171" s="197">
        <f>[2]!Table32[[#This Row],[Residential CLM $ Collected]]/'[2]1.) CLM Reference'!$B$4</f>
        <v>0</v>
      </c>
      <c r="J171" s="89">
        <v>0</v>
      </c>
      <c r="K171" s="198">
        <f>[2]!Table32[[#This Row],[Residential Incentive Disbursements]]/'[2]1.) CLM Reference'!$B$5</f>
        <v>0</v>
      </c>
      <c r="L171" s="88">
        <v>20826.716400000001</v>
      </c>
      <c r="M171" s="197">
        <f>[2]!Table32[[#This Row],[C&amp;I CLM $ Collected]]/'[2]1.) CLM Reference'!$B$4</f>
        <v>7.1567965552536477E-4</v>
      </c>
      <c r="N171" s="89">
        <v>10040</v>
      </c>
      <c r="O171" s="198">
        <f>[2]!Table32[[#This Row],[C&amp;I Incentive Disbursements]]/'[2]1.) CLM Reference'!$B$5</f>
        <v>5.9758390506126872E-4</v>
      </c>
      <c r="P171" t="str">
        <f>VLOOKUP(Table325[[#This Row],[Census Tract]],'UI EnergyBurden'!$A$2:$B$184,2,FALSE)</f>
        <v>No</v>
      </c>
      <c r="Q171">
        <f>VLOOKUP(Table325[[#This Row],[Census Tract]],'Population and Diversity Data'!B167:K988,10,FALSE)</f>
        <v>5</v>
      </c>
    </row>
    <row r="172" spans="1:17" x14ac:dyDescent="0.2">
      <c r="A172" s="229">
        <v>9009180500</v>
      </c>
      <c r="B172" s="5" t="s">
        <v>943</v>
      </c>
      <c r="C172" s="87" t="s">
        <v>944</v>
      </c>
      <c r="D172" s="88">
        <f>[2]!Table32[[#This Row],[Residential CLM $ Collected]]+[2]!Table32[[#This Row],[C&amp;I CLM $ Collected]]</f>
        <v>54047.178699999997</v>
      </c>
      <c r="E172" s="197">
        <f>[2]!Table32[[#This Row],[CLM $ Collected ]]/'[2]1.) CLM Reference'!$B$4</f>
        <v>1.8572522663310397E-3</v>
      </c>
      <c r="F172" s="89">
        <f>[2]!Table32[[#This Row],[Residential Incentive Disbursements]]+[2]!Table32[[#This Row],[C&amp;I Incentive Disbursements]]</f>
        <v>0</v>
      </c>
      <c r="G172" s="198">
        <f>[2]!Table32[[#This Row],[Incentive Disbursements]]/'[2]1.) CLM Reference'!$B$5</f>
        <v>0</v>
      </c>
      <c r="H172" s="88">
        <v>0</v>
      </c>
      <c r="I172" s="197">
        <f>[2]!Table32[[#This Row],[Residential CLM $ Collected]]/'[2]1.) CLM Reference'!$B$4</f>
        <v>0</v>
      </c>
      <c r="J172" s="89">
        <v>0</v>
      </c>
      <c r="K172" s="198">
        <f>[2]!Table32[[#This Row],[Residential Incentive Disbursements]]/'[2]1.) CLM Reference'!$B$5</f>
        <v>0</v>
      </c>
      <c r="L172" s="88">
        <v>54047.178699999997</v>
      </c>
      <c r="M172" s="197">
        <f>[2]!Table32[[#This Row],[C&amp;I CLM $ Collected]]/'[2]1.) CLM Reference'!$B$4</f>
        <v>1.8572522663310397E-3</v>
      </c>
      <c r="N172" s="89">
        <v>0</v>
      </c>
      <c r="O172" s="198">
        <f>[2]!Table32[[#This Row],[C&amp;I Incentive Disbursements]]/'[2]1.) CLM Reference'!$B$5</f>
        <v>0</v>
      </c>
      <c r="P172" t="str">
        <f>VLOOKUP(Table325[[#This Row],[Census Tract]],'UI EnergyBurden'!$A$2:$B$184,2,FALSE)</f>
        <v>No</v>
      </c>
      <c r="Q172">
        <f>VLOOKUP(Table325[[#This Row],[Census Tract]],'Population and Diversity Data'!B168:K989,10,FALSE)</f>
        <v>5</v>
      </c>
    </row>
    <row r="173" spans="1:17" x14ac:dyDescent="0.2">
      <c r="A173" s="229">
        <v>9009180601</v>
      </c>
      <c r="B173" s="5" t="s">
        <v>2997</v>
      </c>
      <c r="C173" s="87" t="s">
        <v>944</v>
      </c>
      <c r="D173" s="88">
        <f>[2]!Table32[[#This Row],[Residential CLM $ Collected]]+[2]!Table32[[#This Row],[C&amp;I CLM $ Collected]]</f>
        <v>5063.9494999999997</v>
      </c>
      <c r="E173" s="197">
        <f>[2]!Table32[[#This Row],[CLM $ Collected ]]/'[2]1.) CLM Reference'!$B$4</f>
        <v>1.7401521988160567E-4</v>
      </c>
      <c r="F173" s="89">
        <f>[2]!Table32[[#This Row],[Residential Incentive Disbursements]]+[2]!Table32[[#This Row],[C&amp;I Incentive Disbursements]]</f>
        <v>1313</v>
      </c>
      <c r="G173" s="198">
        <f>[2]!Table32[[#This Row],[Incentive Disbursements]]/'[2]1.) CLM Reference'!$B$5</f>
        <v>7.8150166070263527E-5</v>
      </c>
      <c r="H173" s="88">
        <v>0</v>
      </c>
      <c r="I173" s="197">
        <f>[2]!Table32[[#This Row],[Residential CLM $ Collected]]/'[2]1.) CLM Reference'!$B$4</f>
        <v>0</v>
      </c>
      <c r="J173" s="89">
        <v>0</v>
      </c>
      <c r="K173" s="198">
        <f>[2]!Table32[[#This Row],[Residential Incentive Disbursements]]/'[2]1.) CLM Reference'!$B$5</f>
        <v>0</v>
      </c>
      <c r="L173" s="88">
        <v>5063.9494999999997</v>
      </c>
      <c r="M173" s="197">
        <f>[2]!Table32[[#This Row],[C&amp;I CLM $ Collected]]/'[2]1.) CLM Reference'!$B$4</f>
        <v>1.7401521988160567E-4</v>
      </c>
      <c r="N173" s="89">
        <v>1313</v>
      </c>
      <c r="O173" s="198">
        <f>[2]!Table32[[#This Row],[C&amp;I Incentive Disbursements]]/'[2]1.) CLM Reference'!$B$5</f>
        <v>7.8150166070263527E-5</v>
      </c>
      <c r="P173" t="str">
        <f>VLOOKUP(Table325[[#This Row],[Census Tract]],'UI EnergyBurden'!$A$2:$B$184,2,FALSE)</f>
        <v>No</v>
      </c>
      <c r="Q173">
        <f>VLOOKUP(Table325[[#This Row],[Census Tract]],'Population and Diversity Data'!B169:K990,10,FALSE)</f>
        <v>1</v>
      </c>
    </row>
    <row r="174" spans="1:17" x14ac:dyDescent="0.2">
      <c r="A174" s="229">
        <v>9009180602</v>
      </c>
      <c r="B174" s="5" t="s">
        <v>2997</v>
      </c>
      <c r="C174" s="87" t="s">
        <v>944</v>
      </c>
      <c r="D174" s="88">
        <f>[2]!Table32[[#This Row],[Residential CLM $ Collected]]+[2]!Table32[[#This Row],[C&amp;I CLM $ Collected]]</f>
        <v>11356.438599999999</v>
      </c>
      <c r="E174" s="197">
        <f>[2]!Table32[[#This Row],[CLM $ Collected ]]/'[2]1.) CLM Reference'!$B$4</f>
        <v>3.9024740670319763E-4</v>
      </c>
      <c r="F174" s="89">
        <f>[2]!Table32[[#This Row],[Residential Incentive Disbursements]]+[2]!Table32[[#This Row],[C&amp;I Incentive Disbursements]]</f>
        <v>0</v>
      </c>
      <c r="G174" s="198">
        <f>[2]!Table32[[#This Row],[Incentive Disbursements]]/'[2]1.) CLM Reference'!$B$5</f>
        <v>0</v>
      </c>
      <c r="H174" s="88">
        <v>0</v>
      </c>
      <c r="I174" s="197">
        <f>[2]!Table32[[#This Row],[Residential CLM $ Collected]]/'[2]1.) CLM Reference'!$B$4</f>
        <v>0</v>
      </c>
      <c r="J174" s="89">
        <v>0</v>
      </c>
      <c r="K174" s="198">
        <f>[2]!Table32[[#This Row],[Residential Incentive Disbursements]]/'[2]1.) CLM Reference'!$B$5</f>
        <v>0</v>
      </c>
      <c r="L174" s="88">
        <v>11356.438599999999</v>
      </c>
      <c r="M174" s="197">
        <f>[2]!Table32[[#This Row],[C&amp;I CLM $ Collected]]/'[2]1.) CLM Reference'!$B$4</f>
        <v>3.9024740670319763E-4</v>
      </c>
      <c r="N174" s="89">
        <v>0</v>
      </c>
      <c r="O174" s="198">
        <f>[2]!Table32[[#This Row],[C&amp;I Incentive Disbursements]]/'[2]1.) CLM Reference'!$B$5</f>
        <v>0</v>
      </c>
      <c r="P174" t="str">
        <f>VLOOKUP(Table325[[#This Row],[Census Tract]],'UI EnergyBurden'!$A$2:$B$184,2,FALSE)</f>
        <v>No</v>
      </c>
      <c r="Q174">
        <f>VLOOKUP(Table325[[#This Row],[Census Tract]],'Population and Diversity Data'!B170:K991,10,FALSE)</f>
        <v>1</v>
      </c>
    </row>
    <row r="175" spans="1:17" x14ac:dyDescent="0.2">
      <c r="A175" s="229">
        <v>9009186100</v>
      </c>
      <c r="B175" s="5" t="s">
        <v>3006</v>
      </c>
      <c r="C175" s="87" t="s">
        <v>944</v>
      </c>
      <c r="D175" s="88">
        <f>[2]!Table32[[#This Row],[Residential CLM $ Collected]]+[2]!Table32[[#This Row],[C&amp;I CLM $ Collected]]</f>
        <v>118879.9354</v>
      </c>
      <c r="E175" s="197">
        <f>[2]!Table32[[#This Row],[CLM $ Collected ]]/'[2]1.) CLM Reference'!$B$4</f>
        <v>4.0851351495788182E-3</v>
      </c>
      <c r="F175" s="89">
        <f>[2]!Table32[[#This Row],[Residential Incentive Disbursements]]+[2]!Table32[[#This Row],[C&amp;I Incentive Disbursements]]</f>
        <v>34728</v>
      </c>
      <c r="G175" s="198">
        <f>[2]!Table32[[#This Row],[Incentive Disbursements]]/'[2]1.) CLM Reference'!$B$5</f>
        <v>2.0670213002955918E-3</v>
      </c>
      <c r="H175" s="88">
        <v>0</v>
      </c>
      <c r="I175" s="197">
        <f>[2]!Table32[[#This Row],[Residential CLM $ Collected]]/'[2]1.) CLM Reference'!$B$4</f>
        <v>0</v>
      </c>
      <c r="J175" s="89">
        <v>0</v>
      </c>
      <c r="K175" s="198">
        <f>[2]!Table32[[#This Row],[Residential Incentive Disbursements]]/'[2]1.) CLM Reference'!$B$5</f>
        <v>0</v>
      </c>
      <c r="L175" s="88">
        <v>118879.9354</v>
      </c>
      <c r="M175" s="197">
        <f>[2]!Table32[[#This Row],[C&amp;I CLM $ Collected]]/'[2]1.) CLM Reference'!$B$4</f>
        <v>4.0851351495788182E-3</v>
      </c>
      <c r="N175" s="89">
        <v>34728</v>
      </c>
      <c r="O175" s="198">
        <f>[2]!Table32[[#This Row],[C&amp;I Incentive Disbursements]]/'[2]1.) CLM Reference'!$B$5</f>
        <v>2.0670213002955918E-3</v>
      </c>
      <c r="P175" t="str">
        <f>VLOOKUP(Table325[[#This Row],[Census Tract]],'UI EnergyBurden'!$A$2:$B$184,2,FALSE)</f>
        <v>No</v>
      </c>
      <c r="Q175">
        <f>VLOOKUP(Table325[[#This Row],[Census Tract]],'Population and Diversity Data'!B171:K992,10,FALSE)</f>
        <v>2</v>
      </c>
    </row>
    <row r="176" spans="1:17" x14ac:dyDescent="0.2">
      <c r="A176" s="229">
        <v>9009186200</v>
      </c>
      <c r="B176" s="5" t="s">
        <v>3006</v>
      </c>
      <c r="C176" s="87" t="s">
        <v>944</v>
      </c>
      <c r="D176" s="88">
        <f>[2]!Table32[[#This Row],[Residential CLM $ Collected]]+[2]!Table32[[#This Row],[C&amp;I CLM $ Collected]]</f>
        <v>46838.580699999999</v>
      </c>
      <c r="E176" s="197">
        <f>[2]!Table32[[#This Row],[CLM $ Collected ]]/'[2]1.) CLM Reference'!$B$4</f>
        <v>1.6095393367277521E-3</v>
      </c>
      <c r="F176" s="89">
        <f>[2]!Table32[[#This Row],[Residential Incentive Disbursements]]+[2]!Table32[[#This Row],[C&amp;I Incentive Disbursements]]</f>
        <v>8591</v>
      </c>
      <c r="G176" s="198">
        <f>[2]!Table32[[#This Row],[Incentive Disbursements]]/'[2]1.) CLM Reference'!$B$5</f>
        <v>5.1133897693041435E-4</v>
      </c>
      <c r="H176" s="88">
        <v>0</v>
      </c>
      <c r="I176" s="197">
        <f>[2]!Table32[[#This Row],[Residential CLM $ Collected]]/'[2]1.) CLM Reference'!$B$4</f>
        <v>0</v>
      </c>
      <c r="J176" s="89">
        <v>0</v>
      </c>
      <c r="K176" s="198">
        <f>[2]!Table32[[#This Row],[Residential Incentive Disbursements]]/'[2]1.) CLM Reference'!$B$5</f>
        <v>0</v>
      </c>
      <c r="L176" s="88">
        <v>46838.580699999999</v>
      </c>
      <c r="M176" s="197">
        <f>[2]!Table32[[#This Row],[C&amp;I CLM $ Collected]]/'[2]1.) CLM Reference'!$B$4</f>
        <v>1.6095393367277521E-3</v>
      </c>
      <c r="N176" s="89">
        <v>8591</v>
      </c>
      <c r="O176" s="198">
        <f>[2]!Table32[[#This Row],[C&amp;I Incentive Disbursements]]/'[2]1.) CLM Reference'!$B$5</f>
        <v>5.1133897693041435E-4</v>
      </c>
      <c r="P176" t="str">
        <f>VLOOKUP(Table325[[#This Row],[Census Tract]],'UI EnergyBurden'!$A$2:$B$184,2,FALSE)</f>
        <v>No</v>
      </c>
      <c r="Q176">
        <f>VLOOKUP(Table325[[#This Row],[Census Tract]],'Population and Diversity Data'!B172:K993,10,FALSE)</f>
        <v>1</v>
      </c>
    </row>
    <row r="177" spans="1:17" x14ac:dyDescent="0.2">
      <c r="A177" s="229">
        <v>9009361401</v>
      </c>
      <c r="B177" s="5" t="s">
        <v>943</v>
      </c>
      <c r="C177" s="87" t="s">
        <v>936</v>
      </c>
      <c r="D177" s="88">
        <f>[2]!Table32[[#This Row],[Residential CLM $ Collected]]+[2]!Table32[[#This Row],[C&amp;I CLM $ Collected]]</f>
        <v>54474.441500000001</v>
      </c>
      <c r="E177" s="197">
        <f>[2]!Table32[[#This Row],[CLM $ Collected ]]/'[2]1.) CLM Reference'!$B$4</f>
        <v>1.8719345276942761E-3</v>
      </c>
      <c r="F177" s="89">
        <f>[2]!Table32[[#This Row],[Residential Incentive Disbursements]]+[2]!Table32[[#This Row],[C&amp;I Incentive Disbursements]]</f>
        <v>1985</v>
      </c>
      <c r="G177" s="198">
        <f>[2]!Table32[[#This Row],[Incentive Disbursements]]/'[2]1.) CLM Reference'!$B$5</f>
        <v>1.1814781389906558E-4</v>
      </c>
      <c r="H177" s="88">
        <v>3688.5129000000002</v>
      </c>
      <c r="I177" s="197">
        <f>[2]!Table32[[#This Row],[Residential CLM $ Collected]]/'[2]1.) CLM Reference'!$B$4</f>
        <v>1.2675035233460346E-4</v>
      </c>
      <c r="J177" s="89">
        <v>0</v>
      </c>
      <c r="K177" s="198">
        <f>[2]!Table32[[#This Row],[Residential Incentive Disbursements]]/'[2]1.) CLM Reference'!$B$5</f>
        <v>0</v>
      </c>
      <c r="L177" s="88">
        <v>50785.928599999999</v>
      </c>
      <c r="M177" s="197">
        <f>[2]!Table32[[#This Row],[C&amp;I CLM $ Collected]]/'[2]1.) CLM Reference'!$B$4</f>
        <v>1.7451841753596726E-3</v>
      </c>
      <c r="N177" s="89">
        <v>1985</v>
      </c>
      <c r="O177" s="198">
        <f>[2]!Table32[[#This Row],[C&amp;I Incentive Disbursements]]/'[2]1.) CLM Reference'!$B$5</f>
        <v>1.1814781389906558E-4</v>
      </c>
      <c r="P177" t="str">
        <f>VLOOKUP(Table325[[#This Row],[Census Tract]],'UI EnergyBurden'!$A$2:$B$184,2,FALSE)</f>
        <v>No</v>
      </c>
      <c r="Q177">
        <f>VLOOKUP(Table325[[#This Row],[Census Tract]],'Population and Diversity Data'!B173:K994,10,FALSE)</f>
        <v>5</v>
      </c>
    </row>
    <row r="178" spans="1:17" x14ac:dyDescent="0.2">
      <c r="A178" s="229">
        <v>9009361402</v>
      </c>
      <c r="B178" s="5" t="s">
        <v>943</v>
      </c>
      <c r="C178" s="87" t="s">
        <v>936</v>
      </c>
      <c r="D178" s="88">
        <f>[2]!Table32[[#This Row],[Residential CLM $ Collected]]+[2]!Table32[[#This Row],[C&amp;I CLM $ Collected]]</f>
        <v>119732.2037</v>
      </c>
      <c r="E178" s="197">
        <f>[2]!Table32[[#This Row],[CLM $ Collected ]]/'[2]1.) CLM Reference'!$B$4</f>
        <v>4.1144221034914944E-3</v>
      </c>
      <c r="F178" s="89">
        <f>[2]!Table32[[#This Row],[Residential Incentive Disbursements]]+[2]!Table32[[#This Row],[C&amp;I Incentive Disbursements]]</f>
        <v>648547</v>
      </c>
      <c r="G178" s="198">
        <f>[2]!Table32[[#This Row],[Incentive Disbursements]]/'[2]1.) CLM Reference'!$B$5</f>
        <v>3.8601718015515006E-2</v>
      </c>
      <c r="H178" s="88">
        <v>0</v>
      </c>
      <c r="I178" s="197">
        <f>[2]!Table32[[#This Row],[Residential CLM $ Collected]]/'[2]1.) CLM Reference'!$B$4</f>
        <v>0</v>
      </c>
      <c r="J178" s="89">
        <v>0</v>
      </c>
      <c r="K178" s="198">
        <f>[2]!Table32[[#This Row],[Residential Incentive Disbursements]]/'[2]1.) CLM Reference'!$B$5</f>
        <v>0</v>
      </c>
      <c r="L178" s="88">
        <v>119732.2037</v>
      </c>
      <c r="M178" s="197">
        <f>[2]!Table32[[#This Row],[C&amp;I CLM $ Collected]]/'[2]1.) CLM Reference'!$B$4</f>
        <v>4.1144221034914944E-3</v>
      </c>
      <c r="N178" s="89">
        <v>648547</v>
      </c>
      <c r="O178" s="198">
        <f>[2]!Table32[[#This Row],[C&amp;I Incentive Disbursements]]/'[2]1.) CLM Reference'!$B$5</f>
        <v>3.8601718015515006E-2</v>
      </c>
      <c r="P178" t="str">
        <f>VLOOKUP(Table325[[#This Row],[Census Tract]],'UI EnergyBurden'!$A$2:$B$184,2,FALSE)</f>
        <v>No</v>
      </c>
      <c r="Q178">
        <f>VLOOKUP(Table325[[#This Row],[Census Tract]],'Population and Diversity Data'!B174:K995,10,FALSE)</f>
        <v>5</v>
      </c>
    </row>
    <row r="179" spans="1:17" x14ac:dyDescent="0.2">
      <c r="A179" s="229">
        <v>9009361500</v>
      </c>
      <c r="B179" s="5" t="s">
        <v>950</v>
      </c>
      <c r="C179" s="87" t="s">
        <v>944</v>
      </c>
      <c r="D179" s="88">
        <f>[2]!Table32[[#This Row],[Residential CLM $ Collected]]+[2]!Table32[[#This Row],[C&amp;I CLM $ Collected]]</f>
        <v>214352.32990000001</v>
      </c>
      <c r="E179" s="197">
        <f>[2]!Table32[[#This Row],[CLM $ Collected ]]/'[2]1.) CLM Reference'!$B$4</f>
        <v>7.3659043834625485E-3</v>
      </c>
      <c r="F179" s="89">
        <f>[2]!Table32[[#This Row],[Residential Incentive Disbursements]]+[2]!Table32[[#This Row],[C&amp;I Incentive Disbursements]]</f>
        <v>3517</v>
      </c>
      <c r="G179" s="198">
        <f>[2]!Table32[[#This Row],[Incentive Disbursements]]/'[2]1.) CLM Reference'!$B$5</f>
        <v>2.0933292769925122E-4</v>
      </c>
      <c r="H179" s="88">
        <v>0</v>
      </c>
      <c r="I179" s="197">
        <f>[2]!Table32[[#This Row],[Residential CLM $ Collected]]/'[2]1.) CLM Reference'!$B$4</f>
        <v>0</v>
      </c>
      <c r="J179" s="89">
        <v>0</v>
      </c>
      <c r="K179" s="198">
        <f>[2]!Table32[[#This Row],[Residential Incentive Disbursements]]/'[2]1.) CLM Reference'!$B$5</f>
        <v>0</v>
      </c>
      <c r="L179" s="88">
        <v>214352.32990000001</v>
      </c>
      <c r="M179" s="197">
        <f>[2]!Table32[[#This Row],[C&amp;I CLM $ Collected]]/'[2]1.) CLM Reference'!$B$4</f>
        <v>7.3659043834625485E-3</v>
      </c>
      <c r="N179" s="89">
        <v>3517</v>
      </c>
      <c r="O179" s="198">
        <f>[2]!Table32[[#This Row],[C&amp;I Incentive Disbursements]]/'[2]1.) CLM Reference'!$B$5</f>
        <v>2.0933292769925122E-4</v>
      </c>
      <c r="P179" t="str">
        <f>VLOOKUP(Table325[[#This Row],[Census Tract]],'UI EnergyBurden'!$A$2:$B$184,2,FALSE)</f>
        <v>No</v>
      </c>
      <c r="Q179">
        <f>VLOOKUP(Table325[[#This Row],[Census Tract]],'Population and Diversity Data'!B175:K996,10,FALSE)</f>
        <v>5</v>
      </c>
    </row>
    <row r="180" spans="1:17" ht="16" thickBot="1" x14ac:dyDescent="0.25">
      <c r="A180" s="86"/>
      <c r="B180" s="5"/>
      <c r="C180" s="87"/>
      <c r="D180" s="88"/>
      <c r="E180" s="197">
        <f>[2]!Table32[[#This Row],[CLM $ Collected ]]/'[2]1.) CLM Reference'!$B$4</f>
        <v>0</v>
      </c>
      <c r="F180" s="89"/>
      <c r="G180" s="198">
        <f>[2]!Table32[[#This Row],[Incentive Disbursements]]/'[2]1.) CLM Reference'!$B$5</f>
        <v>0</v>
      </c>
      <c r="H180" s="88"/>
      <c r="I180" s="197">
        <f>[2]!Table32[[#This Row],[Residential CLM $ Collected]]/'[2]1.) CLM Reference'!$B$4</f>
        <v>0</v>
      </c>
      <c r="J180" s="89"/>
      <c r="K180" s="198">
        <f>[2]!Table32[[#This Row],[Residential Incentive Disbursements]]/'[2]1.) CLM Reference'!$B$5</f>
        <v>0</v>
      </c>
      <c r="L180" s="88"/>
      <c r="M180" s="197">
        <f>[2]!Table32[[#This Row],[C&amp;I CLM $ Collected]]/'[2]1.) CLM Reference'!$B$4</f>
        <v>0</v>
      </c>
      <c r="N180" s="89"/>
      <c r="O180" s="198">
        <f>[2]!Table32[[#This Row],[C&amp;I Incentive Disbursements]]/'[2]1.) CLM Reference'!$B$5</f>
        <v>0</v>
      </c>
      <c r="P180" t="e">
        <f>VLOOKUP(Table325[[#This Row],[Census Tract]],'UI EnergyBurden'!$A$2:$B$184,2,FALSE)</f>
        <v>#N/A</v>
      </c>
      <c r="Q180" t="e">
        <f>VLOOKUP(Table325[[#This Row],[Census Tract]],'Population and Diversity Data'!B176:K997,10,FALSE)</f>
        <v>#N/A</v>
      </c>
    </row>
    <row r="181" spans="1:17" ht="16" thickBot="1" x14ac:dyDescent="0.25">
      <c r="A181" s="97"/>
      <c r="B181" s="98"/>
      <c r="C181" s="215" t="s">
        <v>2885</v>
      </c>
      <c r="D181" s="208">
        <f>SUBTOTAL(109,D2:D180)</f>
        <v>11552693.690900004</v>
      </c>
      <c r="E181" s="207">
        <f>SUBTOTAL(109,E6:E180)</f>
        <v>0.39699142593084746</v>
      </c>
      <c r="F181" s="208">
        <f>SUBTOTAL(109, F6:F180)</f>
        <v>5150527.3599999994</v>
      </c>
      <c r="G181" s="207">
        <f>[2]!Table32[[#This Row],[Incentive Disbursements]]/'[2]1.) CLM Reference'!$B$5</f>
        <v>0.30656098136590704</v>
      </c>
      <c r="H181" s="216">
        <f>SUM(H6:H180)</f>
        <v>155286.23139999996</v>
      </c>
      <c r="I181" s="217">
        <f>[2]!Table32[[#This Row],[Residential CLM $ Collected]]/'[2]1.) CLM Reference'!$B$4</f>
        <v>5.3361842770463831E-3</v>
      </c>
      <c r="J181" s="216">
        <f>SUBTOTAL(109,J6:J180)</f>
        <v>800</v>
      </c>
      <c r="K181" s="217">
        <f>[2]!Table32[[#This Row],[Residential Incentive Disbursements]]/'[2]1.) CLM Reference'!$B$5</f>
        <v>4.7616247415240537E-5</v>
      </c>
      <c r="L181" s="218">
        <f>SUBTOTAL(109,L6:L180)</f>
        <v>11397407.459500005</v>
      </c>
      <c r="M181" s="217">
        <f>[2]!Table32[[#This Row],[C&amp;I CLM $ Collected]]/'[2]1.) CLM Reference'!$B$4</f>
        <v>0.39165524165380133</v>
      </c>
      <c r="N181" s="216">
        <f>SUBTOTAL(109,N6:N180)</f>
        <v>5149727.3599999994</v>
      </c>
      <c r="O181" s="219">
        <f>[2]!Table32[[#This Row],[C&amp;I Incentive Disbursements]]/'[2]1.) CLM Reference'!$B$5</f>
        <v>0.30651336511849181</v>
      </c>
      <c r="P181" t="e">
        <f>VLOOKUP(Table325[[#This Row],[Census Tract]],'UI EnergyBurden'!$A$2:$B$184,2,FALSE)</f>
        <v>#N/A</v>
      </c>
      <c r="Q181" t="e">
        <f>VLOOKUP(Table325[[#This Row],[Census Tract]],'Population and Diversity Data'!B177:K998,10,FALSE)</f>
        <v>#N/A</v>
      </c>
    </row>
    <row r="182" spans="1:17" x14ac:dyDescent="0.2">
      <c r="A182" s="220"/>
      <c r="C182" s="87"/>
      <c r="D182" s="221"/>
      <c r="E182" s="222"/>
      <c r="F182" s="223"/>
      <c r="G182" s="222"/>
      <c r="H182" s="224"/>
      <c r="I182" s="225"/>
      <c r="J182" s="226"/>
      <c r="K182" s="225"/>
      <c r="L182" s="226"/>
      <c r="M182" s="225"/>
      <c r="N182" s="227"/>
      <c r="O182" s="228"/>
      <c r="P182" t="e">
        <f>VLOOKUP(Table325[[#This Row],[Census Tract]],'UI EnergyBurden'!$A$2:$B$184,2,FALSE)</f>
        <v>#N/A</v>
      </c>
      <c r="Q182" t="e">
        <f>VLOOKUP(Table325[[#This Row],[Census Tract]],'Population and Diversity Data'!B178:K999,10,FALSE)</f>
        <v>#N/A</v>
      </c>
    </row>
    <row r="183" spans="1:17" x14ac:dyDescent="0.2">
      <c r="I183" s="50"/>
      <c r="K183" s="50"/>
      <c r="P183" t="e">
        <f>VLOOKUP(Table325[[#This Row],[Census Tract]],'UI EnergyBurden'!$A$2:$B$184,2,FALSE)</f>
        <v>#N/A</v>
      </c>
      <c r="Q183" t="e">
        <f>VLOOKUP(Table325[[#This Row],[Census Tract]],'Population and Diversity Data'!B179:K1000,10,FALSE)</f>
        <v>#N/A</v>
      </c>
    </row>
    <row r="184" spans="1:17" x14ac:dyDescent="0.2">
      <c r="P184" t="e">
        <f>VLOOKUP(Table325[[#This Row],[Census Tract]],'UI EnergyBurden'!$A$2:$B$184,2,FALSE)</f>
        <v>#N/A</v>
      </c>
      <c r="Q184" t="e">
        <f>VLOOKUP(Table325[[#This Row],[Census Tract]],'Population and Diversity Data'!B180:K1001,10,FALSE)</f>
        <v>#N/A</v>
      </c>
    </row>
    <row r="185" spans="1:17" x14ac:dyDescent="0.2">
      <c r="P185" t="e">
        <f>VLOOKUP(Table325[[#This Row],[Census Tract]],'UI EnergyBurden'!$A$2:$B$184,2,FALSE)</f>
        <v>#N/A</v>
      </c>
      <c r="Q185" t="e">
        <f>VLOOKUP(Table325[[#This Row],[Census Tract]],'Population and Diversity Data'!B181:K1002,10,FALSE)</f>
        <v>#N/A</v>
      </c>
    </row>
    <row r="186" spans="1:17" x14ac:dyDescent="0.2">
      <c r="P186" t="e">
        <f>VLOOKUP(Table325[[#This Row],[Census Tract]],'UI EnergyBurden'!$A$2:$B$184,2,FALSE)</f>
        <v>#N/A</v>
      </c>
      <c r="Q186" t="e">
        <f>VLOOKUP(Table325[[#This Row],[Census Tract]],'Population and Diversity Data'!B182:K1003,10,FALSE)</f>
        <v>#N/A</v>
      </c>
    </row>
    <row r="187" spans="1:17" x14ac:dyDescent="0.2">
      <c r="P187" t="e">
        <f>VLOOKUP(Table325[[#This Row],[Census Tract]],'UI EnergyBurden'!$A$2:$B$184,2,FALSE)</f>
        <v>#N/A</v>
      </c>
      <c r="Q187" t="e">
        <f>VLOOKUP(Table325[[#This Row],[Census Tract]],'Population and Diversity Data'!B183:K1004,10,FALSE)</f>
        <v>#N/A</v>
      </c>
    </row>
    <row r="188" spans="1:17" x14ac:dyDescent="0.2">
      <c r="P188" t="e">
        <f>VLOOKUP(Table325[[#This Row],[Census Tract]],'UI EnergyBurden'!$A$2:$B$184,2,FALSE)</f>
        <v>#N/A</v>
      </c>
      <c r="Q188" t="e">
        <f>VLOOKUP(Table325[[#This Row],[Census Tract]],'Population and Diversity Data'!B184:K1005,10,FALSE)</f>
        <v>#N/A</v>
      </c>
    </row>
    <row r="189" spans="1:17" x14ac:dyDescent="0.2">
      <c r="P189" t="e">
        <f>VLOOKUP(Table325[[#This Row],[Census Tract]],'UI EnergyBurden'!$A$2:$B$184,2,FALSE)</f>
        <v>#N/A</v>
      </c>
      <c r="Q189" t="e">
        <f>VLOOKUP(Table325[[#This Row],[Census Tract]],'Population and Diversity Data'!B185:K1006,10,FALSE)</f>
        <v>#N/A</v>
      </c>
    </row>
    <row r="190" spans="1:17" x14ac:dyDescent="0.2">
      <c r="P190" t="e">
        <f>VLOOKUP(Table325[[#This Row],[Census Tract]],'UI EnergyBurden'!$A$2:$B$184,2,FALSE)</f>
        <v>#N/A</v>
      </c>
      <c r="Q190" t="e">
        <f>VLOOKUP(Table325[[#This Row],[Census Tract]],'Population and Diversity Data'!B186:K1007,10,FALSE)</f>
        <v>#N/A</v>
      </c>
    </row>
    <row r="191" spans="1:17" x14ac:dyDescent="0.2">
      <c r="P191" t="e">
        <f>VLOOKUP(Table325[[#This Row],[Census Tract]],'UI EnergyBurden'!$A$2:$B$184,2,FALSE)</f>
        <v>#N/A</v>
      </c>
      <c r="Q191" t="e">
        <f>VLOOKUP(Table325[[#This Row],[Census Tract]],'Population and Diversity Data'!B187:K1008,10,FALSE)</f>
        <v>#N/A</v>
      </c>
    </row>
    <row r="192" spans="1:17" x14ac:dyDescent="0.2">
      <c r="P192" t="e">
        <f>VLOOKUP(Table325[[#This Row],[Census Tract]],'UI EnergyBurden'!$A$2:$B$184,2,FALSE)</f>
        <v>#N/A</v>
      </c>
      <c r="Q192" t="e">
        <f>VLOOKUP(Table325[[#This Row],[Census Tract]],'Population and Diversity Data'!B188:K1009,10,FALSE)</f>
        <v>#N/A</v>
      </c>
    </row>
    <row r="193" spans="16:17" x14ac:dyDescent="0.2">
      <c r="P193" t="e">
        <f>VLOOKUP(Table325[[#This Row],[Census Tract]],'UI EnergyBurden'!$A$2:$B$184,2,FALSE)</f>
        <v>#N/A</v>
      </c>
      <c r="Q193" t="e">
        <f>VLOOKUP(Table325[[#This Row],[Census Tract]],'Population and Diversity Data'!B189:K1010,10,FALSE)</f>
        <v>#N/A</v>
      </c>
    </row>
    <row r="194" spans="16:17" x14ac:dyDescent="0.2">
      <c r="P194" t="e">
        <f>VLOOKUP(Table325[[#This Row],[Census Tract]],'UI EnergyBurden'!$A$2:$B$184,2,FALSE)</f>
        <v>#N/A</v>
      </c>
      <c r="Q194" t="e">
        <f>VLOOKUP(Table325[[#This Row],[Census Tract]],'Population and Diversity Data'!B190:K1011,10,FALSE)</f>
        <v>#N/A</v>
      </c>
    </row>
    <row r="195" spans="16:17" x14ac:dyDescent="0.2">
      <c r="P195" t="e">
        <f>VLOOKUP(Table325[[#This Row],[Census Tract]],'UI EnergyBurden'!$A$2:$B$184,2,FALSE)</f>
        <v>#N/A</v>
      </c>
      <c r="Q195" t="e">
        <f>VLOOKUP(Table325[[#This Row],[Census Tract]],'Population and Diversity Data'!B191:K1012,10,FALSE)</f>
        <v>#N/A</v>
      </c>
    </row>
    <row r="196" spans="16:17" x14ac:dyDescent="0.2">
      <c r="P196" t="e">
        <f>VLOOKUP(Table325[[#This Row],[Census Tract]],'UI EnergyBurden'!$A$2:$B$184,2,FALSE)</f>
        <v>#N/A</v>
      </c>
      <c r="Q196" t="e">
        <f>VLOOKUP(Table325[[#This Row],[Census Tract]],'Population and Diversity Data'!B192:K1013,10,FALSE)</f>
        <v>#N/A</v>
      </c>
    </row>
    <row r="197" spans="16:17" x14ac:dyDescent="0.2">
      <c r="P197" t="e">
        <f>VLOOKUP(Table325[[#This Row],[Census Tract]],'UI EnergyBurden'!$A$2:$B$184,2,FALSE)</f>
        <v>#N/A</v>
      </c>
      <c r="Q197" t="e">
        <f>VLOOKUP(Table325[[#This Row],[Census Tract]],'Population and Diversity Data'!B193:K1014,10,FALSE)</f>
        <v>#N/A</v>
      </c>
    </row>
    <row r="198" spans="16:17" x14ac:dyDescent="0.2">
      <c r="P198" t="e">
        <f>VLOOKUP(Table325[[#This Row],[Census Tract]],'UI EnergyBurden'!$A$2:$B$184,2,FALSE)</f>
        <v>#N/A</v>
      </c>
      <c r="Q198" t="e">
        <f>VLOOKUP(Table325[[#This Row],[Census Tract]],'Population and Diversity Data'!B194:K1015,10,FALSE)</f>
        <v>#N/A</v>
      </c>
    </row>
    <row r="199" spans="16:17" x14ac:dyDescent="0.2">
      <c r="P199" t="e">
        <f>VLOOKUP(Table325[[#This Row],[Census Tract]],'UI EnergyBurden'!$A$2:$B$184,2,FALSE)</f>
        <v>#N/A</v>
      </c>
      <c r="Q199" t="e">
        <f>VLOOKUP(Table325[[#This Row],[Census Tract]],'Population and Diversity Data'!B195:K1016,10,FALSE)</f>
        <v>#N/A</v>
      </c>
    </row>
    <row r="200" spans="16:17" x14ac:dyDescent="0.2">
      <c r="P200" t="e">
        <f>VLOOKUP(Table325[[#This Row],[Census Tract]],'UI EnergyBurden'!$A$2:$B$184,2,FALSE)</f>
        <v>#N/A</v>
      </c>
      <c r="Q200" t="e">
        <f>VLOOKUP(Table325[[#This Row],[Census Tract]],'Population and Diversity Data'!B196:K1017,10,FALSE)</f>
        <v>#N/A</v>
      </c>
    </row>
    <row r="201" spans="16:17" x14ac:dyDescent="0.2">
      <c r="P201" t="e">
        <f>VLOOKUP(Table325[[#This Row],[Census Tract]],'UI EnergyBurden'!$A$2:$B$184,2,FALSE)</f>
        <v>#N/A</v>
      </c>
      <c r="Q201" t="e">
        <f>VLOOKUP(Table325[[#This Row],[Census Tract]],'Population and Diversity Data'!B197:K1018,10,FALSE)</f>
        <v>#N/A</v>
      </c>
    </row>
    <row r="202" spans="16:17" x14ac:dyDescent="0.2">
      <c r="P202" t="e">
        <f>VLOOKUP(Table325[[#This Row],[Census Tract]],'UI EnergyBurden'!$A$2:$B$184,2,FALSE)</f>
        <v>#N/A</v>
      </c>
      <c r="Q202" t="e">
        <f>VLOOKUP(Table325[[#This Row],[Census Tract]],'Population and Diversity Data'!B198:K1019,10,FALSE)</f>
        <v>#N/A</v>
      </c>
    </row>
    <row r="203" spans="16:17" x14ac:dyDescent="0.2">
      <c r="P203" t="e">
        <f>VLOOKUP(Table325[[#This Row],[Census Tract]],'UI EnergyBurden'!$A$2:$B$184,2,FALSE)</f>
        <v>#N/A</v>
      </c>
      <c r="Q203" t="e">
        <f>VLOOKUP(Table325[[#This Row],[Census Tract]],'Population and Diversity Data'!B199:K1020,10,FALSE)</f>
        <v>#N/A</v>
      </c>
    </row>
    <row r="204" spans="16:17" x14ac:dyDescent="0.2">
      <c r="P204" t="e">
        <f>VLOOKUP(Table325[[#This Row],[Census Tract]],'UI EnergyBurden'!$A$2:$B$184,2,FALSE)</f>
        <v>#N/A</v>
      </c>
      <c r="Q204" t="e">
        <f>VLOOKUP(Table325[[#This Row],[Census Tract]],'Population and Diversity Data'!B200:K1021,10,FALSE)</f>
        <v>#N/A</v>
      </c>
    </row>
    <row r="205" spans="16:17" x14ac:dyDescent="0.2">
      <c r="P205" t="e">
        <f>VLOOKUP(Table325[[#This Row],[Census Tract]],'UI EnergyBurden'!$A$2:$B$184,2,FALSE)</f>
        <v>#N/A</v>
      </c>
      <c r="Q205" t="e">
        <f>VLOOKUP(Table325[[#This Row],[Census Tract]],'Population and Diversity Data'!B201:K1022,10,FALSE)</f>
        <v>#N/A</v>
      </c>
    </row>
    <row r="206" spans="16:17" x14ac:dyDescent="0.2">
      <c r="P206" t="e">
        <f>VLOOKUP(Table325[[#This Row],[Census Tract]],'UI EnergyBurden'!$A$2:$B$184,2,FALSE)</f>
        <v>#N/A</v>
      </c>
      <c r="Q206" t="e">
        <f>VLOOKUP(Table325[[#This Row],[Census Tract]],'Population and Diversity Data'!B202:K1023,10,FALSE)</f>
        <v>#N/A</v>
      </c>
    </row>
    <row r="207" spans="16:17" x14ac:dyDescent="0.2">
      <c r="P207" t="e">
        <f>VLOOKUP(Table325[[#This Row],[Census Tract]],'UI EnergyBurden'!$A$2:$B$184,2,FALSE)</f>
        <v>#N/A</v>
      </c>
      <c r="Q207" t="e">
        <f>VLOOKUP(Table325[[#This Row],[Census Tract]],'Population and Diversity Data'!B203:K1024,10,FALSE)</f>
        <v>#N/A</v>
      </c>
    </row>
    <row r="208" spans="16:17" x14ac:dyDescent="0.2">
      <c r="P208" t="e">
        <f>VLOOKUP(Table325[[#This Row],[Census Tract]],'UI EnergyBurden'!$A$2:$B$184,2,FALSE)</f>
        <v>#N/A</v>
      </c>
      <c r="Q208" t="e">
        <f>VLOOKUP(Table325[[#This Row],[Census Tract]],'Population and Diversity Data'!B204:K1025,10,FALSE)</f>
        <v>#N/A</v>
      </c>
    </row>
    <row r="209" spans="16:17" x14ac:dyDescent="0.2">
      <c r="P209" t="e">
        <f>VLOOKUP(Table325[[#This Row],[Census Tract]],'UI EnergyBurden'!$A$2:$B$184,2,FALSE)</f>
        <v>#N/A</v>
      </c>
      <c r="Q209" t="e">
        <f>VLOOKUP(Table325[[#This Row],[Census Tract]],'Population and Diversity Data'!B205:K1026,10,FALSE)</f>
        <v>#N/A</v>
      </c>
    </row>
    <row r="210" spans="16:17" x14ac:dyDescent="0.2">
      <c r="P210" t="e">
        <f>VLOOKUP(Table325[[#This Row],[Census Tract]],'UI EnergyBurden'!$A$2:$B$184,2,FALSE)</f>
        <v>#N/A</v>
      </c>
      <c r="Q210" t="e">
        <f>VLOOKUP(Table325[[#This Row],[Census Tract]],'Population and Diversity Data'!B342:K1163,10,FALSE)</f>
        <v>#N/A</v>
      </c>
    </row>
  </sheetData>
  <mergeCells count="7">
    <mergeCell ref="A1:O2"/>
    <mergeCell ref="A3:C3"/>
    <mergeCell ref="D3:O3"/>
    <mergeCell ref="A4:C4"/>
    <mergeCell ref="D4:G4"/>
    <mergeCell ref="H4:K4"/>
    <mergeCell ref="L4:O4"/>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B4CB6-76E7-4CEB-B22C-C054F6C1B27F}">
  <sheetPr>
    <tabColor theme="7" tint="0.59999389629810485"/>
  </sheetPr>
  <dimension ref="A1:Q418"/>
  <sheetViews>
    <sheetView topLeftCell="B1" workbookViewId="0">
      <selection activeCell="A6" sqref="A6:A337"/>
    </sheetView>
  </sheetViews>
  <sheetFormatPr baseColWidth="10" defaultColWidth="8.83203125" defaultRowHeight="15" x14ac:dyDescent="0.2"/>
  <cols>
    <col min="1" max="2" width="15.6640625" customWidth="1"/>
    <col min="3" max="3" width="20" customWidth="1"/>
    <col min="4" max="4" width="22.6640625" style="51" customWidth="1"/>
    <col min="5" max="5" width="25" style="51" customWidth="1"/>
    <col min="6" max="6" width="16.6640625" bestFit="1" customWidth="1"/>
    <col min="7" max="7" width="19" bestFit="1" customWidth="1"/>
    <col min="8" max="8" width="14.83203125" bestFit="1" customWidth="1"/>
    <col min="9" max="9" width="14.1640625" bestFit="1" customWidth="1"/>
    <col min="10" max="10" width="16.1640625" bestFit="1" customWidth="1"/>
    <col min="11" max="11" width="17.83203125" bestFit="1" customWidth="1"/>
    <col min="12" max="12" width="19" bestFit="1" customWidth="1"/>
    <col min="13" max="13" width="16" bestFit="1" customWidth="1"/>
    <col min="14" max="14" width="14.1640625" bestFit="1" customWidth="1"/>
    <col min="15" max="15" width="16.1640625" bestFit="1" customWidth="1"/>
  </cols>
  <sheetData>
    <row r="1" spans="1:17" x14ac:dyDescent="0.2">
      <c r="A1" s="284" t="s">
        <v>2711</v>
      </c>
      <c r="B1" s="285"/>
      <c r="C1" s="285"/>
      <c r="D1" s="285"/>
      <c r="E1" s="285"/>
      <c r="F1" s="285"/>
      <c r="G1" s="285"/>
      <c r="H1" s="285"/>
      <c r="I1" s="285"/>
      <c r="J1" s="285"/>
      <c r="K1" s="285"/>
      <c r="L1" s="285"/>
      <c r="M1" s="285"/>
      <c r="N1" s="285"/>
      <c r="O1" s="286"/>
    </row>
    <row r="2" spans="1:17" ht="16" thickBot="1" x14ac:dyDescent="0.25">
      <c r="A2" s="287"/>
      <c r="B2" s="288"/>
      <c r="C2" s="288"/>
      <c r="D2" s="288"/>
      <c r="E2" s="288"/>
      <c r="F2" s="288"/>
      <c r="G2" s="288"/>
      <c r="H2" s="288"/>
      <c r="I2" s="288"/>
      <c r="J2" s="288"/>
      <c r="K2" s="288"/>
      <c r="L2" s="288"/>
      <c r="M2" s="288"/>
      <c r="N2" s="288"/>
      <c r="O2" s="289"/>
    </row>
    <row r="3" spans="1:17" ht="17" thickBot="1" x14ac:dyDescent="0.25">
      <c r="A3" s="339" t="s">
        <v>923</v>
      </c>
      <c r="B3" s="340"/>
      <c r="C3" s="340"/>
      <c r="D3" s="341"/>
      <c r="E3" s="305"/>
      <c r="F3" s="305"/>
      <c r="G3" s="305"/>
      <c r="H3" s="305"/>
      <c r="I3" s="305"/>
      <c r="J3" s="305"/>
      <c r="K3" s="305"/>
      <c r="L3" s="305"/>
      <c r="M3" s="305"/>
      <c r="N3" s="305"/>
      <c r="O3" s="342"/>
    </row>
    <row r="4" spans="1:17" ht="16" thickBot="1" x14ac:dyDescent="0.25">
      <c r="A4" s="343"/>
      <c r="B4" s="344"/>
      <c r="C4" s="344"/>
      <c r="D4" s="345" t="s">
        <v>2876</v>
      </c>
      <c r="E4" s="346"/>
      <c r="F4" s="310" t="s">
        <v>968</v>
      </c>
      <c r="G4" s="311"/>
      <c r="H4" s="311"/>
      <c r="I4" s="311"/>
      <c r="J4" s="312"/>
      <c r="K4" s="313" t="s">
        <v>969</v>
      </c>
      <c r="L4" s="313"/>
      <c r="M4" s="313"/>
      <c r="N4" s="313"/>
      <c r="O4" s="314"/>
    </row>
    <row r="5" spans="1:17" ht="52" thickBot="1" x14ac:dyDescent="0.25">
      <c r="A5" s="230" t="s">
        <v>2712</v>
      </c>
      <c r="B5" s="231" t="s">
        <v>2713</v>
      </c>
      <c r="C5" s="232" t="s">
        <v>2714</v>
      </c>
      <c r="D5" s="233" t="s">
        <v>2715</v>
      </c>
      <c r="E5" s="233" t="s">
        <v>2717</v>
      </c>
      <c r="F5" s="234" t="s">
        <v>970</v>
      </c>
      <c r="G5" s="234" t="s">
        <v>2877</v>
      </c>
      <c r="H5" s="234" t="s">
        <v>2878</v>
      </c>
      <c r="I5" s="234" t="s">
        <v>2879</v>
      </c>
      <c r="J5" s="234" t="s">
        <v>959</v>
      </c>
      <c r="K5" s="234" t="s">
        <v>2880</v>
      </c>
      <c r="L5" s="234" t="s">
        <v>2881</v>
      </c>
      <c r="M5" s="234" t="s">
        <v>3008</v>
      </c>
      <c r="N5" s="234" t="s">
        <v>2883</v>
      </c>
      <c r="O5" s="235" t="s">
        <v>2884</v>
      </c>
      <c r="P5" s="95" t="s">
        <v>2728</v>
      </c>
      <c r="Q5" s="95" t="s">
        <v>2729</v>
      </c>
    </row>
    <row r="6" spans="1:17" x14ac:dyDescent="0.2">
      <c r="A6" s="184">
        <v>9001071900</v>
      </c>
      <c r="B6" s="184" t="s">
        <v>2988</v>
      </c>
      <c r="C6" s="236" t="s">
        <v>936</v>
      </c>
      <c r="D6" s="237">
        <v>0</v>
      </c>
      <c r="E6" s="238">
        <v>377.41483207616631</v>
      </c>
      <c r="F6" s="239">
        <f>[2]!Table323[[#This Row],[Single Family]]+[2]!Table323[[#This Row],[2-4 Units]]+[2]!Table323[[#This Row],[&gt;4 Units]]</f>
        <v>0</v>
      </c>
      <c r="G6" s="240"/>
      <c r="H6" s="240"/>
      <c r="I6" s="240"/>
      <c r="J6" s="241">
        <v>0</v>
      </c>
      <c r="K6" s="239">
        <f>SUM([2]!Table323[[#This Row],[Single Family ]:[&gt;4 Units ]])</f>
        <v>1</v>
      </c>
      <c r="L6" s="242">
        <v>1</v>
      </c>
      <c r="M6" s="242">
        <v>0</v>
      </c>
      <c r="N6" s="242">
        <v>0</v>
      </c>
      <c r="O6" s="243">
        <f>[2]!Table323[[#This Row],[Incentive Disbursements]]-[2]!Table323[[#This Row],[Incentives]]</f>
        <v>377.41483207616631</v>
      </c>
      <c r="P6" s="156">
        <f>VLOOKUP(Table3236[[#This Row],[Census Tract]],'Population and Diversity Data'!$B$2:$K$823,10,FALSE)</f>
        <v>5</v>
      </c>
      <c r="Q6" s="157" t="str">
        <f>VLOOKUP(Table3236[[#This Row],[Census Tract]],'UI EnergyBurden'!$A$2:$B$184,2,FALSE)</f>
        <v>Yes</v>
      </c>
    </row>
    <row r="7" spans="1:17" x14ac:dyDescent="0.2">
      <c r="A7" s="38">
        <v>9009120100</v>
      </c>
      <c r="B7" s="38" t="s">
        <v>2991</v>
      </c>
      <c r="C7" s="244" t="s">
        <v>944</v>
      </c>
      <c r="D7" s="245">
        <v>185.57749999999999</v>
      </c>
      <c r="E7" s="246">
        <v>0</v>
      </c>
      <c r="F7" s="247">
        <f>[2]!Table323[[#This Row],[Single Family]]+[2]!Table323[[#This Row],[2-4 Units]]+[2]!Table323[[#This Row],[&gt;4 Units]]</f>
        <v>0</v>
      </c>
      <c r="J7" s="248">
        <v>0</v>
      </c>
      <c r="K7" s="247">
        <f>SUM([2]!Table323[[#This Row],[Single Family ]:[&gt;4 Units ]])</f>
        <v>0</v>
      </c>
      <c r="L7" s="249"/>
      <c r="M7" s="249"/>
      <c r="N7" s="249"/>
      <c r="O7" s="250">
        <f>[2]!Table323[[#This Row],[Incentive Disbursements]]-[2]!Table323[[#This Row],[Incentives]]</f>
        <v>0</v>
      </c>
      <c r="P7" s="158">
        <f>VLOOKUP(Table3236[[#This Row],[Census Tract]],'Population and Diversity Data'!$B$2:$K$823,10,FALSE)</f>
        <v>2</v>
      </c>
      <c r="Q7" s="159" t="str">
        <f>VLOOKUP(Table3236[[#This Row],[Census Tract]],'UI EnergyBurden'!$A$2:$B$184,2,FALSE)</f>
        <v>No</v>
      </c>
    </row>
    <row r="8" spans="1:17" x14ac:dyDescent="0.2">
      <c r="A8" s="38">
        <v>9009120200</v>
      </c>
      <c r="B8" s="38" t="s">
        <v>2991</v>
      </c>
      <c r="C8" s="244" t="s">
        <v>944</v>
      </c>
      <c r="D8" s="245">
        <v>53.532299999999999</v>
      </c>
      <c r="E8" s="246">
        <v>157.10302618683548</v>
      </c>
      <c r="F8" s="247">
        <f>[2]!Table323[[#This Row],[Single Family]]+[2]!Table323[[#This Row],[2-4 Units]]+[2]!Table323[[#This Row],[&gt;4 Units]]</f>
        <v>1</v>
      </c>
      <c r="G8">
        <v>1</v>
      </c>
      <c r="H8">
        <v>0</v>
      </c>
      <c r="I8">
        <v>0</v>
      </c>
      <c r="J8" s="248">
        <v>157.10302618683548</v>
      </c>
      <c r="K8" s="247">
        <f>SUM([2]!Table323[[#This Row],[Single Family ]:[&gt;4 Units ]])</f>
        <v>0</v>
      </c>
      <c r="L8" s="249"/>
      <c r="M8" s="249"/>
      <c r="N8" s="249"/>
      <c r="O8" s="250">
        <f>[2]!Table323[[#This Row],[Incentive Disbursements]]-[2]!Table323[[#This Row],[Incentives]]</f>
        <v>0</v>
      </c>
      <c r="P8" s="158">
        <f>VLOOKUP(Table3236[[#This Row],[Census Tract]],'Population and Diversity Data'!$B$2:$K$823,10,FALSE)</f>
        <v>4</v>
      </c>
      <c r="Q8" s="159" t="str">
        <f>VLOOKUP(Table3236[[#This Row],[Census Tract]],'UI EnergyBurden'!$A$2:$B$184,2,FALSE)</f>
        <v>Yes</v>
      </c>
    </row>
    <row r="9" spans="1:17" x14ac:dyDescent="0.2">
      <c r="A9" s="38">
        <v>9009125100</v>
      </c>
      <c r="B9" s="38" t="s">
        <v>2991</v>
      </c>
      <c r="C9" s="244" t="s">
        <v>944</v>
      </c>
      <c r="D9" s="245">
        <v>74097.026599999997</v>
      </c>
      <c r="E9" s="246">
        <v>61060.649343701472</v>
      </c>
      <c r="F9" s="247">
        <f>[2]!Table323[[#This Row],[Single Family]]+[2]!Table323[[#This Row],[2-4 Units]]+[2]!Table323[[#This Row],[&gt;4 Units]]</f>
        <v>38</v>
      </c>
      <c r="G9">
        <v>38</v>
      </c>
      <c r="H9">
        <v>0</v>
      </c>
      <c r="I9">
        <v>0</v>
      </c>
      <c r="J9" s="248">
        <v>48691.616642728746</v>
      </c>
      <c r="K9" s="247">
        <f>SUM([2]!Table323[[#This Row],[Single Family ]:[&gt;4 Units ]])</f>
        <v>6</v>
      </c>
      <c r="L9" s="249">
        <v>6</v>
      </c>
      <c r="M9" s="249">
        <v>0</v>
      </c>
      <c r="N9" s="249">
        <v>0</v>
      </c>
      <c r="O9" s="250">
        <f>[2]!Table323[[#This Row],[Incentive Disbursements]]-[2]!Table323[[#This Row],[Incentives]]</f>
        <v>12369.032700972726</v>
      </c>
      <c r="P9" s="158">
        <f>VLOOKUP(Table3236[[#This Row],[Census Tract]],'Population and Diversity Data'!$B$2:$K$823,10,FALSE)</f>
        <v>1</v>
      </c>
      <c r="Q9" s="159" t="str">
        <f>VLOOKUP(Table3236[[#This Row],[Census Tract]],'UI EnergyBurden'!$A$2:$B$184,2,FALSE)</f>
        <v>No</v>
      </c>
    </row>
    <row r="10" spans="1:17" x14ac:dyDescent="0.2">
      <c r="A10" s="38">
        <v>9009125200</v>
      </c>
      <c r="B10" s="38" t="s">
        <v>2991</v>
      </c>
      <c r="C10" s="244" t="s">
        <v>944</v>
      </c>
      <c r="D10" s="245">
        <v>85166.804499999998</v>
      </c>
      <c r="E10" s="246">
        <v>36715.046139093654</v>
      </c>
      <c r="F10" s="247">
        <f>[2]!Table323[[#This Row],[Single Family]]+[2]!Table323[[#This Row],[2-4 Units]]+[2]!Table323[[#This Row],[&gt;4 Units]]</f>
        <v>19</v>
      </c>
      <c r="G10">
        <v>16</v>
      </c>
      <c r="H10">
        <v>3</v>
      </c>
      <c r="I10">
        <v>0</v>
      </c>
      <c r="J10" s="248">
        <v>22750.861445680752</v>
      </c>
      <c r="K10" s="247">
        <f>SUM([2]!Table323[[#This Row],[Single Family ]:[&gt;4 Units ]])</f>
        <v>6</v>
      </c>
      <c r="L10" s="249">
        <v>5</v>
      </c>
      <c r="M10" s="249">
        <v>1</v>
      </c>
      <c r="N10" s="249">
        <v>0</v>
      </c>
      <c r="O10" s="250">
        <f>[2]!Table323[[#This Row],[Incentive Disbursements]]-[2]!Table323[[#This Row],[Incentives]]</f>
        <v>13964.184693412903</v>
      </c>
      <c r="P10" s="158">
        <f>VLOOKUP(Table3236[[#This Row],[Census Tract]],'Population and Diversity Data'!$B$2:$K$823,10,FALSE)</f>
        <v>3</v>
      </c>
      <c r="Q10" s="159" t="str">
        <f>VLOOKUP(Table3236[[#This Row],[Census Tract]],'UI EnergyBurden'!$A$2:$B$184,2,FALSE)</f>
        <v>No</v>
      </c>
    </row>
    <row r="11" spans="1:17" x14ac:dyDescent="0.2">
      <c r="A11" s="38">
        <v>9009125300</v>
      </c>
      <c r="B11" s="38" t="s">
        <v>2991</v>
      </c>
      <c r="C11" s="244" t="s">
        <v>936</v>
      </c>
      <c r="D11" s="245">
        <v>72329.1342</v>
      </c>
      <c r="E11" s="246">
        <v>31286.639381320583</v>
      </c>
      <c r="F11" s="247">
        <f>[2]!Table323[[#This Row],[Single Family]]+[2]!Table323[[#This Row],[2-4 Units]]+[2]!Table323[[#This Row],[&gt;4 Units]]</f>
        <v>19</v>
      </c>
      <c r="G11">
        <v>14</v>
      </c>
      <c r="H11">
        <v>5</v>
      </c>
      <c r="I11">
        <v>0</v>
      </c>
      <c r="J11" s="248">
        <v>26535.560972400028</v>
      </c>
      <c r="K11" s="247">
        <f>SUM([2]!Table323[[#This Row],[Single Family ]:[&gt;4 Units ]])</f>
        <v>4</v>
      </c>
      <c r="L11" s="249">
        <v>2</v>
      </c>
      <c r="M11" s="249">
        <v>2</v>
      </c>
      <c r="N11" s="249">
        <v>0</v>
      </c>
      <c r="O11" s="250">
        <f>[2]!Table323[[#This Row],[Incentive Disbursements]]-[2]!Table323[[#This Row],[Incentives]]</f>
        <v>4751.0784089205554</v>
      </c>
      <c r="P11" s="158">
        <f>VLOOKUP(Table3236[[#This Row],[Census Tract]],'Population and Diversity Data'!$B$2:$K$823,10,FALSE)</f>
        <v>5</v>
      </c>
      <c r="Q11" s="159" t="str">
        <f>VLOOKUP(Table3236[[#This Row],[Census Tract]],'UI EnergyBurden'!$A$2:$B$184,2,FALSE)</f>
        <v>No</v>
      </c>
    </row>
    <row r="12" spans="1:17" x14ac:dyDescent="0.2">
      <c r="A12" s="38">
        <v>9009125400</v>
      </c>
      <c r="B12" s="38" t="s">
        <v>2991</v>
      </c>
      <c r="C12" s="244" t="s">
        <v>944</v>
      </c>
      <c r="D12" s="245">
        <v>50934.988800000101</v>
      </c>
      <c r="E12" s="246">
        <v>31475.363206699189</v>
      </c>
      <c r="F12" s="247">
        <f>[2]!Table323[[#This Row],[Single Family]]+[2]!Table323[[#This Row],[2-4 Units]]+[2]!Table323[[#This Row],[&gt;4 Units]]</f>
        <v>13</v>
      </c>
      <c r="G12">
        <v>13</v>
      </c>
      <c r="H12">
        <v>0</v>
      </c>
      <c r="I12">
        <v>0</v>
      </c>
      <c r="J12" s="248">
        <v>15889.771576006031</v>
      </c>
      <c r="K12" s="247">
        <f>SUM([2]!Table323[[#This Row],[Single Family ]:[&gt;4 Units ]])</f>
        <v>9</v>
      </c>
      <c r="L12" s="249">
        <v>7</v>
      </c>
      <c r="M12" s="249">
        <v>2</v>
      </c>
      <c r="N12" s="249">
        <v>0</v>
      </c>
      <c r="O12" s="250">
        <f>[2]!Table323[[#This Row],[Incentive Disbursements]]-[2]!Table323[[#This Row],[Incentives]]</f>
        <v>15585.591630693158</v>
      </c>
      <c r="P12" s="158">
        <f>VLOOKUP(Table3236[[#This Row],[Census Tract]],'Population and Diversity Data'!$B$2:$K$823,10,FALSE)</f>
        <v>3</v>
      </c>
      <c r="Q12" s="159" t="str">
        <f>VLOOKUP(Table3236[[#This Row],[Census Tract]],'UI EnergyBurden'!$A$2:$B$184,2,FALSE)</f>
        <v>No</v>
      </c>
    </row>
    <row r="13" spans="1:17" x14ac:dyDescent="0.2">
      <c r="A13" s="38">
        <v>9009130102</v>
      </c>
      <c r="B13" s="38" t="s">
        <v>2991</v>
      </c>
      <c r="C13" s="244" t="s">
        <v>944</v>
      </c>
      <c r="D13" s="245">
        <v>151.18</v>
      </c>
      <c r="E13" s="246">
        <v>0</v>
      </c>
      <c r="F13" s="247">
        <f>[2]!Table323[[#This Row],[Single Family]]+[2]!Table323[[#This Row],[2-4 Units]]+[2]!Table323[[#This Row],[&gt;4 Units]]</f>
        <v>0</v>
      </c>
      <c r="J13" s="248">
        <v>0</v>
      </c>
      <c r="K13" s="247">
        <f>SUM([2]!Table323[[#This Row],[Single Family ]:[&gt;4 Units ]])</f>
        <v>0</v>
      </c>
      <c r="L13" s="249"/>
      <c r="M13" s="249"/>
      <c r="N13" s="249"/>
      <c r="O13" s="250">
        <f>[2]!Table323[[#This Row],[Incentive Disbursements]]-[2]!Table323[[#This Row],[Incentives]]</f>
        <v>0</v>
      </c>
      <c r="P13" s="158">
        <f>VLOOKUP(Table3236[[#This Row],[Census Tract]],'Population and Diversity Data'!$B$2:$K$823,10,FALSE)</f>
        <v>2</v>
      </c>
      <c r="Q13" s="159" t="str">
        <f>VLOOKUP(Table3236[[#This Row],[Census Tract]],'UI EnergyBurden'!$A$2:$B$184,2,FALSE)</f>
        <v>No</v>
      </c>
    </row>
    <row r="14" spans="1:17" x14ac:dyDescent="0.2">
      <c r="A14" s="38">
        <v>9009130200</v>
      </c>
      <c r="B14" s="38" t="s">
        <v>2991</v>
      </c>
      <c r="C14" s="244" t="s">
        <v>944</v>
      </c>
      <c r="D14" s="245">
        <v>65.553799999999995</v>
      </c>
      <c r="E14" s="246">
        <v>0</v>
      </c>
      <c r="F14" s="247">
        <f>[2]!Table323[[#This Row],[Single Family]]+[2]!Table323[[#This Row],[2-4 Units]]+[2]!Table323[[#This Row],[&gt;4 Units]]</f>
        <v>0</v>
      </c>
      <c r="J14" s="248">
        <v>0</v>
      </c>
      <c r="K14" s="247">
        <f>SUM([2]!Table323[[#This Row],[Single Family ]:[&gt;4 Units ]])</f>
        <v>0</v>
      </c>
      <c r="L14" s="249"/>
      <c r="M14" s="249"/>
      <c r="N14" s="249"/>
      <c r="O14" s="250">
        <f>[2]!Table323[[#This Row],[Incentive Disbursements]]-[2]!Table323[[#This Row],[Incentives]]</f>
        <v>0</v>
      </c>
      <c r="P14" s="158">
        <f>VLOOKUP(Table3236[[#This Row],[Census Tract]],'Population and Diversity Data'!$B$2:$K$823,10,FALSE)</f>
        <v>3</v>
      </c>
      <c r="Q14" s="159" t="str">
        <f>VLOOKUP(Table3236[[#This Row],[Census Tract]],'UI EnergyBurden'!$A$2:$B$184,2,FALSE)</f>
        <v>No</v>
      </c>
    </row>
    <row r="15" spans="1:17" x14ac:dyDescent="0.2">
      <c r="A15" s="38">
        <v>9009160100</v>
      </c>
      <c r="B15" s="38" t="s">
        <v>2991</v>
      </c>
      <c r="C15" s="244" t="s">
        <v>944</v>
      </c>
      <c r="D15" s="245">
        <v>364.3947</v>
      </c>
      <c r="E15" s="246">
        <v>0</v>
      </c>
      <c r="F15" s="247">
        <f>[2]!Table323[[#This Row],[Single Family]]+[2]!Table323[[#This Row],[2-4 Units]]+[2]!Table323[[#This Row],[&gt;4 Units]]</f>
        <v>0</v>
      </c>
      <c r="J15" s="248">
        <v>0</v>
      </c>
      <c r="K15" s="247">
        <f>SUM([2]!Table323[[#This Row],[Single Family ]:[&gt;4 Units ]])</f>
        <v>0</v>
      </c>
      <c r="L15" s="249"/>
      <c r="M15" s="249"/>
      <c r="N15" s="249"/>
      <c r="O15" s="250">
        <f>[2]!Table323[[#This Row],[Incentive Disbursements]]-[2]!Table323[[#This Row],[Incentives]]</f>
        <v>0</v>
      </c>
      <c r="P15" s="158">
        <f>VLOOKUP(Table3236[[#This Row],[Census Tract]],'Population and Diversity Data'!$B$2:$K$823,10,FALSE)</f>
        <v>5</v>
      </c>
      <c r="Q15" s="159" t="str">
        <f>VLOOKUP(Table3236[[#This Row],[Census Tract]],'UI EnergyBurden'!$A$2:$B$184,2,FALSE)</f>
        <v>No</v>
      </c>
    </row>
    <row r="16" spans="1:17" x14ac:dyDescent="0.2">
      <c r="A16" s="38">
        <v>9001060100</v>
      </c>
      <c r="B16" s="38" t="s">
        <v>934</v>
      </c>
      <c r="C16" s="244" t="s">
        <v>944</v>
      </c>
      <c r="D16" s="245">
        <v>0</v>
      </c>
      <c r="E16" s="246">
        <v>0</v>
      </c>
      <c r="F16" s="247">
        <f>[2]!Table323[[#This Row],[Single Family]]+[2]!Table323[[#This Row],[2-4 Units]]+[2]!Table323[[#This Row],[&gt;4 Units]]</f>
        <v>0</v>
      </c>
      <c r="J16" s="248">
        <v>0</v>
      </c>
      <c r="K16" s="247">
        <f>SUM([2]!Table323[[#This Row],[Single Family ]:[&gt;4 Units ]])</f>
        <v>0</v>
      </c>
      <c r="L16" s="249"/>
      <c r="M16" s="249"/>
      <c r="N16" s="249"/>
      <c r="O16" s="250">
        <f>[2]!Table323[[#This Row],[Incentive Disbursements]]-[2]!Table323[[#This Row],[Incentives]]</f>
        <v>0</v>
      </c>
      <c r="P16" s="158">
        <f>VLOOKUP(Table3236[[#This Row],[Census Tract]],'Population and Diversity Data'!$B$2:$K$823,10,FALSE)</f>
        <v>2</v>
      </c>
      <c r="Q16" s="159" t="str">
        <f>VLOOKUP(Table3236[[#This Row],[Census Tract]],'UI EnergyBurden'!$A$2:$B$184,2,FALSE)</f>
        <v>No</v>
      </c>
    </row>
    <row r="17" spans="1:17" x14ac:dyDescent="0.2">
      <c r="A17" s="38">
        <v>9001061500</v>
      </c>
      <c r="B17" s="38" t="s">
        <v>934</v>
      </c>
      <c r="C17" s="244" t="s">
        <v>944</v>
      </c>
      <c r="D17" s="245">
        <v>0</v>
      </c>
      <c r="E17" s="246">
        <v>0</v>
      </c>
      <c r="F17" s="247">
        <f>[2]!Table323[[#This Row],[Single Family]]+[2]!Table323[[#This Row],[2-4 Units]]+[2]!Table323[[#This Row],[&gt;4 Units]]</f>
        <v>0</v>
      </c>
      <c r="J17" s="248">
        <v>0</v>
      </c>
      <c r="K17" s="247">
        <f>SUM([2]!Table323[[#This Row],[Single Family ]:[&gt;4 Units ]])</f>
        <v>0</v>
      </c>
      <c r="L17" s="249"/>
      <c r="M17" s="249"/>
      <c r="N17" s="249"/>
      <c r="O17" s="250">
        <f>[2]!Table323[[#This Row],[Incentive Disbursements]]-[2]!Table323[[#This Row],[Incentives]]</f>
        <v>0</v>
      </c>
      <c r="P17" s="158">
        <f>VLOOKUP(Table3236[[#This Row],[Census Tract]],'Population and Diversity Data'!$B$2:$K$823,10,FALSE)</f>
        <v>4</v>
      </c>
      <c r="Q17" s="159" t="str">
        <f>VLOOKUP(Table3236[[#This Row],[Census Tract]],'UI EnergyBurden'!$A$2:$B$184,2,FALSE)</f>
        <v>No</v>
      </c>
    </row>
    <row r="18" spans="1:17" x14ac:dyDescent="0.2">
      <c r="A18" s="38">
        <v>9001070100</v>
      </c>
      <c r="B18" s="38" t="s">
        <v>934</v>
      </c>
      <c r="C18" s="244" t="s">
        <v>936</v>
      </c>
      <c r="D18" s="245">
        <v>87876.710500000394</v>
      </c>
      <c r="E18" s="246">
        <v>19354.242950006465</v>
      </c>
      <c r="F18" s="247">
        <f>[2]!Table323[[#This Row],[Single Family]]+[2]!Table323[[#This Row],[2-4 Units]]+[2]!Table323[[#This Row],[&gt;4 Units]]</f>
        <v>14</v>
      </c>
      <c r="G18">
        <v>12</v>
      </c>
      <c r="H18">
        <v>2</v>
      </c>
      <c r="I18">
        <v>0</v>
      </c>
      <c r="J18" s="248">
        <v>15213.99560034698</v>
      </c>
      <c r="K18" s="247">
        <f>SUM([2]!Table323[[#This Row],[Single Family ]:[&gt;4 Units ]])</f>
        <v>5</v>
      </c>
      <c r="L18" s="249">
        <v>4</v>
      </c>
      <c r="M18" s="249">
        <v>1</v>
      </c>
      <c r="N18" s="249">
        <v>0</v>
      </c>
      <c r="O18" s="250">
        <f>[2]!Table323[[#This Row],[Incentive Disbursements]]-[2]!Table323[[#This Row],[Incentives]]</f>
        <v>4140.2473496594848</v>
      </c>
      <c r="P18" s="158">
        <f>VLOOKUP(Table3236[[#This Row],[Census Tract]],'Population and Diversity Data'!$B$2:$K$823,10,FALSE)</f>
        <v>4</v>
      </c>
      <c r="Q18" s="159" t="str">
        <f>VLOOKUP(Table3236[[#This Row],[Census Tract]],'UI EnergyBurden'!$A$2:$B$184,2,FALSE)</f>
        <v>No</v>
      </c>
    </row>
    <row r="19" spans="1:17" x14ac:dyDescent="0.2">
      <c r="A19" s="38">
        <v>9001070200</v>
      </c>
      <c r="B19" s="38" t="s">
        <v>934</v>
      </c>
      <c r="C19" s="244" t="s">
        <v>936</v>
      </c>
      <c r="D19" s="245">
        <v>45704.852400000003</v>
      </c>
      <c r="E19" s="246">
        <v>3888.8271258603008</v>
      </c>
      <c r="F19" s="247">
        <f>[2]!Table323[[#This Row],[Single Family]]+[2]!Table323[[#This Row],[2-4 Units]]+[2]!Table323[[#This Row],[&gt;4 Units]]</f>
        <v>7</v>
      </c>
      <c r="G19">
        <v>7</v>
      </c>
      <c r="H19">
        <v>0</v>
      </c>
      <c r="I19">
        <v>0</v>
      </c>
      <c r="J19" s="248">
        <v>1396.6878677964014</v>
      </c>
      <c r="K19" s="247">
        <f>SUM([2]!Table323[[#This Row],[Single Family ]:[&gt;4 Units ]])</f>
        <v>8</v>
      </c>
      <c r="L19" s="249">
        <v>4</v>
      </c>
      <c r="M19" s="249">
        <v>4</v>
      </c>
      <c r="N19" s="249">
        <v>0</v>
      </c>
      <c r="O19" s="250">
        <f>[2]!Table323[[#This Row],[Incentive Disbursements]]-[2]!Table323[[#This Row],[Incentives]]</f>
        <v>2492.1392580638994</v>
      </c>
      <c r="P19" s="158">
        <f>VLOOKUP(Table3236[[#This Row],[Census Tract]],'Population and Diversity Data'!$B$2:$K$823,10,FALSE)</f>
        <v>4</v>
      </c>
      <c r="Q19" s="159" t="str">
        <f>VLOOKUP(Table3236[[#This Row],[Census Tract]],'UI EnergyBurden'!$A$2:$B$184,2,FALSE)</f>
        <v>No</v>
      </c>
    </row>
    <row r="20" spans="1:17" x14ac:dyDescent="0.2">
      <c r="A20" s="38">
        <v>9001070300</v>
      </c>
      <c r="B20" s="38" t="s">
        <v>934</v>
      </c>
      <c r="C20" s="244" t="s">
        <v>936</v>
      </c>
      <c r="D20" s="245">
        <v>16956.723999999998</v>
      </c>
      <c r="E20" s="246">
        <v>353697.67061659927</v>
      </c>
      <c r="F20" s="247">
        <f>[2]!Table323[[#This Row],[Single Family]]+[2]!Table323[[#This Row],[2-4 Units]]+[2]!Table323[[#This Row],[&gt;4 Units]]</f>
        <v>0</v>
      </c>
      <c r="J20" s="248">
        <v>0</v>
      </c>
      <c r="K20" s="247">
        <f>SUM([2]!Table323[[#This Row],[Single Family ]:[&gt;4 Units ]])</f>
        <v>2</v>
      </c>
      <c r="L20" s="249">
        <v>0</v>
      </c>
      <c r="M20" s="249">
        <v>1</v>
      </c>
      <c r="N20" s="249">
        <v>1</v>
      </c>
      <c r="O20" s="250">
        <f>[2]!Table323[[#This Row],[Incentive Disbursements]]-[2]!Table323[[#This Row],[Incentives]]</f>
        <v>353697.67061659927</v>
      </c>
      <c r="P20" s="158">
        <f>VLOOKUP(Table3236[[#This Row],[Census Tract]],'Population and Diversity Data'!$B$2:$K$823,10,FALSE)</f>
        <v>4</v>
      </c>
      <c r="Q20" s="159" t="str">
        <f>VLOOKUP(Table3236[[#This Row],[Census Tract]],'UI EnergyBurden'!$A$2:$B$184,2,FALSE)</f>
        <v>Yes</v>
      </c>
    </row>
    <row r="21" spans="1:17" x14ac:dyDescent="0.2">
      <c r="A21" s="38">
        <v>9001070400</v>
      </c>
      <c r="B21" s="38" t="s">
        <v>934</v>
      </c>
      <c r="C21" s="244" t="s">
        <v>936</v>
      </c>
      <c r="D21" s="245">
        <v>17866.1715</v>
      </c>
      <c r="E21" s="246">
        <v>1797.0332061092386</v>
      </c>
      <c r="F21" s="247">
        <f>[2]!Table323[[#This Row],[Single Family]]+[2]!Table323[[#This Row],[2-4 Units]]+[2]!Table323[[#This Row],[&gt;4 Units]]</f>
        <v>3</v>
      </c>
      <c r="G21">
        <v>3</v>
      </c>
      <c r="H21">
        <v>0</v>
      </c>
      <c r="I21">
        <v>0</v>
      </c>
      <c r="J21" s="248">
        <v>663.70470631353817</v>
      </c>
      <c r="K21" s="247">
        <f>SUM([2]!Table323[[#This Row],[Single Family ]:[&gt;4 Units ]])</f>
        <v>6</v>
      </c>
      <c r="L21" s="249">
        <v>2</v>
      </c>
      <c r="M21" s="249">
        <v>4</v>
      </c>
      <c r="N21" s="249">
        <v>0</v>
      </c>
      <c r="O21" s="250">
        <f>[2]!Table323[[#This Row],[Incentive Disbursements]]-[2]!Table323[[#This Row],[Incentives]]</f>
        <v>1133.3284997957003</v>
      </c>
      <c r="P21" s="158">
        <f>VLOOKUP(Table3236[[#This Row],[Census Tract]],'Population and Diversity Data'!$B$2:$K$823,10,FALSE)</f>
        <v>5</v>
      </c>
      <c r="Q21" s="159" t="str">
        <f>VLOOKUP(Table3236[[#This Row],[Census Tract]],'UI EnergyBurden'!$A$2:$B$184,2,FALSE)</f>
        <v>Yes</v>
      </c>
    </row>
    <row r="22" spans="1:17" x14ac:dyDescent="0.2">
      <c r="A22" s="38">
        <v>9001070500</v>
      </c>
      <c r="B22" s="38" t="s">
        <v>934</v>
      </c>
      <c r="C22" s="244" t="s">
        <v>936</v>
      </c>
      <c r="D22" s="245">
        <v>23101.568599999999</v>
      </c>
      <c r="E22" s="246">
        <v>627.93963837653951</v>
      </c>
      <c r="F22" s="247">
        <f>[2]!Table323[[#This Row],[Single Family]]+[2]!Table323[[#This Row],[2-4 Units]]+[2]!Table323[[#This Row],[&gt;4 Units]]</f>
        <v>0</v>
      </c>
      <c r="J22" s="248">
        <v>130.91166887627648</v>
      </c>
      <c r="K22" s="247">
        <f>SUM([2]!Table323[[#This Row],[Single Family ]:[&gt;4 Units ]])</f>
        <v>7</v>
      </c>
      <c r="L22" s="249">
        <v>0</v>
      </c>
      <c r="M22" s="249">
        <v>7</v>
      </c>
      <c r="N22" s="249">
        <v>0</v>
      </c>
      <c r="O22" s="250">
        <f>[2]!Table323[[#This Row],[Incentive Disbursements]]-[2]!Table323[[#This Row],[Incentives]]</f>
        <v>497.027969500263</v>
      </c>
      <c r="P22" s="158">
        <f>VLOOKUP(Table3236[[#This Row],[Census Tract]],'Population and Diversity Data'!$B$2:$K$823,10,FALSE)</f>
        <v>5</v>
      </c>
      <c r="Q22" s="159" t="str">
        <f>VLOOKUP(Table3236[[#This Row],[Census Tract]],'UI EnergyBurden'!$A$2:$B$184,2,FALSE)</f>
        <v>Yes</v>
      </c>
    </row>
    <row r="23" spans="1:17" x14ac:dyDescent="0.2">
      <c r="A23" s="38">
        <v>9001070600</v>
      </c>
      <c r="B23" s="38" t="s">
        <v>934</v>
      </c>
      <c r="C23" s="244" t="s">
        <v>936</v>
      </c>
      <c r="D23" s="245">
        <v>35967.757299999997</v>
      </c>
      <c r="E23" s="246">
        <v>168919.14897179071</v>
      </c>
      <c r="F23" s="247">
        <f>[2]!Table323[[#This Row],[Single Family]]+[2]!Table323[[#This Row],[2-4 Units]]+[2]!Table323[[#This Row],[&gt;4 Units]]</f>
        <v>0</v>
      </c>
      <c r="J23" s="248">
        <v>0</v>
      </c>
      <c r="K23" s="247">
        <f>SUM([2]!Table323[[#This Row],[Single Family ]:[&gt;4 Units ]])</f>
        <v>4</v>
      </c>
      <c r="L23" s="249">
        <v>1</v>
      </c>
      <c r="M23" s="249">
        <v>1</v>
      </c>
      <c r="N23" s="249">
        <v>2</v>
      </c>
      <c r="O23" s="250">
        <f>[2]!Table323[[#This Row],[Incentive Disbursements]]-[2]!Table323[[#This Row],[Incentives]]</f>
        <v>168919.14897179071</v>
      </c>
      <c r="P23" s="158">
        <f>VLOOKUP(Table3236[[#This Row],[Census Tract]],'Population and Diversity Data'!$B$2:$K$823,10,FALSE)</f>
        <v>4</v>
      </c>
      <c r="Q23" s="159" t="str">
        <f>VLOOKUP(Table3236[[#This Row],[Census Tract]],'UI EnergyBurden'!$A$2:$B$184,2,FALSE)</f>
        <v>No</v>
      </c>
    </row>
    <row r="24" spans="1:17" x14ac:dyDescent="0.2">
      <c r="A24" s="38">
        <v>9001070900</v>
      </c>
      <c r="B24" s="38" t="s">
        <v>934</v>
      </c>
      <c r="C24" s="244" t="s">
        <v>936</v>
      </c>
      <c r="D24" s="245">
        <v>29174.958600000002</v>
      </c>
      <c r="E24" s="246">
        <v>7278.7062444101557</v>
      </c>
      <c r="F24" s="247">
        <f>[2]!Table323[[#This Row],[Single Family]]+[2]!Table323[[#This Row],[2-4 Units]]+[2]!Table323[[#This Row],[&gt;4 Units]]</f>
        <v>1</v>
      </c>
      <c r="G24">
        <v>0</v>
      </c>
      <c r="H24">
        <v>1</v>
      </c>
      <c r="I24">
        <v>0</v>
      </c>
      <c r="J24" s="248">
        <v>2273.6738650431698</v>
      </c>
      <c r="K24" s="247">
        <f>SUM([2]!Table323[[#This Row],[Single Family ]:[&gt;4 Units ]])</f>
        <v>12</v>
      </c>
      <c r="L24" s="249">
        <v>4</v>
      </c>
      <c r="M24" s="249">
        <v>8</v>
      </c>
      <c r="N24" s="249">
        <v>0</v>
      </c>
      <c r="O24" s="250">
        <f>[2]!Table323[[#This Row],[Incentive Disbursements]]-[2]!Table323[[#This Row],[Incentives]]</f>
        <v>5005.0323793669859</v>
      </c>
      <c r="P24" s="158">
        <f>VLOOKUP(Table3236[[#This Row],[Census Tract]],'Population and Diversity Data'!$B$2:$K$823,10,FALSE)</f>
        <v>5</v>
      </c>
      <c r="Q24" s="159" t="str">
        <f>VLOOKUP(Table3236[[#This Row],[Census Tract]],'UI EnergyBurden'!$A$2:$B$184,2,FALSE)</f>
        <v>Yes</v>
      </c>
    </row>
    <row r="25" spans="1:17" x14ac:dyDescent="0.2">
      <c r="A25" s="38">
        <v>9001071000</v>
      </c>
      <c r="B25" s="38" t="s">
        <v>934</v>
      </c>
      <c r="C25" s="244" t="s">
        <v>936</v>
      </c>
      <c r="D25" s="245">
        <v>37249.348899999997</v>
      </c>
      <c r="E25" s="246">
        <v>25099.257901418896</v>
      </c>
      <c r="F25" s="247">
        <f>[2]!Table323[[#This Row],[Single Family]]+[2]!Table323[[#This Row],[2-4 Units]]+[2]!Table323[[#This Row],[&gt;4 Units]]</f>
        <v>1</v>
      </c>
      <c r="G25">
        <v>1</v>
      </c>
      <c r="H25">
        <v>0</v>
      </c>
      <c r="I25">
        <v>0</v>
      </c>
      <c r="J25" s="248">
        <v>206.87534660288378</v>
      </c>
      <c r="K25" s="247">
        <f>SUM([2]!Table323[[#This Row],[Single Family ]:[&gt;4 Units ]])</f>
        <v>17</v>
      </c>
      <c r="L25" s="249">
        <v>2</v>
      </c>
      <c r="M25" s="249">
        <v>14</v>
      </c>
      <c r="N25" s="249">
        <v>1</v>
      </c>
      <c r="O25" s="250">
        <f>[2]!Table323[[#This Row],[Incentive Disbursements]]-[2]!Table323[[#This Row],[Incentives]]</f>
        <v>24892.382554816013</v>
      </c>
      <c r="P25" s="158">
        <f>VLOOKUP(Table3236[[#This Row],[Census Tract]],'Population and Diversity Data'!$B$2:$K$823,10,FALSE)</f>
        <v>5</v>
      </c>
      <c r="Q25" s="159" t="str">
        <f>VLOOKUP(Table3236[[#This Row],[Census Tract]],'UI EnergyBurden'!$A$2:$B$184,2,FALSE)</f>
        <v>Yes</v>
      </c>
    </row>
    <row r="26" spans="1:17" x14ac:dyDescent="0.2">
      <c r="A26" s="38">
        <v>9001071100</v>
      </c>
      <c r="B26" s="38" t="s">
        <v>934</v>
      </c>
      <c r="C26" s="244" t="s">
        <v>944</v>
      </c>
      <c r="D26" s="245">
        <v>51783.790099999998</v>
      </c>
      <c r="E26" s="246">
        <v>37395.057853621838</v>
      </c>
      <c r="F26" s="247">
        <f>[2]!Table323[[#This Row],[Single Family]]+[2]!Table323[[#This Row],[2-4 Units]]+[2]!Table323[[#This Row],[&gt;4 Units]]</f>
        <v>5</v>
      </c>
      <c r="G26">
        <v>4</v>
      </c>
      <c r="H26">
        <v>1</v>
      </c>
      <c r="I26">
        <v>0</v>
      </c>
      <c r="J26" s="248">
        <v>2175.9613953939165</v>
      </c>
      <c r="K26" s="247">
        <f>SUM([2]!Table323[[#This Row],[Single Family ]:[&gt;4 Units ]])</f>
        <v>19</v>
      </c>
      <c r="L26" s="249">
        <v>9</v>
      </c>
      <c r="M26" s="249">
        <v>10</v>
      </c>
      <c r="N26" s="249">
        <v>0</v>
      </c>
      <c r="O26" s="250">
        <f>[2]!Table323[[#This Row],[Incentive Disbursements]]-[2]!Table323[[#This Row],[Incentives]]</f>
        <v>35219.096458227919</v>
      </c>
      <c r="P26" s="158">
        <f>VLOOKUP(Table3236[[#This Row],[Census Tract]],'Population and Diversity Data'!$B$2:$K$823,10,FALSE)</f>
        <v>5</v>
      </c>
      <c r="Q26" s="159" t="str">
        <f>VLOOKUP(Table3236[[#This Row],[Census Tract]],'UI EnergyBurden'!$A$2:$B$184,2,FALSE)</f>
        <v>Yes</v>
      </c>
    </row>
    <row r="27" spans="1:17" x14ac:dyDescent="0.2">
      <c r="A27" s="38">
        <v>9001071200</v>
      </c>
      <c r="B27" s="38" t="s">
        <v>934</v>
      </c>
      <c r="C27" s="244" t="s">
        <v>936</v>
      </c>
      <c r="D27" s="245">
        <v>45169.658199999998</v>
      </c>
      <c r="E27" s="246">
        <v>8018.5317224529517</v>
      </c>
      <c r="F27" s="247">
        <f>[2]!Table323[[#This Row],[Single Family]]+[2]!Table323[[#This Row],[2-4 Units]]+[2]!Table323[[#This Row],[&gt;4 Units]]</f>
        <v>2</v>
      </c>
      <c r="G27">
        <v>2</v>
      </c>
      <c r="H27">
        <v>0</v>
      </c>
      <c r="I27">
        <v>0</v>
      </c>
      <c r="J27" s="248">
        <v>1665.789894338476</v>
      </c>
      <c r="K27" s="247">
        <f>SUM([2]!Table323[[#This Row],[Single Family ]:[&gt;4 Units ]])</f>
        <v>21</v>
      </c>
      <c r="L27" s="249">
        <v>8</v>
      </c>
      <c r="M27" s="249">
        <v>13</v>
      </c>
      <c r="N27" s="249">
        <v>0</v>
      </c>
      <c r="O27" s="250">
        <f>[2]!Table323[[#This Row],[Incentive Disbursements]]-[2]!Table323[[#This Row],[Incentives]]</f>
        <v>6352.7418281144755</v>
      </c>
      <c r="P27" s="158">
        <f>VLOOKUP(Table3236[[#This Row],[Census Tract]],'Population and Diversity Data'!$B$2:$K$823,10,FALSE)</f>
        <v>5</v>
      </c>
      <c r="Q27" s="159" t="str">
        <f>VLOOKUP(Table3236[[#This Row],[Census Tract]],'UI EnergyBurden'!$A$2:$B$184,2,FALSE)</f>
        <v>Yes</v>
      </c>
    </row>
    <row r="28" spans="1:17" x14ac:dyDescent="0.2">
      <c r="A28" s="38">
        <v>9001071300</v>
      </c>
      <c r="B28" s="38" t="s">
        <v>934</v>
      </c>
      <c r="C28" s="244" t="s">
        <v>936</v>
      </c>
      <c r="D28" s="245">
        <v>34389.4211</v>
      </c>
      <c r="E28" s="246">
        <v>2744.4671361006267</v>
      </c>
      <c r="F28" s="247">
        <f>[2]!Table323[[#This Row],[Single Family]]+[2]!Table323[[#This Row],[2-4 Units]]+[2]!Table323[[#This Row],[&gt;4 Units]]</f>
        <v>1</v>
      </c>
      <c r="G28">
        <v>0</v>
      </c>
      <c r="H28">
        <v>1</v>
      </c>
      <c r="I28">
        <v>0</v>
      </c>
      <c r="J28" s="248">
        <v>20.998231687754746</v>
      </c>
      <c r="K28" s="247">
        <f>SUM([2]!Table323[[#This Row],[Single Family ]:[&gt;4 Units ]])</f>
        <v>12</v>
      </c>
      <c r="L28" s="249">
        <v>2</v>
      </c>
      <c r="M28" s="249">
        <v>10</v>
      </c>
      <c r="N28" s="249">
        <v>0</v>
      </c>
      <c r="O28" s="250">
        <f>[2]!Table323[[#This Row],[Incentive Disbursements]]-[2]!Table323[[#This Row],[Incentives]]</f>
        <v>2723.4689044128718</v>
      </c>
      <c r="P28" s="158">
        <f>VLOOKUP(Table3236[[#This Row],[Census Tract]],'Population and Diversity Data'!$B$2:$K$823,10,FALSE)</f>
        <v>5</v>
      </c>
      <c r="Q28" s="159" t="str">
        <f>VLOOKUP(Table3236[[#This Row],[Census Tract]],'UI EnergyBurden'!$A$2:$B$184,2,FALSE)</f>
        <v>Yes</v>
      </c>
    </row>
    <row r="29" spans="1:17" x14ac:dyDescent="0.2">
      <c r="A29" s="38">
        <v>9001071400</v>
      </c>
      <c r="B29" s="38" t="s">
        <v>934</v>
      </c>
      <c r="C29" s="244" t="s">
        <v>944</v>
      </c>
      <c r="D29" s="245">
        <v>38432.275500000003</v>
      </c>
      <c r="E29" s="246">
        <v>5807.5209095785594</v>
      </c>
      <c r="F29" s="247">
        <f>[2]!Table323[[#This Row],[Single Family]]+[2]!Table323[[#This Row],[2-4 Units]]+[2]!Table323[[#This Row],[&gt;4 Units]]</f>
        <v>2</v>
      </c>
      <c r="G29">
        <v>1</v>
      </c>
      <c r="H29">
        <v>1</v>
      </c>
      <c r="I29">
        <v>0</v>
      </c>
      <c r="J29" s="248">
        <v>1618.1380468675111</v>
      </c>
      <c r="K29" s="247">
        <f>SUM([2]!Table323[[#This Row],[Single Family ]:[&gt;4 Units ]])</f>
        <v>15</v>
      </c>
      <c r="L29" s="249">
        <v>2</v>
      </c>
      <c r="M29" s="249">
        <v>13</v>
      </c>
      <c r="N29" s="249">
        <v>0</v>
      </c>
      <c r="O29" s="250">
        <f>[2]!Table323[[#This Row],[Incentive Disbursements]]-[2]!Table323[[#This Row],[Incentives]]</f>
        <v>4189.3828627110488</v>
      </c>
      <c r="P29" s="158">
        <f>VLOOKUP(Table3236[[#This Row],[Census Tract]],'Population and Diversity Data'!$B$2:$K$823,10,FALSE)</f>
        <v>5</v>
      </c>
      <c r="Q29" s="159" t="str">
        <f>VLOOKUP(Table3236[[#This Row],[Census Tract]],'UI EnergyBurden'!$A$2:$B$184,2,FALSE)</f>
        <v>Yes</v>
      </c>
    </row>
    <row r="30" spans="1:17" x14ac:dyDescent="0.2">
      <c r="A30" s="38">
        <v>9001071600</v>
      </c>
      <c r="B30" s="38" t="s">
        <v>934</v>
      </c>
      <c r="C30" s="244" t="s">
        <v>936</v>
      </c>
      <c r="D30" s="245">
        <v>24529.813099999999</v>
      </c>
      <c r="E30" s="246">
        <v>2322.983926986567</v>
      </c>
      <c r="F30" s="247">
        <f>[2]!Table323[[#This Row],[Single Family]]+[2]!Table323[[#This Row],[2-4 Units]]+[2]!Table323[[#This Row],[&gt;4 Units]]</f>
        <v>0</v>
      </c>
      <c r="J30" s="248">
        <v>0</v>
      </c>
      <c r="K30" s="247">
        <f>SUM([2]!Table323[[#This Row],[Single Family ]:[&gt;4 Units ]])</f>
        <v>8</v>
      </c>
      <c r="L30" s="249">
        <v>1</v>
      </c>
      <c r="M30" s="249">
        <v>7</v>
      </c>
      <c r="N30" s="249">
        <v>0</v>
      </c>
      <c r="O30" s="250">
        <f>[2]!Table323[[#This Row],[Incentive Disbursements]]-[2]!Table323[[#This Row],[Incentives]]</f>
        <v>2322.983926986567</v>
      </c>
      <c r="P30" s="158">
        <f>VLOOKUP(Table3236[[#This Row],[Census Tract]],'Population and Diversity Data'!$B$2:$K$823,10,FALSE)</f>
        <v>4</v>
      </c>
      <c r="Q30" s="159" t="str">
        <f>VLOOKUP(Table3236[[#This Row],[Census Tract]],'UI EnergyBurden'!$A$2:$B$184,2,FALSE)</f>
        <v>Yes</v>
      </c>
    </row>
    <row r="31" spans="1:17" x14ac:dyDescent="0.2">
      <c r="A31" s="38">
        <v>9001071900</v>
      </c>
      <c r="B31" s="38" t="s">
        <v>934</v>
      </c>
      <c r="C31" s="244" t="s">
        <v>936</v>
      </c>
      <c r="D31" s="245">
        <v>46534.635900000103</v>
      </c>
      <c r="E31" s="246">
        <v>5917.6088956589165</v>
      </c>
      <c r="F31" s="247">
        <f>[2]!Table323[[#This Row],[Single Family]]+[2]!Table323[[#This Row],[2-4 Units]]+[2]!Table323[[#This Row],[&gt;4 Units]]</f>
        <v>2</v>
      </c>
      <c r="G31">
        <v>2</v>
      </c>
      <c r="H31">
        <v>0</v>
      </c>
      <c r="I31">
        <v>0</v>
      </c>
      <c r="J31" s="248">
        <v>705.70116968904756</v>
      </c>
      <c r="K31" s="247">
        <f>SUM([2]!Table323[[#This Row],[Single Family ]:[&gt;4 Units ]])</f>
        <v>10</v>
      </c>
      <c r="L31" s="249">
        <v>3</v>
      </c>
      <c r="M31" s="249">
        <v>6</v>
      </c>
      <c r="N31" s="249">
        <v>1</v>
      </c>
      <c r="O31" s="250">
        <f>[2]!Table323[[#This Row],[Incentive Disbursements]]-[2]!Table323[[#This Row],[Incentives]]</f>
        <v>5211.9077259698688</v>
      </c>
      <c r="P31" s="158">
        <f>VLOOKUP(Table3236[[#This Row],[Census Tract]],'Population and Diversity Data'!$B$2:$K$823,10,FALSE)</f>
        <v>5</v>
      </c>
      <c r="Q31" s="159" t="str">
        <f>VLOOKUP(Table3236[[#This Row],[Census Tract]],'UI EnergyBurden'!$A$2:$B$184,2,FALSE)</f>
        <v>Yes</v>
      </c>
    </row>
    <row r="32" spans="1:17" x14ac:dyDescent="0.2">
      <c r="A32" s="38">
        <v>9001072000</v>
      </c>
      <c r="B32" s="38" t="s">
        <v>934</v>
      </c>
      <c r="C32" s="244" t="s">
        <v>936</v>
      </c>
      <c r="D32" s="245">
        <v>43927.019899999999</v>
      </c>
      <c r="E32" s="246">
        <v>33220.616376051868</v>
      </c>
      <c r="F32" s="247">
        <f>[2]!Table323[[#This Row],[Single Family]]+[2]!Table323[[#This Row],[2-4 Units]]+[2]!Table323[[#This Row],[&gt;4 Units]]</f>
        <v>6</v>
      </c>
      <c r="G32">
        <v>5</v>
      </c>
      <c r="H32">
        <v>1</v>
      </c>
      <c r="I32">
        <v>0</v>
      </c>
      <c r="J32" s="248">
        <v>3852.3464074667791</v>
      </c>
      <c r="K32" s="247">
        <f>SUM([2]!Table323[[#This Row],[Single Family ]:[&gt;4 Units ]])</f>
        <v>21</v>
      </c>
      <c r="L32" s="249">
        <v>14</v>
      </c>
      <c r="M32" s="249">
        <v>6</v>
      </c>
      <c r="N32" s="249">
        <v>1</v>
      </c>
      <c r="O32" s="250">
        <f>[2]!Table323[[#This Row],[Incentive Disbursements]]-[2]!Table323[[#This Row],[Incentives]]</f>
        <v>29368.269968585089</v>
      </c>
      <c r="P32" s="158">
        <f>VLOOKUP(Table3236[[#This Row],[Census Tract]],'Population and Diversity Data'!$B$2:$K$823,10,FALSE)</f>
        <v>5</v>
      </c>
      <c r="Q32" s="159" t="str">
        <f>VLOOKUP(Table3236[[#This Row],[Census Tract]],'UI EnergyBurden'!$A$2:$B$184,2,FALSE)</f>
        <v>No</v>
      </c>
    </row>
    <row r="33" spans="1:17" x14ac:dyDescent="0.2">
      <c r="A33" s="38">
        <v>9001072100</v>
      </c>
      <c r="B33" s="38" t="s">
        <v>934</v>
      </c>
      <c r="C33" s="244" t="s">
        <v>944</v>
      </c>
      <c r="D33" s="245">
        <v>119833.8798</v>
      </c>
      <c r="E33" s="246">
        <v>77884.535916584369</v>
      </c>
      <c r="F33" s="247">
        <f>[2]!Table323[[#This Row],[Single Family]]+[2]!Table323[[#This Row],[2-4 Units]]+[2]!Table323[[#This Row],[&gt;4 Units]]</f>
        <v>17</v>
      </c>
      <c r="G33">
        <v>16</v>
      </c>
      <c r="H33">
        <v>1</v>
      </c>
      <c r="I33">
        <v>0</v>
      </c>
      <c r="J33" s="248">
        <v>15859.73922569069</v>
      </c>
      <c r="K33" s="247">
        <f>SUM([2]!Table323[[#This Row],[Single Family ]:[&gt;4 Units ]])</f>
        <v>35</v>
      </c>
      <c r="L33" s="249">
        <v>21</v>
      </c>
      <c r="M33" s="249">
        <v>14</v>
      </c>
      <c r="N33" s="249">
        <v>0</v>
      </c>
      <c r="O33" s="250">
        <f>[2]!Table323[[#This Row],[Incentive Disbursements]]-[2]!Table323[[#This Row],[Incentives]]</f>
        <v>62024.79669089368</v>
      </c>
      <c r="P33" s="158">
        <f>VLOOKUP(Table3236[[#This Row],[Census Tract]],'Population and Diversity Data'!$B$2:$K$823,10,FALSE)</f>
        <v>5</v>
      </c>
      <c r="Q33" s="159" t="str">
        <f>VLOOKUP(Table3236[[#This Row],[Census Tract]],'UI EnergyBurden'!$A$2:$B$184,2,FALSE)</f>
        <v>No</v>
      </c>
    </row>
    <row r="34" spans="1:17" x14ac:dyDescent="0.2">
      <c r="A34" s="38">
        <v>9001072200</v>
      </c>
      <c r="B34" s="38" t="s">
        <v>934</v>
      </c>
      <c r="C34" s="244" t="s">
        <v>936</v>
      </c>
      <c r="D34" s="245">
        <v>41166.362699999998</v>
      </c>
      <c r="E34" s="246">
        <v>40282.271073465155</v>
      </c>
      <c r="F34" s="247">
        <f>[2]!Table323[[#This Row],[Single Family]]+[2]!Table323[[#This Row],[2-4 Units]]+[2]!Table323[[#This Row],[&gt;4 Units]]</f>
        <v>19</v>
      </c>
      <c r="G34">
        <v>17</v>
      </c>
      <c r="H34">
        <v>2</v>
      </c>
      <c r="I34">
        <v>0</v>
      </c>
      <c r="J34" s="248">
        <v>19171.594989590285</v>
      </c>
      <c r="K34" s="247">
        <f>SUM([2]!Table323[[#This Row],[Single Family ]:[&gt;4 Units ]])</f>
        <v>10</v>
      </c>
      <c r="L34" s="249">
        <v>6</v>
      </c>
      <c r="M34" s="249">
        <v>4</v>
      </c>
      <c r="N34" s="249">
        <v>0</v>
      </c>
      <c r="O34" s="250">
        <f>[2]!Table323[[#This Row],[Incentive Disbursements]]-[2]!Table323[[#This Row],[Incentives]]</f>
        <v>21110.676083874871</v>
      </c>
      <c r="P34" s="158">
        <f>VLOOKUP(Table3236[[#This Row],[Census Tract]],'Population and Diversity Data'!$B$2:$K$823,10,FALSE)</f>
        <v>4</v>
      </c>
      <c r="Q34" s="159" t="str">
        <f>VLOOKUP(Table3236[[#This Row],[Census Tract]],'UI EnergyBurden'!$A$2:$B$184,2,FALSE)</f>
        <v>No</v>
      </c>
    </row>
    <row r="35" spans="1:17" x14ac:dyDescent="0.2">
      <c r="A35" s="38">
        <v>9001072300</v>
      </c>
      <c r="B35" s="38" t="s">
        <v>934</v>
      </c>
      <c r="C35" s="244" t="s">
        <v>944</v>
      </c>
      <c r="D35" s="245">
        <v>62912.309300000103</v>
      </c>
      <c r="E35" s="246">
        <v>26888.366587838827</v>
      </c>
      <c r="F35" s="247">
        <f>[2]!Table323[[#This Row],[Single Family]]+[2]!Table323[[#This Row],[2-4 Units]]+[2]!Table323[[#This Row],[&gt;4 Units]]</f>
        <v>14</v>
      </c>
      <c r="G35">
        <v>12</v>
      </c>
      <c r="H35">
        <v>2</v>
      </c>
      <c r="I35">
        <v>0</v>
      </c>
      <c r="J35" s="248">
        <v>13558.573910183504</v>
      </c>
      <c r="K35" s="247">
        <f>SUM([2]!Table323[[#This Row],[Single Family ]:[&gt;4 Units ]])</f>
        <v>11</v>
      </c>
      <c r="L35" s="249">
        <v>7</v>
      </c>
      <c r="M35" s="249">
        <v>4</v>
      </c>
      <c r="N35" s="249">
        <v>0</v>
      </c>
      <c r="O35" s="250">
        <f>[2]!Table323[[#This Row],[Incentive Disbursements]]-[2]!Table323[[#This Row],[Incentives]]</f>
        <v>13329.792677655323</v>
      </c>
      <c r="P35" s="158">
        <f>VLOOKUP(Table3236[[#This Row],[Census Tract]],'Population and Diversity Data'!$B$2:$K$823,10,FALSE)</f>
        <v>5</v>
      </c>
      <c r="Q35" s="159" t="str">
        <f>VLOOKUP(Table3236[[#This Row],[Census Tract]],'UI EnergyBurden'!$A$2:$B$184,2,FALSE)</f>
        <v>No</v>
      </c>
    </row>
    <row r="36" spans="1:17" x14ac:dyDescent="0.2">
      <c r="A36" s="38">
        <v>9001072400</v>
      </c>
      <c r="B36" s="38" t="s">
        <v>934</v>
      </c>
      <c r="C36" s="244" t="s">
        <v>944</v>
      </c>
      <c r="D36" s="245">
        <v>38727.082199999997</v>
      </c>
      <c r="E36" s="246">
        <v>51045.79357869424</v>
      </c>
      <c r="F36" s="247">
        <f>[2]!Table323[[#This Row],[Single Family]]+[2]!Table323[[#This Row],[2-4 Units]]+[2]!Table323[[#This Row],[&gt;4 Units]]</f>
        <v>12</v>
      </c>
      <c r="G36">
        <v>11</v>
      </c>
      <c r="H36">
        <v>1</v>
      </c>
      <c r="I36">
        <v>0</v>
      </c>
      <c r="J36" s="248">
        <v>9566.5709343595117</v>
      </c>
      <c r="K36" s="247">
        <f>SUM([2]!Table323[[#This Row],[Single Family ]:[&gt;4 Units ]])</f>
        <v>8</v>
      </c>
      <c r="L36" s="249">
        <v>8</v>
      </c>
      <c r="M36" s="249">
        <v>0</v>
      </c>
      <c r="N36" s="249">
        <v>0</v>
      </c>
      <c r="O36" s="250">
        <f>[2]!Table323[[#This Row],[Incentive Disbursements]]-[2]!Table323[[#This Row],[Incentives]]</f>
        <v>41479.222644334732</v>
      </c>
      <c r="P36" s="158">
        <f>VLOOKUP(Table3236[[#This Row],[Census Tract]],'Population and Diversity Data'!$B$2:$K$823,10,FALSE)</f>
        <v>5</v>
      </c>
      <c r="Q36" s="159" t="str">
        <f>VLOOKUP(Table3236[[#This Row],[Census Tract]],'UI EnergyBurden'!$A$2:$B$184,2,FALSE)</f>
        <v>No</v>
      </c>
    </row>
    <row r="37" spans="1:17" x14ac:dyDescent="0.2">
      <c r="A37" s="38">
        <v>9001072500</v>
      </c>
      <c r="B37" s="38" t="s">
        <v>934</v>
      </c>
      <c r="C37" s="244" t="s">
        <v>944</v>
      </c>
      <c r="D37" s="245">
        <v>78001.035200000304</v>
      </c>
      <c r="E37" s="246">
        <v>32669.687708752946</v>
      </c>
      <c r="F37" s="247">
        <f>[2]!Table323[[#This Row],[Single Family]]+[2]!Table323[[#This Row],[2-4 Units]]+[2]!Table323[[#This Row],[&gt;4 Units]]</f>
        <v>31</v>
      </c>
      <c r="G37">
        <v>30</v>
      </c>
      <c r="H37">
        <v>1</v>
      </c>
      <c r="I37">
        <v>0</v>
      </c>
      <c r="J37" s="248">
        <v>23172.8839664599</v>
      </c>
      <c r="K37" s="247">
        <f>SUM([2]!Table323[[#This Row],[Single Family ]:[&gt;4 Units ]])</f>
        <v>14</v>
      </c>
      <c r="L37" s="249">
        <v>12</v>
      </c>
      <c r="M37" s="249">
        <v>2</v>
      </c>
      <c r="N37" s="249">
        <v>0</v>
      </c>
      <c r="O37" s="250">
        <f>[2]!Table323[[#This Row],[Incentive Disbursements]]-[2]!Table323[[#This Row],[Incentives]]</f>
        <v>9496.8037422930465</v>
      </c>
      <c r="P37" s="158">
        <f>VLOOKUP(Table3236[[#This Row],[Census Tract]],'Population and Diversity Data'!$B$2:$K$823,10,FALSE)</f>
        <v>4</v>
      </c>
      <c r="Q37" s="159" t="str">
        <f>VLOOKUP(Table3236[[#This Row],[Census Tract]],'UI EnergyBurden'!$A$2:$B$184,2,FALSE)</f>
        <v>No</v>
      </c>
    </row>
    <row r="38" spans="1:17" x14ac:dyDescent="0.2">
      <c r="A38" s="38">
        <v>9001072600</v>
      </c>
      <c r="B38" s="38" t="s">
        <v>934</v>
      </c>
      <c r="C38" s="244" t="s">
        <v>944</v>
      </c>
      <c r="D38" s="245">
        <v>118351.0931</v>
      </c>
      <c r="E38" s="246">
        <v>75183.601274107394</v>
      </c>
      <c r="F38" s="247">
        <f>[2]!Table323[[#This Row],[Single Family]]+[2]!Table323[[#This Row],[2-4 Units]]+[2]!Table323[[#This Row],[&gt;4 Units]]</f>
        <v>21</v>
      </c>
      <c r="G38">
        <v>20</v>
      </c>
      <c r="H38">
        <v>1</v>
      </c>
      <c r="I38">
        <v>0</v>
      </c>
      <c r="J38" s="248">
        <v>29577.309721446731</v>
      </c>
      <c r="K38" s="247">
        <f>SUM([2]!Table323[[#This Row],[Single Family ]:[&gt;4 Units ]])</f>
        <v>18</v>
      </c>
      <c r="L38" s="249">
        <v>14</v>
      </c>
      <c r="M38" s="249">
        <v>4</v>
      </c>
      <c r="N38" s="249">
        <v>0</v>
      </c>
      <c r="O38" s="250">
        <f>[2]!Table323[[#This Row],[Incentive Disbursements]]-[2]!Table323[[#This Row],[Incentives]]</f>
        <v>45606.291552660667</v>
      </c>
      <c r="P38" s="158">
        <f>VLOOKUP(Table3236[[#This Row],[Census Tract]],'Population and Diversity Data'!$B$2:$K$823,10,FALSE)</f>
        <v>3</v>
      </c>
      <c r="Q38" s="159" t="str">
        <f>VLOOKUP(Table3236[[#This Row],[Census Tract]],'UI EnergyBurden'!$A$2:$B$184,2,FALSE)</f>
        <v>No</v>
      </c>
    </row>
    <row r="39" spans="1:17" x14ac:dyDescent="0.2">
      <c r="A39" s="38">
        <v>9001072700</v>
      </c>
      <c r="B39" s="38" t="s">
        <v>934</v>
      </c>
      <c r="C39" s="244" t="s">
        <v>944</v>
      </c>
      <c r="D39" s="245">
        <v>59967.633300000001</v>
      </c>
      <c r="E39" s="246">
        <v>82640.050655073166</v>
      </c>
      <c r="F39" s="247">
        <f>[2]!Table323[[#This Row],[Single Family]]+[2]!Table323[[#This Row],[2-4 Units]]+[2]!Table323[[#This Row],[&gt;4 Units]]</f>
        <v>15</v>
      </c>
      <c r="G39">
        <v>13</v>
      </c>
      <c r="H39">
        <v>2</v>
      </c>
      <c r="I39">
        <v>0</v>
      </c>
      <c r="J39" s="248">
        <v>23591.050746629091</v>
      </c>
      <c r="K39" s="247">
        <f>SUM([2]!Table323[[#This Row],[Single Family ]:[&gt;4 Units ]])</f>
        <v>22</v>
      </c>
      <c r="L39" s="249">
        <v>19</v>
      </c>
      <c r="M39" s="249">
        <v>3</v>
      </c>
      <c r="N39" s="249">
        <v>0</v>
      </c>
      <c r="O39" s="250">
        <f>[2]!Table323[[#This Row],[Incentive Disbursements]]-[2]!Table323[[#This Row],[Incentives]]</f>
        <v>59048.999908444079</v>
      </c>
      <c r="P39" s="158">
        <f>VLOOKUP(Table3236[[#This Row],[Census Tract]],'Population and Diversity Data'!$B$2:$K$823,10,FALSE)</f>
        <v>4</v>
      </c>
      <c r="Q39" s="159" t="str">
        <f>VLOOKUP(Table3236[[#This Row],[Census Tract]],'UI EnergyBurden'!$A$2:$B$184,2,FALSE)</f>
        <v>No</v>
      </c>
    </row>
    <row r="40" spans="1:17" x14ac:dyDescent="0.2">
      <c r="A40" s="38">
        <v>9001072800</v>
      </c>
      <c r="B40" s="38" t="s">
        <v>934</v>
      </c>
      <c r="C40" s="244" t="s">
        <v>944</v>
      </c>
      <c r="D40" s="245">
        <v>67221.614200000098</v>
      </c>
      <c r="E40" s="246">
        <v>418730.78254849138</v>
      </c>
      <c r="F40" s="247">
        <f>[2]!Table323[[#This Row],[Single Family]]+[2]!Table323[[#This Row],[2-4 Units]]+[2]!Table323[[#This Row],[&gt;4 Units]]</f>
        <v>9</v>
      </c>
      <c r="G40">
        <v>9</v>
      </c>
      <c r="H40">
        <v>0</v>
      </c>
      <c r="I40">
        <v>0</v>
      </c>
      <c r="J40" s="248">
        <v>8861.7425091296391</v>
      </c>
      <c r="K40" s="247">
        <f>SUM([2]!Table323[[#This Row],[Single Family ]:[&gt;4 Units ]])</f>
        <v>21</v>
      </c>
      <c r="L40" s="249">
        <v>17</v>
      </c>
      <c r="M40" s="249">
        <v>3</v>
      </c>
      <c r="N40" s="249">
        <v>1</v>
      </c>
      <c r="O40" s="250">
        <f>[2]!Table323[[#This Row],[Incentive Disbursements]]-[2]!Table323[[#This Row],[Incentives]]</f>
        <v>409869.04003936175</v>
      </c>
      <c r="P40" s="158">
        <f>VLOOKUP(Table3236[[#This Row],[Census Tract]],'Population and Diversity Data'!$B$2:$K$823,10,FALSE)</f>
        <v>5</v>
      </c>
      <c r="Q40" s="159" t="str">
        <f>VLOOKUP(Table3236[[#This Row],[Census Tract]],'UI EnergyBurden'!$A$2:$B$184,2,FALSE)</f>
        <v>No</v>
      </c>
    </row>
    <row r="41" spans="1:17" x14ac:dyDescent="0.2">
      <c r="A41" s="38">
        <v>9001072900</v>
      </c>
      <c r="B41" s="38" t="s">
        <v>934</v>
      </c>
      <c r="C41" s="244" t="s">
        <v>944</v>
      </c>
      <c r="D41" s="245">
        <v>67436.167800000097</v>
      </c>
      <c r="E41" s="246">
        <v>93920.360064358247</v>
      </c>
      <c r="F41" s="247">
        <f>[2]!Table323[[#This Row],[Single Family]]+[2]!Table323[[#This Row],[2-4 Units]]+[2]!Table323[[#This Row],[&gt;4 Units]]</f>
        <v>19</v>
      </c>
      <c r="G41">
        <v>18</v>
      </c>
      <c r="H41">
        <v>1</v>
      </c>
      <c r="I41">
        <v>0</v>
      </c>
      <c r="J41" s="248">
        <v>14588.970928464083</v>
      </c>
      <c r="K41" s="247">
        <f>SUM([2]!Table323[[#This Row],[Single Family ]:[&gt;4 Units ]])</f>
        <v>30</v>
      </c>
      <c r="L41" s="249">
        <v>23</v>
      </c>
      <c r="M41" s="249">
        <v>7</v>
      </c>
      <c r="N41" s="249">
        <v>0</v>
      </c>
      <c r="O41" s="250">
        <f>[2]!Table323[[#This Row],[Incentive Disbursements]]-[2]!Table323[[#This Row],[Incentives]]</f>
        <v>79331.389135894162</v>
      </c>
      <c r="P41" s="158">
        <f>VLOOKUP(Table3236[[#This Row],[Census Tract]],'Population and Diversity Data'!$B$2:$K$823,10,FALSE)</f>
        <v>4</v>
      </c>
      <c r="Q41" s="159" t="str">
        <f>VLOOKUP(Table3236[[#This Row],[Census Tract]],'UI EnergyBurden'!$A$2:$B$184,2,FALSE)</f>
        <v>No</v>
      </c>
    </row>
    <row r="42" spans="1:17" x14ac:dyDescent="0.2">
      <c r="A42" s="38">
        <v>9001073000</v>
      </c>
      <c r="B42" s="38" t="s">
        <v>934</v>
      </c>
      <c r="C42" s="244" t="s">
        <v>944</v>
      </c>
      <c r="D42" s="245">
        <v>27045.101699999999</v>
      </c>
      <c r="E42" s="246">
        <v>30857.905121283649</v>
      </c>
      <c r="F42" s="247">
        <f>[2]!Table323[[#This Row],[Single Family]]+[2]!Table323[[#This Row],[2-4 Units]]+[2]!Table323[[#This Row],[&gt;4 Units]]</f>
        <v>5</v>
      </c>
      <c r="G42">
        <v>5</v>
      </c>
      <c r="H42">
        <v>0</v>
      </c>
      <c r="I42">
        <v>0</v>
      </c>
      <c r="J42" s="248">
        <v>3583.925121602862</v>
      </c>
      <c r="K42" s="247">
        <f>SUM([2]!Table323[[#This Row],[Single Family ]:[&gt;4 Units ]])</f>
        <v>20</v>
      </c>
      <c r="L42" s="249">
        <v>11</v>
      </c>
      <c r="M42" s="249">
        <v>9</v>
      </c>
      <c r="N42" s="249">
        <v>0</v>
      </c>
      <c r="O42" s="250">
        <f>[2]!Table323[[#This Row],[Incentive Disbursements]]-[2]!Table323[[#This Row],[Incentives]]</f>
        <v>27273.979999680789</v>
      </c>
      <c r="P42" s="158">
        <f>VLOOKUP(Table3236[[#This Row],[Census Tract]],'Population and Diversity Data'!$B$2:$K$823,10,FALSE)</f>
        <v>4</v>
      </c>
      <c r="Q42" s="159" t="str">
        <f>VLOOKUP(Table3236[[#This Row],[Census Tract]],'UI EnergyBurden'!$A$2:$B$184,2,FALSE)</f>
        <v>No</v>
      </c>
    </row>
    <row r="43" spans="1:17" x14ac:dyDescent="0.2">
      <c r="A43" s="38">
        <v>9001073100</v>
      </c>
      <c r="B43" s="38" t="s">
        <v>934</v>
      </c>
      <c r="C43" s="244" t="s">
        <v>936</v>
      </c>
      <c r="D43" s="245">
        <v>69620.792000000001</v>
      </c>
      <c r="E43" s="246">
        <v>61012.13384002354</v>
      </c>
      <c r="F43" s="247">
        <f>[2]!Table323[[#This Row],[Single Family]]+[2]!Table323[[#This Row],[2-4 Units]]+[2]!Table323[[#This Row],[&gt;4 Units]]</f>
        <v>14</v>
      </c>
      <c r="G43">
        <v>13</v>
      </c>
      <c r="H43">
        <v>1</v>
      </c>
      <c r="I43">
        <v>0</v>
      </c>
      <c r="J43" s="248">
        <v>14517.266243698254</v>
      </c>
      <c r="K43" s="247">
        <f>SUM([2]!Table323[[#This Row],[Single Family ]:[&gt;4 Units ]])</f>
        <v>30</v>
      </c>
      <c r="L43" s="249">
        <v>18</v>
      </c>
      <c r="M43" s="249">
        <v>12</v>
      </c>
      <c r="N43" s="249">
        <v>0</v>
      </c>
      <c r="O43" s="250">
        <f>[2]!Table323[[#This Row],[Incentive Disbursements]]-[2]!Table323[[#This Row],[Incentives]]</f>
        <v>46494.86759632529</v>
      </c>
      <c r="P43" s="158">
        <f>VLOOKUP(Table3236[[#This Row],[Census Tract]],'Population and Diversity Data'!$B$2:$K$823,10,FALSE)</f>
        <v>5</v>
      </c>
      <c r="Q43" s="159" t="str">
        <f>VLOOKUP(Table3236[[#This Row],[Census Tract]],'UI EnergyBurden'!$A$2:$B$184,2,FALSE)</f>
        <v>No</v>
      </c>
    </row>
    <row r="44" spans="1:17" x14ac:dyDescent="0.2">
      <c r="A44" s="38">
        <v>9001073200</v>
      </c>
      <c r="B44" s="38" t="s">
        <v>934</v>
      </c>
      <c r="C44" s="244" t="s">
        <v>944</v>
      </c>
      <c r="D44" s="245">
        <v>24172.335500000001</v>
      </c>
      <c r="E44" s="246">
        <v>5329.0300323911779</v>
      </c>
      <c r="F44" s="247">
        <f>[2]!Table323[[#This Row],[Single Family]]+[2]!Table323[[#This Row],[2-4 Units]]+[2]!Table323[[#This Row],[&gt;4 Units]]</f>
        <v>3</v>
      </c>
      <c r="G44">
        <v>3</v>
      </c>
      <c r="H44">
        <v>0</v>
      </c>
      <c r="I44">
        <v>0</v>
      </c>
      <c r="J44" s="248">
        <v>983.05935881491871</v>
      </c>
      <c r="K44" s="247">
        <f>SUM([2]!Table323[[#This Row],[Single Family ]:[&gt;4 Units ]])</f>
        <v>7</v>
      </c>
      <c r="L44" s="249">
        <v>4</v>
      </c>
      <c r="M44" s="249">
        <v>3</v>
      </c>
      <c r="N44" s="249">
        <v>0</v>
      </c>
      <c r="O44" s="250">
        <f>[2]!Table323[[#This Row],[Incentive Disbursements]]-[2]!Table323[[#This Row],[Incentives]]</f>
        <v>4345.9706735762593</v>
      </c>
      <c r="P44" s="158">
        <f>VLOOKUP(Table3236[[#This Row],[Census Tract]],'Population and Diversity Data'!$B$2:$K$823,10,FALSE)</f>
        <v>5</v>
      </c>
      <c r="Q44" s="159" t="str">
        <f>VLOOKUP(Table3236[[#This Row],[Census Tract]],'UI EnergyBurden'!$A$2:$B$184,2,FALSE)</f>
        <v>No</v>
      </c>
    </row>
    <row r="45" spans="1:17" x14ac:dyDescent="0.2">
      <c r="A45" s="38">
        <v>9001073300</v>
      </c>
      <c r="B45" s="38" t="s">
        <v>934</v>
      </c>
      <c r="C45" s="244" t="s">
        <v>936</v>
      </c>
      <c r="D45" s="245">
        <v>49786.050399999898</v>
      </c>
      <c r="E45" s="246">
        <v>37368.56133184128</v>
      </c>
      <c r="F45" s="247">
        <f>[2]!Table323[[#This Row],[Single Family]]+[2]!Table323[[#This Row],[2-4 Units]]+[2]!Table323[[#This Row],[&gt;4 Units]]</f>
        <v>3</v>
      </c>
      <c r="G45">
        <v>3</v>
      </c>
      <c r="H45">
        <v>0</v>
      </c>
      <c r="I45">
        <v>0</v>
      </c>
      <c r="J45" s="248">
        <v>2492.017073839615</v>
      </c>
      <c r="K45" s="247">
        <f>SUM([2]!Table323[[#This Row],[Single Family ]:[&gt;4 Units ]])</f>
        <v>22</v>
      </c>
      <c r="L45" s="249">
        <v>19</v>
      </c>
      <c r="M45" s="249">
        <v>2</v>
      </c>
      <c r="N45" s="249">
        <v>1</v>
      </c>
      <c r="O45" s="250">
        <f>[2]!Table323[[#This Row],[Incentive Disbursements]]-[2]!Table323[[#This Row],[Incentives]]</f>
        <v>34876.544258001668</v>
      </c>
      <c r="P45" s="158">
        <f>VLOOKUP(Table3236[[#This Row],[Census Tract]],'Population and Diversity Data'!$B$2:$K$823,10,FALSE)</f>
        <v>5</v>
      </c>
      <c r="Q45" s="159" t="str">
        <f>VLOOKUP(Table3236[[#This Row],[Census Tract]],'UI EnergyBurden'!$A$2:$B$184,2,FALSE)</f>
        <v>Yes</v>
      </c>
    </row>
    <row r="46" spans="1:17" x14ac:dyDescent="0.2">
      <c r="A46" s="38">
        <v>9001073400</v>
      </c>
      <c r="B46" s="38" t="s">
        <v>934</v>
      </c>
      <c r="C46" s="244" t="s">
        <v>936</v>
      </c>
      <c r="D46" s="245">
        <v>53978.008699999998</v>
      </c>
      <c r="E46" s="246">
        <v>84524.637585326869</v>
      </c>
      <c r="F46" s="247">
        <f>[2]!Table323[[#This Row],[Single Family]]+[2]!Table323[[#This Row],[2-4 Units]]+[2]!Table323[[#This Row],[&gt;4 Units]]</f>
        <v>9</v>
      </c>
      <c r="G46">
        <v>7</v>
      </c>
      <c r="H46">
        <v>2</v>
      </c>
      <c r="I46">
        <v>0</v>
      </c>
      <c r="J46" s="248">
        <v>8508.2984580528773</v>
      </c>
      <c r="K46" s="247">
        <f>SUM([2]!Table323[[#This Row],[Single Family ]:[&gt;4 Units ]])</f>
        <v>29</v>
      </c>
      <c r="L46" s="249">
        <v>7</v>
      </c>
      <c r="M46" s="249">
        <v>22</v>
      </c>
      <c r="N46" s="249">
        <v>0</v>
      </c>
      <c r="O46" s="250">
        <f>[2]!Table323[[#This Row],[Incentive Disbursements]]-[2]!Table323[[#This Row],[Incentives]]</f>
        <v>76016.339127273997</v>
      </c>
      <c r="P46" s="158">
        <f>VLOOKUP(Table3236[[#This Row],[Census Tract]],'Population and Diversity Data'!$B$2:$K$823,10,FALSE)</f>
        <v>5</v>
      </c>
      <c r="Q46" s="159" t="str">
        <f>VLOOKUP(Table3236[[#This Row],[Census Tract]],'UI EnergyBurden'!$A$2:$B$184,2,FALSE)</f>
        <v>Yes</v>
      </c>
    </row>
    <row r="47" spans="1:17" x14ac:dyDescent="0.2">
      <c r="A47" s="38">
        <v>9001073500</v>
      </c>
      <c r="B47" s="38" t="s">
        <v>934</v>
      </c>
      <c r="C47" s="244" t="s">
        <v>936</v>
      </c>
      <c r="D47" s="245">
        <v>38030.339099999997</v>
      </c>
      <c r="E47" s="246">
        <v>12529.503463480869</v>
      </c>
      <c r="F47" s="247">
        <f>[2]!Table323[[#This Row],[Single Family]]+[2]!Table323[[#This Row],[2-4 Units]]+[2]!Table323[[#This Row],[&gt;4 Units]]</f>
        <v>5</v>
      </c>
      <c r="G47">
        <v>4</v>
      </c>
      <c r="H47">
        <v>1</v>
      </c>
      <c r="I47">
        <v>0</v>
      </c>
      <c r="J47" s="248">
        <v>875.15323388249976</v>
      </c>
      <c r="K47" s="247">
        <f>SUM([2]!Table323[[#This Row],[Single Family ]:[&gt;4 Units ]])</f>
        <v>17</v>
      </c>
      <c r="L47" s="249">
        <v>4</v>
      </c>
      <c r="M47" s="249">
        <v>13</v>
      </c>
      <c r="N47" s="249">
        <v>0</v>
      </c>
      <c r="O47" s="250">
        <f>[2]!Table323[[#This Row],[Incentive Disbursements]]-[2]!Table323[[#This Row],[Incentives]]</f>
        <v>11654.350229598369</v>
      </c>
      <c r="P47" s="158">
        <f>VLOOKUP(Table3236[[#This Row],[Census Tract]],'Population and Diversity Data'!$B$2:$K$823,10,FALSE)</f>
        <v>5</v>
      </c>
      <c r="Q47" s="159" t="str">
        <f>VLOOKUP(Table3236[[#This Row],[Census Tract]],'UI EnergyBurden'!$A$2:$B$184,2,FALSE)</f>
        <v>Yes</v>
      </c>
    </row>
    <row r="48" spans="1:17" x14ac:dyDescent="0.2">
      <c r="A48" s="38">
        <v>9001073600</v>
      </c>
      <c r="B48" s="38" t="s">
        <v>934</v>
      </c>
      <c r="C48" s="244" t="s">
        <v>936</v>
      </c>
      <c r="D48" s="245">
        <v>24351.613000000001</v>
      </c>
      <c r="E48" s="246">
        <v>1477.329455824188</v>
      </c>
      <c r="F48" s="247">
        <f>[2]!Table323[[#This Row],[Single Family]]+[2]!Table323[[#This Row],[2-4 Units]]+[2]!Table323[[#This Row],[&gt;4 Units]]</f>
        <v>1</v>
      </c>
      <c r="G48">
        <v>1</v>
      </c>
      <c r="H48">
        <v>0</v>
      </c>
      <c r="I48">
        <v>0</v>
      </c>
      <c r="J48" s="248">
        <v>234.76825951812245</v>
      </c>
      <c r="K48" s="247">
        <f>SUM([2]!Table323[[#This Row],[Single Family ]:[&gt;4 Units ]])</f>
        <v>7</v>
      </c>
      <c r="L48" s="249">
        <v>1</v>
      </c>
      <c r="M48" s="249">
        <v>6</v>
      </c>
      <c r="N48" s="249">
        <v>0</v>
      </c>
      <c r="O48" s="250">
        <f>[2]!Table323[[#This Row],[Incentive Disbursements]]-[2]!Table323[[#This Row],[Incentives]]</f>
        <v>1242.5611963060655</v>
      </c>
      <c r="P48" s="158">
        <f>VLOOKUP(Table3236[[#This Row],[Census Tract]],'Population and Diversity Data'!$B$2:$K$823,10,FALSE)</f>
        <v>5</v>
      </c>
      <c r="Q48" s="159" t="str">
        <f>VLOOKUP(Table3236[[#This Row],[Census Tract]],'UI EnergyBurden'!$A$2:$B$184,2,FALSE)</f>
        <v>Yes</v>
      </c>
    </row>
    <row r="49" spans="1:17" x14ac:dyDescent="0.2">
      <c r="A49" s="38">
        <v>9001073700</v>
      </c>
      <c r="B49" s="38" t="s">
        <v>934</v>
      </c>
      <c r="C49" s="244" t="s">
        <v>936</v>
      </c>
      <c r="D49" s="245">
        <v>64008.1363000001</v>
      </c>
      <c r="E49" s="246">
        <v>42797.346055916183</v>
      </c>
      <c r="F49" s="247">
        <f>[2]!Table323[[#This Row],[Single Family]]+[2]!Table323[[#This Row],[2-4 Units]]+[2]!Table323[[#This Row],[&gt;4 Units]]</f>
        <v>3</v>
      </c>
      <c r="G49">
        <v>3</v>
      </c>
      <c r="H49">
        <v>0</v>
      </c>
      <c r="I49">
        <v>0</v>
      </c>
      <c r="J49" s="248">
        <v>6515.2119366345269</v>
      </c>
      <c r="K49" s="247">
        <f>SUM([2]!Table323[[#This Row],[Single Family ]:[&gt;4 Units ]])</f>
        <v>29</v>
      </c>
      <c r="L49" s="249">
        <v>13</v>
      </c>
      <c r="M49" s="249">
        <v>16</v>
      </c>
      <c r="N49" s="249">
        <v>0</v>
      </c>
      <c r="O49" s="250">
        <f>[2]!Table323[[#This Row],[Incentive Disbursements]]-[2]!Table323[[#This Row],[Incentives]]</f>
        <v>36282.134119281654</v>
      </c>
      <c r="P49" s="158">
        <f>VLOOKUP(Table3236[[#This Row],[Census Tract]],'Population and Diversity Data'!$B$2:$K$823,10,FALSE)</f>
        <v>5</v>
      </c>
      <c r="Q49" s="159" t="str">
        <f>VLOOKUP(Table3236[[#This Row],[Census Tract]],'UI EnergyBurden'!$A$2:$B$184,2,FALSE)</f>
        <v>Yes</v>
      </c>
    </row>
    <row r="50" spans="1:17" x14ac:dyDescent="0.2">
      <c r="A50" s="38">
        <v>9001073800</v>
      </c>
      <c r="B50" s="38" t="s">
        <v>934</v>
      </c>
      <c r="C50" s="244" t="s">
        <v>936</v>
      </c>
      <c r="D50" s="245">
        <v>25510.301599999999</v>
      </c>
      <c r="E50" s="246">
        <v>4385.1743546824082</v>
      </c>
      <c r="F50" s="247">
        <f>[2]!Table323[[#This Row],[Single Family]]+[2]!Table323[[#This Row],[2-4 Units]]+[2]!Table323[[#This Row],[&gt;4 Units]]</f>
        <v>1</v>
      </c>
      <c r="G50">
        <v>1</v>
      </c>
      <c r="H50">
        <v>0</v>
      </c>
      <c r="I50">
        <v>0</v>
      </c>
      <c r="J50" s="248">
        <v>4.0844440689398258</v>
      </c>
      <c r="K50" s="247">
        <f>SUM([2]!Table323[[#This Row],[Single Family ]:[&gt;4 Units ]])</f>
        <v>4</v>
      </c>
      <c r="L50" s="249">
        <v>1</v>
      </c>
      <c r="M50" s="249">
        <v>3</v>
      </c>
      <c r="N50" s="249">
        <v>0</v>
      </c>
      <c r="O50" s="250">
        <f>[2]!Table323[[#This Row],[Incentive Disbursements]]-[2]!Table323[[#This Row],[Incentives]]</f>
        <v>4381.0899106134684</v>
      </c>
      <c r="P50" s="158">
        <f>VLOOKUP(Table3236[[#This Row],[Census Tract]],'Population and Diversity Data'!$B$2:$K$823,10,FALSE)</f>
        <v>5</v>
      </c>
      <c r="Q50" s="159" t="str">
        <f>VLOOKUP(Table3236[[#This Row],[Census Tract]],'UI EnergyBurden'!$A$2:$B$184,2,FALSE)</f>
        <v>Yes</v>
      </c>
    </row>
    <row r="51" spans="1:17" x14ac:dyDescent="0.2">
      <c r="A51" s="38">
        <v>9001073900</v>
      </c>
      <c r="B51" s="38" t="s">
        <v>934</v>
      </c>
      <c r="C51" s="244" t="s">
        <v>936</v>
      </c>
      <c r="D51" s="245">
        <v>35070.078800000003</v>
      </c>
      <c r="E51" s="246">
        <v>186375.69636976667</v>
      </c>
      <c r="F51" s="247">
        <f>[2]!Table323[[#This Row],[Single Family]]+[2]!Table323[[#This Row],[2-4 Units]]+[2]!Table323[[#This Row],[&gt;4 Units]]</f>
        <v>2</v>
      </c>
      <c r="G51">
        <v>2</v>
      </c>
      <c r="H51">
        <v>0</v>
      </c>
      <c r="I51">
        <v>0</v>
      </c>
      <c r="J51" s="248">
        <v>296.85530034384448</v>
      </c>
      <c r="K51" s="247">
        <f>SUM([2]!Table323[[#This Row],[Single Family ]:[&gt;4 Units ]])</f>
        <v>24</v>
      </c>
      <c r="L51" s="249">
        <v>5</v>
      </c>
      <c r="M51" s="249">
        <v>17</v>
      </c>
      <c r="N51" s="249">
        <v>2</v>
      </c>
      <c r="O51" s="250">
        <f>[2]!Table323[[#This Row],[Incentive Disbursements]]-[2]!Table323[[#This Row],[Incentives]]</f>
        <v>186078.84106942281</v>
      </c>
      <c r="P51" s="158">
        <f>VLOOKUP(Table3236[[#This Row],[Census Tract]],'Population and Diversity Data'!$B$2:$K$823,10,FALSE)</f>
        <v>5</v>
      </c>
      <c r="Q51" s="159" t="str">
        <f>VLOOKUP(Table3236[[#This Row],[Census Tract]],'UI EnergyBurden'!$A$2:$B$184,2,FALSE)</f>
        <v>Yes</v>
      </c>
    </row>
    <row r="52" spans="1:17" x14ac:dyDescent="0.2">
      <c r="A52" s="38">
        <v>9001074000</v>
      </c>
      <c r="B52" s="38" t="s">
        <v>934</v>
      </c>
      <c r="C52" s="244" t="s">
        <v>936</v>
      </c>
      <c r="D52" s="245">
        <v>26942.261399999999</v>
      </c>
      <c r="E52" s="246">
        <v>23412.347591168382</v>
      </c>
      <c r="F52" s="247">
        <f>[2]!Table323[[#This Row],[Single Family]]+[2]!Table323[[#This Row],[2-4 Units]]+[2]!Table323[[#This Row],[&gt;4 Units]]</f>
        <v>1</v>
      </c>
      <c r="G52">
        <v>1</v>
      </c>
      <c r="H52">
        <v>0</v>
      </c>
      <c r="I52">
        <v>0</v>
      </c>
      <c r="J52" s="248">
        <v>319.58156606076608</v>
      </c>
      <c r="K52" s="247">
        <f>SUM([2]!Table323[[#This Row],[Single Family ]:[&gt;4 Units ]])</f>
        <v>15</v>
      </c>
      <c r="L52" s="249">
        <v>2</v>
      </c>
      <c r="M52" s="249">
        <v>13</v>
      </c>
      <c r="N52" s="249">
        <v>0</v>
      </c>
      <c r="O52" s="250">
        <f>[2]!Table323[[#This Row],[Incentive Disbursements]]-[2]!Table323[[#This Row],[Incentives]]</f>
        <v>23092.766025107616</v>
      </c>
      <c r="P52" s="158">
        <f>VLOOKUP(Table3236[[#This Row],[Census Tract]],'Population and Diversity Data'!$B$2:$K$823,10,FALSE)</f>
        <v>5</v>
      </c>
      <c r="Q52" s="159" t="str">
        <f>VLOOKUP(Table3236[[#This Row],[Census Tract]],'UI EnergyBurden'!$A$2:$B$184,2,FALSE)</f>
        <v>Yes</v>
      </c>
    </row>
    <row r="53" spans="1:17" x14ac:dyDescent="0.2">
      <c r="A53" s="38">
        <v>9001074300</v>
      </c>
      <c r="B53" s="38" t="s">
        <v>934</v>
      </c>
      <c r="C53" s="244" t="s">
        <v>936</v>
      </c>
      <c r="D53" s="245">
        <v>51549.295899999903</v>
      </c>
      <c r="E53" s="246">
        <v>14469.701670673205</v>
      </c>
      <c r="F53" s="247">
        <f>[2]!Table323[[#This Row],[Single Family]]+[2]!Table323[[#This Row],[2-4 Units]]+[2]!Table323[[#This Row],[&gt;4 Units]]</f>
        <v>2</v>
      </c>
      <c r="G53">
        <v>0</v>
      </c>
      <c r="H53">
        <v>2</v>
      </c>
      <c r="I53">
        <v>0</v>
      </c>
      <c r="J53" s="248">
        <v>961.53748045165878</v>
      </c>
      <c r="K53" s="247">
        <f>SUM([2]!Table323[[#This Row],[Single Family ]:[&gt;4 Units ]])</f>
        <v>26</v>
      </c>
      <c r="L53" s="249">
        <v>4</v>
      </c>
      <c r="M53" s="249">
        <v>22</v>
      </c>
      <c r="N53" s="249">
        <v>0</v>
      </c>
      <c r="O53" s="250">
        <f>[2]!Table323[[#This Row],[Incentive Disbursements]]-[2]!Table323[[#This Row],[Incentives]]</f>
        <v>13508.164190221545</v>
      </c>
      <c r="P53" s="158">
        <f>VLOOKUP(Table3236[[#This Row],[Census Tract]],'Population and Diversity Data'!$B$2:$K$823,10,FALSE)</f>
        <v>5</v>
      </c>
      <c r="Q53" s="159" t="str">
        <f>VLOOKUP(Table3236[[#This Row],[Census Tract]],'UI EnergyBurden'!$A$2:$B$184,2,FALSE)</f>
        <v>Yes</v>
      </c>
    </row>
    <row r="54" spans="1:17" x14ac:dyDescent="0.2">
      <c r="A54" s="38">
        <v>9001074400</v>
      </c>
      <c r="B54" s="38" t="s">
        <v>934</v>
      </c>
      <c r="C54" s="244" t="s">
        <v>936</v>
      </c>
      <c r="D54" s="245">
        <v>54299.358399999903</v>
      </c>
      <c r="E54" s="246">
        <v>35142.539314269074</v>
      </c>
      <c r="F54" s="247">
        <f>[2]!Table323[[#This Row],[Single Family]]+[2]!Table323[[#This Row],[2-4 Units]]+[2]!Table323[[#This Row],[&gt;4 Units]]</f>
        <v>9</v>
      </c>
      <c r="G54">
        <v>5</v>
      </c>
      <c r="H54">
        <v>4</v>
      </c>
      <c r="I54">
        <v>0</v>
      </c>
      <c r="J54" s="248">
        <v>6111.5676242660074</v>
      </c>
      <c r="K54" s="247">
        <f>SUM([2]!Table323[[#This Row],[Single Family ]:[&gt;4 Units ]])</f>
        <v>25</v>
      </c>
      <c r="L54" s="249">
        <v>7</v>
      </c>
      <c r="M54" s="249">
        <v>17</v>
      </c>
      <c r="N54" s="249">
        <v>1</v>
      </c>
      <c r="O54" s="250">
        <f>[2]!Table323[[#This Row],[Incentive Disbursements]]-[2]!Table323[[#This Row],[Incentives]]</f>
        <v>29030.971690003065</v>
      </c>
      <c r="P54" s="158">
        <f>VLOOKUP(Table3236[[#This Row],[Census Tract]],'Population and Diversity Data'!$B$2:$K$823,10,FALSE)</f>
        <v>5</v>
      </c>
      <c r="Q54" s="159" t="str">
        <f>VLOOKUP(Table3236[[#This Row],[Census Tract]],'UI EnergyBurden'!$A$2:$B$184,2,FALSE)</f>
        <v>Yes</v>
      </c>
    </row>
    <row r="55" spans="1:17" x14ac:dyDescent="0.2">
      <c r="A55" s="38">
        <v>9001080100</v>
      </c>
      <c r="B55" s="38" t="s">
        <v>934</v>
      </c>
      <c r="C55" s="244" t="s">
        <v>944</v>
      </c>
      <c r="D55" s="245">
        <v>255.44900000000001</v>
      </c>
      <c r="E55" s="246">
        <v>0</v>
      </c>
      <c r="F55" s="247">
        <f>[2]!Table323[[#This Row],[Single Family]]+[2]!Table323[[#This Row],[2-4 Units]]+[2]!Table323[[#This Row],[&gt;4 Units]]</f>
        <v>0</v>
      </c>
      <c r="J55" s="248">
        <v>0</v>
      </c>
      <c r="K55" s="247">
        <f>SUM([2]!Table323[[#This Row],[Single Family ]:[&gt;4 Units ]])</f>
        <v>0</v>
      </c>
      <c r="L55" s="249"/>
      <c r="M55" s="249"/>
      <c r="N55" s="249"/>
      <c r="O55" s="250">
        <f>[2]!Table323[[#This Row],[Incentive Disbursements]]-[2]!Table323[[#This Row],[Incentives]]</f>
        <v>0</v>
      </c>
      <c r="P55" s="158">
        <f>VLOOKUP(Table3236[[#This Row],[Census Tract]],'Population and Diversity Data'!$B$2:$K$823,10,FALSE)</f>
        <v>5</v>
      </c>
      <c r="Q55" s="159" t="str">
        <f>VLOOKUP(Table3236[[#This Row],[Census Tract]],'UI EnergyBurden'!$A$2:$B$184,2,FALSE)</f>
        <v>No</v>
      </c>
    </row>
    <row r="56" spans="1:17" x14ac:dyDescent="0.2">
      <c r="A56" s="38">
        <v>9001080400</v>
      </c>
      <c r="B56" s="38" t="s">
        <v>934</v>
      </c>
      <c r="C56" s="244" t="s">
        <v>944</v>
      </c>
      <c r="D56" s="245">
        <v>0</v>
      </c>
      <c r="E56" s="246">
        <v>0</v>
      </c>
      <c r="F56" s="247">
        <f>[2]!Table323[[#This Row],[Single Family]]+[2]!Table323[[#This Row],[2-4 Units]]+[2]!Table323[[#This Row],[&gt;4 Units]]</f>
        <v>0</v>
      </c>
      <c r="J56" s="248">
        <v>0</v>
      </c>
      <c r="K56" s="247">
        <f>SUM([2]!Table323[[#This Row],[Single Family ]:[&gt;4 Units ]])</f>
        <v>0</v>
      </c>
      <c r="L56" s="249"/>
      <c r="M56" s="249"/>
      <c r="N56" s="249"/>
      <c r="O56" s="250">
        <f>[2]!Table323[[#This Row],[Incentive Disbursements]]-[2]!Table323[[#This Row],[Incentives]]</f>
        <v>0</v>
      </c>
      <c r="P56" s="158">
        <f>VLOOKUP(Table3236[[#This Row],[Census Tract]],'Population and Diversity Data'!$B$2:$K$823,10,FALSE)</f>
        <v>3</v>
      </c>
      <c r="Q56" s="159" t="str">
        <f>VLOOKUP(Table3236[[#This Row],[Census Tract]],'UI EnergyBurden'!$A$2:$B$184,2,FALSE)</f>
        <v>No</v>
      </c>
    </row>
    <row r="57" spans="1:17" x14ac:dyDescent="0.2">
      <c r="A57" s="38">
        <v>9001080500</v>
      </c>
      <c r="B57" s="38" t="s">
        <v>934</v>
      </c>
      <c r="C57" s="244" t="s">
        <v>944</v>
      </c>
      <c r="D57" s="245">
        <v>0</v>
      </c>
      <c r="E57" s="246">
        <v>0</v>
      </c>
      <c r="F57" s="247">
        <f>[2]!Table323[[#This Row],[Single Family]]+[2]!Table323[[#This Row],[2-4 Units]]+[2]!Table323[[#This Row],[&gt;4 Units]]</f>
        <v>0</v>
      </c>
      <c r="J57" s="248">
        <v>0</v>
      </c>
      <c r="K57" s="247">
        <f>SUM([2]!Table323[[#This Row],[Single Family ]:[&gt;4 Units ]])</f>
        <v>0</v>
      </c>
      <c r="L57" s="249"/>
      <c r="M57" s="249"/>
      <c r="N57" s="249"/>
      <c r="O57" s="250">
        <f>[2]!Table323[[#This Row],[Incentive Disbursements]]-[2]!Table323[[#This Row],[Incentives]]</f>
        <v>0</v>
      </c>
      <c r="P57" s="158">
        <f>VLOOKUP(Table3236[[#This Row],[Census Tract]],'Population and Diversity Data'!$B$2:$K$823,10,FALSE)</f>
        <v>1</v>
      </c>
      <c r="Q57" s="159" t="str">
        <f>VLOOKUP(Table3236[[#This Row],[Census Tract]],'UI EnergyBurden'!$A$2:$B$184,2,FALSE)</f>
        <v>No</v>
      </c>
    </row>
    <row r="58" spans="1:17" x14ac:dyDescent="0.2">
      <c r="A58" s="38">
        <v>9001080900</v>
      </c>
      <c r="B58" s="38" t="s">
        <v>934</v>
      </c>
      <c r="C58" s="244" t="s">
        <v>944</v>
      </c>
      <c r="D58" s="245">
        <v>0</v>
      </c>
      <c r="E58" s="246">
        <v>0</v>
      </c>
      <c r="F58" s="247">
        <f>[2]!Table323[[#This Row],[Single Family]]+[2]!Table323[[#This Row],[2-4 Units]]+[2]!Table323[[#This Row],[&gt;4 Units]]</f>
        <v>0</v>
      </c>
      <c r="J58" s="248">
        <v>0</v>
      </c>
      <c r="K58" s="247">
        <f>SUM([2]!Table323[[#This Row],[Single Family ]:[&gt;4 Units ]])</f>
        <v>0</v>
      </c>
      <c r="L58" s="249"/>
      <c r="M58" s="249"/>
      <c r="N58" s="249"/>
      <c r="O58" s="250">
        <f>[2]!Table323[[#This Row],[Incentive Disbursements]]-[2]!Table323[[#This Row],[Incentives]]</f>
        <v>0</v>
      </c>
      <c r="P58" s="158">
        <f>VLOOKUP(Table3236[[#This Row],[Census Tract]],'Population and Diversity Data'!$B$2:$K$823,10,FALSE)</f>
        <v>4</v>
      </c>
      <c r="Q58" s="159" t="str">
        <f>VLOOKUP(Table3236[[#This Row],[Census Tract]],'UI EnergyBurden'!$A$2:$B$184,2,FALSE)</f>
        <v>No</v>
      </c>
    </row>
    <row r="59" spans="1:17" x14ac:dyDescent="0.2">
      <c r="A59" s="38">
        <v>9001081000</v>
      </c>
      <c r="B59" s="38" t="s">
        <v>934</v>
      </c>
      <c r="C59" s="244" t="s">
        <v>944</v>
      </c>
      <c r="D59" s="245">
        <v>71.845299999999995</v>
      </c>
      <c r="E59" s="246">
        <v>0</v>
      </c>
      <c r="F59" s="247">
        <f>[2]!Table323[[#This Row],[Single Family]]+[2]!Table323[[#This Row],[2-4 Units]]+[2]!Table323[[#This Row],[&gt;4 Units]]</f>
        <v>0</v>
      </c>
      <c r="J59" s="248">
        <v>0</v>
      </c>
      <c r="K59" s="247">
        <f>SUM([2]!Table323[[#This Row],[Single Family ]:[&gt;4 Units ]])</f>
        <v>0</v>
      </c>
      <c r="L59" s="249"/>
      <c r="M59" s="249"/>
      <c r="N59" s="249"/>
      <c r="O59" s="250">
        <f>[2]!Table323[[#This Row],[Incentive Disbursements]]-[2]!Table323[[#This Row],[Incentives]]</f>
        <v>0</v>
      </c>
      <c r="P59" s="158">
        <f>VLOOKUP(Table3236[[#This Row],[Census Tract]],'Population and Diversity Data'!$B$2:$K$823,10,FALSE)</f>
        <v>2</v>
      </c>
      <c r="Q59" s="159" t="str">
        <f>VLOOKUP(Table3236[[#This Row],[Census Tract]],'UI EnergyBurden'!$A$2:$B$184,2,FALSE)</f>
        <v>No</v>
      </c>
    </row>
    <row r="60" spans="1:17" x14ac:dyDescent="0.2">
      <c r="A60" s="38">
        <v>9001081200</v>
      </c>
      <c r="B60" s="38" t="s">
        <v>934</v>
      </c>
      <c r="C60" s="244" t="s">
        <v>944</v>
      </c>
      <c r="D60" s="245">
        <v>120.8455</v>
      </c>
      <c r="E60" s="246">
        <v>0</v>
      </c>
      <c r="F60" s="247">
        <f>[2]!Table323[[#This Row],[Single Family]]+[2]!Table323[[#This Row],[2-4 Units]]+[2]!Table323[[#This Row],[&gt;4 Units]]</f>
        <v>0</v>
      </c>
      <c r="J60" s="248">
        <v>0</v>
      </c>
      <c r="K60" s="247">
        <f>SUM([2]!Table323[[#This Row],[Single Family ]:[&gt;4 Units ]])</f>
        <v>0</v>
      </c>
      <c r="L60" s="249"/>
      <c r="M60" s="249"/>
      <c r="N60" s="249"/>
      <c r="O60" s="250">
        <f>[2]!Table323[[#This Row],[Incentive Disbursements]]-[2]!Table323[[#This Row],[Incentives]]</f>
        <v>0</v>
      </c>
      <c r="P60" s="158">
        <f>VLOOKUP(Table3236[[#This Row],[Census Tract]],'Population and Diversity Data'!$B$2:$K$823,10,FALSE)</f>
        <v>3</v>
      </c>
      <c r="Q60" s="159" t="str">
        <f>VLOOKUP(Table3236[[#This Row],[Census Tract]],'UI EnergyBurden'!$A$2:$B$184,2,FALSE)</f>
        <v>No</v>
      </c>
    </row>
    <row r="61" spans="1:17" x14ac:dyDescent="0.2">
      <c r="A61" s="38">
        <v>9001090200</v>
      </c>
      <c r="B61" s="38" t="s">
        <v>934</v>
      </c>
      <c r="C61" s="244" t="s">
        <v>944</v>
      </c>
      <c r="D61" s="245">
        <v>0</v>
      </c>
      <c r="E61" s="246">
        <v>0</v>
      </c>
      <c r="F61" s="247">
        <f>[2]!Table323[[#This Row],[Single Family]]+[2]!Table323[[#This Row],[2-4 Units]]+[2]!Table323[[#This Row],[&gt;4 Units]]</f>
        <v>0</v>
      </c>
      <c r="J61" s="248">
        <v>0</v>
      </c>
      <c r="K61" s="247">
        <f>SUM([2]!Table323[[#This Row],[Single Family ]:[&gt;4 Units ]])</f>
        <v>0</v>
      </c>
      <c r="L61" s="249"/>
      <c r="M61" s="249"/>
      <c r="N61" s="249"/>
      <c r="O61" s="250">
        <f>[2]!Table323[[#This Row],[Incentive Disbursements]]-[2]!Table323[[#This Row],[Incentives]]</f>
        <v>0</v>
      </c>
      <c r="P61" s="158">
        <f>VLOOKUP(Table3236[[#This Row],[Census Tract]],'Population and Diversity Data'!$B$2:$K$823,10,FALSE)</f>
        <v>3</v>
      </c>
      <c r="Q61" s="159" t="str">
        <f>VLOOKUP(Table3236[[#This Row],[Census Tract]],'UI EnergyBurden'!$A$2:$B$184,2,FALSE)</f>
        <v>No</v>
      </c>
    </row>
    <row r="62" spans="1:17" x14ac:dyDescent="0.2">
      <c r="A62" s="38">
        <v>9001090300</v>
      </c>
      <c r="B62" s="38" t="s">
        <v>934</v>
      </c>
      <c r="C62" s="244" t="s">
        <v>944</v>
      </c>
      <c r="D62" s="245">
        <v>190.06890000000001</v>
      </c>
      <c r="E62" s="246">
        <v>0</v>
      </c>
      <c r="F62" s="247">
        <f>[2]!Table323[[#This Row],[Single Family]]+[2]!Table323[[#This Row],[2-4 Units]]+[2]!Table323[[#This Row],[&gt;4 Units]]</f>
        <v>0</v>
      </c>
      <c r="J62" s="248">
        <v>0</v>
      </c>
      <c r="K62" s="247">
        <f>SUM([2]!Table323[[#This Row],[Single Family ]:[&gt;4 Units ]])</f>
        <v>0</v>
      </c>
      <c r="L62" s="249"/>
      <c r="M62" s="249"/>
      <c r="N62" s="249"/>
      <c r="O62" s="250">
        <f>[2]!Table323[[#This Row],[Incentive Disbursements]]-[2]!Table323[[#This Row],[Incentives]]</f>
        <v>0</v>
      </c>
      <c r="P62" s="158">
        <f>VLOOKUP(Table3236[[#This Row],[Census Tract]],'Population and Diversity Data'!$B$2:$K$823,10,FALSE)</f>
        <v>3</v>
      </c>
      <c r="Q62" s="159" t="str">
        <f>VLOOKUP(Table3236[[#This Row],[Census Tract]],'UI EnergyBurden'!$A$2:$B$184,2,FALSE)</f>
        <v>No</v>
      </c>
    </row>
    <row r="63" spans="1:17" x14ac:dyDescent="0.2">
      <c r="A63" s="38">
        <v>9001090400</v>
      </c>
      <c r="B63" s="38" t="s">
        <v>934</v>
      </c>
      <c r="C63" s="244" t="s">
        <v>944</v>
      </c>
      <c r="D63" s="245">
        <v>0</v>
      </c>
      <c r="E63" s="246">
        <v>0</v>
      </c>
      <c r="F63" s="247">
        <f>[2]!Table323[[#This Row],[Single Family]]+[2]!Table323[[#This Row],[2-4 Units]]+[2]!Table323[[#This Row],[&gt;4 Units]]</f>
        <v>0</v>
      </c>
      <c r="J63" s="248">
        <v>0</v>
      </c>
      <c r="K63" s="247">
        <f>SUM([2]!Table323[[#This Row],[Single Family ]:[&gt;4 Units ]])</f>
        <v>0</v>
      </c>
      <c r="L63" s="249"/>
      <c r="M63" s="249"/>
      <c r="N63" s="249"/>
      <c r="O63" s="250">
        <f>[2]!Table323[[#This Row],[Incentive Disbursements]]-[2]!Table323[[#This Row],[Incentives]]</f>
        <v>0</v>
      </c>
      <c r="P63" s="158">
        <f>VLOOKUP(Table3236[[#This Row],[Census Tract]],'Population and Diversity Data'!$B$2:$K$823,10,FALSE)</f>
        <v>4</v>
      </c>
      <c r="Q63" s="159" t="str">
        <f>VLOOKUP(Table3236[[#This Row],[Census Tract]],'UI EnergyBurden'!$A$2:$B$184,2,FALSE)</f>
        <v>No</v>
      </c>
    </row>
    <row r="64" spans="1:17" x14ac:dyDescent="0.2">
      <c r="A64" s="38">
        <v>9001090500</v>
      </c>
      <c r="B64" s="38" t="s">
        <v>934</v>
      </c>
      <c r="C64" s="244" t="s">
        <v>944</v>
      </c>
      <c r="D64" s="245">
        <v>338.9221</v>
      </c>
      <c r="E64" s="246">
        <v>9723.0191061112546</v>
      </c>
      <c r="F64" s="247">
        <f>[2]!Table323[[#This Row],[Single Family]]+[2]!Table323[[#This Row],[2-4 Units]]+[2]!Table323[[#This Row],[&gt;4 Units]]</f>
        <v>0</v>
      </c>
      <c r="J64" s="248">
        <v>0</v>
      </c>
      <c r="K64" s="247">
        <f>SUM([2]!Table323[[#This Row],[Single Family ]:[&gt;4 Units ]])</f>
        <v>1</v>
      </c>
      <c r="L64" s="249">
        <v>1</v>
      </c>
      <c r="M64" s="249">
        <v>0</v>
      </c>
      <c r="N64" s="249">
        <v>0</v>
      </c>
      <c r="O64" s="250">
        <f>[2]!Table323[[#This Row],[Incentive Disbursements]]-[2]!Table323[[#This Row],[Incentives]]</f>
        <v>9723.0191061112546</v>
      </c>
      <c r="P64" s="158">
        <f>VLOOKUP(Table3236[[#This Row],[Census Tract]],'Population and Diversity Data'!$B$2:$K$823,10,FALSE)</f>
        <v>3</v>
      </c>
      <c r="Q64" s="159" t="str">
        <f>VLOOKUP(Table3236[[#This Row],[Census Tract]],'UI EnergyBurden'!$A$2:$B$184,2,FALSE)</f>
        <v>No</v>
      </c>
    </row>
    <row r="65" spans="1:17" x14ac:dyDescent="0.2">
      <c r="A65" s="38">
        <v>9001090700</v>
      </c>
      <c r="B65" s="38" t="s">
        <v>934</v>
      </c>
      <c r="C65" s="244" t="s">
        <v>944</v>
      </c>
      <c r="D65" s="245">
        <v>0</v>
      </c>
      <c r="E65" s="246">
        <v>0</v>
      </c>
      <c r="F65" s="247">
        <f>[2]!Table323[[#This Row],[Single Family]]+[2]!Table323[[#This Row],[2-4 Units]]+[2]!Table323[[#This Row],[&gt;4 Units]]</f>
        <v>0</v>
      </c>
      <c r="J65" s="248">
        <v>0</v>
      </c>
      <c r="K65" s="247">
        <f>SUM([2]!Table323[[#This Row],[Single Family ]:[&gt;4 Units ]])</f>
        <v>0</v>
      </c>
      <c r="L65" s="249"/>
      <c r="M65" s="249"/>
      <c r="N65" s="249"/>
      <c r="O65" s="250">
        <f>[2]!Table323[[#This Row],[Incentive Disbursements]]-[2]!Table323[[#This Row],[Incentives]]</f>
        <v>0</v>
      </c>
      <c r="P65" s="158">
        <f>VLOOKUP(Table3236[[#This Row],[Census Tract]],'Population and Diversity Data'!$B$2:$K$823,10,FALSE)</f>
        <v>3</v>
      </c>
      <c r="Q65" s="159" t="str">
        <f>VLOOKUP(Table3236[[#This Row],[Census Tract]],'UI EnergyBurden'!$A$2:$B$184,2,FALSE)</f>
        <v>No</v>
      </c>
    </row>
    <row r="66" spans="1:17" x14ac:dyDescent="0.2">
      <c r="A66" s="38">
        <v>9001257200</v>
      </c>
      <c r="B66" s="38" t="s">
        <v>934</v>
      </c>
      <c r="C66" s="244" t="s">
        <v>944</v>
      </c>
      <c r="D66" s="245">
        <v>46248.605099999899</v>
      </c>
      <c r="E66" s="246">
        <v>12568.811873922119</v>
      </c>
      <c r="F66" s="247">
        <f>[2]!Table323[[#This Row],[Single Family]]+[2]!Table323[[#This Row],[2-4 Units]]+[2]!Table323[[#This Row],[&gt;4 Units]]</f>
        <v>1</v>
      </c>
      <c r="G66">
        <v>0</v>
      </c>
      <c r="H66">
        <v>1</v>
      </c>
      <c r="I66">
        <v>0</v>
      </c>
      <c r="J66" s="248">
        <v>839.91181262100633</v>
      </c>
      <c r="K66" s="247">
        <f>SUM([2]!Table323[[#This Row],[Single Family ]:[&gt;4 Units ]])</f>
        <v>15</v>
      </c>
      <c r="L66" s="249">
        <v>5</v>
      </c>
      <c r="M66" s="249">
        <v>10</v>
      </c>
      <c r="N66" s="249">
        <v>0</v>
      </c>
      <c r="O66" s="250">
        <f>[2]!Table323[[#This Row],[Incentive Disbursements]]-[2]!Table323[[#This Row],[Incentives]]</f>
        <v>11728.900061301112</v>
      </c>
      <c r="P66" s="158">
        <f>VLOOKUP(Table3236[[#This Row],[Census Tract]],'Population and Diversity Data'!$B$2:$K$823,10,FALSE)</f>
        <v>4</v>
      </c>
      <c r="Q66" s="159" t="str">
        <f>VLOOKUP(Table3236[[#This Row],[Census Tract]],'UI EnergyBurden'!$A$2:$B$184,2,FALSE)</f>
        <v>Yes</v>
      </c>
    </row>
    <row r="67" spans="1:17" x14ac:dyDescent="0.2">
      <c r="A67" s="38">
        <v>9009140800</v>
      </c>
      <c r="B67" s="38" t="s">
        <v>2986</v>
      </c>
      <c r="C67" s="244" t="s">
        <v>936</v>
      </c>
      <c r="D67" s="245">
        <v>0</v>
      </c>
      <c r="E67" s="246">
        <v>480.00945254634701</v>
      </c>
      <c r="F67" s="247">
        <f>[2]!Table323[[#This Row],[Single Family]]+[2]!Table323[[#This Row],[2-4 Units]]+[2]!Table323[[#This Row],[&gt;4 Units]]</f>
        <v>0</v>
      </c>
      <c r="J67" s="248">
        <v>480.00945254634701</v>
      </c>
      <c r="K67" s="247">
        <f>SUM([2]!Table323[[#This Row],[Single Family ]:[&gt;4 Units ]])</f>
        <v>0</v>
      </c>
      <c r="L67" s="249"/>
      <c r="M67" s="249"/>
      <c r="N67" s="249"/>
      <c r="O67" s="250">
        <f>[2]!Table323[[#This Row],[Incentive Disbursements]]-[2]!Table323[[#This Row],[Incentives]]</f>
        <v>0</v>
      </c>
      <c r="P67" s="158">
        <f>VLOOKUP(Table3236[[#This Row],[Census Tract]],'Population and Diversity Data'!$B$2:$K$823,10,FALSE)</f>
        <v>4</v>
      </c>
      <c r="Q67" s="159" t="str">
        <f>VLOOKUP(Table3236[[#This Row],[Census Tract]],'UI EnergyBurden'!$A$2:$B$184,2,FALSE)</f>
        <v>No</v>
      </c>
    </row>
    <row r="68" spans="1:17" x14ac:dyDescent="0.2">
      <c r="A68" s="38">
        <v>9009120100</v>
      </c>
      <c r="B68" s="38" t="s">
        <v>2992</v>
      </c>
      <c r="C68" s="244" t="s">
        <v>944</v>
      </c>
      <c r="D68" s="245">
        <v>113942.43889999999</v>
      </c>
      <c r="E68" s="246">
        <v>64672.499630382859</v>
      </c>
      <c r="F68" s="247">
        <f>[2]!Table323[[#This Row],[Single Family]]+[2]!Table323[[#This Row],[2-4 Units]]+[2]!Table323[[#This Row],[&gt;4 Units]]</f>
        <v>33</v>
      </c>
      <c r="G68">
        <v>31</v>
      </c>
      <c r="H68">
        <v>2</v>
      </c>
      <c r="I68">
        <v>0</v>
      </c>
      <c r="J68" s="248">
        <v>43532.496788284894</v>
      </c>
      <c r="K68" s="247">
        <f>SUM([2]!Table323[[#This Row],[Single Family ]:[&gt;4 Units ]])</f>
        <v>9</v>
      </c>
      <c r="L68" s="249">
        <v>8</v>
      </c>
      <c r="M68" s="249">
        <v>1</v>
      </c>
      <c r="N68" s="249">
        <v>0</v>
      </c>
      <c r="O68" s="250">
        <f>[2]!Table323[[#This Row],[Incentive Disbursements]]-[2]!Table323[[#This Row],[Incentives]]</f>
        <v>21140.002842097965</v>
      </c>
      <c r="P68" s="158">
        <f>VLOOKUP(Table3236[[#This Row],[Census Tract]],'Population and Diversity Data'!$B$2:$K$823,10,FALSE)</f>
        <v>2</v>
      </c>
      <c r="Q68" s="159" t="str">
        <f>VLOOKUP(Table3236[[#This Row],[Census Tract]],'UI EnergyBurden'!$A$2:$B$184,2,FALSE)</f>
        <v>No</v>
      </c>
    </row>
    <row r="69" spans="1:17" x14ac:dyDescent="0.2">
      <c r="A69" s="38">
        <v>9009120200</v>
      </c>
      <c r="B69" s="38" t="s">
        <v>2992</v>
      </c>
      <c r="C69" s="244" t="s">
        <v>944</v>
      </c>
      <c r="D69" s="245">
        <v>98942.964100000099</v>
      </c>
      <c r="E69" s="246">
        <v>30463.684920785367</v>
      </c>
      <c r="F69" s="247">
        <f>[2]!Table323[[#This Row],[Single Family]]+[2]!Table323[[#This Row],[2-4 Units]]+[2]!Table323[[#This Row],[&gt;4 Units]]</f>
        <v>15</v>
      </c>
      <c r="G69">
        <v>10</v>
      </c>
      <c r="H69">
        <v>5</v>
      </c>
      <c r="I69">
        <v>0</v>
      </c>
      <c r="J69" s="248">
        <v>15961.190811798711</v>
      </c>
      <c r="K69" s="247">
        <f>SUM([2]!Table323[[#This Row],[Single Family ]:[&gt;4 Units ]])</f>
        <v>9</v>
      </c>
      <c r="L69" s="249">
        <v>3</v>
      </c>
      <c r="M69" s="249">
        <v>6</v>
      </c>
      <c r="N69" s="249">
        <v>0</v>
      </c>
      <c r="O69" s="250">
        <f>[2]!Table323[[#This Row],[Incentive Disbursements]]-[2]!Table323[[#This Row],[Incentives]]</f>
        <v>14502.494108986655</v>
      </c>
      <c r="P69" s="158">
        <f>VLOOKUP(Table3236[[#This Row],[Census Tract]],'Population and Diversity Data'!$B$2:$K$823,10,FALSE)</f>
        <v>4</v>
      </c>
      <c r="Q69" s="159" t="str">
        <f>VLOOKUP(Table3236[[#This Row],[Census Tract]],'UI EnergyBurden'!$A$2:$B$184,2,FALSE)</f>
        <v>Yes</v>
      </c>
    </row>
    <row r="70" spans="1:17" x14ac:dyDescent="0.2">
      <c r="A70" s="38">
        <v>9009125100</v>
      </c>
      <c r="B70" s="38" t="s">
        <v>2992</v>
      </c>
      <c r="C70" s="244" t="s">
        <v>944</v>
      </c>
      <c r="D70" s="245">
        <v>700.05820000000006</v>
      </c>
      <c r="E70" s="246">
        <v>0</v>
      </c>
      <c r="F70" s="247">
        <f>[2]!Table323[[#This Row],[Single Family]]+[2]!Table323[[#This Row],[2-4 Units]]+[2]!Table323[[#This Row],[&gt;4 Units]]</f>
        <v>0</v>
      </c>
      <c r="J70" s="248">
        <v>0</v>
      </c>
      <c r="K70" s="247">
        <f>SUM([2]!Table323[[#This Row],[Single Family ]:[&gt;4 Units ]])</f>
        <v>0</v>
      </c>
      <c r="L70" s="249"/>
      <c r="M70" s="249"/>
      <c r="N70" s="249"/>
      <c r="O70" s="250">
        <f>[2]!Table323[[#This Row],[Incentive Disbursements]]-[2]!Table323[[#This Row],[Incentives]]</f>
        <v>0</v>
      </c>
      <c r="P70" s="158">
        <f>VLOOKUP(Table3236[[#This Row],[Census Tract]],'Population and Diversity Data'!$B$2:$K$823,10,FALSE)</f>
        <v>1</v>
      </c>
      <c r="Q70" s="159" t="str">
        <f>VLOOKUP(Table3236[[#This Row],[Census Tract]],'UI EnergyBurden'!$A$2:$B$184,2,FALSE)</f>
        <v>No</v>
      </c>
    </row>
    <row r="71" spans="1:17" x14ac:dyDescent="0.2">
      <c r="A71" s="38">
        <v>9009125300</v>
      </c>
      <c r="B71" s="38" t="s">
        <v>2994</v>
      </c>
      <c r="C71" s="244" t="s">
        <v>936</v>
      </c>
      <c r="D71" s="245">
        <v>0</v>
      </c>
      <c r="E71" s="246">
        <v>409.26801905976697</v>
      </c>
      <c r="F71" s="247">
        <f>[2]!Table323[[#This Row],[Single Family]]+[2]!Table323[[#This Row],[2-4 Units]]+[2]!Table323[[#This Row],[&gt;4 Units]]</f>
        <v>0</v>
      </c>
      <c r="J71" s="248">
        <v>409.26801905976697</v>
      </c>
      <c r="K71" s="247">
        <f>SUM([2]!Table323[[#This Row],[Single Family ]:[&gt;4 Units ]])</f>
        <v>0</v>
      </c>
      <c r="L71" s="249"/>
      <c r="M71" s="249"/>
      <c r="N71" s="249"/>
      <c r="O71" s="250">
        <f>[2]!Table323[[#This Row],[Incentive Disbursements]]-[2]!Table323[[#This Row],[Incentives]]</f>
        <v>0</v>
      </c>
      <c r="P71" s="158">
        <f>VLOOKUP(Table3236[[#This Row],[Census Tract]],'Population and Diversity Data'!$B$2:$K$823,10,FALSE)</f>
        <v>5</v>
      </c>
      <c r="Q71" s="159" t="str">
        <f>VLOOKUP(Table3236[[#This Row],[Census Tract]],'UI EnergyBurden'!$A$2:$B$184,2,FALSE)</f>
        <v>No</v>
      </c>
    </row>
    <row r="72" spans="1:17" x14ac:dyDescent="0.2">
      <c r="A72" s="38">
        <v>9009130200</v>
      </c>
      <c r="B72" s="38" t="s">
        <v>2992</v>
      </c>
      <c r="C72" s="244" t="s">
        <v>944</v>
      </c>
      <c r="D72" s="245">
        <v>128.1962</v>
      </c>
      <c r="E72" s="246">
        <v>0</v>
      </c>
      <c r="F72" s="247">
        <f>[2]!Table323[[#This Row],[Single Family]]+[2]!Table323[[#This Row],[2-4 Units]]+[2]!Table323[[#This Row],[&gt;4 Units]]</f>
        <v>0</v>
      </c>
      <c r="J72" s="248">
        <v>0</v>
      </c>
      <c r="K72" s="247">
        <f>SUM([2]!Table323[[#This Row],[Single Family ]:[&gt;4 Units ]])</f>
        <v>0</v>
      </c>
      <c r="L72" s="249"/>
      <c r="M72" s="249"/>
      <c r="N72" s="249"/>
      <c r="O72" s="250">
        <f>[2]!Table323[[#This Row],[Incentive Disbursements]]-[2]!Table323[[#This Row],[Incentives]]</f>
        <v>0</v>
      </c>
      <c r="P72" s="158">
        <f>VLOOKUP(Table3236[[#This Row],[Census Tract]],'Population and Diversity Data'!$B$2:$K$823,10,FALSE)</f>
        <v>3</v>
      </c>
      <c r="Q72" s="159" t="str">
        <f>VLOOKUP(Table3236[[#This Row],[Census Tract]],'UI EnergyBurden'!$A$2:$B$184,2,FALSE)</f>
        <v>No</v>
      </c>
    </row>
    <row r="73" spans="1:17" x14ac:dyDescent="0.2">
      <c r="A73" s="38">
        <v>9009157300</v>
      </c>
      <c r="B73" s="38" t="s">
        <v>2992</v>
      </c>
      <c r="C73" s="244" t="s">
        <v>944</v>
      </c>
      <c r="D73" s="245">
        <v>7500.3773000000001</v>
      </c>
      <c r="E73" s="246">
        <v>9929.3823761751064</v>
      </c>
      <c r="F73" s="247">
        <f>[2]!Table323[[#This Row],[Single Family]]+[2]!Table323[[#This Row],[2-4 Units]]+[2]!Table323[[#This Row],[&gt;4 Units]]</f>
        <v>5</v>
      </c>
      <c r="G73">
        <v>4</v>
      </c>
      <c r="H73">
        <v>1</v>
      </c>
      <c r="I73">
        <v>0</v>
      </c>
      <c r="J73" s="248">
        <v>9929.3823761751064</v>
      </c>
      <c r="K73" s="247">
        <f>SUM([2]!Table323[[#This Row],[Single Family ]:[&gt;4 Units ]])</f>
        <v>0</v>
      </c>
      <c r="L73" s="249"/>
      <c r="M73" s="249"/>
      <c r="N73" s="249"/>
      <c r="O73" s="250">
        <f>[2]!Table323[[#This Row],[Incentive Disbursements]]-[2]!Table323[[#This Row],[Incentives]]</f>
        <v>0</v>
      </c>
      <c r="P73" s="158">
        <f>VLOOKUP(Table3236[[#This Row],[Census Tract]],'Population and Diversity Data'!$B$2:$K$823,10,FALSE)</f>
        <v>3</v>
      </c>
      <c r="Q73" s="159" t="str">
        <f>VLOOKUP(Table3236[[#This Row],[Census Tract]],'UI EnergyBurden'!$A$2:$B$184,2,FALSE)</f>
        <v>No</v>
      </c>
    </row>
    <row r="74" spans="1:17" x14ac:dyDescent="0.2">
      <c r="A74" s="38">
        <v>9009140800</v>
      </c>
      <c r="B74" s="38" t="s">
        <v>2997</v>
      </c>
      <c r="C74" s="244" t="s">
        <v>936</v>
      </c>
      <c r="D74" s="245">
        <v>0</v>
      </c>
      <c r="E74" s="246">
        <v>186.36376906745218</v>
      </c>
      <c r="F74" s="247">
        <f>[2]!Table323[[#This Row],[Single Family]]+[2]!Table323[[#This Row],[2-4 Units]]+[2]!Table323[[#This Row],[&gt;4 Units]]</f>
        <v>0</v>
      </c>
      <c r="J74" s="248">
        <v>186.36376906745218</v>
      </c>
      <c r="K74" s="247">
        <f>SUM([2]!Table323[[#This Row],[Single Family ]:[&gt;4 Units ]])</f>
        <v>0</v>
      </c>
      <c r="L74" s="249"/>
      <c r="M74" s="249"/>
      <c r="N74" s="249"/>
      <c r="O74" s="250">
        <f>[2]!Table323[[#This Row],[Incentive Disbursements]]-[2]!Table323[[#This Row],[Incentives]]</f>
        <v>0</v>
      </c>
      <c r="P74" s="158">
        <f>VLOOKUP(Table3236[[#This Row],[Census Tract]],'Population and Diversity Data'!$B$2:$K$823,10,FALSE)</f>
        <v>4</v>
      </c>
      <c r="Q74" s="159" t="str">
        <f>VLOOKUP(Table3236[[#This Row],[Census Tract]],'UI EnergyBurden'!$A$2:$B$184,2,FALSE)</f>
        <v>No</v>
      </c>
    </row>
    <row r="75" spans="1:17" x14ac:dyDescent="0.2">
      <c r="A75" s="38">
        <v>9009142300</v>
      </c>
      <c r="B75" s="38" t="s">
        <v>3886</v>
      </c>
      <c r="C75" s="244" t="s">
        <v>936</v>
      </c>
      <c r="D75" s="245">
        <v>0</v>
      </c>
      <c r="E75" s="246">
        <v>0</v>
      </c>
      <c r="F75" s="247">
        <f>[2]!Table323[[#This Row],[Single Family]]+[2]!Table323[[#This Row],[2-4 Units]]+[2]!Table323[[#This Row],[&gt;4 Units]]</f>
        <v>0</v>
      </c>
      <c r="J75" s="248">
        <v>0</v>
      </c>
      <c r="K75" s="247">
        <f>SUM([2]!Table323[[#This Row],[Single Family ]:[&gt;4 Units ]])</f>
        <v>0</v>
      </c>
      <c r="L75" s="249"/>
      <c r="M75" s="249"/>
      <c r="N75" s="249"/>
      <c r="O75" s="250">
        <f>[2]!Table323[[#This Row],[Incentive Disbursements]]-[2]!Table323[[#This Row],[Incentives]]</f>
        <v>0</v>
      </c>
      <c r="P75" s="158">
        <f>VLOOKUP(Table3236[[#This Row],[Census Tract]],'Population and Diversity Data'!$B$2:$K$823,10,FALSE)</f>
        <v>5</v>
      </c>
      <c r="Q75" s="159" t="str">
        <f>VLOOKUP(Table3236[[#This Row],[Census Tract]],'UI EnergyBurden'!$A$2:$B$184,2,FALSE)</f>
        <v>Yes</v>
      </c>
    </row>
    <row r="76" spans="1:17" x14ac:dyDescent="0.2">
      <c r="A76" s="38">
        <v>9009142601</v>
      </c>
      <c r="B76" s="38" t="s">
        <v>2997</v>
      </c>
      <c r="C76" s="244" t="s">
        <v>944</v>
      </c>
      <c r="D76" s="245">
        <v>67.625799999999998</v>
      </c>
      <c r="E76" s="246">
        <v>0</v>
      </c>
      <c r="F76" s="247">
        <f>[2]!Table323[[#This Row],[Single Family]]+[2]!Table323[[#This Row],[2-4 Units]]+[2]!Table323[[#This Row],[&gt;4 Units]]</f>
        <v>0</v>
      </c>
      <c r="J76" s="248">
        <v>0</v>
      </c>
      <c r="K76" s="247">
        <f>SUM([2]!Table323[[#This Row],[Single Family ]:[&gt;4 Units ]])</f>
        <v>0</v>
      </c>
      <c r="L76" s="249"/>
      <c r="M76" s="249"/>
      <c r="N76" s="249"/>
      <c r="O76" s="250">
        <f>[2]!Table323[[#This Row],[Incentive Disbursements]]-[2]!Table323[[#This Row],[Incentives]]</f>
        <v>0</v>
      </c>
      <c r="P76" s="158">
        <f>VLOOKUP(Table3236[[#This Row],[Census Tract]],'Population and Diversity Data'!$B$2:$K$823,10,FALSE)</f>
        <v>5</v>
      </c>
      <c r="Q76" s="159" t="str">
        <f>VLOOKUP(Table3236[[#This Row],[Census Tract]],'UI EnergyBurden'!$A$2:$B$184,2,FALSE)</f>
        <v>No</v>
      </c>
    </row>
    <row r="77" spans="1:17" x14ac:dyDescent="0.2">
      <c r="A77" s="38">
        <v>9009142603</v>
      </c>
      <c r="B77" s="38" t="s">
        <v>2997</v>
      </c>
      <c r="C77" s="244" t="s">
        <v>936</v>
      </c>
      <c r="D77" s="245">
        <v>0</v>
      </c>
      <c r="E77" s="246">
        <v>0</v>
      </c>
      <c r="F77" s="247">
        <f>[2]!Table323[[#This Row],[Single Family]]+[2]!Table323[[#This Row],[2-4 Units]]+[2]!Table323[[#This Row],[&gt;4 Units]]</f>
        <v>0</v>
      </c>
      <c r="J77" s="248">
        <v>0</v>
      </c>
      <c r="K77" s="247">
        <f>SUM([2]!Table323[[#This Row],[Single Family ]:[&gt;4 Units ]])</f>
        <v>0</v>
      </c>
      <c r="L77" s="249"/>
      <c r="M77" s="249"/>
      <c r="N77" s="249"/>
      <c r="O77" s="250">
        <f>[2]!Table323[[#This Row],[Incentive Disbursements]]-[2]!Table323[[#This Row],[Incentives]]</f>
        <v>0</v>
      </c>
      <c r="P77" s="158">
        <f>VLOOKUP(Table3236[[#This Row],[Census Tract]],'Population and Diversity Data'!$B$2:$K$823,10,FALSE)</f>
        <v>5</v>
      </c>
      <c r="Q77" s="159" t="str">
        <f>VLOOKUP(Table3236[[#This Row],[Census Tract]],'UI EnergyBurden'!$A$2:$B$184,2,FALSE)</f>
        <v>No</v>
      </c>
    </row>
    <row r="78" spans="1:17" x14ac:dyDescent="0.2">
      <c r="A78" s="38">
        <v>9009142604</v>
      </c>
      <c r="B78" s="38" t="s">
        <v>2997</v>
      </c>
      <c r="C78" s="244" t="s">
        <v>944</v>
      </c>
      <c r="D78" s="245">
        <v>588.71630000000005</v>
      </c>
      <c r="E78" s="246">
        <v>0</v>
      </c>
      <c r="F78" s="247">
        <f>[2]!Table323[[#This Row],[Single Family]]+[2]!Table323[[#This Row],[2-4 Units]]+[2]!Table323[[#This Row],[&gt;4 Units]]</f>
        <v>0</v>
      </c>
      <c r="J78" s="248">
        <v>0</v>
      </c>
      <c r="K78" s="247">
        <f>SUM([2]!Table323[[#This Row],[Single Family ]:[&gt;4 Units ]])</f>
        <v>0</v>
      </c>
      <c r="L78" s="249"/>
      <c r="M78" s="249"/>
      <c r="N78" s="249"/>
      <c r="O78" s="250">
        <f>[2]!Table323[[#This Row],[Incentive Disbursements]]-[2]!Table323[[#This Row],[Incentives]]</f>
        <v>0</v>
      </c>
      <c r="P78" s="158">
        <f>VLOOKUP(Table3236[[#This Row],[Census Tract]],'Population and Diversity Data'!$B$2:$K$823,10,FALSE)</f>
        <v>4</v>
      </c>
      <c r="Q78" s="159" t="str">
        <f>VLOOKUP(Table3236[[#This Row],[Census Tract]],'UI EnergyBurden'!$A$2:$B$184,2,FALSE)</f>
        <v>No</v>
      </c>
    </row>
    <row r="79" spans="1:17" x14ac:dyDescent="0.2">
      <c r="A79" s="38">
        <v>9009142700</v>
      </c>
      <c r="B79" s="38" t="s">
        <v>2997</v>
      </c>
      <c r="C79" s="244" t="s">
        <v>944</v>
      </c>
      <c r="D79" s="245">
        <v>752.1549</v>
      </c>
      <c r="E79" s="246">
        <v>0</v>
      </c>
      <c r="F79" s="247">
        <f>[2]!Table323[[#This Row],[Single Family]]+[2]!Table323[[#This Row],[2-4 Units]]+[2]!Table323[[#This Row],[&gt;4 Units]]</f>
        <v>0</v>
      </c>
      <c r="J79" s="248">
        <v>0</v>
      </c>
      <c r="K79" s="247">
        <f>SUM([2]!Table323[[#This Row],[Single Family ]:[&gt;4 Units ]])</f>
        <v>0</v>
      </c>
      <c r="L79" s="249"/>
      <c r="M79" s="249"/>
      <c r="N79" s="249"/>
      <c r="O79" s="250">
        <f>[2]!Table323[[#This Row],[Incentive Disbursements]]-[2]!Table323[[#This Row],[Incentives]]</f>
        <v>0</v>
      </c>
      <c r="P79" s="158">
        <f>VLOOKUP(Table3236[[#This Row],[Census Tract]],'Population and Diversity Data'!$B$2:$K$823,10,FALSE)</f>
        <v>5</v>
      </c>
      <c r="Q79" s="159" t="str">
        <f>VLOOKUP(Table3236[[#This Row],[Census Tract]],'UI EnergyBurden'!$A$2:$B$184,2,FALSE)</f>
        <v>Yes</v>
      </c>
    </row>
    <row r="80" spans="1:17" x14ac:dyDescent="0.2">
      <c r="A80" s="38">
        <v>9009142800</v>
      </c>
      <c r="B80" s="38" t="s">
        <v>2997</v>
      </c>
      <c r="C80" s="244" t="s">
        <v>944</v>
      </c>
      <c r="D80" s="245">
        <v>897.51229999999998</v>
      </c>
      <c r="E80" s="246">
        <v>831.41960029237703</v>
      </c>
      <c r="F80" s="247">
        <f>[2]!Table323[[#This Row],[Single Family]]+[2]!Table323[[#This Row],[2-4 Units]]+[2]!Table323[[#This Row],[&gt;4 Units]]</f>
        <v>0</v>
      </c>
      <c r="J80" s="248">
        <v>0</v>
      </c>
      <c r="K80" s="247">
        <f>SUM([2]!Table323[[#This Row],[Single Family ]:[&gt;4 Units ]])</f>
        <v>1</v>
      </c>
      <c r="L80" s="249">
        <v>0</v>
      </c>
      <c r="M80" s="249">
        <v>1</v>
      </c>
      <c r="N80" s="249">
        <v>0</v>
      </c>
      <c r="O80" s="250">
        <f>[2]!Table323[[#This Row],[Incentive Disbursements]]-[2]!Table323[[#This Row],[Incentives]]</f>
        <v>831.41960029237703</v>
      </c>
      <c r="P80" s="158">
        <f>VLOOKUP(Table3236[[#This Row],[Census Tract]],'Population and Diversity Data'!$B$2:$K$823,10,FALSE)</f>
        <v>3</v>
      </c>
      <c r="Q80" s="159" t="str">
        <f>VLOOKUP(Table3236[[#This Row],[Census Tract]],'UI EnergyBurden'!$A$2:$B$184,2,FALSE)</f>
        <v>No</v>
      </c>
    </row>
    <row r="81" spans="1:17" x14ac:dyDescent="0.2">
      <c r="A81" s="38">
        <v>9009154100</v>
      </c>
      <c r="B81" s="38" t="s">
        <v>3886</v>
      </c>
      <c r="C81" s="244" t="s">
        <v>944</v>
      </c>
      <c r="D81" s="245">
        <v>88.630099999999999</v>
      </c>
      <c r="E81" s="246">
        <v>0</v>
      </c>
      <c r="F81" s="247">
        <f>[2]!Table323[[#This Row],[Single Family]]+[2]!Table323[[#This Row],[2-4 Units]]+[2]!Table323[[#This Row],[&gt;4 Units]]</f>
        <v>0</v>
      </c>
      <c r="J81" s="248">
        <v>0</v>
      </c>
      <c r="K81" s="247">
        <f>SUM([2]!Table323[[#This Row],[Single Family ]:[&gt;4 Units ]])</f>
        <v>0</v>
      </c>
      <c r="L81" s="249"/>
      <c r="M81" s="249"/>
      <c r="N81" s="249"/>
      <c r="O81" s="250">
        <f>[2]!Table323[[#This Row],[Incentive Disbursements]]-[2]!Table323[[#This Row],[Incentives]]</f>
        <v>0</v>
      </c>
      <c r="P81" s="158">
        <f>VLOOKUP(Table3236[[#This Row],[Census Tract]],'Population and Diversity Data'!$B$2:$K$823,10,FALSE)</f>
        <v>4</v>
      </c>
      <c r="Q81" s="159" t="str">
        <f>VLOOKUP(Table3236[[#This Row],[Census Tract]],'UI EnergyBurden'!$A$2:$B$184,2,FALSE)</f>
        <v>No</v>
      </c>
    </row>
    <row r="82" spans="1:17" x14ac:dyDescent="0.2">
      <c r="A82" s="38">
        <v>9009154200</v>
      </c>
      <c r="B82" s="38" t="s">
        <v>2997</v>
      </c>
      <c r="C82" s="244" t="s">
        <v>944</v>
      </c>
      <c r="D82" s="245">
        <v>546.85829999999999</v>
      </c>
      <c r="E82" s="246">
        <v>0</v>
      </c>
      <c r="F82" s="247">
        <f>[2]!Table323[[#This Row],[Single Family]]+[2]!Table323[[#This Row],[2-4 Units]]+[2]!Table323[[#This Row],[&gt;4 Units]]</f>
        <v>0</v>
      </c>
      <c r="J82" s="248">
        <v>0</v>
      </c>
      <c r="K82" s="247">
        <f>SUM([2]!Table323[[#This Row],[Single Family ]:[&gt;4 Units ]])</f>
        <v>0</v>
      </c>
      <c r="L82" s="249"/>
      <c r="M82" s="249"/>
      <c r="N82" s="249"/>
      <c r="O82" s="250">
        <f>[2]!Table323[[#This Row],[Incentive Disbursements]]-[2]!Table323[[#This Row],[Incentives]]</f>
        <v>0</v>
      </c>
      <c r="P82" s="158">
        <f>VLOOKUP(Table3236[[#This Row],[Census Tract]],'Population and Diversity Data'!$B$2:$K$823,10,FALSE)</f>
        <v>4</v>
      </c>
      <c r="Q82" s="159" t="str">
        <f>VLOOKUP(Table3236[[#This Row],[Census Tract]],'UI EnergyBurden'!$A$2:$B$184,2,FALSE)</f>
        <v>No</v>
      </c>
    </row>
    <row r="83" spans="1:17" x14ac:dyDescent="0.2">
      <c r="A83" s="38">
        <v>9009154500</v>
      </c>
      <c r="B83" s="38" t="s">
        <v>2997</v>
      </c>
      <c r="C83" s="244" t="s">
        <v>936</v>
      </c>
      <c r="D83" s="245">
        <v>645.16579999999999</v>
      </c>
      <c r="E83" s="246">
        <v>0</v>
      </c>
      <c r="F83" s="247">
        <f>[2]!Table323[[#This Row],[Single Family]]+[2]!Table323[[#This Row],[2-4 Units]]+[2]!Table323[[#This Row],[&gt;4 Units]]</f>
        <v>0</v>
      </c>
      <c r="J83" s="248">
        <v>0</v>
      </c>
      <c r="K83" s="247">
        <f>SUM([2]!Table323[[#This Row],[Single Family ]:[&gt;4 Units ]])</f>
        <v>0</v>
      </c>
      <c r="L83" s="249"/>
      <c r="M83" s="249"/>
      <c r="N83" s="249"/>
      <c r="O83" s="250">
        <f>[2]!Table323[[#This Row],[Incentive Disbursements]]-[2]!Table323[[#This Row],[Incentives]]</f>
        <v>0</v>
      </c>
      <c r="P83" s="158">
        <f>VLOOKUP(Table3236[[#This Row],[Census Tract]],'Population and Diversity Data'!$B$2:$K$823,10,FALSE)</f>
        <v>4</v>
      </c>
      <c r="Q83" s="159" t="str">
        <f>VLOOKUP(Table3236[[#This Row],[Census Tract]],'UI EnergyBurden'!$A$2:$B$184,2,FALSE)</f>
        <v>No</v>
      </c>
    </row>
    <row r="84" spans="1:17" x14ac:dyDescent="0.2">
      <c r="A84" s="38">
        <v>9009154600</v>
      </c>
      <c r="B84" s="38" t="s">
        <v>2997</v>
      </c>
      <c r="C84" s="244" t="s">
        <v>944</v>
      </c>
      <c r="D84" s="245">
        <v>123.0565</v>
      </c>
      <c r="E84" s="246">
        <v>0</v>
      </c>
      <c r="F84" s="247">
        <f>[2]!Table323[[#This Row],[Single Family]]+[2]!Table323[[#This Row],[2-4 Units]]+[2]!Table323[[#This Row],[&gt;4 Units]]</f>
        <v>0</v>
      </c>
      <c r="J84" s="248">
        <v>0</v>
      </c>
      <c r="K84" s="247">
        <f>SUM([2]!Table323[[#This Row],[Single Family ]:[&gt;4 Units ]])</f>
        <v>0</v>
      </c>
      <c r="L84" s="249"/>
      <c r="M84" s="249"/>
      <c r="N84" s="249"/>
      <c r="O84" s="250">
        <f>[2]!Table323[[#This Row],[Incentive Disbursements]]-[2]!Table323[[#This Row],[Incentives]]</f>
        <v>0</v>
      </c>
      <c r="P84" s="158">
        <f>VLOOKUP(Table3236[[#This Row],[Census Tract]],'Population and Diversity Data'!$B$2:$K$823,10,FALSE)</f>
        <v>5</v>
      </c>
      <c r="Q84" s="159" t="str">
        <f>VLOOKUP(Table3236[[#This Row],[Census Tract]],'UI EnergyBurden'!$A$2:$B$184,2,FALSE)</f>
        <v>No</v>
      </c>
    </row>
    <row r="85" spans="1:17" x14ac:dyDescent="0.2">
      <c r="A85" s="38">
        <v>9009154800</v>
      </c>
      <c r="B85" s="38" t="s">
        <v>2997</v>
      </c>
      <c r="C85" s="244" t="s">
        <v>944</v>
      </c>
      <c r="D85" s="245">
        <v>147.84030000000001</v>
      </c>
      <c r="E85" s="246">
        <v>0</v>
      </c>
      <c r="F85" s="247">
        <f>[2]!Table323[[#This Row],[Single Family]]+[2]!Table323[[#This Row],[2-4 Units]]+[2]!Table323[[#This Row],[&gt;4 Units]]</f>
        <v>0</v>
      </c>
      <c r="J85" s="248">
        <v>0</v>
      </c>
      <c r="K85" s="247">
        <f>SUM([2]!Table323[[#This Row],[Single Family ]:[&gt;4 Units ]])</f>
        <v>0</v>
      </c>
      <c r="L85" s="249"/>
      <c r="M85" s="249"/>
      <c r="N85" s="249"/>
      <c r="O85" s="250">
        <f>[2]!Table323[[#This Row],[Incentive Disbursements]]-[2]!Table323[[#This Row],[Incentives]]</f>
        <v>0</v>
      </c>
      <c r="P85" s="158">
        <f>VLOOKUP(Table3236[[#This Row],[Census Tract]],'Population and Diversity Data'!$B$2:$K$823,10,FALSE)</f>
        <v>2</v>
      </c>
      <c r="Q85" s="159" t="str">
        <f>VLOOKUP(Table3236[[#This Row],[Census Tract]],'UI EnergyBurden'!$A$2:$B$184,2,FALSE)</f>
        <v>No</v>
      </c>
    </row>
    <row r="86" spans="1:17" x14ac:dyDescent="0.2">
      <c r="A86" s="38">
        <v>9009154900</v>
      </c>
      <c r="B86" s="38" t="s">
        <v>2997</v>
      </c>
      <c r="C86" s="244" t="s">
        <v>944</v>
      </c>
      <c r="D86" s="245">
        <v>40.914700000000003</v>
      </c>
      <c r="E86" s="246">
        <v>0</v>
      </c>
      <c r="F86" s="247">
        <f>[2]!Table323[[#This Row],[Single Family]]+[2]!Table323[[#This Row],[2-4 Units]]+[2]!Table323[[#This Row],[&gt;4 Units]]</f>
        <v>0</v>
      </c>
      <c r="J86" s="248">
        <v>0</v>
      </c>
      <c r="K86" s="247">
        <f>SUM([2]!Table323[[#This Row],[Single Family ]:[&gt;4 Units ]])</f>
        <v>0</v>
      </c>
      <c r="L86" s="249"/>
      <c r="M86" s="249"/>
      <c r="N86" s="249"/>
      <c r="O86" s="250">
        <f>[2]!Table323[[#This Row],[Incentive Disbursements]]-[2]!Table323[[#This Row],[Incentives]]</f>
        <v>0</v>
      </c>
      <c r="P86" s="158">
        <f>VLOOKUP(Table3236[[#This Row],[Census Tract]],'Population and Diversity Data'!$B$2:$K$823,10,FALSE)</f>
        <v>2</v>
      </c>
      <c r="Q86" s="159" t="str">
        <f>VLOOKUP(Table3236[[#This Row],[Census Tract]],'UI EnergyBurden'!$A$2:$B$184,2,FALSE)</f>
        <v>No</v>
      </c>
    </row>
    <row r="87" spans="1:17" x14ac:dyDescent="0.2">
      <c r="A87" s="38">
        <v>9009155000</v>
      </c>
      <c r="B87" s="38" t="s">
        <v>2997</v>
      </c>
      <c r="C87" s="244" t="s">
        <v>944</v>
      </c>
      <c r="D87" s="245">
        <v>151.34780000000001</v>
      </c>
      <c r="E87" s="246">
        <v>0</v>
      </c>
      <c r="F87" s="247">
        <f>[2]!Table323[[#This Row],[Single Family]]+[2]!Table323[[#This Row],[2-4 Units]]+[2]!Table323[[#This Row],[&gt;4 Units]]</f>
        <v>0</v>
      </c>
      <c r="J87" s="248">
        <v>0</v>
      </c>
      <c r="K87" s="247">
        <f>SUM([2]!Table323[[#This Row],[Single Family ]:[&gt;4 Units ]])</f>
        <v>0</v>
      </c>
      <c r="L87" s="249"/>
      <c r="M87" s="249"/>
      <c r="N87" s="249"/>
      <c r="O87" s="250">
        <f>[2]!Table323[[#This Row],[Incentive Disbursements]]-[2]!Table323[[#This Row],[Incentives]]</f>
        <v>0</v>
      </c>
      <c r="P87" s="158">
        <f>VLOOKUP(Table3236[[#This Row],[Census Tract]],'Population and Diversity Data'!$B$2:$K$823,10,FALSE)</f>
        <v>5</v>
      </c>
      <c r="Q87" s="159" t="str">
        <f>VLOOKUP(Table3236[[#This Row],[Census Tract]],'UI EnergyBurden'!$A$2:$B$184,2,FALSE)</f>
        <v>No</v>
      </c>
    </row>
    <row r="88" spans="1:17" x14ac:dyDescent="0.2">
      <c r="A88" s="38">
        <v>9009155100</v>
      </c>
      <c r="B88" s="38" t="s">
        <v>2997</v>
      </c>
      <c r="C88" s="244" t="s">
        <v>936</v>
      </c>
      <c r="D88" s="245">
        <v>102.4053</v>
      </c>
      <c r="E88" s="246">
        <v>0</v>
      </c>
      <c r="F88" s="247">
        <f>[2]!Table323[[#This Row],[Single Family]]+[2]!Table323[[#This Row],[2-4 Units]]+[2]!Table323[[#This Row],[&gt;4 Units]]</f>
        <v>0</v>
      </c>
      <c r="J88" s="248">
        <v>0</v>
      </c>
      <c r="K88" s="247">
        <f>SUM([2]!Table323[[#This Row],[Single Family ]:[&gt;4 Units ]])</f>
        <v>0</v>
      </c>
      <c r="L88" s="249"/>
      <c r="M88" s="249"/>
      <c r="N88" s="249"/>
      <c r="O88" s="250">
        <f>[2]!Table323[[#This Row],[Incentive Disbursements]]-[2]!Table323[[#This Row],[Incentives]]</f>
        <v>0</v>
      </c>
      <c r="P88" s="158">
        <f>VLOOKUP(Table3236[[#This Row],[Census Tract]],'Population and Diversity Data'!$B$2:$K$823,10,FALSE)</f>
        <v>4</v>
      </c>
      <c r="Q88" s="159" t="str">
        <f>VLOOKUP(Table3236[[#This Row],[Census Tract]],'UI EnergyBurden'!$A$2:$B$184,2,FALSE)</f>
        <v>No</v>
      </c>
    </row>
    <row r="89" spans="1:17" x14ac:dyDescent="0.2">
      <c r="A89" s="38">
        <v>9009167201</v>
      </c>
      <c r="B89" s="38" t="s">
        <v>2997</v>
      </c>
      <c r="C89" s="244" t="s">
        <v>944</v>
      </c>
      <c r="D89" s="245">
        <v>0</v>
      </c>
      <c r="E89" s="246">
        <v>0</v>
      </c>
      <c r="F89" s="247">
        <f>[2]!Table323[[#This Row],[Single Family]]+[2]!Table323[[#This Row],[2-4 Units]]+[2]!Table323[[#This Row],[&gt;4 Units]]</f>
        <v>0</v>
      </c>
      <c r="J89" s="248">
        <v>0</v>
      </c>
      <c r="K89" s="247">
        <f>SUM([2]!Table323[[#This Row],[Single Family ]:[&gt;4 Units ]])</f>
        <v>0</v>
      </c>
      <c r="L89" s="249"/>
      <c r="M89" s="249"/>
      <c r="N89" s="249"/>
      <c r="O89" s="250">
        <f>[2]!Table323[[#This Row],[Incentive Disbursements]]-[2]!Table323[[#This Row],[Incentives]]</f>
        <v>0</v>
      </c>
      <c r="P89" s="158">
        <f>VLOOKUP(Table3236[[#This Row],[Census Tract]],'Population and Diversity Data'!$B$2:$K$823,10,FALSE)</f>
        <v>2</v>
      </c>
      <c r="Q89" s="159" t="str">
        <f>VLOOKUP(Table3236[[#This Row],[Census Tract]],'UI EnergyBurden'!$A$2:$B$184,2,FALSE)</f>
        <v>No</v>
      </c>
    </row>
    <row r="90" spans="1:17" x14ac:dyDescent="0.2">
      <c r="A90" s="38">
        <v>9009167202</v>
      </c>
      <c r="B90" s="38" t="s">
        <v>2997</v>
      </c>
      <c r="C90" s="244" t="s">
        <v>944</v>
      </c>
      <c r="D90" s="245">
        <v>34.721600000000002</v>
      </c>
      <c r="E90" s="246">
        <v>0</v>
      </c>
      <c r="F90" s="247">
        <f>[2]!Table323[[#This Row],[Single Family]]+[2]!Table323[[#This Row],[2-4 Units]]+[2]!Table323[[#This Row],[&gt;4 Units]]</f>
        <v>0</v>
      </c>
      <c r="J90" s="248">
        <v>0</v>
      </c>
      <c r="K90" s="247">
        <f>SUM([2]!Table323[[#This Row],[Single Family ]:[&gt;4 Units ]])</f>
        <v>0</v>
      </c>
      <c r="L90" s="249"/>
      <c r="M90" s="249"/>
      <c r="N90" s="249"/>
      <c r="O90" s="250">
        <f>[2]!Table323[[#This Row],[Incentive Disbursements]]-[2]!Table323[[#This Row],[Incentives]]</f>
        <v>0</v>
      </c>
      <c r="P90" s="158">
        <f>VLOOKUP(Table3236[[#This Row],[Census Tract]],'Population and Diversity Data'!$B$2:$K$823,10,FALSE)</f>
        <v>4</v>
      </c>
      <c r="Q90" s="159" t="str">
        <f>VLOOKUP(Table3236[[#This Row],[Census Tract]],'UI EnergyBurden'!$A$2:$B$184,2,FALSE)</f>
        <v>No</v>
      </c>
    </row>
    <row r="91" spans="1:17" x14ac:dyDescent="0.2">
      <c r="A91" s="38">
        <v>9009167300</v>
      </c>
      <c r="B91" s="38" t="s">
        <v>2997</v>
      </c>
      <c r="C91" s="244" t="s">
        <v>944</v>
      </c>
      <c r="D91" s="245">
        <v>442.22449999999998</v>
      </c>
      <c r="E91" s="246">
        <v>0</v>
      </c>
      <c r="F91" s="247">
        <f>[2]!Table323[[#This Row],[Single Family]]+[2]!Table323[[#This Row],[2-4 Units]]+[2]!Table323[[#This Row],[&gt;4 Units]]</f>
        <v>0</v>
      </c>
      <c r="J91" s="248">
        <v>0</v>
      </c>
      <c r="K91" s="247">
        <f>SUM([2]!Table323[[#This Row],[Single Family ]:[&gt;4 Units ]])</f>
        <v>0</v>
      </c>
      <c r="L91" s="249"/>
      <c r="M91" s="249"/>
      <c r="N91" s="249"/>
      <c r="O91" s="250">
        <f>[2]!Table323[[#This Row],[Incentive Disbursements]]-[2]!Table323[[#This Row],[Incentives]]</f>
        <v>0</v>
      </c>
      <c r="P91" s="158">
        <f>VLOOKUP(Table3236[[#This Row],[Census Tract]],'Population and Diversity Data'!$B$2:$K$823,10,FALSE)</f>
        <v>2</v>
      </c>
      <c r="Q91" s="159" t="str">
        <f>VLOOKUP(Table3236[[#This Row],[Census Tract]],'UI EnergyBurden'!$A$2:$B$184,2,FALSE)</f>
        <v>No</v>
      </c>
    </row>
    <row r="92" spans="1:17" x14ac:dyDescent="0.2">
      <c r="A92" s="38">
        <v>9009180100</v>
      </c>
      <c r="B92" s="38" t="s">
        <v>2997</v>
      </c>
      <c r="C92" s="244" t="s">
        <v>944</v>
      </c>
      <c r="D92" s="245">
        <v>115517.04399999999</v>
      </c>
      <c r="E92" s="246">
        <v>39829.376708361866</v>
      </c>
      <c r="F92" s="247">
        <f>[2]!Table323[[#This Row],[Single Family]]+[2]!Table323[[#This Row],[2-4 Units]]+[2]!Table323[[#This Row],[&gt;4 Units]]</f>
        <v>26</v>
      </c>
      <c r="G92">
        <v>26</v>
      </c>
      <c r="H92">
        <v>0</v>
      </c>
      <c r="I92">
        <v>0</v>
      </c>
      <c r="J92" s="248">
        <v>25539.358681646943</v>
      </c>
      <c r="K92" s="247">
        <f>SUM([2]!Table323[[#This Row],[Single Family ]:[&gt;4 Units ]])</f>
        <v>7</v>
      </c>
      <c r="L92" s="249">
        <v>6</v>
      </c>
      <c r="M92" s="249">
        <v>1</v>
      </c>
      <c r="N92" s="249">
        <v>0</v>
      </c>
      <c r="O92" s="250">
        <f>[2]!Table323[[#This Row],[Incentive Disbursements]]-[2]!Table323[[#This Row],[Incentives]]</f>
        <v>14290.018026714923</v>
      </c>
      <c r="P92" s="158">
        <f>VLOOKUP(Table3236[[#This Row],[Census Tract]],'Population and Diversity Data'!$B$2:$K$823,10,FALSE)</f>
        <v>5</v>
      </c>
      <c r="Q92" s="159" t="str">
        <f>VLOOKUP(Table3236[[#This Row],[Census Tract]],'UI EnergyBurden'!$A$2:$B$184,2,FALSE)</f>
        <v>No</v>
      </c>
    </row>
    <row r="93" spans="1:17" x14ac:dyDescent="0.2">
      <c r="A93" s="38">
        <v>9009180200</v>
      </c>
      <c r="B93" s="38" t="s">
        <v>2997</v>
      </c>
      <c r="C93" s="244" t="s">
        <v>944</v>
      </c>
      <c r="D93" s="245">
        <v>93038.672899999801</v>
      </c>
      <c r="E93" s="246">
        <v>66112.64872964361</v>
      </c>
      <c r="F93" s="247">
        <f>[2]!Table323[[#This Row],[Single Family]]+[2]!Table323[[#This Row],[2-4 Units]]+[2]!Table323[[#This Row],[&gt;4 Units]]</f>
        <v>43</v>
      </c>
      <c r="G93">
        <v>35</v>
      </c>
      <c r="H93">
        <v>8</v>
      </c>
      <c r="I93">
        <v>0</v>
      </c>
      <c r="J93" s="248">
        <v>35007.23112590237</v>
      </c>
      <c r="K93" s="247">
        <f>SUM([2]!Table323[[#This Row],[Single Family ]:[&gt;4 Units ]])</f>
        <v>15</v>
      </c>
      <c r="L93" s="249">
        <v>14</v>
      </c>
      <c r="M93" s="249">
        <v>1</v>
      </c>
      <c r="N93" s="249">
        <v>0</v>
      </c>
      <c r="O93" s="250">
        <f>[2]!Table323[[#This Row],[Incentive Disbursements]]-[2]!Table323[[#This Row],[Incentives]]</f>
        <v>31105.41760374124</v>
      </c>
      <c r="P93" s="158">
        <f>VLOOKUP(Table3236[[#This Row],[Census Tract]],'Population and Diversity Data'!$B$2:$K$823,10,FALSE)</f>
        <v>5</v>
      </c>
      <c r="Q93" s="159" t="str">
        <f>VLOOKUP(Table3236[[#This Row],[Census Tract]],'UI EnergyBurden'!$A$2:$B$184,2,FALSE)</f>
        <v>No</v>
      </c>
    </row>
    <row r="94" spans="1:17" x14ac:dyDescent="0.2">
      <c r="A94" s="38">
        <v>9009180300</v>
      </c>
      <c r="B94" s="38" t="s">
        <v>2997</v>
      </c>
      <c r="C94" s="244" t="s">
        <v>944</v>
      </c>
      <c r="D94" s="245">
        <v>39263.134100000003</v>
      </c>
      <c r="E94" s="246">
        <v>9805.783841896362</v>
      </c>
      <c r="F94" s="247">
        <f>[2]!Table323[[#This Row],[Single Family]]+[2]!Table323[[#This Row],[2-4 Units]]+[2]!Table323[[#This Row],[&gt;4 Units]]</f>
        <v>8</v>
      </c>
      <c r="G94">
        <v>8</v>
      </c>
      <c r="H94">
        <v>0</v>
      </c>
      <c r="I94">
        <v>0</v>
      </c>
      <c r="J94" s="248">
        <v>2352.4359726168004</v>
      </c>
      <c r="K94" s="247">
        <f>SUM([2]!Table323[[#This Row],[Single Family ]:[&gt;4 Units ]])</f>
        <v>6</v>
      </c>
      <c r="L94" s="249">
        <v>3</v>
      </c>
      <c r="M94" s="249">
        <v>1</v>
      </c>
      <c r="N94" s="249">
        <v>2</v>
      </c>
      <c r="O94" s="250">
        <f>[2]!Table323[[#This Row],[Incentive Disbursements]]-[2]!Table323[[#This Row],[Incentives]]</f>
        <v>7453.3478692795616</v>
      </c>
      <c r="P94" s="158">
        <f>VLOOKUP(Table3236[[#This Row],[Census Tract]],'Population and Diversity Data'!$B$2:$K$823,10,FALSE)</f>
        <v>3</v>
      </c>
      <c r="Q94" s="159" t="str">
        <f>VLOOKUP(Table3236[[#This Row],[Census Tract]],'UI EnergyBurden'!$A$2:$B$184,2,FALSE)</f>
        <v>No</v>
      </c>
    </row>
    <row r="95" spans="1:17" x14ac:dyDescent="0.2">
      <c r="A95" s="38">
        <v>9009180400</v>
      </c>
      <c r="B95" s="38" t="s">
        <v>2997</v>
      </c>
      <c r="C95" s="244" t="s">
        <v>944</v>
      </c>
      <c r="D95" s="245">
        <v>44023.715199999999</v>
      </c>
      <c r="E95" s="246">
        <v>42924.845028250595</v>
      </c>
      <c r="F95" s="247">
        <f>[2]!Table323[[#This Row],[Single Family]]+[2]!Table323[[#This Row],[2-4 Units]]+[2]!Table323[[#This Row],[&gt;4 Units]]</f>
        <v>16</v>
      </c>
      <c r="G95">
        <v>15</v>
      </c>
      <c r="H95">
        <v>1</v>
      </c>
      <c r="I95">
        <v>0</v>
      </c>
      <c r="J95" s="248">
        <v>16829.732645083684</v>
      </c>
      <c r="K95" s="247">
        <f>SUM([2]!Table323[[#This Row],[Single Family ]:[&gt;4 Units ]])</f>
        <v>10</v>
      </c>
      <c r="L95" s="249">
        <v>10</v>
      </c>
      <c r="M95" s="249">
        <v>0</v>
      </c>
      <c r="N95" s="249">
        <v>0</v>
      </c>
      <c r="O95" s="250">
        <f>[2]!Table323[[#This Row],[Incentive Disbursements]]-[2]!Table323[[#This Row],[Incentives]]</f>
        <v>26095.11238316691</v>
      </c>
      <c r="P95" s="158">
        <f>VLOOKUP(Table3236[[#This Row],[Census Tract]],'Population and Diversity Data'!$B$2:$K$823,10,FALSE)</f>
        <v>4</v>
      </c>
      <c r="Q95" s="159" t="str">
        <f>VLOOKUP(Table3236[[#This Row],[Census Tract]],'UI EnergyBurden'!$A$2:$B$184,2,FALSE)</f>
        <v>No</v>
      </c>
    </row>
    <row r="96" spans="1:17" x14ac:dyDescent="0.2">
      <c r="A96" s="38">
        <v>9009180500</v>
      </c>
      <c r="B96" s="38" t="s">
        <v>2997</v>
      </c>
      <c r="C96" s="244" t="s">
        <v>944</v>
      </c>
      <c r="D96" s="245">
        <v>82435.041299999997</v>
      </c>
      <c r="E96" s="246">
        <v>61530.929351441955</v>
      </c>
      <c r="F96" s="247">
        <f>[2]!Table323[[#This Row],[Single Family]]+[2]!Table323[[#This Row],[2-4 Units]]+[2]!Table323[[#This Row],[&gt;4 Units]]</f>
        <v>30</v>
      </c>
      <c r="G96">
        <v>30</v>
      </c>
      <c r="H96">
        <v>0</v>
      </c>
      <c r="I96">
        <v>0</v>
      </c>
      <c r="J96" s="248">
        <v>42346.947922533262</v>
      </c>
      <c r="K96" s="247">
        <f>SUM([2]!Table323[[#This Row],[Single Family ]:[&gt;4 Units ]])</f>
        <v>8</v>
      </c>
      <c r="L96" s="249">
        <v>5</v>
      </c>
      <c r="M96" s="249">
        <v>3</v>
      </c>
      <c r="N96" s="249">
        <v>0</v>
      </c>
      <c r="O96" s="250">
        <f>[2]!Table323[[#This Row],[Incentive Disbursements]]-[2]!Table323[[#This Row],[Incentives]]</f>
        <v>19183.981428908693</v>
      </c>
      <c r="P96" s="158">
        <f>VLOOKUP(Table3236[[#This Row],[Census Tract]],'Population and Diversity Data'!$B$2:$K$823,10,FALSE)</f>
        <v>5</v>
      </c>
      <c r="Q96" s="159" t="str">
        <f>VLOOKUP(Table3236[[#This Row],[Census Tract]],'UI EnergyBurden'!$A$2:$B$184,2,FALSE)</f>
        <v>No</v>
      </c>
    </row>
    <row r="97" spans="1:17" x14ac:dyDescent="0.2">
      <c r="A97" s="38">
        <v>9009180601</v>
      </c>
      <c r="B97" s="38" t="s">
        <v>2997</v>
      </c>
      <c r="C97" s="244" t="s">
        <v>944</v>
      </c>
      <c r="D97" s="245">
        <v>52661.118400000101</v>
      </c>
      <c r="E97" s="246">
        <v>62406.398569877536</v>
      </c>
      <c r="F97" s="247">
        <f>[2]!Table323[[#This Row],[Single Family]]+[2]!Table323[[#This Row],[2-4 Units]]+[2]!Table323[[#This Row],[&gt;4 Units]]</f>
        <v>23</v>
      </c>
      <c r="G97">
        <v>23</v>
      </c>
      <c r="H97">
        <v>0</v>
      </c>
      <c r="I97">
        <v>0</v>
      </c>
      <c r="J97" s="248">
        <v>37392.111336497728</v>
      </c>
      <c r="K97" s="247">
        <f>SUM([2]!Table323[[#This Row],[Single Family ]:[&gt;4 Units ]])</f>
        <v>5</v>
      </c>
      <c r="L97" s="249">
        <v>5</v>
      </c>
      <c r="M97" s="249">
        <v>0</v>
      </c>
      <c r="N97" s="249">
        <v>0</v>
      </c>
      <c r="O97" s="250">
        <f>[2]!Table323[[#This Row],[Incentive Disbursements]]-[2]!Table323[[#This Row],[Incentives]]</f>
        <v>25014.287233379808</v>
      </c>
      <c r="P97" s="158">
        <f>VLOOKUP(Table3236[[#This Row],[Census Tract]],'Population and Diversity Data'!$B$2:$K$823,10,FALSE)</f>
        <v>1</v>
      </c>
      <c r="Q97" s="159" t="str">
        <f>VLOOKUP(Table3236[[#This Row],[Census Tract]],'UI EnergyBurden'!$A$2:$B$184,2,FALSE)</f>
        <v>No</v>
      </c>
    </row>
    <row r="98" spans="1:17" x14ac:dyDescent="0.2">
      <c r="A98" s="38">
        <v>9009180602</v>
      </c>
      <c r="B98" s="38" t="s">
        <v>2997</v>
      </c>
      <c r="C98" s="244" t="s">
        <v>944</v>
      </c>
      <c r="D98" s="245">
        <v>71853.173799999902</v>
      </c>
      <c r="E98" s="246">
        <v>64916.125563587266</v>
      </c>
      <c r="F98" s="247">
        <f>[2]!Table323[[#This Row],[Single Family]]+[2]!Table323[[#This Row],[2-4 Units]]+[2]!Table323[[#This Row],[&gt;4 Units]]</f>
        <v>26</v>
      </c>
      <c r="G98">
        <v>25</v>
      </c>
      <c r="H98">
        <v>1</v>
      </c>
      <c r="I98">
        <v>0</v>
      </c>
      <c r="J98" s="248">
        <v>39317.74039362841</v>
      </c>
      <c r="K98" s="247">
        <f>SUM([2]!Table323[[#This Row],[Single Family ]:[&gt;4 Units ]])</f>
        <v>3</v>
      </c>
      <c r="L98" s="249">
        <v>3</v>
      </c>
      <c r="M98" s="249">
        <v>0</v>
      </c>
      <c r="N98" s="249">
        <v>0</v>
      </c>
      <c r="O98" s="250">
        <f>[2]!Table323[[#This Row],[Incentive Disbursements]]-[2]!Table323[[#This Row],[Incentives]]</f>
        <v>25598.385169958856</v>
      </c>
      <c r="P98" s="158">
        <f>VLOOKUP(Table3236[[#This Row],[Census Tract]],'Population and Diversity Data'!$B$2:$K$823,10,FALSE)</f>
        <v>1</v>
      </c>
      <c r="Q98" s="159" t="str">
        <f>VLOOKUP(Table3236[[#This Row],[Census Tract]],'UI EnergyBurden'!$A$2:$B$184,2,FALSE)</f>
        <v>No</v>
      </c>
    </row>
    <row r="99" spans="1:17" x14ac:dyDescent="0.2">
      <c r="A99" s="38">
        <v>9009186100</v>
      </c>
      <c r="B99" s="38" t="s">
        <v>2997</v>
      </c>
      <c r="C99" s="244" t="s">
        <v>944</v>
      </c>
      <c r="D99" s="245">
        <v>70.791799999999995</v>
      </c>
      <c r="E99" s="246">
        <v>0</v>
      </c>
      <c r="F99" s="247">
        <f>[2]!Table323[[#This Row],[Single Family]]+[2]!Table323[[#This Row],[2-4 Units]]+[2]!Table323[[#This Row],[&gt;4 Units]]</f>
        <v>0</v>
      </c>
      <c r="J99" s="248">
        <v>0</v>
      </c>
      <c r="K99" s="247">
        <f>SUM([2]!Table323[[#This Row],[Single Family ]:[&gt;4 Units ]])</f>
        <v>0</v>
      </c>
      <c r="L99" s="249"/>
      <c r="M99" s="249"/>
      <c r="N99" s="249"/>
      <c r="O99" s="250">
        <f>[2]!Table323[[#This Row],[Incentive Disbursements]]-[2]!Table323[[#This Row],[Incentives]]</f>
        <v>0</v>
      </c>
      <c r="P99" s="158">
        <f>VLOOKUP(Table3236[[#This Row],[Census Tract]],'Population and Diversity Data'!$B$2:$K$823,10,FALSE)</f>
        <v>2</v>
      </c>
      <c r="Q99" s="159" t="str">
        <f>VLOOKUP(Table3236[[#This Row],[Census Tract]],'UI EnergyBurden'!$A$2:$B$184,2,FALSE)</f>
        <v>No</v>
      </c>
    </row>
    <row r="100" spans="1:17" x14ac:dyDescent="0.2">
      <c r="A100" s="38">
        <v>9009361500</v>
      </c>
      <c r="B100" s="38" t="s">
        <v>2997</v>
      </c>
      <c r="C100" s="244" t="s">
        <v>944</v>
      </c>
      <c r="D100" s="245">
        <v>192.12350000000001</v>
      </c>
      <c r="E100" s="246">
        <v>0</v>
      </c>
      <c r="F100" s="247">
        <f>[2]!Table323[[#This Row],[Single Family]]+[2]!Table323[[#This Row],[2-4 Units]]+[2]!Table323[[#This Row],[&gt;4 Units]]</f>
        <v>0</v>
      </c>
      <c r="J100" s="248">
        <v>0</v>
      </c>
      <c r="K100" s="247">
        <f>SUM([2]!Table323[[#This Row],[Single Family ]:[&gt;4 Units ]])</f>
        <v>0</v>
      </c>
      <c r="L100" s="249"/>
      <c r="M100" s="249"/>
      <c r="N100" s="249"/>
      <c r="O100" s="250">
        <f>[2]!Table323[[#This Row],[Incentive Disbursements]]-[2]!Table323[[#This Row],[Incentives]]</f>
        <v>0</v>
      </c>
      <c r="P100" s="158">
        <f>VLOOKUP(Table3236[[#This Row],[Census Tract]],'Population and Diversity Data'!$B$2:$K$823,10,FALSE)</f>
        <v>5</v>
      </c>
      <c r="Q100" s="159" t="str">
        <f>VLOOKUP(Table3236[[#This Row],[Census Tract]],'UI EnergyBurden'!$A$2:$B$184,2,FALSE)</f>
        <v>No</v>
      </c>
    </row>
    <row r="101" spans="1:17" x14ac:dyDescent="0.2">
      <c r="A101" s="38">
        <v>9001055100</v>
      </c>
      <c r="B101" s="38" t="s">
        <v>2983</v>
      </c>
      <c r="C101" s="244" t="s">
        <v>944</v>
      </c>
      <c r="D101" s="245">
        <v>394.428</v>
      </c>
      <c r="E101" s="246">
        <v>0</v>
      </c>
      <c r="F101" s="247">
        <f>[2]!Table323[[#This Row],[Single Family]]+[2]!Table323[[#This Row],[2-4 Units]]+[2]!Table323[[#This Row],[&gt;4 Units]]</f>
        <v>0</v>
      </c>
      <c r="J101" s="248">
        <v>0</v>
      </c>
      <c r="K101" s="247">
        <f>SUM([2]!Table323[[#This Row],[Single Family ]:[&gt;4 Units ]])</f>
        <v>0</v>
      </c>
      <c r="L101" s="249"/>
      <c r="M101" s="249"/>
      <c r="N101" s="249"/>
      <c r="O101" s="250">
        <f>[2]!Table323[[#This Row],[Incentive Disbursements]]-[2]!Table323[[#This Row],[Incentives]]</f>
        <v>0</v>
      </c>
      <c r="P101" s="158">
        <f>VLOOKUP(Table3236[[#This Row],[Census Tract]],'Population and Diversity Data'!$B$2:$K$823,10,FALSE)</f>
        <v>4</v>
      </c>
      <c r="Q101" s="159" t="str">
        <f>VLOOKUP(Table3236[[#This Row],[Census Tract]],'UI EnergyBurden'!$A$2:$B$184,2,FALSE)</f>
        <v>No</v>
      </c>
    </row>
    <row r="102" spans="1:17" x14ac:dyDescent="0.2">
      <c r="A102" s="38">
        <v>9001055200</v>
      </c>
      <c r="B102" s="38" t="s">
        <v>2983</v>
      </c>
      <c r="C102" s="244" t="s">
        <v>944</v>
      </c>
      <c r="D102" s="245">
        <v>887.51059999999995</v>
      </c>
      <c r="E102" s="246">
        <v>0</v>
      </c>
      <c r="F102" s="247">
        <f>[2]!Table323[[#This Row],[Single Family]]+[2]!Table323[[#This Row],[2-4 Units]]+[2]!Table323[[#This Row],[&gt;4 Units]]</f>
        <v>0</v>
      </c>
      <c r="J102" s="248">
        <v>0</v>
      </c>
      <c r="K102" s="247">
        <f>SUM([2]!Table323[[#This Row],[Single Family ]:[&gt;4 Units ]])</f>
        <v>0</v>
      </c>
      <c r="L102" s="249"/>
      <c r="M102" s="249"/>
      <c r="N102" s="249"/>
      <c r="O102" s="250">
        <f>[2]!Table323[[#This Row],[Incentive Disbursements]]-[2]!Table323[[#This Row],[Incentives]]</f>
        <v>0</v>
      </c>
      <c r="P102" s="158">
        <f>VLOOKUP(Table3236[[#This Row],[Census Tract]],'Population and Diversity Data'!$B$2:$K$823,10,FALSE)</f>
        <v>1</v>
      </c>
      <c r="Q102" s="159" t="str">
        <f>VLOOKUP(Table3236[[#This Row],[Census Tract]],'UI EnergyBurden'!$A$2:$B$184,2,FALSE)</f>
        <v>No</v>
      </c>
    </row>
    <row r="103" spans="1:17" x14ac:dyDescent="0.2">
      <c r="A103" s="38">
        <v>9001105100</v>
      </c>
      <c r="B103" s="38" t="s">
        <v>2983</v>
      </c>
      <c r="C103" s="244" t="s">
        <v>944</v>
      </c>
      <c r="D103" s="245">
        <v>107348.76489999999</v>
      </c>
      <c r="E103" s="246">
        <v>56362.320156393798</v>
      </c>
      <c r="F103" s="247">
        <f>[2]!Table323[[#This Row],[Single Family]]+[2]!Table323[[#This Row],[2-4 Units]]+[2]!Table323[[#This Row],[&gt;4 Units]]</f>
        <v>23</v>
      </c>
      <c r="G103">
        <v>23</v>
      </c>
      <c r="H103">
        <v>0</v>
      </c>
      <c r="I103">
        <v>0</v>
      </c>
      <c r="J103" s="248">
        <v>54766.024673860171</v>
      </c>
      <c r="K103" s="247">
        <f>SUM([2]!Table323[[#This Row],[Single Family ]:[&gt;4 Units ]])</f>
        <v>0</v>
      </c>
      <c r="L103" s="249"/>
      <c r="M103" s="249"/>
      <c r="N103" s="249"/>
      <c r="O103" s="250">
        <f>[2]!Table323[[#This Row],[Incentive Disbursements]]-[2]!Table323[[#This Row],[Incentives]]</f>
        <v>1596.2954825336274</v>
      </c>
      <c r="P103" s="158">
        <f>VLOOKUP(Table3236[[#This Row],[Census Tract]],'Population and Diversity Data'!$B$2:$K$823,10,FALSE)</f>
        <v>1</v>
      </c>
      <c r="Q103" s="159" t="str">
        <f>VLOOKUP(Table3236[[#This Row],[Census Tract]],'UI EnergyBurden'!$A$2:$B$184,2,FALSE)</f>
        <v>No</v>
      </c>
    </row>
    <row r="104" spans="1:17" x14ac:dyDescent="0.2">
      <c r="A104" s="38">
        <v>9001105200</v>
      </c>
      <c r="B104" s="38" t="s">
        <v>2983</v>
      </c>
      <c r="C104" s="244" t="s">
        <v>944</v>
      </c>
      <c r="D104" s="245">
        <v>95201.057400000005</v>
      </c>
      <c r="E104" s="246">
        <v>31579.819487596895</v>
      </c>
      <c r="F104" s="247">
        <f>[2]!Table323[[#This Row],[Single Family]]+[2]!Table323[[#This Row],[2-4 Units]]+[2]!Table323[[#This Row],[&gt;4 Units]]</f>
        <v>17</v>
      </c>
      <c r="G104">
        <v>17</v>
      </c>
      <c r="H104">
        <v>0</v>
      </c>
      <c r="I104">
        <v>0</v>
      </c>
      <c r="J104" s="248">
        <v>29835.720345843005</v>
      </c>
      <c r="K104" s="247">
        <f>SUM([2]!Table323[[#This Row],[Single Family ]:[&gt;4 Units ]])</f>
        <v>1</v>
      </c>
      <c r="L104" s="249">
        <v>1</v>
      </c>
      <c r="M104" s="249">
        <v>0</v>
      </c>
      <c r="N104" s="249">
        <v>0</v>
      </c>
      <c r="O104" s="250">
        <f>[2]!Table323[[#This Row],[Incentive Disbursements]]-[2]!Table323[[#This Row],[Incentives]]</f>
        <v>1744.0991417538899</v>
      </c>
      <c r="P104" s="158">
        <f>VLOOKUP(Table3236[[#This Row],[Census Tract]],'Population and Diversity Data'!$B$2:$K$823,10,FALSE)</f>
        <v>3</v>
      </c>
      <c r="Q104" s="159" t="str">
        <f>VLOOKUP(Table3236[[#This Row],[Census Tract]],'UI EnergyBurden'!$A$2:$B$184,2,FALSE)</f>
        <v>No</v>
      </c>
    </row>
    <row r="105" spans="1:17" x14ac:dyDescent="0.2">
      <c r="A105" s="38">
        <v>9001240200</v>
      </c>
      <c r="B105" s="38" t="s">
        <v>2983</v>
      </c>
      <c r="C105" s="244" t="s">
        <v>944</v>
      </c>
      <c r="D105" s="245">
        <v>1588.1765</v>
      </c>
      <c r="E105" s="246">
        <v>0</v>
      </c>
      <c r="F105" s="247">
        <f>[2]!Table323[[#This Row],[Single Family]]+[2]!Table323[[#This Row],[2-4 Units]]+[2]!Table323[[#This Row],[&gt;4 Units]]</f>
        <v>0</v>
      </c>
      <c r="J105" s="248">
        <v>0</v>
      </c>
      <c r="K105" s="247">
        <f>SUM([2]!Table323[[#This Row],[Single Family ]:[&gt;4 Units ]])</f>
        <v>0</v>
      </c>
      <c r="L105" s="249"/>
      <c r="M105" s="249"/>
      <c r="N105" s="249"/>
      <c r="O105" s="250">
        <f>[2]!Table323[[#This Row],[Incentive Disbursements]]-[2]!Table323[[#This Row],[Incentives]]</f>
        <v>0</v>
      </c>
      <c r="P105" s="158">
        <f>VLOOKUP(Table3236[[#This Row],[Census Tract]],'Population and Diversity Data'!$B$2:$K$823,10,FALSE)</f>
        <v>2</v>
      </c>
      <c r="Q105" s="159" t="str">
        <f>VLOOKUP(Table3236[[#This Row],[Census Tract]],'UI EnergyBurden'!$A$2:$B$184,2,FALSE)</f>
        <v>No</v>
      </c>
    </row>
    <row r="106" spans="1:17" x14ac:dyDescent="0.2">
      <c r="A106" s="38">
        <v>9001060100</v>
      </c>
      <c r="B106" s="38" t="s">
        <v>2984</v>
      </c>
      <c r="C106" s="244" t="s">
        <v>944</v>
      </c>
      <c r="D106" s="245">
        <v>58128.328499999901</v>
      </c>
      <c r="E106" s="246">
        <v>37945.033378141554</v>
      </c>
      <c r="F106" s="247">
        <f>[2]!Table323[[#This Row],[Single Family]]+[2]!Table323[[#This Row],[2-4 Units]]+[2]!Table323[[#This Row],[&gt;4 Units]]</f>
        <v>16</v>
      </c>
      <c r="G106">
        <v>15</v>
      </c>
      <c r="H106">
        <v>1</v>
      </c>
      <c r="I106">
        <v>0</v>
      </c>
      <c r="J106" s="248">
        <v>29908.833349700421</v>
      </c>
      <c r="K106" s="247">
        <f>SUM([2]!Table323[[#This Row],[Single Family ]:[&gt;4 Units ]])</f>
        <v>2</v>
      </c>
      <c r="L106" s="249">
        <v>2</v>
      </c>
      <c r="M106" s="249">
        <v>0</v>
      </c>
      <c r="N106" s="249">
        <v>0</v>
      </c>
      <c r="O106" s="250">
        <f>[2]!Table323[[#This Row],[Incentive Disbursements]]-[2]!Table323[[#This Row],[Incentives]]</f>
        <v>8036.2000284411333</v>
      </c>
      <c r="P106" s="158">
        <f>VLOOKUP(Table3236[[#This Row],[Census Tract]],'Population and Diversity Data'!$B$2:$K$823,10,FALSE)</f>
        <v>2</v>
      </c>
      <c r="Q106" s="159" t="str">
        <f>VLOOKUP(Table3236[[#This Row],[Census Tract]],'UI EnergyBurden'!$A$2:$B$184,2,FALSE)</f>
        <v>No</v>
      </c>
    </row>
    <row r="107" spans="1:17" x14ac:dyDescent="0.2">
      <c r="A107" s="38">
        <v>9001060200</v>
      </c>
      <c r="B107" s="38" t="s">
        <v>2984</v>
      </c>
      <c r="C107" s="244" t="s">
        <v>944</v>
      </c>
      <c r="D107" s="245">
        <v>78630.955100000006</v>
      </c>
      <c r="E107" s="246">
        <v>56668.911862418056</v>
      </c>
      <c r="F107" s="247">
        <f>[2]!Table323[[#This Row],[Single Family]]+[2]!Table323[[#This Row],[2-4 Units]]+[2]!Table323[[#This Row],[&gt;4 Units]]</f>
        <v>26</v>
      </c>
      <c r="G107">
        <v>26</v>
      </c>
      <c r="H107">
        <v>0</v>
      </c>
      <c r="I107">
        <v>0</v>
      </c>
      <c r="J107" s="248">
        <v>38573.641664578478</v>
      </c>
      <c r="K107" s="247">
        <f>SUM([2]!Table323[[#This Row],[Single Family ]:[&gt;4 Units ]])</f>
        <v>3</v>
      </c>
      <c r="L107" s="249">
        <v>3</v>
      </c>
      <c r="M107" s="249">
        <v>0</v>
      </c>
      <c r="N107" s="249">
        <v>0</v>
      </c>
      <c r="O107" s="250">
        <f>[2]!Table323[[#This Row],[Incentive Disbursements]]-[2]!Table323[[#This Row],[Incentives]]</f>
        <v>18095.270197839578</v>
      </c>
      <c r="P107" s="158">
        <f>VLOOKUP(Table3236[[#This Row],[Census Tract]],'Population and Diversity Data'!$B$2:$K$823,10,FALSE)</f>
        <v>3</v>
      </c>
      <c r="Q107" s="159" t="str">
        <f>VLOOKUP(Table3236[[#This Row],[Census Tract]],'UI EnergyBurden'!$A$2:$B$184,2,FALSE)</f>
        <v>No</v>
      </c>
    </row>
    <row r="108" spans="1:17" x14ac:dyDescent="0.2">
      <c r="A108" s="38">
        <v>9001060300</v>
      </c>
      <c r="B108" s="38" t="s">
        <v>2984</v>
      </c>
      <c r="C108" s="244" t="s">
        <v>944</v>
      </c>
      <c r="D108" s="245">
        <v>92872.916500000298</v>
      </c>
      <c r="E108" s="246">
        <v>37339.125843879199</v>
      </c>
      <c r="F108" s="247">
        <f>[2]!Table323[[#This Row],[Single Family]]+[2]!Table323[[#This Row],[2-4 Units]]+[2]!Table323[[#This Row],[&gt;4 Units]]</f>
        <v>15</v>
      </c>
      <c r="G108">
        <v>15</v>
      </c>
      <c r="H108">
        <v>0</v>
      </c>
      <c r="I108">
        <v>0</v>
      </c>
      <c r="J108" s="248">
        <v>21137.514940023459</v>
      </c>
      <c r="K108" s="247">
        <f>SUM([2]!Table323[[#This Row],[Single Family ]:[&gt;4 Units ]])</f>
        <v>2</v>
      </c>
      <c r="L108" s="249">
        <v>2</v>
      </c>
      <c r="M108" s="249">
        <v>0</v>
      </c>
      <c r="N108" s="249">
        <v>0</v>
      </c>
      <c r="O108" s="250">
        <f>[2]!Table323[[#This Row],[Incentive Disbursements]]-[2]!Table323[[#This Row],[Incentives]]</f>
        <v>16201.610903855741</v>
      </c>
      <c r="P108" s="158">
        <f>VLOOKUP(Table3236[[#This Row],[Census Tract]],'Population and Diversity Data'!$B$2:$K$823,10,FALSE)</f>
        <v>2</v>
      </c>
      <c r="Q108" s="159" t="str">
        <f>VLOOKUP(Table3236[[#This Row],[Census Tract]],'UI EnergyBurden'!$A$2:$B$184,2,FALSE)</f>
        <v>No</v>
      </c>
    </row>
    <row r="109" spans="1:17" x14ac:dyDescent="0.2">
      <c r="A109" s="38">
        <v>9001060400</v>
      </c>
      <c r="B109" s="38" t="s">
        <v>2984</v>
      </c>
      <c r="C109" s="244" t="s">
        <v>944</v>
      </c>
      <c r="D109" s="245">
        <v>158569.57990000001</v>
      </c>
      <c r="E109" s="246">
        <v>31264.419848664111</v>
      </c>
      <c r="F109" s="247">
        <f>[2]!Table323[[#This Row],[Single Family]]+[2]!Table323[[#This Row],[2-4 Units]]+[2]!Table323[[#This Row],[&gt;4 Units]]</f>
        <v>15</v>
      </c>
      <c r="G109">
        <v>15</v>
      </c>
      <c r="H109">
        <v>0</v>
      </c>
      <c r="I109">
        <v>0</v>
      </c>
      <c r="J109" s="248">
        <v>31264.419848664111</v>
      </c>
      <c r="K109" s="247">
        <f>SUM([2]!Table323[[#This Row],[Single Family ]:[&gt;4 Units ]])</f>
        <v>0</v>
      </c>
      <c r="L109" s="249"/>
      <c r="M109" s="249"/>
      <c r="N109" s="249"/>
      <c r="O109" s="250">
        <f>[2]!Table323[[#This Row],[Incentive Disbursements]]-[2]!Table323[[#This Row],[Incentives]]</f>
        <v>0</v>
      </c>
      <c r="P109" s="158">
        <f>VLOOKUP(Table3236[[#This Row],[Census Tract]],'Population and Diversity Data'!$B$2:$K$823,10,FALSE)</f>
        <v>1</v>
      </c>
      <c r="Q109" s="159" t="str">
        <f>VLOOKUP(Table3236[[#This Row],[Census Tract]],'UI EnergyBurden'!$A$2:$B$184,2,FALSE)</f>
        <v>No</v>
      </c>
    </row>
    <row r="110" spans="1:17" x14ac:dyDescent="0.2">
      <c r="A110" s="38">
        <v>9001060500</v>
      </c>
      <c r="B110" s="38" t="s">
        <v>2984</v>
      </c>
      <c r="C110" s="244" t="s">
        <v>944</v>
      </c>
      <c r="D110" s="245">
        <v>71345.134499999898</v>
      </c>
      <c r="E110" s="246">
        <v>14048.096787631112</v>
      </c>
      <c r="F110" s="247">
        <f>[2]!Table323[[#This Row],[Single Family]]+[2]!Table323[[#This Row],[2-4 Units]]+[2]!Table323[[#This Row],[&gt;4 Units]]</f>
        <v>13</v>
      </c>
      <c r="G110">
        <v>13</v>
      </c>
      <c r="H110">
        <v>0</v>
      </c>
      <c r="I110">
        <v>0</v>
      </c>
      <c r="J110" s="248">
        <v>14048.096787631112</v>
      </c>
      <c r="K110" s="247">
        <f>SUM([2]!Table323[[#This Row],[Single Family ]:[&gt;4 Units ]])</f>
        <v>0</v>
      </c>
      <c r="L110" s="249"/>
      <c r="M110" s="249"/>
      <c r="N110" s="249"/>
      <c r="O110" s="250">
        <f>[2]!Table323[[#This Row],[Incentive Disbursements]]-[2]!Table323[[#This Row],[Incentives]]</f>
        <v>0</v>
      </c>
      <c r="P110" s="158">
        <f>VLOOKUP(Table3236[[#This Row],[Census Tract]],'Population and Diversity Data'!$B$2:$K$823,10,FALSE)</f>
        <v>1</v>
      </c>
      <c r="Q110" s="159" t="str">
        <f>VLOOKUP(Table3236[[#This Row],[Census Tract]],'UI EnergyBurden'!$A$2:$B$184,2,FALSE)</f>
        <v>No</v>
      </c>
    </row>
    <row r="111" spans="1:17" x14ac:dyDescent="0.2">
      <c r="A111" s="38">
        <v>9001060600</v>
      </c>
      <c r="B111" s="38" t="s">
        <v>2984</v>
      </c>
      <c r="C111" s="244" t="s">
        <v>944</v>
      </c>
      <c r="D111" s="245">
        <v>73188.417499999807</v>
      </c>
      <c r="E111" s="246">
        <v>12030.63431743593</v>
      </c>
      <c r="F111" s="247">
        <f>[2]!Table323[[#This Row],[Single Family]]+[2]!Table323[[#This Row],[2-4 Units]]+[2]!Table323[[#This Row],[&gt;4 Units]]</f>
        <v>9</v>
      </c>
      <c r="G111">
        <v>9</v>
      </c>
      <c r="H111">
        <v>0</v>
      </c>
      <c r="I111">
        <v>0</v>
      </c>
      <c r="J111" s="248">
        <v>12030.63431743593</v>
      </c>
      <c r="K111" s="247">
        <f>SUM([2]!Table323[[#This Row],[Single Family ]:[&gt;4 Units ]])</f>
        <v>0</v>
      </c>
      <c r="L111" s="249"/>
      <c r="M111" s="249"/>
      <c r="N111" s="249"/>
      <c r="O111" s="250">
        <f>[2]!Table323[[#This Row],[Incentive Disbursements]]-[2]!Table323[[#This Row],[Incentives]]</f>
        <v>0</v>
      </c>
      <c r="P111" s="158">
        <f>VLOOKUP(Table3236[[#This Row],[Census Tract]],'Population and Diversity Data'!$B$2:$K$823,10,FALSE)</f>
        <v>2</v>
      </c>
      <c r="Q111" s="159" t="str">
        <f>VLOOKUP(Table3236[[#This Row],[Census Tract]],'UI EnergyBurden'!$A$2:$B$184,2,FALSE)</f>
        <v>No</v>
      </c>
    </row>
    <row r="112" spans="1:17" x14ac:dyDescent="0.2">
      <c r="A112" s="38">
        <v>9001060700</v>
      </c>
      <c r="B112" s="38" t="s">
        <v>2984</v>
      </c>
      <c r="C112" s="244" t="s">
        <v>944</v>
      </c>
      <c r="D112" s="245">
        <v>98856.620699999999</v>
      </c>
      <c r="E112" s="246">
        <v>15928.819710215792</v>
      </c>
      <c r="F112" s="247">
        <f>[2]!Table323[[#This Row],[Single Family]]+[2]!Table323[[#This Row],[2-4 Units]]+[2]!Table323[[#This Row],[&gt;4 Units]]</f>
        <v>15</v>
      </c>
      <c r="G112">
        <v>15</v>
      </c>
      <c r="H112">
        <v>0</v>
      </c>
      <c r="I112">
        <v>0</v>
      </c>
      <c r="J112" s="248">
        <v>15928.819710215792</v>
      </c>
      <c r="K112" s="247">
        <f>SUM([2]!Table323[[#This Row],[Single Family ]:[&gt;4 Units ]])</f>
        <v>0</v>
      </c>
      <c r="L112" s="249"/>
      <c r="M112" s="249"/>
      <c r="N112" s="249"/>
      <c r="O112" s="250">
        <f>[2]!Table323[[#This Row],[Incentive Disbursements]]-[2]!Table323[[#This Row],[Incentives]]</f>
        <v>0</v>
      </c>
      <c r="P112" s="158">
        <f>VLOOKUP(Table3236[[#This Row],[Census Tract]],'Population and Diversity Data'!$B$2:$K$823,10,FALSE)</f>
        <v>2</v>
      </c>
      <c r="Q112" s="159" t="str">
        <f>VLOOKUP(Table3236[[#This Row],[Census Tract]],'UI EnergyBurden'!$A$2:$B$184,2,FALSE)</f>
        <v>No</v>
      </c>
    </row>
    <row r="113" spans="1:17" x14ac:dyDescent="0.2">
      <c r="A113" s="38">
        <v>9001060800</v>
      </c>
      <c r="B113" s="38" t="s">
        <v>2984</v>
      </c>
      <c r="C113" s="244" t="s">
        <v>944</v>
      </c>
      <c r="D113" s="245">
        <v>39085.891300000003</v>
      </c>
      <c r="E113" s="246">
        <v>8383.8387357745378</v>
      </c>
      <c r="F113" s="247">
        <f>[2]!Table323[[#This Row],[Single Family]]+[2]!Table323[[#This Row],[2-4 Units]]+[2]!Table323[[#This Row],[&gt;4 Units]]</f>
        <v>7</v>
      </c>
      <c r="G113">
        <v>7</v>
      </c>
      <c r="H113">
        <v>0</v>
      </c>
      <c r="I113">
        <v>0</v>
      </c>
      <c r="J113" s="248">
        <v>8129.5062345593651</v>
      </c>
      <c r="K113" s="247">
        <f>SUM([2]!Table323[[#This Row],[Single Family ]:[&gt;4 Units ]])</f>
        <v>1</v>
      </c>
      <c r="L113" s="249">
        <v>1</v>
      </c>
      <c r="M113" s="249">
        <v>0</v>
      </c>
      <c r="N113" s="249">
        <v>0</v>
      </c>
      <c r="O113" s="250">
        <f>[2]!Table323[[#This Row],[Incentive Disbursements]]-[2]!Table323[[#This Row],[Incentives]]</f>
        <v>254.33250121517267</v>
      </c>
      <c r="P113" s="158">
        <f>VLOOKUP(Table3236[[#This Row],[Census Tract]],'Population and Diversity Data'!$B$2:$K$823,10,FALSE)</f>
        <v>2</v>
      </c>
      <c r="Q113" s="159" t="str">
        <f>VLOOKUP(Table3236[[#This Row],[Census Tract]],'UI EnergyBurden'!$A$2:$B$184,2,FALSE)</f>
        <v>No</v>
      </c>
    </row>
    <row r="114" spans="1:17" x14ac:dyDescent="0.2">
      <c r="A114" s="38">
        <v>9001060900</v>
      </c>
      <c r="B114" s="38" t="s">
        <v>2984</v>
      </c>
      <c r="C114" s="244" t="s">
        <v>944</v>
      </c>
      <c r="D114" s="245">
        <v>48889.4</v>
      </c>
      <c r="E114" s="246">
        <v>57394.495163405467</v>
      </c>
      <c r="F114" s="247">
        <f>[2]!Table323[[#This Row],[Single Family]]+[2]!Table323[[#This Row],[2-4 Units]]+[2]!Table323[[#This Row],[&gt;4 Units]]</f>
        <v>13</v>
      </c>
      <c r="G114">
        <v>13</v>
      </c>
      <c r="H114">
        <v>0</v>
      </c>
      <c r="I114">
        <v>0</v>
      </c>
      <c r="J114" s="248">
        <v>19140.058940810417</v>
      </c>
      <c r="K114" s="247">
        <f>SUM([2]!Table323[[#This Row],[Single Family ]:[&gt;4 Units ]])</f>
        <v>1</v>
      </c>
      <c r="L114" s="249">
        <v>1</v>
      </c>
      <c r="M114" s="249">
        <v>0</v>
      </c>
      <c r="N114" s="249">
        <v>0</v>
      </c>
      <c r="O114" s="250">
        <f>[2]!Table323[[#This Row],[Incentive Disbursements]]-[2]!Table323[[#This Row],[Incentives]]</f>
        <v>38254.436222595046</v>
      </c>
      <c r="P114" s="158">
        <f>VLOOKUP(Table3236[[#This Row],[Census Tract]],'Population and Diversity Data'!$B$2:$K$823,10,FALSE)</f>
        <v>1</v>
      </c>
      <c r="Q114" s="159" t="str">
        <f>VLOOKUP(Table3236[[#This Row],[Census Tract]],'UI EnergyBurden'!$A$2:$B$184,2,FALSE)</f>
        <v>No</v>
      </c>
    </row>
    <row r="115" spans="1:17" x14ac:dyDescent="0.2">
      <c r="A115" s="38">
        <v>9001061000</v>
      </c>
      <c r="B115" s="38" t="s">
        <v>2984</v>
      </c>
      <c r="C115" s="244" t="s">
        <v>944</v>
      </c>
      <c r="D115" s="245">
        <v>73580.641299999901</v>
      </c>
      <c r="E115" s="246">
        <v>144242.10798744447</v>
      </c>
      <c r="F115" s="247">
        <f>[2]!Table323[[#This Row],[Single Family]]+[2]!Table323[[#This Row],[2-4 Units]]+[2]!Table323[[#This Row],[&gt;4 Units]]</f>
        <v>17</v>
      </c>
      <c r="G115">
        <v>17</v>
      </c>
      <c r="H115">
        <v>0</v>
      </c>
      <c r="I115">
        <v>0</v>
      </c>
      <c r="J115" s="248">
        <v>27026.372858092134</v>
      </c>
      <c r="K115" s="247">
        <f>SUM([2]!Table323[[#This Row],[Single Family ]:[&gt;4 Units ]])</f>
        <v>3</v>
      </c>
      <c r="L115" s="249">
        <v>3</v>
      </c>
      <c r="M115" s="249">
        <v>0</v>
      </c>
      <c r="N115" s="249">
        <v>0</v>
      </c>
      <c r="O115" s="250">
        <f>[2]!Table323[[#This Row],[Incentive Disbursements]]-[2]!Table323[[#This Row],[Incentives]]</f>
        <v>117215.73512935234</v>
      </c>
      <c r="P115" s="158">
        <f>VLOOKUP(Table3236[[#This Row],[Census Tract]],'Population and Diversity Data'!$B$2:$K$823,10,FALSE)</f>
        <v>3</v>
      </c>
      <c r="Q115" s="159" t="str">
        <f>VLOOKUP(Table3236[[#This Row],[Census Tract]],'UI EnergyBurden'!$A$2:$B$184,2,FALSE)</f>
        <v>No</v>
      </c>
    </row>
    <row r="116" spans="1:17" x14ac:dyDescent="0.2">
      <c r="A116" s="38">
        <v>9001061100</v>
      </c>
      <c r="B116" s="38" t="s">
        <v>2984</v>
      </c>
      <c r="C116" s="244" t="s">
        <v>944</v>
      </c>
      <c r="D116" s="245">
        <v>67549.058600000004</v>
      </c>
      <c r="E116" s="246">
        <v>7974.0595856198152</v>
      </c>
      <c r="F116" s="247">
        <f>[2]!Table323[[#This Row],[Single Family]]+[2]!Table323[[#This Row],[2-4 Units]]+[2]!Table323[[#This Row],[&gt;4 Units]]</f>
        <v>12</v>
      </c>
      <c r="G116">
        <v>12</v>
      </c>
      <c r="H116">
        <v>0</v>
      </c>
      <c r="I116">
        <v>0</v>
      </c>
      <c r="J116" s="248">
        <v>7974.0595856198152</v>
      </c>
      <c r="K116" s="247">
        <f>SUM([2]!Table323[[#This Row],[Single Family ]:[&gt;4 Units ]])</f>
        <v>0</v>
      </c>
      <c r="L116" s="249"/>
      <c r="M116" s="249"/>
      <c r="N116" s="249"/>
      <c r="O116" s="250">
        <f>[2]!Table323[[#This Row],[Incentive Disbursements]]-[2]!Table323[[#This Row],[Incentives]]</f>
        <v>0</v>
      </c>
      <c r="P116" s="158">
        <f>VLOOKUP(Table3236[[#This Row],[Census Tract]],'Population and Diversity Data'!$B$2:$K$823,10,FALSE)</f>
        <v>1</v>
      </c>
      <c r="Q116" s="159" t="str">
        <f>VLOOKUP(Table3236[[#This Row],[Census Tract]],'UI EnergyBurden'!$A$2:$B$184,2,FALSE)</f>
        <v>No</v>
      </c>
    </row>
    <row r="117" spans="1:17" x14ac:dyDescent="0.2">
      <c r="A117" s="38">
        <v>9001061200</v>
      </c>
      <c r="B117" s="38" t="s">
        <v>2984</v>
      </c>
      <c r="C117" s="244" t="s">
        <v>944</v>
      </c>
      <c r="D117" s="245">
        <v>35405.151700000002</v>
      </c>
      <c r="E117" s="246">
        <v>36712.982538107695</v>
      </c>
      <c r="F117" s="247">
        <f>[2]!Table323[[#This Row],[Single Family]]+[2]!Table323[[#This Row],[2-4 Units]]+[2]!Table323[[#This Row],[&gt;4 Units]]</f>
        <v>12</v>
      </c>
      <c r="G117">
        <v>9</v>
      </c>
      <c r="H117">
        <v>3</v>
      </c>
      <c r="I117">
        <v>0</v>
      </c>
      <c r="J117" s="248">
        <v>10793.309565280708</v>
      </c>
      <c r="K117" s="247">
        <f>SUM([2]!Table323[[#This Row],[Single Family ]:[&gt;4 Units ]])</f>
        <v>1</v>
      </c>
      <c r="L117" s="249">
        <v>1</v>
      </c>
      <c r="M117" s="249">
        <v>0</v>
      </c>
      <c r="N117" s="249">
        <v>0</v>
      </c>
      <c r="O117" s="250">
        <f>[2]!Table323[[#This Row],[Incentive Disbursements]]-[2]!Table323[[#This Row],[Incentives]]</f>
        <v>25919.672972826986</v>
      </c>
      <c r="P117" s="158">
        <f>VLOOKUP(Table3236[[#This Row],[Census Tract]],'Population and Diversity Data'!$B$2:$K$823,10,FALSE)</f>
        <v>5</v>
      </c>
      <c r="Q117" s="159" t="str">
        <f>VLOOKUP(Table3236[[#This Row],[Census Tract]],'UI EnergyBurden'!$A$2:$B$184,2,FALSE)</f>
        <v>No</v>
      </c>
    </row>
    <row r="118" spans="1:17" x14ac:dyDescent="0.2">
      <c r="A118" s="38">
        <v>9001061300</v>
      </c>
      <c r="B118" s="38" t="s">
        <v>2984</v>
      </c>
      <c r="C118" s="244" t="s">
        <v>944</v>
      </c>
      <c r="D118" s="245">
        <v>51750.383699999998</v>
      </c>
      <c r="E118" s="246">
        <v>13804.254785526917</v>
      </c>
      <c r="F118" s="247">
        <f>[2]!Table323[[#This Row],[Single Family]]+[2]!Table323[[#This Row],[2-4 Units]]+[2]!Table323[[#This Row],[&gt;4 Units]]</f>
        <v>9</v>
      </c>
      <c r="G118">
        <v>8</v>
      </c>
      <c r="H118">
        <v>1</v>
      </c>
      <c r="I118">
        <v>0</v>
      </c>
      <c r="J118" s="248">
        <v>9274.9196921357052</v>
      </c>
      <c r="K118" s="247">
        <f>SUM([2]!Table323[[#This Row],[Single Family ]:[&gt;4 Units ]])</f>
        <v>3</v>
      </c>
      <c r="L118" s="249">
        <v>3</v>
      </c>
      <c r="M118" s="249">
        <v>0</v>
      </c>
      <c r="N118" s="249">
        <v>0</v>
      </c>
      <c r="O118" s="250">
        <f>[2]!Table323[[#This Row],[Incentive Disbursements]]-[2]!Table323[[#This Row],[Incentives]]</f>
        <v>4529.3350933912116</v>
      </c>
      <c r="P118" s="158">
        <f>VLOOKUP(Table3236[[#This Row],[Census Tract]],'Population and Diversity Data'!$B$2:$K$823,10,FALSE)</f>
        <v>4</v>
      </c>
      <c r="Q118" s="159" t="str">
        <f>VLOOKUP(Table3236[[#This Row],[Census Tract]],'UI EnergyBurden'!$A$2:$B$184,2,FALSE)</f>
        <v>No</v>
      </c>
    </row>
    <row r="119" spans="1:17" x14ac:dyDescent="0.2">
      <c r="A119" s="38">
        <v>9001061400</v>
      </c>
      <c r="B119" s="38" t="s">
        <v>2984</v>
      </c>
      <c r="C119" s="244" t="s">
        <v>944</v>
      </c>
      <c r="D119" s="245">
        <v>47281.252</v>
      </c>
      <c r="E119" s="246">
        <v>10125.892164646331</v>
      </c>
      <c r="F119" s="247">
        <f>[2]!Table323[[#This Row],[Single Family]]+[2]!Table323[[#This Row],[2-4 Units]]+[2]!Table323[[#This Row],[&gt;4 Units]]</f>
        <v>6</v>
      </c>
      <c r="G119">
        <v>5</v>
      </c>
      <c r="H119">
        <v>1</v>
      </c>
      <c r="I119">
        <v>0</v>
      </c>
      <c r="J119" s="248">
        <v>6454.2174758037117</v>
      </c>
      <c r="K119" s="247">
        <f>SUM([2]!Table323[[#This Row],[Single Family ]:[&gt;4 Units ]])</f>
        <v>2</v>
      </c>
      <c r="L119" s="249">
        <v>2</v>
      </c>
      <c r="M119" s="249">
        <v>0</v>
      </c>
      <c r="N119" s="249">
        <v>0</v>
      </c>
      <c r="O119" s="250">
        <f>[2]!Table323[[#This Row],[Incentive Disbursements]]-[2]!Table323[[#This Row],[Incentives]]</f>
        <v>3671.6746888426196</v>
      </c>
      <c r="P119" s="158">
        <f>VLOOKUP(Table3236[[#This Row],[Census Tract]],'Population and Diversity Data'!$B$2:$K$823,10,FALSE)</f>
        <v>5</v>
      </c>
      <c r="Q119" s="159" t="str">
        <f>VLOOKUP(Table3236[[#This Row],[Census Tract]],'UI EnergyBurden'!$A$2:$B$184,2,FALSE)</f>
        <v>No</v>
      </c>
    </row>
    <row r="120" spans="1:17" x14ac:dyDescent="0.2">
      <c r="A120" s="38">
        <v>9001061500</v>
      </c>
      <c r="B120" s="38" t="s">
        <v>2984</v>
      </c>
      <c r="C120" s="244" t="s">
        <v>944</v>
      </c>
      <c r="D120" s="245">
        <v>104123.3682</v>
      </c>
      <c r="E120" s="246">
        <v>26593.3579211998</v>
      </c>
      <c r="F120" s="247">
        <f>[2]!Table323[[#This Row],[Single Family]]+[2]!Table323[[#This Row],[2-4 Units]]+[2]!Table323[[#This Row],[&gt;4 Units]]</f>
        <v>18</v>
      </c>
      <c r="G120">
        <v>18</v>
      </c>
      <c r="H120">
        <v>0</v>
      </c>
      <c r="I120">
        <v>0</v>
      </c>
      <c r="J120" s="248">
        <v>15480.460746390636</v>
      </c>
      <c r="K120" s="247">
        <f>SUM([2]!Table323[[#This Row],[Single Family ]:[&gt;4 Units ]])</f>
        <v>4</v>
      </c>
      <c r="L120" s="249">
        <v>4</v>
      </c>
      <c r="M120" s="249">
        <v>0</v>
      </c>
      <c r="N120" s="249">
        <v>0</v>
      </c>
      <c r="O120" s="250">
        <f>[2]!Table323[[#This Row],[Incentive Disbursements]]-[2]!Table323[[#This Row],[Incentives]]</f>
        <v>11112.897174809164</v>
      </c>
      <c r="P120" s="158">
        <f>VLOOKUP(Table3236[[#This Row],[Census Tract]],'Population and Diversity Data'!$B$2:$K$823,10,FALSE)</f>
        <v>4</v>
      </c>
      <c r="Q120" s="159" t="str">
        <f>VLOOKUP(Table3236[[#This Row],[Census Tract]],'UI EnergyBurden'!$A$2:$B$184,2,FALSE)</f>
        <v>No</v>
      </c>
    </row>
    <row r="121" spans="1:17" x14ac:dyDescent="0.2">
      <c r="A121" s="38">
        <v>9001061600</v>
      </c>
      <c r="B121" s="38" t="s">
        <v>2984</v>
      </c>
      <c r="C121" s="244" t="s">
        <v>944</v>
      </c>
      <c r="D121" s="245">
        <v>114122.9146</v>
      </c>
      <c r="E121" s="246">
        <v>19932.865512968005</v>
      </c>
      <c r="F121" s="247">
        <f>[2]!Table323[[#This Row],[Single Family]]+[2]!Table323[[#This Row],[2-4 Units]]+[2]!Table323[[#This Row],[&gt;4 Units]]</f>
        <v>21</v>
      </c>
      <c r="G121">
        <v>20</v>
      </c>
      <c r="H121">
        <v>1</v>
      </c>
      <c r="I121">
        <v>0</v>
      </c>
      <c r="J121" s="248">
        <v>17882.326441750778</v>
      </c>
      <c r="K121" s="247">
        <f>SUM([2]!Table323[[#This Row],[Single Family ]:[&gt;4 Units ]])</f>
        <v>2</v>
      </c>
      <c r="L121" s="249">
        <v>2</v>
      </c>
      <c r="M121" s="249">
        <v>0</v>
      </c>
      <c r="N121" s="249">
        <v>0</v>
      </c>
      <c r="O121" s="250">
        <f>[2]!Table323[[#This Row],[Incentive Disbursements]]-[2]!Table323[[#This Row],[Incentives]]</f>
        <v>2050.5390712172266</v>
      </c>
      <c r="P121" s="158">
        <f>VLOOKUP(Table3236[[#This Row],[Census Tract]],'Population and Diversity Data'!$B$2:$K$823,10,FALSE)</f>
        <v>1</v>
      </c>
      <c r="Q121" s="159" t="str">
        <f>VLOOKUP(Table3236[[#This Row],[Census Tract]],'UI EnergyBurden'!$A$2:$B$184,2,FALSE)</f>
        <v>No</v>
      </c>
    </row>
    <row r="122" spans="1:17" x14ac:dyDescent="0.2">
      <c r="A122" s="38">
        <v>9001072100</v>
      </c>
      <c r="B122" s="38" t="s">
        <v>2984</v>
      </c>
      <c r="C122" s="244" t="s">
        <v>944</v>
      </c>
      <c r="D122" s="245">
        <v>302.35410000000002</v>
      </c>
      <c r="E122" s="246">
        <v>0</v>
      </c>
      <c r="F122" s="247">
        <f>[2]!Table323[[#This Row],[Single Family]]+[2]!Table323[[#This Row],[2-4 Units]]+[2]!Table323[[#This Row],[&gt;4 Units]]</f>
        <v>0</v>
      </c>
      <c r="J122" s="248">
        <v>0</v>
      </c>
      <c r="K122" s="247">
        <f>SUM([2]!Table323[[#This Row],[Single Family ]:[&gt;4 Units ]])</f>
        <v>0</v>
      </c>
      <c r="L122" s="249"/>
      <c r="M122" s="249"/>
      <c r="N122" s="249"/>
      <c r="O122" s="250">
        <f>[2]!Table323[[#This Row],[Incentive Disbursements]]-[2]!Table323[[#This Row],[Incentives]]</f>
        <v>0</v>
      </c>
      <c r="P122" s="158">
        <f>VLOOKUP(Table3236[[#This Row],[Census Tract]],'Population and Diversity Data'!$B$2:$K$823,10,FALSE)</f>
        <v>5</v>
      </c>
      <c r="Q122" s="159" t="str">
        <f>VLOOKUP(Table3236[[#This Row],[Census Tract]],'UI EnergyBurden'!$A$2:$B$184,2,FALSE)</f>
        <v>No</v>
      </c>
    </row>
    <row r="123" spans="1:17" x14ac:dyDescent="0.2">
      <c r="A123" s="38">
        <v>9001072200</v>
      </c>
      <c r="B123" s="38" t="s">
        <v>2984</v>
      </c>
      <c r="C123" s="244" t="s">
        <v>936</v>
      </c>
      <c r="D123" s="245">
        <v>0</v>
      </c>
      <c r="E123" s="246">
        <v>0</v>
      </c>
      <c r="F123" s="247">
        <f>[2]!Table323[[#This Row],[Single Family]]+[2]!Table323[[#This Row],[2-4 Units]]+[2]!Table323[[#This Row],[&gt;4 Units]]</f>
        <v>0</v>
      </c>
      <c r="J123" s="248">
        <v>0</v>
      </c>
      <c r="K123" s="247">
        <f>SUM([2]!Table323[[#This Row],[Single Family ]:[&gt;4 Units ]])</f>
        <v>0</v>
      </c>
      <c r="L123" s="249"/>
      <c r="M123" s="249"/>
      <c r="N123" s="249"/>
      <c r="O123" s="250">
        <f>[2]!Table323[[#This Row],[Incentive Disbursements]]-[2]!Table323[[#This Row],[Incentives]]</f>
        <v>0</v>
      </c>
      <c r="P123" s="158">
        <f>VLOOKUP(Table3236[[#This Row],[Census Tract]],'Population and Diversity Data'!$B$2:$K$823,10,FALSE)</f>
        <v>4</v>
      </c>
      <c r="Q123" s="159" t="str">
        <f>VLOOKUP(Table3236[[#This Row],[Census Tract]],'UI EnergyBurden'!$A$2:$B$184,2,FALSE)</f>
        <v>No</v>
      </c>
    </row>
    <row r="124" spans="1:17" x14ac:dyDescent="0.2">
      <c r="A124" s="38">
        <v>9001072500</v>
      </c>
      <c r="B124" s="38" t="s">
        <v>2984</v>
      </c>
      <c r="C124" s="244" t="s">
        <v>944</v>
      </c>
      <c r="D124" s="245">
        <v>0</v>
      </c>
      <c r="E124" s="246">
        <v>0</v>
      </c>
      <c r="F124" s="247">
        <f>[2]!Table323[[#This Row],[Single Family]]+[2]!Table323[[#This Row],[2-4 Units]]+[2]!Table323[[#This Row],[&gt;4 Units]]</f>
        <v>0</v>
      </c>
      <c r="J124" s="248">
        <v>0</v>
      </c>
      <c r="K124" s="247">
        <f>SUM([2]!Table323[[#This Row],[Single Family ]:[&gt;4 Units ]])</f>
        <v>0</v>
      </c>
      <c r="L124" s="249"/>
      <c r="M124" s="249"/>
      <c r="N124" s="249"/>
      <c r="O124" s="250">
        <f>[2]!Table323[[#This Row],[Incentive Disbursements]]-[2]!Table323[[#This Row],[Incentives]]</f>
        <v>0</v>
      </c>
      <c r="P124" s="158">
        <f>VLOOKUP(Table3236[[#This Row],[Census Tract]],'Population and Diversity Data'!$B$2:$K$823,10,FALSE)</f>
        <v>4</v>
      </c>
      <c r="Q124" s="159" t="str">
        <f>VLOOKUP(Table3236[[#This Row],[Census Tract]],'UI EnergyBurden'!$A$2:$B$184,2,FALSE)</f>
        <v>No</v>
      </c>
    </row>
    <row r="125" spans="1:17" x14ac:dyDescent="0.2">
      <c r="A125" s="38">
        <v>9001090100</v>
      </c>
      <c r="B125" s="38" t="s">
        <v>2984</v>
      </c>
      <c r="C125" s="244" t="s">
        <v>944</v>
      </c>
      <c r="D125" s="245">
        <v>462.76580000000001</v>
      </c>
      <c r="E125" s="246">
        <v>0</v>
      </c>
      <c r="F125" s="247">
        <f>[2]!Table323[[#This Row],[Single Family]]+[2]!Table323[[#This Row],[2-4 Units]]+[2]!Table323[[#This Row],[&gt;4 Units]]</f>
        <v>0</v>
      </c>
      <c r="J125" s="248">
        <v>0</v>
      </c>
      <c r="K125" s="247">
        <f>SUM([2]!Table323[[#This Row],[Single Family ]:[&gt;4 Units ]])</f>
        <v>0</v>
      </c>
      <c r="L125" s="249"/>
      <c r="M125" s="249"/>
      <c r="N125" s="249"/>
      <c r="O125" s="250">
        <f>[2]!Table323[[#This Row],[Incentive Disbursements]]-[2]!Table323[[#This Row],[Incentives]]</f>
        <v>0</v>
      </c>
      <c r="P125" s="158">
        <f>VLOOKUP(Table3236[[#This Row],[Census Tract]],'Population and Diversity Data'!$B$2:$K$823,10,FALSE)</f>
        <v>1</v>
      </c>
      <c r="Q125" s="159" t="str">
        <f>VLOOKUP(Table3236[[#This Row],[Census Tract]],'UI EnergyBurden'!$A$2:$B$184,2,FALSE)</f>
        <v>No</v>
      </c>
    </row>
    <row r="126" spans="1:17" x14ac:dyDescent="0.2">
      <c r="A126" s="38">
        <v>9001105100</v>
      </c>
      <c r="B126" s="38" t="s">
        <v>2984</v>
      </c>
      <c r="C126" s="244" t="s">
        <v>944</v>
      </c>
      <c r="D126" s="245">
        <v>155.9145</v>
      </c>
      <c r="E126" s="246">
        <v>0</v>
      </c>
      <c r="F126" s="247">
        <f>[2]!Table323[[#This Row],[Single Family]]+[2]!Table323[[#This Row],[2-4 Units]]+[2]!Table323[[#This Row],[&gt;4 Units]]</f>
        <v>0</v>
      </c>
      <c r="J126" s="248">
        <v>0</v>
      </c>
      <c r="K126" s="247">
        <f>SUM([2]!Table323[[#This Row],[Single Family ]:[&gt;4 Units ]])</f>
        <v>0</v>
      </c>
      <c r="L126" s="249"/>
      <c r="M126" s="249"/>
      <c r="N126" s="249"/>
      <c r="O126" s="250">
        <f>[2]!Table323[[#This Row],[Incentive Disbursements]]-[2]!Table323[[#This Row],[Incentives]]</f>
        <v>0</v>
      </c>
      <c r="P126" s="158">
        <f>VLOOKUP(Table3236[[#This Row],[Census Tract]],'Population and Diversity Data'!$B$2:$K$823,10,FALSE)</f>
        <v>1</v>
      </c>
      <c r="Q126" s="159" t="str">
        <f>VLOOKUP(Table3236[[#This Row],[Census Tract]],'UI EnergyBurden'!$A$2:$B$184,2,FALSE)</f>
        <v>No</v>
      </c>
    </row>
    <row r="127" spans="1:17" x14ac:dyDescent="0.2">
      <c r="A127" s="38">
        <v>9001110600</v>
      </c>
      <c r="B127" s="38" t="s">
        <v>2984</v>
      </c>
      <c r="C127" s="244" t="s">
        <v>944</v>
      </c>
      <c r="D127" s="245">
        <v>729.55909999999994</v>
      </c>
      <c r="E127" s="246">
        <v>0</v>
      </c>
      <c r="F127" s="247">
        <f>[2]!Table323[[#This Row],[Single Family]]+[2]!Table323[[#This Row],[2-4 Units]]+[2]!Table323[[#This Row],[&gt;4 Units]]</f>
        <v>0</v>
      </c>
      <c r="J127" s="248">
        <v>0</v>
      </c>
      <c r="K127" s="247">
        <f>SUM([2]!Table323[[#This Row],[Single Family ]:[&gt;4 Units ]])</f>
        <v>0</v>
      </c>
      <c r="L127" s="249"/>
      <c r="M127" s="249"/>
      <c r="N127" s="249"/>
      <c r="O127" s="250">
        <f>[2]!Table323[[#This Row],[Incentive Disbursements]]-[2]!Table323[[#This Row],[Incentives]]</f>
        <v>0</v>
      </c>
      <c r="P127" s="158">
        <f>VLOOKUP(Table3236[[#This Row],[Census Tract]],'Population and Diversity Data'!$B$2:$K$823,10,FALSE)</f>
        <v>2</v>
      </c>
      <c r="Q127" s="159" t="str">
        <f>VLOOKUP(Table3236[[#This Row],[Census Tract]],'UI EnergyBurden'!$A$2:$B$184,2,FALSE)</f>
        <v>No</v>
      </c>
    </row>
    <row r="128" spans="1:17" x14ac:dyDescent="0.2">
      <c r="A128" s="38">
        <v>9009140800</v>
      </c>
      <c r="B128" s="38" t="s">
        <v>2984</v>
      </c>
      <c r="C128" s="244" t="s">
        <v>936</v>
      </c>
      <c r="D128" s="245">
        <v>0</v>
      </c>
      <c r="E128" s="246">
        <v>1643.3204436141837</v>
      </c>
      <c r="F128" s="247">
        <f>[2]!Table323[[#This Row],[Single Family]]+[2]!Table323[[#This Row],[2-4 Units]]+[2]!Table323[[#This Row],[&gt;4 Units]]</f>
        <v>0</v>
      </c>
      <c r="J128" s="248">
        <v>1643.3204436141837</v>
      </c>
      <c r="K128" s="247">
        <f>SUM([2]!Table323[[#This Row],[Single Family ]:[&gt;4 Units ]])</f>
        <v>0</v>
      </c>
      <c r="L128" s="249"/>
      <c r="M128" s="249"/>
      <c r="N128" s="249"/>
      <c r="O128" s="250">
        <f>[2]!Table323[[#This Row],[Incentive Disbursements]]-[2]!Table323[[#This Row],[Incentives]]</f>
        <v>0</v>
      </c>
      <c r="P128" s="158">
        <f>VLOOKUP(Table3236[[#This Row],[Census Tract]],'Population and Diversity Data'!$B$2:$K$823,10,FALSE)</f>
        <v>4</v>
      </c>
      <c r="Q128" s="159" t="str">
        <f>VLOOKUP(Table3236[[#This Row],[Census Tract]],'UI EnergyBurden'!$A$2:$B$184,2,FALSE)</f>
        <v>No</v>
      </c>
    </row>
    <row r="129" spans="1:17" x14ac:dyDescent="0.2">
      <c r="A129" s="38">
        <v>9009150700</v>
      </c>
      <c r="B129" s="38" t="s">
        <v>2984</v>
      </c>
      <c r="C129" s="244" t="s">
        <v>944</v>
      </c>
      <c r="D129" s="245">
        <v>454.1302</v>
      </c>
      <c r="E129" s="246">
        <v>0</v>
      </c>
      <c r="F129" s="247">
        <f>[2]!Table323[[#This Row],[Single Family]]+[2]!Table323[[#This Row],[2-4 Units]]+[2]!Table323[[#This Row],[&gt;4 Units]]</f>
        <v>0</v>
      </c>
      <c r="J129" s="248">
        <v>0</v>
      </c>
      <c r="K129" s="247">
        <f>SUM([2]!Table323[[#This Row],[Single Family ]:[&gt;4 Units ]])</f>
        <v>0</v>
      </c>
      <c r="L129" s="249"/>
      <c r="M129" s="249"/>
      <c r="N129" s="249"/>
      <c r="O129" s="250">
        <f>[2]!Table323[[#This Row],[Incentive Disbursements]]-[2]!Table323[[#This Row],[Incentives]]</f>
        <v>0</v>
      </c>
      <c r="P129" s="158">
        <f>VLOOKUP(Table3236[[#This Row],[Census Tract]],'Population and Diversity Data'!$B$2:$K$823,10,FALSE)</f>
        <v>3</v>
      </c>
      <c r="Q129" s="159" t="str">
        <f>VLOOKUP(Table3236[[#This Row],[Census Tract]],'UI EnergyBurden'!$A$2:$B$184,2,FALSE)</f>
        <v>No</v>
      </c>
    </row>
    <row r="130" spans="1:17" x14ac:dyDescent="0.2">
      <c r="A130" s="38">
        <v>9009140800</v>
      </c>
      <c r="B130" s="38" t="s">
        <v>2998</v>
      </c>
      <c r="C130" s="244" t="s">
        <v>936</v>
      </c>
      <c r="D130" s="245">
        <v>0</v>
      </c>
      <c r="E130" s="246">
        <v>220.1552791986999</v>
      </c>
      <c r="F130" s="247">
        <f>[2]!Table323[[#This Row],[Single Family]]+[2]!Table323[[#This Row],[2-4 Units]]+[2]!Table323[[#This Row],[&gt;4 Units]]</f>
        <v>0</v>
      </c>
      <c r="J130" s="248">
        <v>220.1552791986999</v>
      </c>
      <c r="K130" s="247">
        <f>SUM([2]!Table323[[#This Row],[Single Family ]:[&gt;4 Units ]])</f>
        <v>0</v>
      </c>
      <c r="L130" s="249"/>
      <c r="M130" s="249"/>
      <c r="N130" s="249"/>
      <c r="O130" s="250">
        <f>[2]!Table323[[#This Row],[Incentive Disbursements]]-[2]!Table323[[#This Row],[Incentives]]</f>
        <v>0</v>
      </c>
      <c r="P130" s="158">
        <f>VLOOKUP(Table3236[[#This Row],[Census Tract]],'Population and Diversity Data'!$B$2:$K$823,10,FALSE)</f>
        <v>4</v>
      </c>
      <c r="Q130" s="159" t="str">
        <f>VLOOKUP(Table3236[[#This Row],[Census Tract]],'UI EnergyBurden'!$A$2:$B$184,2,FALSE)</f>
        <v>No</v>
      </c>
    </row>
    <row r="131" spans="1:17" x14ac:dyDescent="0.2">
      <c r="A131" s="38">
        <v>9009140900</v>
      </c>
      <c r="B131" s="38" t="s">
        <v>2998</v>
      </c>
      <c r="C131" s="244" t="s">
        <v>936</v>
      </c>
      <c r="D131" s="245">
        <v>0</v>
      </c>
      <c r="E131" s="246">
        <v>137.83140834478607</v>
      </c>
      <c r="F131" s="247">
        <f>[2]!Table323[[#This Row],[Single Family]]+[2]!Table323[[#This Row],[2-4 Units]]+[2]!Table323[[#This Row],[&gt;4 Units]]</f>
        <v>0</v>
      </c>
      <c r="J131" s="248">
        <v>0</v>
      </c>
      <c r="K131" s="247">
        <f>SUM([2]!Table323[[#This Row],[Single Family ]:[&gt;4 Units ]])</f>
        <v>1</v>
      </c>
      <c r="L131" s="249">
        <v>1</v>
      </c>
      <c r="M131" s="249">
        <v>0</v>
      </c>
      <c r="N131" s="249">
        <v>0</v>
      </c>
      <c r="O131" s="250">
        <f>[2]!Table323[[#This Row],[Incentive Disbursements]]-[2]!Table323[[#This Row],[Incentives]]</f>
        <v>137.83140834478607</v>
      </c>
      <c r="P131" s="158">
        <f>VLOOKUP(Table3236[[#This Row],[Census Tract]],'Population and Diversity Data'!$B$2:$K$823,10,FALSE)</f>
        <v>3</v>
      </c>
      <c r="Q131" s="159" t="str">
        <f>VLOOKUP(Table3236[[#This Row],[Census Tract]],'UI EnergyBurden'!$A$2:$B$184,2,FALSE)</f>
        <v>No</v>
      </c>
    </row>
    <row r="132" spans="1:17" x14ac:dyDescent="0.2">
      <c r="A132" s="38">
        <v>9009141300</v>
      </c>
      <c r="B132" s="38" t="s">
        <v>953</v>
      </c>
      <c r="C132" s="244" t="s">
        <v>936</v>
      </c>
      <c r="D132" s="245">
        <v>143.75399999999999</v>
      </c>
      <c r="E132" s="246">
        <v>0</v>
      </c>
      <c r="F132" s="247">
        <f>[2]!Table323[[#This Row],[Single Family]]+[2]!Table323[[#This Row],[2-4 Units]]+[2]!Table323[[#This Row],[&gt;4 Units]]</f>
        <v>0</v>
      </c>
      <c r="J132" s="248">
        <v>0</v>
      </c>
      <c r="K132" s="247">
        <f>SUM([2]!Table323[[#This Row],[Single Family ]:[&gt;4 Units ]])</f>
        <v>0</v>
      </c>
      <c r="L132" s="249"/>
      <c r="M132" s="249"/>
      <c r="N132" s="249"/>
      <c r="O132" s="250">
        <f>[2]!Table323[[#This Row],[Incentive Disbursements]]-[2]!Table323[[#This Row],[Incentives]]</f>
        <v>0</v>
      </c>
      <c r="P132" s="158">
        <f>VLOOKUP(Table3236[[#This Row],[Census Tract]],'Population and Diversity Data'!$B$2:$K$823,10,FALSE)</f>
        <v>3</v>
      </c>
      <c r="Q132" s="159" t="str">
        <f>VLOOKUP(Table3236[[#This Row],[Census Tract]],'UI EnergyBurden'!$A$2:$B$184,2,FALSE)</f>
        <v>No</v>
      </c>
    </row>
    <row r="133" spans="1:17" x14ac:dyDescent="0.2">
      <c r="A133" s="38">
        <v>9009141400</v>
      </c>
      <c r="B133" s="38" t="s">
        <v>953</v>
      </c>
      <c r="C133" s="244" t="s">
        <v>944</v>
      </c>
      <c r="D133" s="245">
        <v>152.922</v>
      </c>
      <c r="E133" s="246">
        <v>0</v>
      </c>
      <c r="F133" s="247">
        <f>[2]!Table323[[#This Row],[Single Family]]+[2]!Table323[[#This Row],[2-4 Units]]+[2]!Table323[[#This Row],[&gt;4 Units]]</f>
        <v>0</v>
      </c>
      <c r="J133" s="248">
        <v>0</v>
      </c>
      <c r="K133" s="247">
        <f>SUM([2]!Table323[[#This Row],[Single Family ]:[&gt;4 Units ]])</f>
        <v>0</v>
      </c>
      <c r="L133" s="249"/>
      <c r="M133" s="249"/>
      <c r="N133" s="249"/>
      <c r="O133" s="250">
        <f>[2]!Table323[[#This Row],[Incentive Disbursements]]-[2]!Table323[[#This Row],[Incentives]]</f>
        <v>0</v>
      </c>
      <c r="P133" s="158">
        <f>VLOOKUP(Table3236[[#This Row],[Census Tract]],'Population and Diversity Data'!$B$2:$K$823,10,FALSE)</f>
        <v>5</v>
      </c>
      <c r="Q133" s="159" t="str">
        <f>VLOOKUP(Table3236[[#This Row],[Census Tract]],'UI EnergyBurden'!$A$2:$B$184,2,FALSE)</f>
        <v>No</v>
      </c>
    </row>
    <row r="134" spans="1:17" x14ac:dyDescent="0.2">
      <c r="A134" s="38">
        <v>9009141500</v>
      </c>
      <c r="B134" s="38" t="s">
        <v>953</v>
      </c>
      <c r="C134" s="244" t="s">
        <v>936</v>
      </c>
      <c r="D134" s="245">
        <v>94.991</v>
      </c>
      <c r="E134" s="246">
        <v>0</v>
      </c>
      <c r="F134" s="247">
        <f>[2]!Table323[[#This Row],[Single Family]]+[2]!Table323[[#This Row],[2-4 Units]]+[2]!Table323[[#This Row],[&gt;4 Units]]</f>
        <v>0</v>
      </c>
      <c r="J134" s="248">
        <v>0</v>
      </c>
      <c r="K134" s="247">
        <f>SUM([2]!Table323[[#This Row],[Single Family ]:[&gt;4 Units ]])</f>
        <v>0</v>
      </c>
      <c r="L134" s="249"/>
      <c r="M134" s="249"/>
      <c r="N134" s="249"/>
      <c r="O134" s="250">
        <f>[2]!Table323[[#This Row],[Incentive Disbursements]]-[2]!Table323[[#This Row],[Incentives]]</f>
        <v>0</v>
      </c>
      <c r="P134" s="158">
        <f>VLOOKUP(Table3236[[#This Row],[Census Tract]],'Population and Diversity Data'!$B$2:$K$823,10,FALSE)</f>
        <v>3</v>
      </c>
      <c r="Q134" s="159" t="str">
        <f>VLOOKUP(Table3236[[#This Row],[Census Tract]],'UI EnergyBurden'!$A$2:$B$184,2,FALSE)</f>
        <v>Yes</v>
      </c>
    </row>
    <row r="135" spans="1:17" x14ac:dyDescent="0.2">
      <c r="A135" s="38">
        <v>9009141800</v>
      </c>
      <c r="B135" s="38" t="s">
        <v>953</v>
      </c>
      <c r="C135" s="244" t="s">
        <v>944</v>
      </c>
      <c r="D135" s="245">
        <v>177.19649999999999</v>
      </c>
      <c r="E135" s="246">
        <v>0</v>
      </c>
      <c r="F135" s="247">
        <f>[2]!Table323[[#This Row],[Single Family]]+[2]!Table323[[#This Row],[2-4 Units]]+[2]!Table323[[#This Row],[&gt;4 Units]]</f>
        <v>0</v>
      </c>
      <c r="J135" s="248">
        <v>0</v>
      </c>
      <c r="K135" s="247">
        <f>SUM([2]!Table323[[#This Row],[Single Family ]:[&gt;4 Units ]])</f>
        <v>0</v>
      </c>
      <c r="L135" s="249"/>
      <c r="M135" s="249"/>
      <c r="N135" s="249"/>
      <c r="O135" s="250">
        <f>[2]!Table323[[#This Row],[Incentive Disbursements]]-[2]!Table323[[#This Row],[Incentives]]</f>
        <v>0</v>
      </c>
      <c r="P135" s="158">
        <f>VLOOKUP(Table3236[[#This Row],[Census Tract]],'Population and Diversity Data'!$B$2:$K$823,10,FALSE)</f>
        <v>5</v>
      </c>
      <c r="Q135" s="159" t="str">
        <f>VLOOKUP(Table3236[[#This Row],[Census Tract]],'UI EnergyBurden'!$A$2:$B$184,2,FALSE)</f>
        <v>No</v>
      </c>
    </row>
    <row r="136" spans="1:17" x14ac:dyDescent="0.2">
      <c r="A136" s="38">
        <v>9009141900</v>
      </c>
      <c r="B136" s="38" t="s">
        <v>953</v>
      </c>
      <c r="C136" s="244" t="s">
        <v>944</v>
      </c>
      <c r="D136" s="245">
        <v>41.586100000000002</v>
      </c>
      <c r="E136" s="246">
        <v>0</v>
      </c>
      <c r="F136" s="247">
        <f>[2]!Table323[[#This Row],[Single Family]]+[2]!Table323[[#This Row],[2-4 Units]]+[2]!Table323[[#This Row],[&gt;4 Units]]</f>
        <v>0</v>
      </c>
      <c r="J136" s="248">
        <v>0</v>
      </c>
      <c r="K136" s="247">
        <f>SUM([2]!Table323[[#This Row],[Single Family ]:[&gt;4 Units ]])</f>
        <v>0</v>
      </c>
      <c r="L136" s="249"/>
      <c r="M136" s="249"/>
      <c r="N136" s="249"/>
      <c r="O136" s="250">
        <f>[2]!Table323[[#This Row],[Incentive Disbursements]]-[2]!Table323[[#This Row],[Incentives]]</f>
        <v>0</v>
      </c>
      <c r="P136" s="158">
        <f>VLOOKUP(Table3236[[#This Row],[Census Tract]],'Population and Diversity Data'!$B$2:$K$823,10,FALSE)</f>
        <v>5</v>
      </c>
      <c r="Q136" s="159" t="str">
        <f>VLOOKUP(Table3236[[#This Row],[Census Tract]],'UI EnergyBurden'!$A$2:$B$184,2,FALSE)</f>
        <v>No</v>
      </c>
    </row>
    <row r="137" spans="1:17" x14ac:dyDescent="0.2">
      <c r="A137" s="38">
        <v>9009142500</v>
      </c>
      <c r="B137" s="38" t="s">
        <v>953</v>
      </c>
      <c r="C137" s="244" t="s">
        <v>936</v>
      </c>
      <c r="D137" s="245">
        <v>231.15710000000001</v>
      </c>
      <c r="E137" s="246">
        <v>0</v>
      </c>
      <c r="F137" s="247">
        <f>[2]!Table323[[#This Row],[Single Family]]+[2]!Table323[[#This Row],[2-4 Units]]+[2]!Table323[[#This Row],[&gt;4 Units]]</f>
        <v>0</v>
      </c>
      <c r="J137" s="248">
        <v>0</v>
      </c>
      <c r="K137" s="247">
        <f>SUM([2]!Table323[[#This Row],[Single Family ]:[&gt;4 Units ]])</f>
        <v>0</v>
      </c>
      <c r="L137" s="249"/>
      <c r="M137" s="249"/>
      <c r="N137" s="249"/>
      <c r="O137" s="250">
        <f>[2]!Table323[[#This Row],[Incentive Disbursements]]-[2]!Table323[[#This Row],[Incentives]]</f>
        <v>0</v>
      </c>
      <c r="P137" s="158">
        <f>VLOOKUP(Table3236[[#This Row],[Census Tract]],'Population and Diversity Data'!$B$2:$K$823,10,FALSE)</f>
        <v>5</v>
      </c>
      <c r="Q137" s="159" t="str">
        <f>VLOOKUP(Table3236[[#This Row],[Census Tract]],'UI EnergyBurden'!$A$2:$B$184,2,FALSE)</f>
        <v>Yes</v>
      </c>
    </row>
    <row r="138" spans="1:17" x14ac:dyDescent="0.2">
      <c r="A138" s="38">
        <v>9009157200</v>
      </c>
      <c r="B138" s="38" t="s">
        <v>2998</v>
      </c>
      <c r="C138" s="244" t="s">
        <v>944</v>
      </c>
      <c r="D138" s="245">
        <v>0</v>
      </c>
      <c r="E138" s="246">
        <v>172.8716066533791</v>
      </c>
      <c r="F138" s="247">
        <f>[2]!Table323[[#This Row],[Single Family]]+[2]!Table323[[#This Row],[2-4 Units]]+[2]!Table323[[#This Row],[&gt;4 Units]]</f>
        <v>1</v>
      </c>
      <c r="G138">
        <v>1</v>
      </c>
      <c r="H138">
        <v>0</v>
      </c>
      <c r="I138">
        <v>0</v>
      </c>
      <c r="J138" s="248">
        <v>172.8716066533791</v>
      </c>
      <c r="K138" s="247">
        <f>SUM([2]!Table323[[#This Row],[Single Family ]:[&gt;4 Units ]])</f>
        <v>0</v>
      </c>
      <c r="L138" s="249"/>
      <c r="M138" s="249"/>
      <c r="N138" s="249"/>
      <c r="O138" s="250">
        <f>[2]!Table323[[#This Row],[Incentive Disbursements]]-[2]!Table323[[#This Row],[Incentives]]</f>
        <v>0</v>
      </c>
      <c r="P138" s="158">
        <f>VLOOKUP(Table3236[[#This Row],[Census Tract]],'Population and Diversity Data'!$B$2:$K$823,10,FALSE)</f>
        <v>2</v>
      </c>
      <c r="Q138" s="159" t="str">
        <f>VLOOKUP(Table3236[[#This Row],[Census Tract]],'UI EnergyBurden'!$A$2:$B$184,2,FALSE)</f>
        <v>No</v>
      </c>
    </row>
    <row r="139" spans="1:17" x14ac:dyDescent="0.2">
      <c r="A139" s="38">
        <v>9009165100</v>
      </c>
      <c r="B139" s="38" t="s">
        <v>953</v>
      </c>
      <c r="C139" s="244" t="s">
        <v>944</v>
      </c>
      <c r="D139" s="245">
        <v>60626.775900000102</v>
      </c>
      <c r="E139" s="246">
        <v>41345.829001136641</v>
      </c>
      <c r="F139" s="247">
        <f>[2]!Table323[[#This Row],[Single Family]]+[2]!Table323[[#This Row],[2-4 Units]]+[2]!Table323[[#This Row],[&gt;4 Units]]</f>
        <v>31</v>
      </c>
      <c r="G139">
        <v>30</v>
      </c>
      <c r="H139">
        <v>1</v>
      </c>
      <c r="I139">
        <v>0</v>
      </c>
      <c r="J139" s="248">
        <v>23129.257968420214</v>
      </c>
      <c r="K139" s="247">
        <f>SUM([2]!Table323[[#This Row],[Single Family ]:[&gt;4 Units ]])</f>
        <v>12</v>
      </c>
      <c r="L139" s="249">
        <v>9</v>
      </c>
      <c r="M139" s="249">
        <v>3</v>
      </c>
      <c r="N139" s="249">
        <v>0</v>
      </c>
      <c r="O139" s="250">
        <f>[2]!Table323[[#This Row],[Incentive Disbursements]]-[2]!Table323[[#This Row],[Incentives]]</f>
        <v>18216.571032716427</v>
      </c>
      <c r="P139" s="158">
        <f>VLOOKUP(Table3236[[#This Row],[Census Tract]],'Population and Diversity Data'!$B$2:$K$823,10,FALSE)</f>
        <v>5</v>
      </c>
      <c r="Q139" s="159" t="str">
        <f>VLOOKUP(Table3236[[#This Row],[Census Tract]],'UI EnergyBurden'!$A$2:$B$184,2,FALSE)</f>
        <v>No</v>
      </c>
    </row>
    <row r="140" spans="1:17" x14ac:dyDescent="0.2">
      <c r="A140" s="38">
        <v>9009165200</v>
      </c>
      <c r="B140" s="38" t="s">
        <v>953</v>
      </c>
      <c r="C140" s="244" t="s">
        <v>944</v>
      </c>
      <c r="D140" s="245">
        <v>48468.042599999899</v>
      </c>
      <c r="E140" s="246">
        <v>18985.367471244685</v>
      </c>
      <c r="F140" s="247">
        <f>[2]!Table323[[#This Row],[Single Family]]+[2]!Table323[[#This Row],[2-4 Units]]+[2]!Table323[[#This Row],[&gt;4 Units]]</f>
        <v>14</v>
      </c>
      <c r="G140">
        <v>14</v>
      </c>
      <c r="H140">
        <v>0</v>
      </c>
      <c r="I140">
        <v>0</v>
      </c>
      <c r="J140" s="248">
        <v>16913.805718949716</v>
      </c>
      <c r="K140" s="247">
        <f>SUM([2]!Table323[[#This Row],[Single Family ]:[&gt;4 Units ]])</f>
        <v>2</v>
      </c>
      <c r="L140" s="249">
        <v>2</v>
      </c>
      <c r="M140" s="249">
        <v>0</v>
      </c>
      <c r="N140" s="249">
        <v>0</v>
      </c>
      <c r="O140" s="250">
        <f>[2]!Table323[[#This Row],[Incentive Disbursements]]-[2]!Table323[[#This Row],[Incentives]]</f>
        <v>2071.5617522949688</v>
      </c>
      <c r="P140" s="158">
        <f>VLOOKUP(Table3236[[#This Row],[Census Tract]],'Population and Diversity Data'!$B$2:$K$823,10,FALSE)</f>
        <v>3</v>
      </c>
      <c r="Q140" s="159" t="str">
        <f>VLOOKUP(Table3236[[#This Row],[Census Tract]],'UI EnergyBurden'!$A$2:$B$184,2,FALSE)</f>
        <v>No</v>
      </c>
    </row>
    <row r="141" spans="1:17" x14ac:dyDescent="0.2">
      <c r="A141" s="38">
        <v>9009165300</v>
      </c>
      <c r="B141" s="38" t="s">
        <v>953</v>
      </c>
      <c r="C141" s="244" t="s">
        <v>944</v>
      </c>
      <c r="D141" s="245">
        <v>34716.817999999999</v>
      </c>
      <c r="E141" s="246">
        <v>19427.680732504472</v>
      </c>
      <c r="F141" s="247">
        <f>[2]!Table323[[#This Row],[Single Family]]+[2]!Table323[[#This Row],[2-4 Units]]+[2]!Table323[[#This Row],[&gt;4 Units]]</f>
        <v>18</v>
      </c>
      <c r="G141">
        <v>18</v>
      </c>
      <c r="H141">
        <v>0</v>
      </c>
      <c r="I141">
        <v>0</v>
      </c>
      <c r="J141" s="248">
        <v>19171.008084091587</v>
      </c>
      <c r="K141" s="247">
        <f>SUM([2]!Table323[[#This Row],[Single Family ]:[&gt;4 Units ]])</f>
        <v>1</v>
      </c>
      <c r="L141" s="249">
        <v>1</v>
      </c>
      <c r="M141" s="249">
        <v>0</v>
      </c>
      <c r="N141" s="249">
        <v>0</v>
      </c>
      <c r="O141" s="250">
        <f>[2]!Table323[[#This Row],[Incentive Disbursements]]-[2]!Table323[[#This Row],[Incentives]]</f>
        <v>256.67264841288488</v>
      </c>
      <c r="P141" s="158">
        <f>VLOOKUP(Table3236[[#This Row],[Census Tract]],'Population and Diversity Data'!$B$2:$K$823,10,FALSE)</f>
        <v>2</v>
      </c>
      <c r="Q141" s="159" t="str">
        <f>VLOOKUP(Table3236[[#This Row],[Census Tract]],'UI EnergyBurden'!$A$2:$B$184,2,FALSE)</f>
        <v>No</v>
      </c>
    </row>
    <row r="142" spans="1:17" x14ac:dyDescent="0.2">
      <c r="A142" s="38">
        <v>9009165400</v>
      </c>
      <c r="B142" s="38" t="s">
        <v>953</v>
      </c>
      <c r="C142" s="244" t="s">
        <v>944</v>
      </c>
      <c r="D142" s="245">
        <v>82247.570100000201</v>
      </c>
      <c r="E142" s="246">
        <v>132744.2874101249</v>
      </c>
      <c r="F142" s="247">
        <f>[2]!Table323[[#This Row],[Single Family]]+[2]!Table323[[#This Row],[2-4 Units]]+[2]!Table323[[#This Row],[&gt;4 Units]]</f>
        <v>34</v>
      </c>
      <c r="G142">
        <v>32</v>
      </c>
      <c r="H142">
        <v>2</v>
      </c>
      <c r="I142">
        <v>0</v>
      </c>
      <c r="J142" s="248">
        <v>19414.954337010149</v>
      </c>
      <c r="K142" s="247">
        <f>SUM([2]!Table323[[#This Row],[Single Family ]:[&gt;4 Units ]])</f>
        <v>14</v>
      </c>
      <c r="L142" s="249">
        <v>10</v>
      </c>
      <c r="M142" s="249">
        <v>4</v>
      </c>
      <c r="N142" s="249">
        <v>0</v>
      </c>
      <c r="O142" s="250">
        <f>[2]!Table323[[#This Row],[Incentive Disbursements]]-[2]!Table323[[#This Row],[Incentives]]</f>
        <v>113329.33307311476</v>
      </c>
      <c r="P142" s="158">
        <f>VLOOKUP(Table3236[[#This Row],[Census Tract]],'Population and Diversity Data'!$B$2:$K$823,10,FALSE)</f>
        <v>3</v>
      </c>
      <c r="Q142" s="159" t="str">
        <f>VLOOKUP(Table3236[[#This Row],[Census Tract]],'UI EnergyBurden'!$A$2:$B$184,2,FALSE)</f>
        <v>No</v>
      </c>
    </row>
    <row r="143" spans="1:17" x14ac:dyDescent="0.2">
      <c r="A143" s="38">
        <v>9009165500</v>
      </c>
      <c r="B143" s="38" t="s">
        <v>953</v>
      </c>
      <c r="C143" s="244" t="s">
        <v>936</v>
      </c>
      <c r="D143" s="245">
        <v>67465.568400000004</v>
      </c>
      <c r="E143" s="246">
        <v>59812.183952561987</v>
      </c>
      <c r="F143" s="247">
        <f>[2]!Table323[[#This Row],[Single Family]]+[2]!Table323[[#This Row],[2-4 Units]]+[2]!Table323[[#This Row],[&gt;4 Units]]</f>
        <v>12</v>
      </c>
      <c r="G143">
        <v>10</v>
      </c>
      <c r="H143">
        <v>2</v>
      </c>
      <c r="I143">
        <v>0</v>
      </c>
      <c r="J143" s="248">
        <v>6371.492629939974</v>
      </c>
      <c r="K143" s="247">
        <f>SUM([2]!Table323[[#This Row],[Single Family ]:[&gt;4 Units ]])</f>
        <v>21</v>
      </c>
      <c r="L143" s="249">
        <v>11</v>
      </c>
      <c r="M143" s="249">
        <v>9</v>
      </c>
      <c r="N143" s="249">
        <v>1</v>
      </c>
      <c r="O143" s="250">
        <f>[2]!Table323[[#This Row],[Incentive Disbursements]]-[2]!Table323[[#This Row],[Incentives]]</f>
        <v>53440.691322622013</v>
      </c>
      <c r="P143" s="158">
        <f>VLOOKUP(Table3236[[#This Row],[Census Tract]],'Population and Diversity Data'!$B$2:$K$823,10,FALSE)</f>
        <v>4</v>
      </c>
      <c r="Q143" s="159" t="str">
        <f>VLOOKUP(Table3236[[#This Row],[Census Tract]],'UI EnergyBurden'!$A$2:$B$184,2,FALSE)</f>
        <v>Yes</v>
      </c>
    </row>
    <row r="144" spans="1:17" x14ac:dyDescent="0.2">
      <c r="A144" s="38">
        <v>9009165600</v>
      </c>
      <c r="B144" s="38" t="s">
        <v>953</v>
      </c>
      <c r="C144" s="244" t="s">
        <v>944</v>
      </c>
      <c r="D144" s="245">
        <v>85902.613000000201</v>
      </c>
      <c r="E144" s="246">
        <v>41845.496263519286</v>
      </c>
      <c r="F144" s="247">
        <f>[2]!Table323[[#This Row],[Single Family]]+[2]!Table323[[#This Row],[2-4 Units]]+[2]!Table323[[#This Row],[&gt;4 Units]]</f>
        <v>22</v>
      </c>
      <c r="G144">
        <v>21</v>
      </c>
      <c r="H144">
        <v>1</v>
      </c>
      <c r="I144">
        <v>0</v>
      </c>
      <c r="J144" s="248">
        <v>18156.66038964158</v>
      </c>
      <c r="K144" s="247">
        <f>SUM([2]!Table323[[#This Row],[Single Family ]:[&gt;4 Units ]])</f>
        <v>16</v>
      </c>
      <c r="L144" s="249">
        <v>13</v>
      </c>
      <c r="M144" s="249">
        <v>3</v>
      </c>
      <c r="N144" s="249">
        <v>0</v>
      </c>
      <c r="O144" s="250">
        <f>[2]!Table323[[#This Row],[Incentive Disbursements]]-[2]!Table323[[#This Row],[Incentives]]</f>
        <v>23688.835873877706</v>
      </c>
      <c r="P144" s="158">
        <f>VLOOKUP(Table3236[[#This Row],[Census Tract]],'Population and Diversity Data'!$B$2:$K$823,10,FALSE)</f>
        <v>5</v>
      </c>
      <c r="Q144" s="159" t="str">
        <f>VLOOKUP(Table3236[[#This Row],[Census Tract]],'UI EnergyBurden'!$A$2:$B$184,2,FALSE)</f>
        <v>No</v>
      </c>
    </row>
    <row r="145" spans="1:17" x14ac:dyDescent="0.2">
      <c r="A145" s="38">
        <v>9009165700</v>
      </c>
      <c r="B145" s="38" t="s">
        <v>953</v>
      </c>
      <c r="C145" s="244" t="s">
        <v>944</v>
      </c>
      <c r="D145" s="245">
        <v>67016.043900000004</v>
      </c>
      <c r="E145" s="246">
        <v>76277.412637469548</v>
      </c>
      <c r="F145" s="247">
        <f>[2]!Table323[[#This Row],[Single Family]]+[2]!Table323[[#This Row],[2-4 Units]]+[2]!Table323[[#This Row],[&gt;4 Units]]</f>
        <v>25</v>
      </c>
      <c r="G145">
        <v>24</v>
      </c>
      <c r="H145">
        <v>1</v>
      </c>
      <c r="I145">
        <v>0</v>
      </c>
      <c r="J145" s="248">
        <v>22175.61631676344</v>
      </c>
      <c r="K145" s="247">
        <f>SUM([2]!Table323[[#This Row],[Single Family ]:[&gt;4 Units ]])</f>
        <v>19</v>
      </c>
      <c r="L145" s="249">
        <v>14</v>
      </c>
      <c r="M145" s="249">
        <v>5</v>
      </c>
      <c r="N145" s="249">
        <v>0</v>
      </c>
      <c r="O145" s="250">
        <f>[2]!Table323[[#This Row],[Incentive Disbursements]]-[2]!Table323[[#This Row],[Incentives]]</f>
        <v>54101.796320706111</v>
      </c>
      <c r="P145" s="158">
        <f>VLOOKUP(Table3236[[#This Row],[Census Tract]],'Population and Diversity Data'!$B$2:$K$823,10,FALSE)</f>
        <v>4</v>
      </c>
      <c r="Q145" s="159" t="str">
        <f>VLOOKUP(Table3236[[#This Row],[Census Tract]],'UI EnergyBurden'!$A$2:$B$184,2,FALSE)</f>
        <v>No</v>
      </c>
    </row>
    <row r="146" spans="1:17" x14ac:dyDescent="0.2">
      <c r="A146" s="38">
        <v>9009165801</v>
      </c>
      <c r="B146" s="38" t="s">
        <v>953</v>
      </c>
      <c r="C146" s="244" t="s">
        <v>944</v>
      </c>
      <c r="D146" s="245">
        <v>77328.733099999998</v>
      </c>
      <c r="E146" s="246">
        <v>17862.944840057709</v>
      </c>
      <c r="F146" s="247">
        <f>[2]!Table323[[#This Row],[Single Family]]+[2]!Table323[[#This Row],[2-4 Units]]+[2]!Table323[[#This Row],[&gt;4 Units]]</f>
        <v>15</v>
      </c>
      <c r="G146">
        <v>13</v>
      </c>
      <c r="H146">
        <v>2</v>
      </c>
      <c r="I146">
        <v>0</v>
      </c>
      <c r="J146" s="248">
        <v>14735.731422221777</v>
      </c>
      <c r="K146" s="247">
        <f>SUM([2]!Table323[[#This Row],[Single Family ]:[&gt;4 Units ]])</f>
        <v>3</v>
      </c>
      <c r="L146" s="249">
        <v>2</v>
      </c>
      <c r="M146" s="249">
        <v>1</v>
      </c>
      <c r="N146" s="249">
        <v>0</v>
      </c>
      <c r="O146" s="250">
        <f>[2]!Table323[[#This Row],[Incentive Disbursements]]-[2]!Table323[[#This Row],[Incentives]]</f>
        <v>3127.213417835932</v>
      </c>
      <c r="P146" s="158">
        <f>VLOOKUP(Table3236[[#This Row],[Census Tract]],'Population and Diversity Data'!$B$2:$K$823,10,FALSE)</f>
        <v>4</v>
      </c>
      <c r="Q146" s="159" t="str">
        <f>VLOOKUP(Table3236[[#This Row],[Census Tract]],'UI EnergyBurden'!$A$2:$B$184,2,FALSE)</f>
        <v>No</v>
      </c>
    </row>
    <row r="147" spans="1:17" x14ac:dyDescent="0.2">
      <c r="A147" s="38">
        <v>9009165802</v>
      </c>
      <c r="B147" s="38" t="s">
        <v>953</v>
      </c>
      <c r="C147" s="244" t="s">
        <v>944</v>
      </c>
      <c r="D147" s="245">
        <v>76841.958499999906</v>
      </c>
      <c r="E147" s="246">
        <v>71150.180831295031</v>
      </c>
      <c r="F147" s="247">
        <f>[2]!Table323[[#This Row],[Single Family]]+[2]!Table323[[#This Row],[2-4 Units]]+[2]!Table323[[#This Row],[&gt;4 Units]]</f>
        <v>34</v>
      </c>
      <c r="G147">
        <v>34</v>
      </c>
      <c r="H147">
        <v>0</v>
      </c>
      <c r="I147">
        <v>0</v>
      </c>
      <c r="J147" s="248">
        <v>48680.650115018121</v>
      </c>
      <c r="K147" s="247">
        <f>SUM([2]!Table323[[#This Row],[Single Family ]:[&gt;4 Units ]])</f>
        <v>7</v>
      </c>
      <c r="L147" s="249">
        <v>7</v>
      </c>
      <c r="M147" s="249">
        <v>0</v>
      </c>
      <c r="N147" s="249">
        <v>0</v>
      </c>
      <c r="O147" s="250">
        <f>[2]!Table323[[#This Row],[Incentive Disbursements]]-[2]!Table323[[#This Row],[Incentives]]</f>
        <v>22469.53071627691</v>
      </c>
      <c r="P147" s="158">
        <f>VLOOKUP(Table3236[[#This Row],[Census Tract]],'Population and Diversity Data'!$B$2:$K$823,10,FALSE)</f>
        <v>3</v>
      </c>
      <c r="Q147" s="159" t="str">
        <f>VLOOKUP(Table3236[[#This Row],[Census Tract]],'UI EnergyBurden'!$A$2:$B$184,2,FALSE)</f>
        <v>No</v>
      </c>
    </row>
    <row r="148" spans="1:17" x14ac:dyDescent="0.2">
      <c r="A148" s="38">
        <v>9009165900</v>
      </c>
      <c r="B148" s="38" t="s">
        <v>953</v>
      </c>
      <c r="C148" s="244" t="s">
        <v>944</v>
      </c>
      <c r="D148" s="245">
        <v>144930.68359999999</v>
      </c>
      <c r="E148" s="246">
        <v>92801.685547901579</v>
      </c>
      <c r="F148" s="247">
        <f>[2]!Table323[[#This Row],[Single Family]]+[2]!Table323[[#This Row],[2-4 Units]]+[2]!Table323[[#This Row],[&gt;4 Units]]</f>
        <v>60</v>
      </c>
      <c r="G148">
        <v>60</v>
      </c>
      <c r="H148">
        <v>0</v>
      </c>
      <c r="I148">
        <v>0</v>
      </c>
      <c r="J148" s="248">
        <v>76745.207096850805</v>
      </c>
      <c r="K148" s="247">
        <f>SUM([2]!Table323[[#This Row],[Single Family ]:[&gt;4 Units ]])</f>
        <v>8</v>
      </c>
      <c r="L148" s="249">
        <v>6</v>
      </c>
      <c r="M148" s="249">
        <v>2</v>
      </c>
      <c r="N148" s="249">
        <v>0</v>
      </c>
      <c r="O148" s="250">
        <f>[2]!Table323[[#This Row],[Incentive Disbursements]]-[2]!Table323[[#This Row],[Incentives]]</f>
        <v>16056.478451050774</v>
      </c>
      <c r="P148" s="158">
        <f>VLOOKUP(Table3236[[#This Row],[Census Tract]],'Population and Diversity Data'!$B$2:$K$823,10,FALSE)</f>
        <v>3</v>
      </c>
      <c r="Q148" s="159" t="str">
        <f>VLOOKUP(Table3236[[#This Row],[Census Tract]],'UI EnergyBurden'!$A$2:$B$184,2,FALSE)</f>
        <v>No</v>
      </c>
    </row>
    <row r="149" spans="1:17" x14ac:dyDescent="0.2">
      <c r="A149" s="38">
        <v>9009166001</v>
      </c>
      <c r="B149" s="38" t="s">
        <v>953</v>
      </c>
      <c r="C149" s="244" t="s">
        <v>944</v>
      </c>
      <c r="D149" s="245">
        <v>103220.78479999999</v>
      </c>
      <c r="E149" s="246">
        <v>90071.575439474502</v>
      </c>
      <c r="F149" s="247">
        <f>[2]!Table323[[#This Row],[Single Family]]+[2]!Table323[[#This Row],[2-4 Units]]+[2]!Table323[[#This Row],[&gt;4 Units]]</f>
        <v>18</v>
      </c>
      <c r="G149">
        <v>17</v>
      </c>
      <c r="H149">
        <v>0</v>
      </c>
      <c r="I149">
        <v>1</v>
      </c>
      <c r="J149" s="248">
        <v>40844.102221626003</v>
      </c>
      <c r="K149" s="247">
        <f>SUM([2]!Table323[[#This Row],[Single Family ]:[&gt;4 Units ]])</f>
        <v>5</v>
      </c>
      <c r="L149" s="249">
        <v>3</v>
      </c>
      <c r="M149" s="249">
        <v>0</v>
      </c>
      <c r="N149" s="249">
        <v>2</v>
      </c>
      <c r="O149" s="250">
        <f>[2]!Table323[[#This Row],[Incentive Disbursements]]-[2]!Table323[[#This Row],[Incentives]]</f>
        <v>49227.473217848499</v>
      </c>
      <c r="P149" s="158">
        <f>VLOOKUP(Table3236[[#This Row],[Census Tract]],'Population and Diversity Data'!$B$2:$K$823,10,FALSE)</f>
        <v>4</v>
      </c>
      <c r="Q149" s="159" t="str">
        <f>VLOOKUP(Table3236[[#This Row],[Census Tract]],'UI EnergyBurden'!$A$2:$B$184,2,FALSE)</f>
        <v>No</v>
      </c>
    </row>
    <row r="150" spans="1:17" x14ac:dyDescent="0.2">
      <c r="A150" s="38">
        <v>9009166002</v>
      </c>
      <c r="B150" s="38" t="s">
        <v>953</v>
      </c>
      <c r="C150" s="244" t="s">
        <v>944</v>
      </c>
      <c r="D150" s="245">
        <v>88585.424700000105</v>
      </c>
      <c r="E150" s="246">
        <v>36535.308318547446</v>
      </c>
      <c r="F150" s="247">
        <f>[2]!Table323[[#This Row],[Single Family]]+[2]!Table323[[#This Row],[2-4 Units]]+[2]!Table323[[#This Row],[&gt;4 Units]]</f>
        <v>27</v>
      </c>
      <c r="G150">
        <v>27</v>
      </c>
      <c r="H150">
        <v>0</v>
      </c>
      <c r="I150">
        <v>0</v>
      </c>
      <c r="J150" s="248">
        <v>35938.843751149368</v>
      </c>
      <c r="K150" s="247">
        <f>SUM([2]!Table323[[#This Row],[Single Family ]:[&gt;4 Units ]])</f>
        <v>3</v>
      </c>
      <c r="L150" s="249">
        <v>1</v>
      </c>
      <c r="M150" s="249">
        <v>2</v>
      </c>
      <c r="N150" s="249">
        <v>0</v>
      </c>
      <c r="O150" s="250">
        <f>[2]!Table323[[#This Row],[Incentive Disbursements]]-[2]!Table323[[#This Row],[Incentives]]</f>
        <v>596.46456739807763</v>
      </c>
      <c r="P150" s="158">
        <f>VLOOKUP(Table3236[[#This Row],[Census Tract]],'Population and Diversity Data'!$B$2:$K$823,10,FALSE)</f>
        <v>3</v>
      </c>
      <c r="Q150" s="159" t="str">
        <f>VLOOKUP(Table3236[[#This Row],[Census Tract]],'UI EnergyBurden'!$A$2:$B$184,2,FALSE)</f>
        <v>No</v>
      </c>
    </row>
    <row r="151" spans="1:17" x14ac:dyDescent="0.2">
      <c r="A151" s="38">
        <v>9009167100</v>
      </c>
      <c r="B151" s="38" t="s">
        <v>953</v>
      </c>
      <c r="C151" s="244" t="s">
        <v>944</v>
      </c>
      <c r="D151" s="245">
        <v>695.01679999999999</v>
      </c>
      <c r="E151" s="246">
        <v>0</v>
      </c>
      <c r="F151" s="247">
        <f>[2]!Table323[[#This Row],[Single Family]]+[2]!Table323[[#This Row],[2-4 Units]]+[2]!Table323[[#This Row],[&gt;4 Units]]</f>
        <v>0</v>
      </c>
      <c r="J151" s="248">
        <v>0</v>
      </c>
      <c r="K151" s="247">
        <f>SUM([2]!Table323[[#This Row],[Single Family ]:[&gt;4 Units ]])</f>
        <v>0</v>
      </c>
      <c r="L151" s="249"/>
      <c r="M151" s="249"/>
      <c r="N151" s="249"/>
      <c r="O151" s="250">
        <f>[2]!Table323[[#This Row],[Incentive Disbursements]]-[2]!Table323[[#This Row],[Incentives]]</f>
        <v>0</v>
      </c>
      <c r="P151" s="158">
        <f>VLOOKUP(Table3236[[#This Row],[Census Tract]],'Population and Diversity Data'!$B$2:$K$823,10,FALSE)</f>
        <v>3</v>
      </c>
      <c r="Q151" s="159" t="str">
        <f>VLOOKUP(Table3236[[#This Row],[Census Tract]],'UI EnergyBurden'!$A$2:$B$184,2,FALSE)</f>
        <v>No</v>
      </c>
    </row>
    <row r="152" spans="1:17" x14ac:dyDescent="0.2">
      <c r="A152" s="38">
        <v>9009167201</v>
      </c>
      <c r="B152" s="38" t="s">
        <v>2998</v>
      </c>
      <c r="C152" s="244" t="s">
        <v>944</v>
      </c>
      <c r="D152" s="245">
        <v>0</v>
      </c>
      <c r="E152" s="246">
        <v>683.34778306636463</v>
      </c>
      <c r="F152" s="247">
        <f>[2]!Table323[[#This Row],[Single Family]]+[2]!Table323[[#This Row],[2-4 Units]]+[2]!Table323[[#This Row],[&gt;4 Units]]</f>
        <v>0</v>
      </c>
      <c r="J152" s="248">
        <v>0</v>
      </c>
      <c r="K152" s="247">
        <f>SUM([2]!Table323[[#This Row],[Single Family ]:[&gt;4 Units ]])</f>
        <v>1</v>
      </c>
      <c r="L152" s="249">
        <v>1</v>
      </c>
      <c r="M152" s="249">
        <v>0</v>
      </c>
      <c r="N152" s="249">
        <v>0</v>
      </c>
      <c r="O152" s="250">
        <f>[2]!Table323[[#This Row],[Incentive Disbursements]]-[2]!Table323[[#This Row],[Incentives]]</f>
        <v>683.34778306636463</v>
      </c>
      <c r="P152" s="158">
        <f>VLOOKUP(Table3236[[#This Row],[Census Tract]],'Population and Diversity Data'!$B$2:$K$823,10,FALSE)</f>
        <v>2</v>
      </c>
      <c r="Q152" s="159" t="str">
        <f>VLOOKUP(Table3236[[#This Row],[Census Tract]],'UI EnergyBurden'!$A$2:$B$184,2,FALSE)</f>
        <v>No</v>
      </c>
    </row>
    <row r="153" spans="1:17" x14ac:dyDescent="0.2">
      <c r="A153" s="38">
        <v>9001080800</v>
      </c>
      <c r="B153" s="38" t="s">
        <v>2989</v>
      </c>
      <c r="C153" s="244" t="s">
        <v>944</v>
      </c>
      <c r="D153" s="245">
        <v>0</v>
      </c>
      <c r="E153" s="246">
        <v>0</v>
      </c>
      <c r="F153" s="247">
        <f>[2]!Table323[[#This Row],[Single Family]]+[2]!Table323[[#This Row],[2-4 Units]]+[2]!Table323[[#This Row],[&gt;4 Units]]</f>
        <v>0</v>
      </c>
      <c r="J153" s="248">
        <v>0</v>
      </c>
      <c r="K153" s="247">
        <f>SUM([2]!Table323[[#This Row],[Single Family ]:[&gt;4 Units ]])</f>
        <v>0</v>
      </c>
      <c r="L153" s="249"/>
      <c r="M153" s="249"/>
      <c r="N153" s="249"/>
      <c r="O153" s="250">
        <f>[2]!Table323[[#This Row],[Incentive Disbursements]]-[2]!Table323[[#This Row],[Incentives]]</f>
        <v>0</v>
      </c>
      <c r="P153" s="158">
        <f>VLOOKUP(Table3236[[#This Row],[Census Tract]],'Population and Diversity Data'!$B$2:$K$823,10,FALSE)</f>
        <v>2</v>
      </c>
      <c r="Q153" s="159" t="str">
        <f>VLOOKUP(Table3236[[#This Row],[Census Tract]],'UI EnergyBurden'!$A$2:$B$184,2,FALSE)</f>
        <v>No</v>
      </c>
    </row>
    <row r="154" spans="1:17" x14ac:dyDescent="0.2">
      <c r="A154" s="38">
        <v>9009140800</v>
      </c>
      <c r="B154" s="38" t="s">
        <v>2999</v>
      </c>
      <c r="C154" s="244" t="s">
        <v>936</v>
      </c>
      <c r="D154" s="245">
        <v>0</v>
      </c>
      <c r="E154" s="246">
        <v>142.07684249041586</v>
      </c>
      <c r="F154" s="247">
        <f>[2]!Table323[[#This Row],[Single Family]]+[2]!Table323[[#This Row],[2-4 Units]]+[2]!Table323[[#This Row],[&gt;4 Units]]</f>
        <v>0</v>
      </c>
      <c r="J154" s="248">
        <v>142.07684249041586</v>
      </c>
      <c r="K154" s="247">
        <f>SUM([2]!Table323[[#This Row],[Single Family ]:[&gt;4 Units ]])</f>
        <v>0</v>
      </c>
      <c r="L154" s="249"/>
      <c r="M154" s="249"/>
      <c r="N154" s="249"/>
      <c r="O154" s="250">
        <f>[2]!Table323[[#This Row],[Incentive Disbursements]]-[2]!Table323[[#This Row],[Incentives]]</f>
        <v>0</v>
      </c>
      <c r="P154" s="158">
        <f>VLOOKUP(Table3236[[#This Row],[Census Tract]],'Population and Diversity Data'!$B$2:$K$823,10,FALSE)</f>
        <v>4</v>
      </c>
      <c r="Q154" s="159" t="str">
        <f>VLOOKUP(Table3236[[#This Row],[Census Tract]],'UI EnergyBurden'!$A$2:$B$184,2,FALSE)</f>
        <v>No</v>
      </c>
    </row>
    <row r="155" spans="1:17" x14ac:dyDescent="0.2">
      <c r="A155" s="38">
        <v>9009150100</v>
      </c>
      <c r="B155" s="38" t="s">
        <v>2989</v>
      </c>
      <c r="C155" s="244" t="s">
        <v>944</v>
      </c>
      <c r="D155" s="245">
        <v>88019.366599999994</v>
      </c>
      <c r="E155" s="246">
        <v>16430.678348475052</v>
      </c>
      <c r="F155" s="247">
        <f>[2]!Table323[[#This Row],[Single Family]]+[2]!Table323[[#This Row],[2-4 Units]]+[2]!Table323[[#This Row],[&gt;4 Units]]</f>
        <v>31</v>
      </c>
      <c r="G155">
        <v>16</v>
      </c>
      <c r="H155">
        <v>0</v>
      </c>
      <c r="I155">
        <v>15</v>
      </c>
      <c r="J155" s="248">
        <v>16430.678348475052</v>
      </c>
      <c r="K155" s="247">
        <f>SUM([2]!Table323[[#This Row],[Single Family ]:[&gt;4 Units ]])</f>
        <v>0</v>
      </c>
      <c r="L155" s="249"/>
      <c r="M155" s="249"/>
      <c r="N155" s="249"/>
      <c r="O155" s="250">
        <f>[2]!Table323[[#This Row],[Incentive Disbursements]]-[2]!Table323[[#This Row],[Incentives]]</f>
        <v>0</v>
      </c>
      <c r="P155" s="158">
        <f>VLOOKUP(Table3236[[#This Row],[Census Tract]],'Population and Diversity Data'!$B$2:$K$823,10,FALSE)</f>
        <v>3</v>
      </c>
      <c r="Q155" s="159" t="str">
        <f>VLOOKUP(Table3236[[#This Row],[Census Tract]],'UI EnergyBurden'!$A$2:$B$184,2,FALSE)</f>
        <v>No</v>
      </c>
    </row>
    <row r="156" spans="1:17" x14ac:dyDescent="0.2">
      <c r="A156" s="38">
        <v>9009150200</v>
      </c>
      <c r="B156" s="38" t="s">
        <v>2989</v>
      </c>
      <c r="C156" s="244" t="s">
        <v>944</v>
      </c>
      <c r="D156" s="245">
        <v>58587.509199999899</v>
      </c>
      <c r="E156" s="246">
        <v>450608.31139306683</v>
      </c>
      <c r="F156" s="247">
        <f>[2]!Table323[[#This Row],[Single Family]]+[2]!Table323[[#This Row],[2-4 Units]]+[2]!Table323[[#This Row],[&gt;4 Units]]</f>
        <v>17</v>
      </c>
      <c r="G156">
        <v>16</v>
      </c>
      <c r="H156">
        <v>1</v>
      </c>
      <c r="I156">
        <v>0</v>
      </c>
      <c r="J156" s="248">
        <v>16288.810882384094</v>
      </c>
      <c r="K156" s="247">
        <f>SUM([2]!Table323[[#This Row],[Single Family ]:[&gt;4 Units ]])</f>
        <v>4</v>
      </c>
      <c r="L156" s="249">
        <v>1</v>
      </c>
      <c r="M156" s="249">
        <v>2</v>
      </c>
      <c r="N156" s="249">
        <v>1</v>
      </c>
      <c r="O156" s="250">
        <f>[2]!Table323[[#This Row],[Incentive Disbursements]]-[2]!Table323[[#This Row],[Incentives]]</f>
        <v>434319.50051068276</v>
      </c>
      <c r="P156" s="158">
        <f>VLOOKUP(Table3236[[#This Row],[Census Tract]],'Population and Diversity Data'!$B$2:$K$823,10,FALSE)</f>
        <v>4</v>
      </c>
      <c r="Q156" s="159" t="str">
        <f>VLOOKUP(Table3236[[#This Row],[Census Tract]],'UI EnergyBurden'!$A$2:$B$184,2,FALSE)</f>
        <v>No</v>
      </c>
    </row>
    <row r="157" spans="1:17" x14ac:dyDescent="0.2">
      <c r="A157" s="38">
        <v>9009150300</v>
      </c>
      <c r="B157" s="38" t="s">
        <v>2989</v>
      </c>
      <c r="C157" s="244" t="s">
        <v>944</v>
      </c>
      <c r="D157" s="245">
        <v>70907.985900000102</v>
      </c>
      <c r="E157" s="246">
        <v>14802.193579849905</v>
      </c>
      <c r="F157" s="247">
        <f>[2]!Table323[[#This Row],[Single Family]]+[2]!Table323[[#This Row],[2-4 Units]]+[2]!Table323[[#This Row],[&gt;4 Units]]</f>
        <v>24</v>
      </c>
      <c r="G157">
        <v>19</v>
      </c>
      <c r="H157">
        <v>1</v>
      </c>
      <c r="I157">
        <v>4</v>
      </c>
      <c r="J157" s="248">
        <v>13518.402186563611</v>
      </c>
      <c r="K157" s="247">
        <f>SUM([2]!Table323[[#This Row],[Single Family ]:[&gt;4 Units ]])</f>
        <v>2</v>
      </c>
      <c r="L157" s="249">
        <v>2</v>
      </c>
      <c r="M157" s="249">
        <v>0</v>
      </c>
      <c r="N157" s="249">
        <v>0</v>
      </c>
      <c r="O157" s="250">
        <f>[2]!Table323[[#This Row],[Incentive Disbursements]]-[2]!Table323[[#This Row],[Incentives]]</f>
        <v>1283.7913932862939</v>
      </c>
      <c r="P157" s="158">
        <f>VLOOKUP(Table3236[[#This Row],[Census Tract]],'Population and Diversity Data'!$B$2:$K$823,10,FALSE)</f>
        <v>3</v>
      </c>
      <c r="Q157" s="159" t="str">
        <f>VLOOKUP(Table3236[[#This Row],[Census Tract]],'UI EnergyBurden'!$A$2:$B$184,2,FALSE)</f>
        <v>No</v>
      </c>
    </row>
    <row r="158" spans="1:17" x14ac:dyDescent="0.2">
      <c r="A158" s="38">
        <v>9009150400</v>
      </c>
      <c r="B158" s="38" t="s">
        <v>2989</v>
      </c>
      <c r="C158" s="244" t="s">
        <v>944</v>
      </c>
      <c r="D158" s="245">
        <v>72449.754100000006</v>
      </c>
      <c r="E158" s="246">
        <v>23314.839763591452</v>
      </c>
      <c r="F158" s="247">
        <f>[2]!Table323[[#This Row],[Single Family]]+[2]!Table323[[#This Row],[2-4 Units]]+[2]!Table323[[#This Row],[&gt;4 Units]]</f>
        <v>37</v>
      </c>
      <c r="G158">
        <v>19</v>
      </c>
      <c r="H158">
        <v>3</v>
      </c>
      <c r="I158">
        <v>15</v>
      </c>
      <c r="J158" s="248">
        <v>16671.102276883041</v>
      </c>
      <c r="K158" s="247">
        <f>SUM([2]!Table323[[#This Row],[Single Family ]:[&gt;4 Units ]])</f>
        <v>4</v>
      </c>
      <c r="L158" s="249">
        <v>4</v>
      </c>
      <c r="M158" s="249">
        <v>0</v>
      </c>
      <c r="N158" s="249">
        <v>0</v>
      </c>
      <c r="O158" s="250">
        <f>[2]!Table323[[#This Row],[Incentive Disbursements]]-[2]!Table323[[#This Row],[Incentives]]</f>
        <v>6643.7374867084109</v>
      </c>
      <c r="P158" s="158">
        <f>VLOOKUP(Table3236[[#This Row],[Census Tract]],'Population and Diversity Data'!$B$2:$K$823,10,FALSE)</f>
        <v>4</v>
      </c>
      <c r="Q158" s="159" t="str">
        <f>VLOOKUP(Table3236[[#This Row],[Census Tract]],'UI EnergyBurden'!$A$2:$B$184,2,FALSE)</f>
        <v>No</v>
      </c>
    </row>
    <row r="159" spans="1:17" x14ac:dyDescent="0.2">
      <c r="A159" s="38">
        <v>9009150500</v>
      </c>
      <c r="B159" s="38" t="s">
        <v>2989</v>
      </c>
      <c r="C159" s="244" t="s">
        <v>944</v>
      </c>
      <c r="D159" s="245">
        <v>76013.063599999805</v>
      </c>
      <c r="E159" s="246">
        <v>34521.322702779704</v>
      </c>
      <c r="F159" s="247">
        <f>[2]!Table323[[#This Row],[Single Family]]+[2]!Table323[[#This Row],[2-4 Units]]+[2]!Table323[[#This Row],[&gt;4 Units]]</f>
        <v>33</v>
      </c>
      <c r="G159">
        <v>33</v>
      </c>
      <c r="H159">
        <v>0</v>
      </c>
      <c r="I159">
        <v>0</v>
      </c>
      <c r="J159" s="248">
        <v>30762.941555195077</v>
      </c>
      <c r="K159" s="247">
        <f>SUM([2]!Table323[[#This Row],[Single Family ]:[&gt;4 Units ]])</f>
        <v>5</v>
      </c>
      <c r="L159" s="249">
        <v>5</v>
      </c>
      <c r="M159" s="249">
        <v>0</v>
      </c>
      <c r="N159" s="249">
        <v>0</v>
      </c>
      <c r="O159" s="250">
        <f>[2]!Table323[[#This Row],[Incentive Disbursements]]-[2]!Table323[[#This Row],[Incentives]]</f>
        <v>3758.3811475846269</v>
      </c>
      <c r="P159" s="158">
        <f>VLOOKUP(Table3236[[#This Row],[Census Tract]],'Population and Diversity Data'!$B$2:$K$823,10,FALSE)</f>
        <v>2</v>
      </c>
      <c r="Q159" s="159" t="str">
        <f>VLOOKUP(Table3236[[#This Row],[Census Tract]],'UI EnergyBurden'!$A$2:$B$184,2,FALSE)</f>
        <v>No</v>
      </c>
    </row>
    <row r="160" spans="1:17" x14ac:dyDescent="0.2">
      <c r="A160" s="38">
        <v>9009150600</v>
      </c>
      <c r="B160" s="38" t="s">
        <v>2989</v>
      </c>
      <c r="C160" s="244" t="s">
        <v>944</v>
      </c>
      <c r="D160" s="245">
        <v>118660.9953</v>
      </c>
      <c r="E160" s="246">
        <v>180631.4276423564</v>
      </c>
      <c r="F160" s="247">
        <f>[2]!Table323[[#This Row],[Single Family]]+[2]!Table323[[#This Row],[2-4 Units]]+[2]!Table323[[#This Row],[&gt;4 Units]]</f>
        <v>24</v>
      </c>
      <c r="G160">
        <v>24</v>
      </c>
      <c r="H160">
        <v>0</v>
      </c>
      <c r="I160">
        <v>0</v>
      </c>
      <c r="J160" s="248">
        <v>23039.853773815532</v>
      </c>
      <c r="K160" s="247">
        <f>SUM([2]!Table323[[#This Row],[Single Family ]:[&gt;4 Units ]])</f>
        <v>3</v>
      </c>
      <c r="L160" s="249">
        <v>3</v>
      </c>
      <c r="M160" s="249">
        <v>0</v>
      </c>
      <c r="N160" s="249">
        <v>0</v>
      </c>
      <c r="O160" s="250">
        <f>[2]!Table323[[#This Row],[Incentive Disbursements]]-[2]!Table323[[#This Row],[Incentives]]</f>
        <v>157591.57386854087</v>
      </c>
      <c r="P160" s="158">
        <f>VLOOKUP(Table3236[[#This Row],[Census Tract]],'Population and Diversity Data'!$B$2:$K$823,10,FALSE)</f>
        <v>3</v>
      </c>
      <c r="Q160" s="159" t="str">
        <f>VLOOKUP(Table3236[[#This Row],[Census Tract]],'UI EnergyBurden'!$A$2:$B$184,2,FALSE)</f>
        <v>No</v>
      </c>
    </row>
    <row r="161" spans="1:17" x14ac:dyDescent="0.2">
      <c r="A161" s="38">
        <v>9009150700</v>
      </c>
      <c r="B161" s="38" t="s">
        <v>2989</v>
      </c>
      <c r="C161" s="244" t="s">
        <v>944</v>
      </c>
      <c r="D161" s="245">
        <v>83005.870799999801</v>
      </c>
      <c r="E161" s="246">
        <v>28551.343514075052</v>
      </c>
      <c r="F161" s="247">
        <f>[2]!Table323[[#This Row],[Single Family]]+[2]!Table323[[#This Row],[2-4 Units]]+[2]!Table323[[#This Row],[&gt;4 Units]]</f>
        <v>25</v>
      </c>
      <c r="G161">
        <v>25</v>
      </c>
      <c r="H161">
        <v>0</v>
      </c>
      <c r="I161">
        <v>0</v>
      </c>
      <c r="J161" s="248">
        <v>23624.537369306352</v>
      </c>
      <c r="K161" s="247">
        <f>SUM([2]!Table323[[#This Row],[Single Family ]:[&gt;4 Units ]])</f>
        <v>1</v>
      </c>
      <c r="L161" s="249">
        <v>1</v>
      </c>
      <c r="M161" s="249">
        <v>0</v>
      </c>
      <c r="N161" s="249">
        <v>0</v>
      </c>
      <c r="O161" s="250">
        <f>[2]!Table323[[#This Row],[Incentive Disbursements]]-[2]!Table323[[#This Row],[Incentives]]</f>
        <v>4926.8061447686996</v>
      </c>
      <c r="P161" s="158">
        <f>VLOOKUP(Table3236[[#This Row],[Census Tract]],'Population and Diversity Data'!$B$2:$K$823,10,FALSE)</f>
        <v>3</v>
      </c>
      <c r="Q161" s="159" t="str">
        <f>VLOOKUP(Table3236[[#This Row],[Census Tract]],'UI EnergyBurden'!$A$2:$B$184,2,FALSE)</f>
        <v>No</v>
      </c>
    </row>
    <row r="162" spans="1:17" x14ac:dyDescent="0.2">
      <c r="A162" s="38">
        <v>9009150800</v>
      </c>
      <c r="B162" s="38" t="s">
        <v>2989</v>
      </c>
      <c r="C162" s="244" t="s">
        <v>944</v>
      </c>
      <c r="D162" s="245">
        <v>69671.752900000007</v>
      </c>
      <c r="E162" s="246">
        <v>14513.343881338336</v>
      </c>
      <c r="F162" s="247">
        <f>[2]!Table323[[#This Row],[Single Family]]+[2]!Table323[[#This Row],[2-4 Units]]+[2]!Table323[[#This Row],[&gt;4 Units]]</f>
        <v>16</v>
      </c>
      <c r="G162">
        <v>16</v>
      </c>
      <c r="H162">
        <v>0</v>
      </c>
      <c r="I162">
        <v>0</v>
      </c>
      <c r="J162" s="248">
        <v>14359.482138649768</v>
      </c>
      <c r="K162" s="247">
        <f>SUM([2]!Table323[[#This Row],[Single Family ]:[&gt;4 Units ]])</f>
        <v>1</v>
      </c>
      <c r="L162" s="249">
        <v>0</v>
      </c>
      <c r="M162" s="249">
        <v>1</v>
      </c>
      <c r="N162" s="249">
        <v>0</v>
      </c>
      <c r="O162" s="250">
        <f>[2]!Table323[[#This Row],[Incentive Disbursements]]-[2]!Table323[[#This Row],[Incentives]]</f>
        <v>153.86174268856848</v>
      </c>
      <c r="P162" s="158">
        <f>VLOOKUP(Table3236[[#This Row],[Census Tract]],'Population and Diversity Data'!$B$2:$K$823,10,FALSE)</f>
        <v>4</v>
      </c>
      <c r="Q162" s="159" t="str">
        <f>VLOOKUP(Table3236[[#This Row],[Census Tract]],'UI EnergyBurden'!$A$2:$B$184,2,FALSE)</f>
        <v>No</v>
      </c>
    </row>
    <row r="163" spans="1:17" x14ac:dyDescent="0.2">
      <c r="A163" s="38">
        <v>9009150900</v>
      </c>
      <c r="B163" s="38" t="s">
        <v>2989</v>
      </c>
      <c r="C163" s="244" t="s">
        <v>944</v>
      </c>
      <c r="D163" s="245">
        <v>80824.2261</v>
      </c>
      <c r="E163" s="246">
        <v>27171.67268529339</v>
      </c>
      <c r="F163" s="247">
        <f>[2]!Table323[[#This Row],[Single Family]]+[2]!Table323[[#This Row],[2-4 Units]]+[2]!Table323[[#This Row],[&gt;4 Units]]</f>
        <v>29</v>
      </c>
      <c r="G163">
        <v>29</v>
      </c>
      <c r="H163">
        <v>0</v>
      </c>
      <c r="I163">
        <v>0</v>
      </c>
      <c r="J163" s="248">
        <v>25909.432105694326</v>
      </c>
      <c r="K163" s="247">
        <f>SUM([2]!Table323[[#This Row],[Single Family ]:[&gt;4 Units ]])</f>
        <v>2</v>
      </c>
      <c r="L163" s="249">
        <v>2</v>
      </c>
      <c r="M163" s="249">
        <v>0</v>
      </c>
      <c r="N163" s="249">
        <v>0</v>
      </c>
      <c r="O163" s="250">
        <f>[2]!Table323[[#This Row],[Incentive Disbursements]]-[2]!Table323[[#This Row],[Incentives]]</f>
        <v>1262.2405795990635</v>
      </c>
      <c r="P163" s="158">
        <f>VLOOKUP(Table3236[[#This Row],[Census Tract]],'Population and Diversity Data'!$B$2:$K$823,10,FALSE)</f>
        <v>1</v>
      </c>
      <c r="Q163" s="159" t="str">
        <f>VLOOKUP(Table3236[[#This Row],[Census Tract]],'UI EnergyBurden'!$A$2:$B$184,2,FALSE)</f>
        <v>No</v>
      </c>
    </row>
    <row r="164" spans="1:17" x14ac:dyDescent="0.2">
      <c r="A164" s="38">
        <v>9009151000</v>
      </c>
      <c r="B164" s="38" t="s">
        <v>2989</v>
      </c>
      <c r="C164" s="244" t="s">
        <v>944</v>
      </c>
      <c r="D164" s="245">
        <v>77262.277400000094</v>
      </c>
      <c r="E164" s="246">
        <v>17322.008636431503</v>
      </c>
      <c r="F164" s="247">
        <f>[2]!Table323[[#This Row],[Single Family]]+[2]!Table323[[#This Row],[2-4 Units]]+[2]!Table323[[#This Row],[&gt;4 Units]]</f>
        <v>28</v>
      </c>
      <c r="G164">
        <v>25</v>
      </c>
      <c r="H164">
        <v>1</v>
      </c>
      <c r="I164">
        <v>2</v>
      </c>
      <c r="J164" s="248">
        <v>15955.393921701851</v>
      </c>
      <c r="K164" s="247">
        <f>SUM([2]!Table323[[#This Row],[Single Family ]:[&gt;4 Units ]])</f>
        <v>3</v>
      </c>
      <c r="L164" s="249">
        <v>2</v>
      </c>
      <c r="M164" s="249">
        <v>1</v>
      </c>
      <c r="N164" s="249">
        <v>0</v>
      </c>
      <c r="O164" s="250">
        <f>[2]!Table323[[#This Row],[Incentive Disbursements]]-[2]!Table323[[#This Row],[Incentives]]</f>
        <v>1366.6147147296524</v>
      </c>
      <c r="P164" s="158">
        <f>VLOOKUP(Table3236[[#This Row],[Census Tract]],'Population and Diversity Data'!$B$2:$K$823,10,FALSE)</f>
        <v>3</v>
      </c>
      <c r="Q164" s="159" t="str">
        <f>VLOOKUP(Table3236[[#This Row],[Census Tract]],'UI EnergyBurden'!$A$2:$B$184,2,FALSE)</f>
        <v>No</v>
      </c>
    </row>
    <row r="165" spans="1:17" x14ac:dyDescent="0.2">
      <c r="A165" s="38">
        <v>9009151100</v>
      </c>
      <c r="B165" s="38" t="s">
        <v>2989</v>
      </c>
      <c r="C165" s="244" t="s">
        <v>944</v>
      </c>
      <c r="D165" s="245">
        <v>116407.5059</v>
      </c>
      <c r="E165" s="246">
        <v>34321.772038637639</v>
      </c>
      <c r="F165" s="247">
        <f>[2]!Table323[[#This Row],[Single Family]]+[2]!Table323[[#This Row],[2-4 Units]]+[2]!Table323[[#This Row],[&gt;4 Units]]</f>
        <v>43</v>
      </c>
      <c r="G165">
        <v>40</v>
      </c>
      <c r="H165">
        <v>1</v>
      </c>
      <c r="I165">
        <v>2</v>
      </c>
      <c r="J165" s="248">
        <v>34321.772038637639</v>
      </c>
      <c r="K165" s="247">
        <f>SUM([2]!Table323[[#This Row],[Single Family ]:[&gt;4 Units ]])</f>
        <v>0</v>
      </c>
      <c r="L165" s="249"/>
      <c r="M165" s="249"/>
      <c r="N165" s="249"/>
      <c r="O165" s="250">
        <f>[2]!Table323[[#This Row],[Incentive Disbursements]]-[2]!Table323[[#This Row],[Incentives]]</f>
        <v>0</v>
      </c>
      <c r="P165" s="158">
        <f>VLOOKUP(Table3236[[#This Row],[Census Tract]],'Population and Diversity Data'!$B$2:$K$823,10,FALSE)</f>
        <v>3</v>
      </c>
      <c r="Q165" s="159" t="str">
        <f>VLOOKUP(Table3236[[#This Row],[Census Tract]],'UI EnergyBurden'!$A$2:$B$184,2,FALSE)</f>
        <v>No</v>
      </c>
    </row>
    <row r="166" spans="1:17" x14ac:dyDescent="0.2">
      <c r="A166" s="38">
        <v>9009151200</v>
      </c>
      <c r="B166" s="38" t="s">
        <v>2989</v>
      </c>
      <c r="C166" s="244" t="s">
        <v>944</v>
      </c>
      <c r="D166" s="245">
        <v>55146.045800000102</v>
      </c>
      <c r="E166" s="246">
        <v>31569.609000484343</v>
      </c>
      <c r="F166" s="247">
        <f>[2]!Table323[[#This Row],[Single Family]]+[2]!Table323[[#This Row],[2-4 Units]]+[2]!Table323[[#This Row],[&gt;4 Units]]</f>
        <v>19</v>
      </c>
      <c r="G166">
        <v>18</v>
      </c>
      <c r="H166">
        <v>1</v>
      </c>
      <c r="I166">
        <v>0</v>
      </c>
      <c r="J166" s="248">
        <v>17108.160555297767</v>
      </c>
      <c r="K166" s="247">
        <f>SUM([2]!Table323[[#This Row],[Single Family ]:[&gt;4 Units ]])</f>
        <v>4</v>
      </c>
      <c r="L166" s="249">
        <v>4</v>
      </c>
      <c r="M166" s="249">
        <v>0</v>
      </c>
      <c r="N166" s="249">
        <v>0</v>
      </c>
      <c r="O166" s="250">
        <f>[2]!Table323[[#This Row],[Incentive Disbursements]]-[2]!Table323[[#This Row],[Incentives]]</f>
        <v>14461.448445186576</v>
      </c>
      <c r="P166" s="158">
        <f>VLOOKUP(Table3236[[#This Row],[Census Tract]],'Population and Diversity Data'!$B$2:$K$823,10,FALSE)</f>
        <v>2</v>
      </c>
      <c r="Q166" s="159" t="str">
        <f>VLOOKUP(Table3236[[#This Row],[Census Tract]],'UI EnergyBurden'!$A$2:$B$184,2,FALSE)</f>
        <v>No</v>
      </c>
    </row>
    <row r="167" spans="1:17" x14ac:dyDescent="0.2">
      <c r="A167" s="38">
        <v>9009157100</v>
      </c>
      <c r="B167" s="38" t="s">
        <v>2989</v>
      </c>
      <c r="C167" s="244" t="s">
        <v>944</v>
      </c>
      <c r="D167" s="245">
        <v>104.54689999999999</v>
      </c>
      <c r="E167" s="246">
        <v>0</v>
      </c>
      <c r="F167" s="247">
        <f>[2]!Table323[[#This Row],[Single Family]]+[2]!Table323[[#This Row],[2-4 Units]]+[2]!Table323[[#This Row],[&gt;4 Units]]</f>
        <v>0</v>
      </c>
      <c r="J167" s="248">
        <v>0</v>
      </c>
      <c r="K167" s="247">
        <f>SUM([2]!Table323[[#This Row],[Single Family ]:[&gt;4 Units ]])</f>
        <v>0</v>
      </c>
      <c r="L167" s="249"/>
      <c r="M167" s="249"/>
      <c r="N167" s="249"/>
      <c r="O167" s="250">
        <f>[2]!Table323[[#This Row],[Incentive Disbursements]]-[2]!Table323[[#This Row],[Incentives]]</f>
        <v>0</v>
      </c>
      <c r="P167" s="158">
        <f>VLOOKUP(Table3236[[#This Row],[Census Tract]],'Population and Diversity Data'!$B$2:$K$823,10,FALSE)</f>
        <v>5</v>
      </c>
      <c r="Q167" s="159" t="str">
        <f>VLOOKUP(Table3236[[#This Row],[Census Tract]],'UI EnergyBurden'!$A$2:$B$184,2,FALSE)</f>
        <v>No</v>
      </c>
    </row>
    <row r="168" spans="1:17" x14ac:dyDescent="0.2">
      <c r="A168" s="38">
        <v>9009157200</v>
      </c>
      <c r="B168" s="38" t="s">
        <v>2989</v>
      </c>
      <c r="C168" s="244" t="s">
        <v>944</v>
      </c>
      <c r="D168" s="245">
        <v>71.1738</v>
      </c>
      <c r="E168" s="246">
        <v>0</v>
      </c>
      <c r="F168" s="247">
        <f>[2]!Table323[[#This Row],[Single Family]]+[2]!Table323[[#This Row],[2-4 Units]]+[2]!Table323[[#This Row],[&gt;4 Units]]</f>
        <v>0</v>
      </c>
      <c r="J168" s="248">
        <v>0</v>
      </c>
      <c r="K168" s="247">
        <f>SUM([2]!Table323[[#This Row],[Single Family ]:[&gt;4 Units ]])</f>
        <v>0</v>
      </c>
      <c r="L168" s="249"/>
      <c r="M168" s="249"/>
      <c r="N168" s="249"/>
      <c r="O168" s="250">
        <f>[2]!Table323[[#This Row],[Incentive Disbursements]]-[2]!Table323[[#This Row],[Incentives]]</f>
        <v>0</v>
      </c>
      <c r="P168" s="158">
        <f>VLOOKUP(Table3236[[#This Row],[Census Tract]],'Population and Diversity Data'!$B$2:$K$823,10,FALSE)</f>
        <v>2</v>
      </c>
      <c r="Q168" s="159" t="str">
        <f>VLOOKUP(Table3236[[#This Row],[Census Tract]],'UI EnergyBurden'!$A$2:$B$184,2,FALSE)</f>
        <v>No</v>
      </c>
    </row>
    <row r="169" spans="1:17" x14ac:dyDescent="0.2">
      <c r="A169" s="38">
        <v>9009140100</v>
      </c>
      <c r="B169" s="38" t="s">
        <v>943</v>
      </c>
      <c r="C169" s="244" t="s">
        <v>936</v>
      </c>
      <c r="D169" s="245">
        <v>53179.4405999999</v>
      </c>
      <c r="E169" s="246">
        <v>934.0638205089158</v>
      </c>
      <c r="F169" s="247">
        <f>[2]!Table323[[#This Row],[Single Family]]+[2]!Table323[[#This Row],[2-4 Units]]+[2]!Table323[[#This Row],[&gt;4 Units]]</f>
        <v>2</v>
      </c>
      <c r="G169">
        <v>2</v>
      </c>
      <c r="H169">
        <v>0</v>
      </c>
      <c r="I169">
        <v>0</v>
      </c>
      <c r="J169" s="248">
        <v>934.0638205089158</v>
      </c>
      <c r="K169" s="247">
        <f>SUM([2]!Table323[[#This Row],[Single Family ]:[&gt;4 Units ]])</f>
        <v>0</v>
      </c>
      <c r="L169" s="249"/>
      <c r="M169" s="249"/>
      <c r="N169" s="249"/>
      <c r="O169" s="250">
        <f>[2]!Table323[[#This Row],[Incentive Disbursements]]-[2]!Table323[[#This Row],[Incentives]]</f>
        <v>0</v>
      </c>
      <c r="P169" s="158">
        <f>VLOOKUP(Table3236[[#This Row],[Census Tract]],'Population and Diversity Data'!$B$2:$K$823,10,FALSE)</f>
        <v>5</v>
      </c>
      <c r="Q169" s="159" t="str">
        <f>VLOOKUP(Table3236[[#This Row],[Census Tract]],'UI EnergyBurden'!$A$2:$B$184,2,FALSE)</f>
        <v>No</v>
      </c>
    </row>
    <row r="170" spans="1:17" x14ac:dyDescent="0.2">
      <c r="A170" s="38">
        <v>9009140200</v>
      </c>
      <c r="B170" s="38" t="s">
        <v>943</v>
      </c>
      <c r="C170" s="244" t="s">
        <v>936</v>
      </c>
      <c r="D170" s="245">
        <v>5569.7996999999996</v>
      </c>
      <c r="E170" s="246">
        <v>0</v>
      </c>
      <c r="F170" s="247">
        <f>[2]!Table323[[#This Row],[Single Family]]+[2]!Table323[[#This Row],[2-4 Units]]+[2]!Table323[[#This Row],[&gt;4 Units]]</f>
        <v>0</v>
      </c>
      <c r="J170" s="248">
        <v>0</v>
      </c>
      <c r="K170" s="247">
        <f>SUM([2]!Table323[[#This Row],[Single Family ]:[&gt;4 Units ]])</f>
        <v>0</v>
      </c>
      <c r="L170" s="249"/>
      <c r="M170" s="249"/>
      <c r="N170" s="249"/>
      <c r="O170" s="250">
        <f>[2]!Table323[[#This Row],[Incentive Disbursements]]-[2]!Table323[[#This Row],[Incentives]]</f>
        <v>0</v>
      </c>
      <c r="P170" s="158">
        <f>VLOOKUP(Table3236[[#This Row],[Census Tract]],'Population and Diversity Data'!$B$2:$K$823,10,FALSE)</f>
        <v>3</v>
      </c>
      <c r="Q170" s="159" t="str">
        <f>VLOOKUP(Table3236[[#This Row],[Census Tract]],'UI EnergyBurden'!$A$2:$B$184,2,FALSE)</f>
        <v>Yes</v>
      </c>
    </row>
    <row r="171" spans="1:17" x14ac:dyDescent="0.2">
      <c r="A171" s="38">
        <v>9009140300</v>
      </c>
      <c r="B171" s="38" t="s">
        <v>943</v>
      </c>
      <c r="C171" s="244" t="s">
        <v>936</v>
      </c>
      <c r="D171" s="245">
        <v>27566.794900000001</v>
      </c>
      <c r="E171" s="246">
        <v>5483.3159863546116</v>
      </c>
      <c r="F171" s="247">
        <f>[2]!Table323[[#This Row],[Single Family]]+[2]!Table323[[#This Row],[2-4 Units]]+[2]!Table323[[#This Row],[&gt;4 Units]]</f>
        <v>1</v>
      </c>
      <c r="G171">
        <v>1</v>
      </c>
      <c r="H171">
        <v>0</v>
      </c>
      <c r="I171">
        <v>0</v>
      </c>
      <c r="J171" s="248">
        <v>716.56698046978624</v>
      </c>
      <c r="K171" s="247">
        <f>SUM([2]!Table323[[#This Row],[Single Family ]:[&gt;4 Units ]])</f>
        <v>10</v>
      </c>
      <c r="L171" s="249">
        <v>2</v>
      </c>
      <c r="M171" s="249">
        <v>8</v>
      </c>
      <c r="N171" s="249">
        <v>0</v>
      </c>
      <c r="O171" s="250">
        <f>[2]!Table323[[#This Row],[Incentive Disbursements]]-[2]!Table323[[#This Row],[Incentives]]</f>
        <v>4766.7490058848252</v>
      </c>
      <c r="P171" s="158">
        <f>VLOOKUP(Table3236[[#This Row],[Census Tract]],'Population and Diversity Data'!$B$2:$K$823,10,FALSE)</f>
        <v>5</v>
      </c>
      <c r="Q171" s="159" t="str">
        <f>VLOOKUP(Table3236[[#This Row],[Census Tract]],'UI EnergyBurden'!$A$2:$B$184,2,FALSE)</f>
        <v>Yes</v>
      </c>
    </row>
    <row r="172" spans="1:17" x14ac:dyDescent="0.2">
      <c r="A172" s="38">
        <v>9009140400</v>
      </c>
      <c r="B172" s="38" t="s">
        <v>943</v>
      </c>
      <c r="C172" s="244" t="s">
        <v>936</v>
      </c>
      <c r="D172" s="245">
        <v>41243.352400000098</v>
      </c>
      <c r="E172" s="246">
        <v>3866.9803392835288</v>
      </c>
      <c r="F172" s="247">
        <f>[2]!Table323[[#This Row],[Single Family]]+[2]!Table323[[#This Row],[2-4 Units]]+[2]!Table323[[#This Row],[&gt;4 Units]]</f>
        <v>4</v>
      </c>
      <c r="G172">
        <v>4</v>
      </c>
      <c r="H172">
        <v>0</v>
      </c>
      <c r="I172">
        <v>0</v>
      </c>
      <c r="J172" s="248">
        <v>2304.0291339936448</v>
      </c>
      <c r="K172" s="247">
        <f>SUM([2]!Table323[[#This Row],[Single Family ]:[&gt;4 Units ]])</f>
        <v>4</v>
      </c>
      <c r="L172" s="249">
        <v>1</v>
      </c>
      <c r="M172" s="249">
        <v>3</v>
      </c>
      <c r="N172" s="249">
        <v>0</v>
      </c>
      <c r="O172" s="250">
        <f>[2]!Table323[[#This Row],[Incentive Disbursements]]-[2]!Table323[[#This Row],[Incentives]]</f>
        <v>1562.951205289884</v>
      </c>
      <c r="P172" s="158">
        <f>VLOOKUP(Table3236[[#This Row],[Census Tract]],'Population and Diversity Data'!$B$2:$K$823,10,FALSE)</f>
        <v>5</v>
      </c>
      <c r="Q172" s="159" t="str">
        <f>VLOOKUP(Table3236[[#This Row],[Census Tract]],'UI EnergyBurden'!$A$2:$B$184,2,FALSE)</f>
        <v>No</v>
      </c>
    </row>
    <row r="173" spans="1:17" x14ac:dyDescent="0.2">
      <c r="A173" s="38">
        <v>9009140500</v>
      </c>
      <c r="B173" s="38" t="s">
        <v>943</v>
      </c>
      <c r="C173" s="244" t="s">
        <v>936</v>
      </c>
      <c r="D173" s="245">
        <v>40619.569599999901</v>
      </c>
      <c r="E173" s="246">
        <v>5691.3564420442126</v>
      </c>
      <c r="F173" s="247">
        <f>[2]!Table323[[#This Row],[Single Family]]+[2]!Table323[[#This Row],[2-4 Units]]+[2]!Table323[[#This Row],[&gt;4 Units]]</f>
        <v>4</v>
      </c>
      <c r="G173">
        <v>4</v>
      </c>
      <c r="H173">
        <v>0</v>
      </c>
      <c r="I173">
        <v>0</v>
      </c>
      <c r="J173" s="248">
        <v>3213.3550530441962</v>
      </c>
      <c r="K173" s="247">
        <f>SUM([2]!Table323[[#This Row],[Single Family ]:[&gt;4 Units ]])</f>
        <v>5</v>
      </c>
      <c r="L173" s="249">
        <v>3</v>
      </c>
      <c r="M173" s="249">
        <v>2</v>
      </c>
      <c r="N173" s="249">
        <v>0</v>
      </c>
      <c r="O173" s="250">
        <f>[2]!Table323[[#This Row],[Incentive Disbursements]]-[2]!Table323[[#This Row],[Incentives]]</f>
        <v>2478.0013890000164</v>
      </c>
      <c r="P173" s="158">
        <f>VLOOKUP(Table3236[[#This Row],[Census Tract]],'Population and Diversity Data'!$B$2:$K$823,10,FALSE)</f>
        <v>5</v>
      </c>
      <c r="Q173" s="159" t="str">
        <f>VLOOKUP(Table3236[[#This Row],[Census Tract]],'UI EnergyBurden'!$A$2:$B$184,2,FALSE)</f>
        <v>Yes</v>
      </c>
    </row>
    <row r="174" spans="1:17" x14ac:dyDescent="0.2">
      <c r="A174" s="38">
        <v>9009140600</v>
      </c>
      <c r="B174" s="38" t="s">
        <v>943</v>
      </c>
      <c r="C174" s="244" t="s">
        <v>936</v>
      </c>
      <c r="D174" s="245">
        <v>52288.773399999904</v>
      </c>
      <c r="E174" s="246">
        <v>10085.927376956573</v>
      </c>
      <c r="F174" s="247">
        <f>[2]!Table323[[#This Row],[Single Family]]+[2]!Table323[[#This Row],[2-4 Units]]+[2]!Table323[[#This Row],[&gt;4 Units]]</f>
        <v>4</v>
      </c>
      <c r="G174">
        <v>3</v>
      </c>
      <c r="H174">
        <v>1</v>
      </c>
      <c r="I174">
        <v>0</v>
      </c>
      <c r="J174" s="248">
        <v>888.19405215747486</v>
      </c>
      <c r="K174" s="247">
        <f>SUM([2]!Table323[[#This Row],[Single Family ]:[&gt;4 Units ]])</f>
        <v>13</v>
      </c>
      <c r="L174" s="249">
        <v>5</v>
      </c>
      <c r="M174" s="249">
        <v>8</v>
      </c>
      <c r="N174" s="249">
        <v>0</v>
      </c>
      <c r="O174" s="250">
        <f>[2]!Table323[[#This Row],[Incentive Disbursements]]-[2]!Table323[[#This Row],[Incentives]]</f>
        <v>9197.7333247990991</v>
      </c>
      <c r="P174" s="158">
        <f>VLOOKUP(Table3236[[#This Row],[Census Tract]],'Population and Diversity Data'!$B$2:$K$823,10,FALSE)</f>
        <v>5</v>
      </c>
      <c r="Q174" s="159" t="str">
        <f>VLOOKUP(Table3236[[#This Row],[Census Tract]],'UI EnergyBurden'!$A$2:$B$184,2,FALSE)</f>
        <v>Yes</v>
      </c>
    </row>
    <row r="175" spans="1:17" x14ac:dyDescent="0.2">
      <c r="A175" s="38">
        <v>9009140700</v>
      </c>
      <c r="B175" s="38" t="s">
        <v>943</v>
      </c>
      <c r="C175" s="244" t="s">
        <v>936</v>
      </c>
      <c r="D175" s="245">
        <v>46744.9413999998</v>
      </c>
      <c r="E175" s="246">
        <v>6995.2783672318437</v>
      </c>
      <c r="F175" s="247">
        <f>[2]!Table323[[#This Row],[Single Family]]+[2]!Table323[[#This Row],[2-4 Units]]+[2]!Table323[[#This Row],[&gt;4 Units]]</f>
        <v>2</v>
      </c>
      <c r="G175">
        <v>1</v>
      </c>
      <c r="H175">
        <v>1</v>
      </c>
      <c r="I175">
        <v>0</v>
      </c>
      <c r="J175" s="248">
        <v>3328.6472910336342</v>
      </c>
      <c r="K175" s="247">
        <f>SUM([2]!Table323[[#This Row],[Single Family ]:[&gt;4 Units ]])</f>
        <v>4</v>
      </c>
      <c r="L175" s="249">
        <v>0</v>
      </c>
      <c r="M175" s="249">
        <v>4</v>
      </c>
      <c r="N175" s="249">
        <v>0</v>
      </c>
      <c r="O175" s="250">
        <f>[2]!Table323[[#This Row],[Incentive Disbursements]]-[2]!Table323[[#This Row],[Incentives]]</f>
        <v>3666.6310761982095</v>
      </c>
      <c r="P175" s="158">
        <f>VLOOKUP(Table3236[[#This Row],[Census Tract]],'Population and Diversity Data'!$B$2:$K$823,10,FALSE)</f>
        <v>5</v>
      </c>
      <c r="Q175" s="159" t="str">
        <f>VLOOKUP(Table3236[[#This Row],[Census Tract]],'UI EnergyBurden'!$A$2:$B$184,2,FALSE)</f>
        <v>No</v>
      </c>
    </row>
    <row r="176" spans="1:17" x14ac:dyDescent="0.2">
      <c r="A176" s="38">
        <v>9009140800</v>
      </c>
      <c r="B176" s="38" t="s">
        <v>943</v>
      </c>
      <c r="C176" s="244" t="s">
        <v>936</v>
      </c>
      <c r="D176" s="245">
        <v>50564.050300000003</v>
      </c>
      <c r="E176" s="246">
        <v>9715.3884126046942</v>
      </c>
      <c r="F176" s="247">
        <f>[2]!Table323[[#This Row],[Single Family]]+[2]!Table323[[#This Row],[2-4 Units]]+[2]!Table323[[#This Row],[&gt;4 Units]]</f>
        <v>2</v>
      </c>
      <c r="G176">
        <v>1</v>
      </c>
      <c r="H176">
        <v>1</v>
      </c>
      <c r="I176">
        <v>0</v>
      </c>
      <c r="J176" s="248">
        <v>3145.6977751514455</v>
      </c>
      <c r="K176" s="247">
        <f>SUM([2]!Table323[[#This Row],[Single Family ]:[&gt;4 Units ]])</f>
        <v>11</v>
      </c>
      <c r="L176" s="249">
        <v>5</v>
      </c>
      <c r="M176" s="249">
        <v>6</v>
      </c>
      <c r="N176" s="249">
        <v>0</v>
      </c>
      <c r="O176" s="250">
        <f>[2]!Table323[[#This Row],[Incentive Disbursements]]-[2]!Table323[[#This Row],[Incentives]]</f>
        <v>6569.6906374532482</v>
      </c>
      <c r="P176" s="158">
        <f>VLOOKUP(Table3236[[#This Row],[Census Tract]],'Population and Diversity Data'!$B$2:$K$823,10,FALSE)</f>
        <v>4</v>
      </c>
      <c r="Q176" s="159" t="str">
        <f>VLOOKUP(Table3236[[#This Row],[Census Tract]],'UI EnergyBurden'!$A$2:$B$184,2,FALSE)</f>
        <v>No</v>
      </c>
    </row>
    <row r="177" spans="1:17" x14ac:dyDescent="0.2">
      <c r="A177" s="38">
        <v>9009140900</v>
      </c>
      <c r="B177" s="38" t="s">
        <v>943</v>
      </c>
      <c r="C177" s="244" t="s">
        <v>936</v>
      </c>
      <c r="D177" s="245">
        <v>55064.527799999902</v>
      </c>
      <c r="E177" s="246">
        <v>13434.798721985731</v>
      </c>
      <c r="F177" s="247">
        <f>[2]!Table323[[#This Row],[Single Family]]+[2]!Table323[[#This Row],[2-4 Units]]+[2]!Table323[[#This Row],[&gt;4 Units]]</f>
        <v>5</v>
      </c>
      <c r="G177">
        <v>4</v>
      </c>
      <c r="H177">
        <v>1</v>
      </c>
      <c r="I177">
        <v>0</v>
      </c>
      <c r="J177" s="248">
        <v>3635.3367482575063</v>
      </c>
      <c r="K177" s="247">
        <f>SUM([2]!Table323[[#This Row],[Single Family ]:[&gt;4 Units ]])</f>
        <v>21</v>
      </c>
      <c r="L177" s="249">
        <v>2</v>
      </c>
      <c r="M177" s="249">
        <v>19</v>
      </c>
      <c r="N177" s="249">
        <v>0</v>
      </c>
      <c r="O177" s="250">
        <f>[2]!Table323[[#This Row],[Incentive Disbursements]]-[2]!Table323[[#This Row],[Incentives]]</f>
        <v>9799.4619737282246</v>
      </c>
      <c r="P177" s="158">
        <f>VLOOKUP(Table3236[[#This Row],[Census Tract]],'Population and Diversity Data'!$B$2:$K$823,10,FALSE)</f>
        <v>3</v>
      </c>
      <c r="Q177" s="159" t="str">
        <f>VLOOKUP(Table3236[[#This Row],[Census Tract]],'UI EnergyBurden'!$A$2:$B$184,2,FALSE)</f>
        <v>No</v>
      </c>
    </row>
    <row r="178" spans="1:17" x14ac:dyDescent="0.2">
      <c r="A178" s="38">
        <v>9009141000</v>
      </c>
      <c r="B178" s="38" t="s">
        <v>943</v>
      </c>
      <c r="C178" s="244" t="s">
        <v>944</v>
      </c>
      <c r="D178" s="245">
        <v>59341.469599999902</v>
      </c>
      <c r="E178" s="246">
        <v>22632.002489261256</v>
      </c>
      <c r="F178" s="247">
        <f>[2]!Table323[[#This Row],[Single Family]]+[2]!Table323[[#This Row],[2-4 Units]]+[2]!Table323[[#This Row],[&gt;4 Units]]</f>
        <v>22</v>
      </c>
      <c r="G178">
        <v>16</v>
      </c>
      <c r="H178">
        <v>6</v>
      </c>
      <c r="I178">
        <v>0</v>
      </c>
      <c r="J178" s="248">
        <v>18977.652104204964</v>
      </c>
      <c r="K178" s="247">
        <f>SUM([2]!Table323[[#This Row],[Single Family ]:[&gt;4 Units ]])</f>
        <v>4</v>
      </c>
      <c r="L178" s="249">
        <v>4</v>
      </c>
      <c r="M178" s="249">
        <v>0</v>
      </c>
      <c r="N178" s="249">
        <v>0</v>
      </c>
      <c r="O178" s="250">
        <f>[2]!Table323[[#This Row],[Incentive Disbursements]]-[2]!Table323[[#This Row],[Incentives]]</f>
        <v>3654.350385056292</v>
      </c>
      <c r="P178" s="158">
        <f>VLOOKUP(Table3236[[#This Row],[Census Tract]],'Population and Diversity Data'!$B$2:$K$823,10,FALSE)</f>
        <v>4</v>
      </c>
      <c r="Q178" s="159" t="str">
        <f>VLOOKUP(Table3236[[#This Row],[Census Tract]],'UI EnergyBurden'!$A$2:$B$184,2,FALSE)</f>
        <v>No</v>
      </c>
    </row>
    <row r="179" spans="1:17" x14ac:dyDescent="0.2">
      <c r="A179" s="38">
        <v>9009141100</v>
      </c>
      <c r="B179" s="38" t="s">
        <v>943</v>
      </c>
      <c r="C179" s="244" t="s">
        <v>944</v>
      </c>
      <c r="D179" s="245">
        <v>50898.5147</v>
      </c>
      <c r="E179" s="246">
        <v>65844.451187410043</v>
      </c>
      <c r="F179" s="247">
        <f>[2]!Table323[[#This Row],[Single Family]]+[2]!Table323[[#This Row],[2-4 Units]]+[2]!Table323[[#This Row],[&gt;4 Units]]</f>
        <v>15</v>
      </c>
      <c r="G179">
        <v>15</v>
      </c>
      <c r="H179">
        <v>0</v>
      </c>
      <c r="I179">
        <v>0</v>
      </c>
      <c r="J179" s="248">
        <v>25367.923609266516</v>
      </c>
      <c r="K179" s="247">
        <f>SUM([2]!Table323[[#This Row],[Single Family ]:[&gt;4 Units ]])</f>
        <v>4</v>
      </c>
      <c r="L179" s="249">
        <v>4</v>
      </c>
      <c r="M179" s="249">
        <v>0</v>
      </c>
      <c r="N179" s="249">
        <v>0</v>
      </c>
      <c r="O179" s="250">
        <f>[2]!Table323[[#This Row],[Incentive Disbursements]]-[2]!Table323[[#This Row],[Incentives]]</f>
        <v>40476.527578143527</v>
      </c>
      <c r="P179" s="158">
        <f>VLOOKUP(Table3236[[#This Row],[Census Tract]],'Population and Diversity Data'!$B$2:$K$823,10,FALSE)</f>
        <v>4</v>
      </c>
      <c r="Q179" s="159" t="str">
        <f>VLOOKUP(Table3236[[#This Row],[Census Tract]],'UI EnergyBurden'!$A$2:$B$184,2,FALSE)</f>
        <v>No</v>
      </c>
    </row>
    <row r="180" spans="1:17" x14ac:dyDescent="0.2">
      <c r="A180" s="38">
        <v>9009141200</v>
      </c>
      <c r="B180" s="38" t="s">
        <v>943</v>
      </c>
      <c r="C180" s="244" t="s">
        <v>944</v>
      </c>
      <c r="D180" s="245">
        <v>62230.979699999902</v>
      </c>
      <c r="E180" s="246">
        <v>45394.301346346532</v>
      </c>
      <c r="F180" s="247">
        <f>[2]!Table323[[#This Row],[Single Family]]+[2]!Table323[[#This Row],[2-4 Units]]+[2]!Table323[[#This Row],[&gt;4 Units]]</f>
        <v>10</v>
      </c>
      <c r="G180">
        <v>9</v>
      </c>
      <c r="H180">
        <v>1</v>
      </c>
      <c r="I180">
        <v>0</v>
      </c>
      <c r="J180" s="248">
        <v>11141.915513012062</v>
      </c>
      <c r="K180" s="247">
        <f>SUM([2]!Table323[[#This Row],[Single Family ]:[&gt;4 Units ]])</f>
        <v>16</v>
      </c>
      <c r="L180" s="249">
        <v>4</v>
      </c>
      <c r="M180" s="249">
        <v>12</v>
      </c>
      <c r="N180" s="249">
        <v>0</v>
      </c>
      <c r="O180" s="250">
        <f>[2]!Table323[[#This Row],[Incentive Disbursements]]-[2]!Table323[[#This Row],[Incentives]]</f>
        <v>34252.385833334469</v>
      </c>
      <c r="P180" s="158">
        <f>VLOOKUP(Table3236[[#This Row],[Census Tract]],'Population and Diversity Data'!$B$2:$K$823,10,FALSE)</f>
        <v>5</v>
      </c>
      <c r="Q180" s="159" t="str">
        <f>VLOOKUP(Table3236[[#This Row],[Census Tract]],'UI EnergyBurden'!$A$2:$B$184,2,FALSE)</f>
        <v>No</v>
      </c>
    </row>
    <row r="181" spans="1:17" x14ac:dyDescent="0.2">
      <c r="A181" s="38">
        <v>9009141300</v>
      </c>
      <c r="B181" s="38" t="s">
        <v>943</v>
      </c>
      <c r="C181" s="244" t="s">
        <v>936</v>
      </c>
      <c r="D181" s="245">
        <v>76079.437600000005</v>
      </c>
      <c r="E181" s="246">
        <v>13057.400726852327</v>
      </c>
      <c r="F181" s="247">
        <f>[2]!Table323[[#This Row],[Single Family]]+[2]!Table323[[#This Row],[2-4 Units]]+[2]!Table323[[#This Row],[&gt;4 Units]]</f>
        <v>2</v>
      </c>
      <c r="G181">
        <v>2</v>
      </c>
      <c r="H181">
        <v>0</v>
      </c>
      <c r="I181">
        <v>0</v>
      </c>
      <c r="J181" s="248">
        <v>3621.8204228939153</v>
      </c>
      <c r="K181" s="247">
        <f>SUM([2]!Table323[[#This Row],[Single Family ]:[&gt;4 Units ]])</f>
        <v>7</v>
      </c>
      <c r="L181" s="249">
        <v>3</v>
      </c>
      <c r="M181" s="249">
        <v>3</v>
      </c>
      <c r="N181" s="249">
        <v>1</v>
      </c>
      <c r="O181" s="250">
        <f>[2]!Table323[[#This Row],[Incentive Disbursements]]-[2]!Table323[[#This Row],[Incentives]]</f>
        <v>9435.5803039584116</v>
      </c>
      <c r="P181" s="158">
        <f>VLOOKUP(Table3236[[#This Row],[Census Tract]],'Population and Diversity Data'!$B$2:$K$823,10,FALSE)</f>
        <v>3</v>
      </c>
      <c r="Q181" s="159" t="str">
        <f>VLOOKUP(Table3236[[#This Row],[Census Tract]],'UI EnergyBurden'!$A$2:$B$184,2,FALSE)</f>
        <v>No</v>
      </c>
    </row>
    <row r="182" spans="1:17" x14ac:dyDescent="0.2">
      <c r="A182" s="38">
        <v>9009141400</v>
      </c>
      <c r="B182" s="38" t="s">
        <v>943</v>
      </c>
      <c r="C182" s="244" t="s">
        <v>944</v>
      </c>
      <c r="D182" s="245">
        <v>67783.353199999998</v>
      </c>
      <c r="E182" s="246">
        <v>31754.185607363866</v>
      </c>
      <c r="F182" s="247">
        <f>[2]!Table323[[#This Row],[Single Family]]+[2]!Table323[[#This Row],[2-4 Units]]+[2]!Table323[[#This Row],[&gt;4 Units]]</f>
        <v>12</v>
      </c>
      <c r="G182">
        <v>11</v>
      </c>
      <c r="H182">
        <v>1</v>
      </c>
      <c r="I182">
        <v>0</v>
      </c>
      <c r="J182" s="248">
        <v>8807.0207405015608</v>
      </c>
      <c r="K182" s="247">
        <f>SUM([2]!Table323[[#This Row],[Single Family ]:[&gt;4 Units ]])</f>
        <v>14</v>
      </c>
      <c r="L182" s="249">
        <v>5</v>
      </c>
      <c r="M182" s="249">
        <v>9</v>
      </c>
      <c r="N182" s="249">
        <v>0</v>
      </c>
      <c r="O182" s="250">
        <f>[2]!Table323[[#This Row],[Incentive Disbursements]]-[2]!Table323[[#This Row],[Incentives]]</f>
        <v>22947.164866862306</v>
      </c>
      <c r="P182" s="158">
        <f>VLOOKUP(Table3236[[#This Row],[Census Tract]],'Population and Diversity Data'!$B$2:$K$823,10,FALSE)</f>
        <v>5</v>
      </c>
      <c r="Q182" s="159" t="str">
        <f>VLOOKUP(Table3236[[#This Row],[Census Tract]],'UI EnergyBurden'!$A$2:$B$184,2,FALSE)</f>
        <v>No</v>
      </c>
    </row>
    <row r="183" spans="1:17" x14ac:dyDescent="0.2">
      <c r="A183" s="38">
        <v>9009141500</v>
      </c>
      <c r="B183" s="38" t="s">
        <v>943</v>
      </c>
      <c r="C183" s="244" t="s">
        <v>936</v>
      </c>
      <c r="D183" s="245">
        <v>89500.176099999997</v>
      </c>
      <c r="E183" s="246">
        <v>119656.22067310745</v>
      </c>
      <c r="F183" s="247">
        <f>[2]!Table323[[#This Row],[Single Family]]+[2]!Table323[[#This Row],[2-4 Units]]+[2]!Table323[[#This Row],[&gt;4 Units]]</f>
        <v>9</v>
      </c>
      <c r="G183">
        <v>7</v>
      </c>
      <c r="H183">
        <v>2</v>
      </c>
      <c r="I183">
        <v>0</v>
      </c>
      <c r="J183" s="248">
        <v>7316.7702180908418</v>
      </c>
      <c r="K183" s="247">
        <f>SUM([2]!Table323[[#This Row],[Single Family ]:[&gt;4 Units ]])</f>
        <v>53</v>
      </c>
      <c r="L183" s="249">
        <v>19</v>
      </c>
      <c r="M183" s="249">
        <v>34</v>
      </c>
      <c r="N183" s="249">
        <v>0</v>
      </c>
      <c r="O183" s="250">
        <f>[2]!Table323[[#This Row],[Incentive Disbursements]]-[2]!Table323[[#This Row],[Incentives]]</f>
        <v>112339.45045501662</v>
      </c>
      <c r="P183" s="158">
        <f>VLOOKUP(Table3236[[#This Row],[Census Tract]],'Population and Diversity Data'!$B$2:$K$823,10,FALSE)</f>
        <v>3</v>
      </c>
      <c r="Q183" s="159" t="str">
        <f>VLOOKUP(Table3236[[#This Row],[Census Tract]],'UI EnergyBurden'!$A$2:$B$184,2,FALSE)</f>
        <v>Yes</v>
      </c>
    </row>
    <row r="184" spans="1:17" x14ac:dyDescent="0.2">
      <c r="A184" s="38">
        <v>9009141600</v>
      </c>
      <c r="B184" s="38" t="s">
        <v>943</v>
      </c>
      <c r="C184" s="244" t="s">
        <v>936</v>
      </c>
      <c r="D184" s="245">
        <v>59212.536800000104</v>
      </c>
      <c r="E184" s="246">
        <v>27274.406345206029</v>
      </c>
      <c r="F184" s="247">
        <f>[2]!Table323[[#This Row],[Single Family]]+[2]!Table323[[#This Row],[2-4 Units]]+[2]!Table323[[#This Row],[&gt;4 Units]]</f>
        <v>4</v>
      </c>
      <c r="G184">
        <v>1</v>
      </c>
      <c r="H184">
        <v>3</v>
      </c>
      <c r="I184">
        <v>0</v>
      </c>
      <c r="J184" s="248">
        <v>1221.260517460295</v>
      </c>
      <c r="K184" s="247">
        <f>SUM([2]!Table323[[#This Row],[Single Family ]:[&gt;4 Units ]])</f>
        <v>18</v>
      </c>
      <c r="L184" s="249">
        <v>5</v>
      </c>
      <c r="M184" s="249">
        <v>13</v>
      </c>
      <c r="N184" s="249">
        <v>0</v>
      </c>
      <c r="O184" s="250">
        <f>[2]!Table323[[#This Row],[Incentive Disbursements]]-[2]!Table323[[#This Row],[Incentives]]</f>
        <v>26053.145827745735</v>
      </c>
      <c r="P184" s="158">
        <f>VLOOKUP(Table3236[[#This Row],[Census Tract]],'Population and Diversity Data'!$B$2:$K$823,10,FALSE)</f>
        <v>4</v>
      </c>
      <c r="Q184" s="159" t="str">
        <f>VLOOKUP(Table3236[[#This Row],[Census Tract]],'UI EnergyBurden'!$A$2:$B$184,2,FALSE)</f>
        <v>Yes</v>
      </c>
    </row>
    <row r="185" spans="1:17" x14ac:dyDescent="0.2">
      <c r="A185" s="38">
        <v>9009141800</v>
      </c>
      <c r="B185" s="38" t="s">
        <v>943</v>
      </c>
      <c r="C185" s="244" t="s">
        <v>944</v>
      </c>
      <c r="D185" s="245">
        <v>54159.681900000003</v>
      </c>
      <c r="E185" s="246">
        <v>16060.471008987966</v>
      </c>
      <c r="F185" s="247">
        <f>[2]!Table323[[#This Row],[Single Family]]+[2]!Table323[[#This Row],[2-4 Units]]+[2]!Table323[[#This Row],[&gt;4 Units]]</f>
        <v>13</v>
      </c>
      <c r="G185">
        <v>8</v>
      </c>
      <c r="H185">
        <v>5</v>
      </c>
      <c r="I185">
        <v>0</v>
      </c>
      <c r="J185" s="248">
        <v>13416.54159593491</v>
      </c>
      <c r="K185" s="247">
        <f>SUM([2]!Table323[[#This Row],[Single Family ]:[&gt;4 Units ]])</f>
        <v>4</v>
      </c>
      <c r="L185" s="249">
        <v>1</v>
      </c>
      <c r="M185" s="249">
        <v>3</v>
      </c>
      <c r="N185" s="249">
        <v>0</v>
      </c>
      <c r="O185" s="250">
        <f>[2]!Table323[[#This Row],[Incentive Disbursements]]-[2]!Table323[[#This Row],[Incentives]]</f>
        <v>2643.9294130530561</v>
      </c>
      <c r="P185" s="158">
        <f>VLOOKUP(Table3236[[#This Row],[Census Tract]],'Population and Diversity Data'!$B$2:$K$823,10,FALSE)</f>
        <v>5</v>
      </c>
      <c r="Q185" s="159" t="str">
        <f>VLOOKUP(Table3236[[#This Row],[Census Tract]],'UI EnergyBurden'!$A$2:$B$184,2,FALSE)</f>
        <v>No</v>
      </c>
    </row>
    <row r="186" spans="1:17" x14ac:dyDescent="0.2">
      <c r="A186" s="38">
        <v>9009141900</v>
      </c>
      <c r="B186" s="38" t="s">
        <v>943</v>
      </c>
      <c r="C186" s="244" t="s">
        <v>944</v>
      </c>
      <c r="D186" s="245">
        <v>72665.771399999896</v>
      </c>
      <c r="E186" s="246">
        <v>24250.178979152381</v>
      </c>
      <c r="F186" s="247">
        <f>[2]!Table323[[#This Row],[Single Family]]+[2]!Table323[[#This Row],[2-4 Units]]+[2]!Table323[[#This Row],[&gt;4 Units]]</f>
        <v>17</v>
      </c>
      <c r="G186">
        <v>6</v>
      </c>
      <c r="H186">
        <v>11</v>
      </c>
      <c r="I186">
        <v>0</v>
      </c>
      <c r="J186" s="248">
        <v>24250.178979152381</v>
      </c>
      <c r="K186" s="247">
        <f>SUM([2]!Table323[[#This Row],[Single Family ]:[&gt;4 Units ]])</f>
        <v>0</v>
      </c>
      <c r="L186" s="249"/>
      <c r="M186" s="249"/>
      <c r="N186" s="249"/>
      <c r="O186" s="250">
        <f>[2]!Table323[[#This Row],[Incentive Disbursements]]-[2]!Table323[[#This Row],[Incentives]]</f>
        <v>0</v>
      </c>
      <c r="P186" s="158">
        <f>VLOOKUP(Table3236[[#This Row],[Census Tract]],'Population and Diversity Data'!$B$2:$K$823,10,FALSE)</f>
        <v>5</v>
      </c>
      <c r="Q186" s="159" t="str">
        <f>VLOOKUP(Table3236[[#This Row],[Census Tract]],'UI EnergyBurden'!$A$2:$B$184,2,FALSE)</f>
        <v>No</v>
      </c>
    </row>
    <row r="187" spans="1:17" x14ac:dyDescent="0.2">
      <c r="A187" s="38">
        <v>9009142000</v>
      </c>
      <c r="B187" s="38" t="s">
        <v>943</v>
      </c>
      <c r="C187" s="244" t="s">
        <v>944</v>
      </c>
      <c r="D187" s="245">
        <v>47650.880900000098</v>
      </c>
      <c r="E187" s="246">
        <v>6555.0647629926461</v>
      </c>
      <c r="F187" s="247">
        <f>[2]!Table323[[#This Row],[Single Family]]+[2]!Table323[[#This Row],[2-4 Units]]+[2]!Table323[[#This Row],[&gt;4 Units]]</f>
        <v>4</v>
      </c>
      <c r="G187">
        <v>4</v>
      </c>
      <c r="H187">
        <v>0</v>
      </c>
      <c r="I187">
        <v>0</v>
      </c>
      <c r="J187" s="248">
        <v>4816.3004598763491</v>
      </c>
      <c r="K187" s="247">
        <f>SUM([2]!Table323[[#This Row],[Single Family ]:[&gt;4 Units ]])</f>
        <v>2</v>
      </c>
      <c r="L187" s="249">
        <v>0</v>
      </c>
      <c r="M187" s="249">
        <v>2</v>
      </c>
      <c r="N187" s="249">
        <v>0</v>
      </c>
      <c r="O187" s="250">
        <f>[2]!Table323[[#This Row],[Incentive Disbursements]]-[2]!Table323[[#This Row],[Incentives]]</f>
        <v>1738.764303116297</v>
      </c>
      <c r="P187" s="158">
        <f>VLOOKUP(Table3236[[#This Row],[Census Tract]],'Population and Diversity Data'!$B$2:$K$823,10,FALSE)</f>
        <v>5</v>
      </c>
      <c r="Q187" s="159" t="str">
        <f>VLOOKUP(Table3236[[#This Row],[Census Tract]],'UI EnergyBurden'!$A$2:$B$184,2,FALSE)</f>
        <v>No</v>
      </c>
    </row>
    <row r="188" spans="1:17" x14ac:dyDescent="0.2">
      <c r="A188" s="38">
        <v>9009142100</v>
      </c>
      <c r="B188" s="38" t="s">
        <v>943</v>
      </c>
      <c r="C188" s="244" t="s">
        <v>936</v>
      </c>
      <c r="D188" s="245">
        <v>14835.8009</v>
      </c>
      <c r="E188" s="246">
        <v>68.035533266732926</v>
      </c>
      <c r="F188" s="247">
        <f>[2]!Table323[[#This Row],[Single Family]]+[2]!Table323[[#This Row],[2-4 Units]]+[2]!Table323[[#This Row],[&gt;4 Units]]</f>
        <v>1</v>
      </c>
      <c r="G188">
        <v>0</v>
      </c>
      <c r="H188">
        <v>1</v>
      </c>
      <c r="I188">
        <v>0</v>
      </c>
      <c r="J188" s="248">
        <v>68.035533266732926</v>
      </c>
      <c r="K188" s="247">
        <f>SUM([2]!Table323[[#This Row],[Single Family ]:[&gt;4 Units ]])</f>
        <v>0</v>
      </c>
      <c r="L188" s="249"/>
      <c r="M188" s="249"/>
      <c r="N188" s="249"/>
      <c r="O188" s="250">
        <f>[2]!Table323[[#This Row],[Incentive Disbursements]]-[2]!Table323[[#This Row],[Incentives]]</f>
        <v>0</v>
      </c>
      <c r="P188" s="158">
        <f>VLOOKUP(Table3236[[#This Row],[Census Tract]],'Population and Diversity Data'!$B$2:$K$823,10,FALSE)</f>
        <v>5</v>
      </c>
      <c r="Q188" s="159" t="str">
        <f>VLOOKUP(Table3236[[#This Row],[Census Tract]],'UI EnergyBurden'!$A$2:$B$184,2,FALSE)</f>
        <v>No</v>
      </c>
    </row>
    <row r="189" spans="1:17" x14ac:dyDescent="0.2">
      <c r="A189" s="38">
        <v>9009142200</v>
      </c>
      <c r="B189" s="38" t="s">
        <v>943</v>
      </c>
      <c r="C189" s="244" t="s">
        <v>944</v>
      </c>
      <c r="D189" s="245">
        <v>31597.2291</v>
      </c>
      <c r="E189" s="246">
        <v>9450.8618210672466</v>
      </c>
      <c r="F189" s="247">
        <f>[2]!Table323[[#This Row],[Single Family]]+[2]!Table323[[#This Row],[2-4 Units]]+[2]!Table323[[#This Row],[&gt;4 Units]]</f>
        <v>1</v>
      </c>
      <c r="G189">
        <v>0</v>
      </c>
      <c r="H189">
        <v>1</v>
      </c>
      <c r="I189">
        <v>0</v>
      </c>
      <c r="J189" s="248">
        <v>3467.6939665090849</v>
      </c>
      <c r="K189" s="247">
        <f>SUM([2]!Table323[[#This Row],[Single Family ]:[&gt;4 Units ]])</f>
        <v>1</v>
      </c>
      <c r="L189" s="249">
        <v>0</v>
      </c>
      <c r="M189" s="249">
        <v>1</v>
      </c>
      <c r="N189" s="249">
        <v>0</v>
      </c>
      <c r="O189" s="250">
        <f>[2]!Table323[[#This Row],[Incentive Disbursements]]-[2]!Table323[[#This Row],[Incentives]]</f>
        <v>5983.1678545581617</v>
      </c>
      <c r="P189" s="158">
        <f>VLOOKUP(Table3236[[#This Row],[Census Tract]],'Population and Diversity Data'!$B$2:$K$823,10,FALSE)</f>
        <v>4</v>
      </c>
      <c r="Q189" s="159" t="str">
        <f>VLOOKUP(Table3236[[#This Row],[Census Tract]],'UI EnergyBurden'!$A$2:$B$184,2,FALSE)</f>
        <v>No</v>
      </c>
    </row>
    <row r="190" spans="1:17" x14ac:dyDescent="0.2">
      <c r="A190" s="38">
        <v>9009142300</v>
      </c>
      <c r="B190" s="38" t="s">
        <v>943</v>
      </c>
      <c r="C190" s="244" t="s">
        <v>936</v>
      </c>
      <c r="D190" s="245">
        <v>53392.115599999903</v>
      </c>
      <c r="E190" s="246">
        <v>26226.5633082036</v>
      </c>
      <c r="F190" s="247">
        <f>[2]!Table323[[#This Row],[Single Family]]+[2]!Table323[[#This Row],[2-4 Units]]+[2]!Table323[[#This Row],[&gt;4 Units]]</f>
        <v>10</v>
      </c>
      <c r="G190">
        <v>3</v>
      </c>
      <c r="H190">
        <v>7</v>
      </c>
      <c r="I190">
        <v>0</v>
      </c>
      <c r="J190" s="248">
        <v>7485.018208437632</v>
      </c>
      <c r="K190" s="247">
        <f>SUM([2]!Table323[[#This Row],[Single Family ]:[&gt;4 Units ]])</f>
        <v>17</v>
      </c>
      <c r="L190" s="249">
        <v>2</v>
      </c>
      <c r="M190" s="249">
        <v>14</v>
      </c>
      <c r="N190" s="249">
        <v>1</v>
      </c>
      <c r="O190" s="250">
        <f>[2]!Table323[[#This Row],[Incentive Disbursements]]-[2]!Table323[[#This Row],[Incentives]]</f>
        <v>18741.545099765968</v>
      </c>
      <c r="P190" s="158">
        <f>VLOOKUP(Table3236[[#This Row],[Census Tract]],'Population and Diversity Data'!$B$2:$K$823,10,FALSE)</f>
        <v>5</v>
      </c>
      <c r="Q190" s="159" t="str">
        <f>VLOOKUP(Table3236[[#This Row],[Census Tract]],'UI EnergyBurden'!$A$2:$B$184,2,FALSE)</f>
        <v>Yes</v>
      </c>
    </row>
    <row r="191" spans="1:17" x14ac:dyDescent="0.2">
      <c r="A191" s="38">
        <v>9009142400</v>
      </c>
      <c r="B191" s="38" t="s">
        <v>943</v>
      </c>
      <c r="C191" s="244" t="s">
        <v>936</v>
      </c>
      <c r="D191" s="245">
        <v>54491.1928999999</v>
      </c>
      <c r="E191" s="246">
        <v>17186.33552113023</v>
      </c>
      <c r="F191" s="247">
        <f>[2]!Table323[[#This Row],[Single Family]]+[2]!Table323[[#This Row],[2-4 Units]]+[2]!Table323[[#This Row],[&gt;4 Units]]</f>
        <v>6</v>
      </c>
      <c r="G191">
        <v>5</v>
      </c>
      <c r="H191">
        <v>1</v>
      </c>
      <c r="I191">
        <v>0</v>
      </c>
      <c r="J191" s="248">
        <v>5496.8070946932712</v>
      </c>
      <c r="K191" s="247">
        <f>SUM([2]!Table323[[#This Row],[Single Family ]:[&gt;4 Units ]])</f>
        <v>18</v>
      </c>
      <c r="L191" s="249">
        <v>6</v>
      </c>
      <c r="M191" s="249">
        <v>12</v>
      </c>
      <c r="N191" s="249">
        <v>0</v>
      </c>
      <c r="O191" s="250">
        <f>[2]!Table323[[#This Row],[Incentive Disbursements]]-[2]!Table323[[#This Row],[Incentives]]</f>
        <v>11689.528426436958</v>
      </c>
      <c r="P191" s="158">
        <f>VLOOKUP(Table3236[[#This Row],[Census Tract]],'Population and Diversity Data'!$B$2:$K$823,10,FALSE)</f>
        <v>5</v>
      </c>
      <c r="Q191" s="159" t="str">
        <f>VLOOKUP(Table3236[[#This Row],[Census Tract]],'UI EnergyBurden'!$A$2:$B$184,2,FALSE)</f>
        <v>Yes</v>
      </c>
    </row>
    <row r="192" spans="1:17" x14ac:dyDescent="0.2">
      <c r="A192" s="38">
        <v>9009142500</v>
      </c>
      <c r="B192" s="38" t="s">
        <v>943</v>
      </c>
      <c r="C192" s="244" t="s">
        <v>936</v>
      </c>
      <c r="D192" s="245">
        <v>64777.257400000097</v>
      </c>
      <c r="E192" s="246">
        <v>18540.590628082278</v>
      </c>
      <c r="F192" s="247">
        <f>[2]!Table323[[#This Row],[Single Family]]+[2]!Table323[[#This Row],[2-4 Units]]+[2]!Table323[[#This Row],[&gt;4 Units]]</f>
        <v>9</v>
      </c>
      <c r="G192">
        <v>2</v>
      </c>
      <c r="H192">
        <v>7</v>
      </c>
      <c r="I192">
        <v>0</v>
      </c>
      <c r="J192" s="248">
        <v>5507.3478111148779</v>
      </c>
      <c r="K192" s="247">
        <f>SUM([2]!Table323[[#This Row],[Single Family ]:[&gt;4 Units ]])</f>
        <v>8</v>
      </c>
      <c r="L192" s="249">
        <v>2</v>
      </c>
      <c r="M192" s="249">
        <v>6</v>
      </c>
      <c r="N192" s="249">
        <v>0</v>
      </c>
      <c r="O192" s="250">
        <f>[2]!Table323[[#This Row],[Incentive Disbursements]]-[2]!Table323[[#This Row],[Incentives]]</f>
        <v>13033.2428169674</v>
      </c>
      <c r="P192" s="158">
        <f>VLOOKUP(Table3236[[#This Row],[Census Tract]],'Population and Diversity Data'!$B$2:$K$823,10,FALSE)</f>
        <v>5</v>
      </c>
      <c r="Q192" s="159" t="str">
        <f>VLOOKUP(Table3236[[#This Row],[Census Tract]],'UI EnergyBurden'!$A$2:$B$184,2,FALSE)</f>
        <v>Yes</v>
      </c>
    </row>
    <row r="193" spans="1:17" x14ac:dyDescent="0.2">
      <c r="A193" s="38">
        <v>9009142601</v>
      </c>
      <c r="B193" s="38" t="s">
        <v>943</v>
      </c>
      <c r="C193" s="244" t="s">
        <v>944</v>
      </c>
      <c r="D193" s="245">
        <v>92154.619600000093</v>
      </c>
      <c r="E193" s="246">
        <v>64480.336223709543</v>
      </c>
      <c r="F193" s="247">
        <f>[2]!Table323[[#This Row],[Single Family]]+[2]!Table323[[#This Row],[2-4 Units]]+[2]!Table323[[#This Row],[&gt;4 Units]]</f>
        <v>12</v>
      </c>
      <c r="G193">
        <v>11</v>
      </c>
      <c r="H193">
        <v>1</v>
      </c>
      <c r="I193">
        <v>0</v>
      </c>
      <c r="J193" s="248">
        <v>13651.740787476352</v>
      </c>
      <c r="K193" s="247">
        <f>SUM([2]!Table323[[#This Row],[Single Family ]:[&gt;4 Units ]])</f>
        <v>22</v>
      </c>
      <c r="L193" s="249">
        <v>16</v>
      </c>
      <c r="M193" s="249">
        <v>5</v>
      </c>
      <c r="N193" s="249">
        <v>1</v>
      </c>
      <c r="O193" s="250">
        <f>[2]!Table323[[#This Row],[Incentive Disbursements]]-[2]!Table323[[#This Row],[Incentives]]</f>
        <v>50828.59543623319</v>
      </c>
      <c r="P193" s="158">
        <f>VLOOKUP(Table3236[[#This Row],[Census Tract]],'Population and Diversity Data'!$B$2:$K$823,10,FALSE)</f>
        <v>5</v>
      </c>
      <c r="Q193" s="159" t="str">
        <f>VLOOKUP(Table3236[[#This Row],[Census Tract]],'UI EnergyBurden'!$A$2:$B$184,2,FALSE)</f>
        <v>No</v>
      </c>
    </row>
    <row r="194" spans="1:17" x14ac:dyDescent="0.2">
      <c r="A194" s="38">
        <v>9009142603</v>
      </c>
      <c r="B194" s="38" t="s">
        <v>943</v>
      </c>
      <c r="C194" s="244" t="s">
        <v>936</v>
      </c>
      <c r="D194" s="245">
        <v>45179.0501</v>
      </c>
      <c r="E194" s="246">
        <v>35783.866191509129</v>
      </c>
      <c r="F194" s="247">
        <f>[2]!Table323[[#This Row],[Single Family]]+[2]!Table323[[#This Row],[2-4 Units]]+[2]!Table323[[#This Row],[&gt;4 Units]]</f>
        <v>3</v>
      </c>
      <c r="G194">
        <v>3</v>
      </c>
      <c r="H194">
        <v>0</v>
      </c>
      <c r="I194">
        <v>0</v>
      </c>
      <c r="J194" s="248">
        <v>4761.2516944496329</v>
      </c>
      <c r="K194" s="247">
        <f>SUM([2]!Table323[[#This Row],[Single Family ]:[&gt;4 Units ]])</f>
        <v>7</v>
      </c>
      <c r="L194" s="249">
        <v>3</v>
      </c>
      <c r="M194" s="249">
        <v>4</v>
      </c>
      <c r="N194" s="249">
        <v>0</v>
      </c>
      <c r="O194" s="250">
        <f>[2]!Table323[[#This Row],[Incentive Disbursements]]-[2]!Table323[[#This Row],[Incentives]]</f>
        <v>31022.614497059498</v>
      </c>
      <c r="P194" s="158">
        <f>VLOOKUP(Table3236[[#This Row],[Census Tract]],'Population and Diversity Data'!$B$2:$K$823,10,FALSE)</f>
        <v>5</v>
      </c>
      <c r="Q194" s="159" t="str">
        <f>VLOOKUP(Table3236[[#This Row],[Census Tract]],'UI EnergyBurden'!$A$2:$B$184,2,FALSE)</f>
        <v>No</v>
      </c>
    </row>
    <row r="195" spans="1:17" x14ac:dyDescent="0.2">
      <c r="A195" s="38">
        <v>9009142604</v>
      </c>
      <c r="B195" s="38" t="s">
        <v>943</v>
      </c>
      <c r="C195" s="244" t="s">
        <v>944</v>
      </c>
      <c r="D195" s="245">
        <v>40066.7255</v>
      </c>
      <c r="E195" s="246">
        <v>42283.201329401898</v>
      </c>
      <c r="F195" s="247">
        <f>[2]!Table323[[#This Row],[Single Family]]+[2]!Table323[[#This Row],[2-4 Units]]+[2]!Table323[[#This Row],[&gt;4 Units]]</f>
        <v>9</v>
      </c>
      <c r="G195">
        <v>8</v>
      </c>
      <c r="H195">
        <v>1</v>
      </c>
      <c r="I195">
        <v>0</v>
      </c>
      <c r="J195" s="248">
        <v>12671.857632665862</v>
      </c>
      <c r="K195" s="247">
        <f>SUM([2]!Table323[[#This Row],[Single Family ]:[&gt;4 Units ]])</f>
        <v>11</v>
      </c>
      <c r="L195" s="249">
        <v>6</v>
      </c>
      <c r="M195" s="249">
        <v>5</v>
      </c>
      <c r="N195" s="249">
        <v>0</v>
      </c>
      <c r="O195" s="250">
        <f>[2]!Table323[[#This Row],[Incentive Disbursements]]-[2]!Table323[[#This Row],[Incentives]]</f>
        <v>29611.343696736036</v>
      </c>
      <c r="P195" s="158">
        <f>VLOOKUP(Table3236[[#This Row],[Census Tract]],'Population and Diversity Data'!$B$2:$K$823,10,FALSE)</f>
        <v>4</v>
      </c>
      <c r="Q195" s="159" t="str">
        <f>VLOOKUP(Table3236[[#This Row],[Census Tract]],'UI EnergyBurden'!$A$2:$B$184,2,FALSE)</f>
        <v>No</v>
      </c>
    </row>
    <row r="196" spans="1:17" x14ac:dyDescent="0.2">
      <c r="A196" s="38">
        <v>9009142700</v>
      </c>
      <c r="B196" s="38" t="s">
        <v>943</v>
      </c>
      <c r="C196" s="244" t="s">
        <v>944</v>
      </c>
      <c r="D196" s="245">
        <v>83322.580300000103</v>
      </c>
      <c r="E196" s="246">
        <v>75589.192217035656</v>
      </c>
      <c r="F196" s="247">
        <f>[2]!Table323[[#This Row],[Single Family]]+[2]!Table323[[#This Row],[2-4 Units]]+[2]!Table323[[#This Row],[&gt;4 Units]]</f>
        <v>8</v>
      </c>
      <c r="G196">
        <v>8</v>
      </c>
      <c r="H196">
        <v>0</v>
      </c>
      <c r="I196">
        <v>0</v>
      </c>
      <c r="J196" s="248">
        <v>20918.152606777843</v>
      </c>
      <c r="K196" s="247">
        <f>SUM([2]!Table323[[#This Row],[Single Family ]:[&gt;4 Units ]])</f>
        <v>20</v>
      </c>
      <c r="L196" s="249">
        <v>11</v>
      </c>
      <c r="M196" s="249">
        <v>9</v>
      </c>
      <c r="N196" s="249">
        <v>0</v>
      </c>
      <c r="O196" s="250">
        <f>[2]!Table323[[#This Row],[Incentive Disbursements]]-[2]!Table323[[#This Row],[Incentives]]</f>
        <v>54671.039610257809</v>
      </c>
      <c r="P196" s="158">
        <f>VLOOKUP(Table3236[[#This Row],[Census Tract]],'Population and Diversity Data'!$B$2:$K$823,10,FALSE)</f>
        <v>5</v>
      </c>
      <c r="Q196" s="159" t="str">
        <f>VLOOKUP(Table3236[[#This Row],[Census Tract]],'UI EnergyBurden'!$A$2:$B$184,2,FALSE)</f>
        <v>Yes</v>
      </c>
    </row>
    <row r="197" spans="1:17" x14ac:dyDescent="0.2">
      <c r="A197" s="38">
        <v>9009142800</v>
      </c>
      <c r="B197" s="38" t="s">
        <v>943</v>
      </c>
      <c r="C197" s="244" t="s">
        <v>944</v>
      </c>
      <c r="D197" s="245">
        <v>77725.744400000098</v>
      </c>
      <c r="E197" s="246">
        <v>169187.87930005923</v>
      </c>
      <c r="F197" s="247">
        <f>[2]!Table323[[#This Row],[Single Family]]+[2]!Table323[[#This Row],[2-4 Units]]+[2]!Table323[[#This Row],[&gt;4 Units]]</f>
        <v>69</v>
      </c>
      <c r="G197">
        <v>63</v>
      </c>
      <c r="H197">
        <v>6</v>
      </c>
      <c r="I197">
        <v>0</v>
      </c>
      <c r="J197" s="248">
        <v>97185.733228536163</v>
      </c>
      <c r="K197" s="247">
        <f>SUM([2]!Table323[[#This Row],[Single Family ]:[&gt;4 Units ]])</f>
        <v>15</v>
      </c>
      <c r="L197" s="249">
        <v>13</v>
      </c>
      <c r="M197" s="249">
        <v>2</v>
      </c>
      <c r="N197" s="249">
        <v>0</v>
      </c>
      <c r="O197" s="250">
        <f>[2]!Table323[[#This Row],[Incentive Disbursements]]-[2]!Table323[[#This Row],[Incentives]]</f>
        <v>72002.146071523064</v>
      </c>
      <c r="P197" s="158">
        <f>VLOOKUP(Table3236[[#This Row],[Census Tract]],'Population and Diversity Data'!$B$2:$K$823,10,FALSE)</f>
        <v>3</v>
      </c>
      <c r="Q197" s="159" t="str">
        <f>VLOOKUP(Table3236[[#This Row],[Census Tract]],'UI EnergyBurden'!$A$2:$B$184,2,FALSE)</f>
        <v>No</v>
      </c>
    </row>
    <row r="198" spans="1:17" x14ac:dyDescent="0.2">
      <c r="A198" s="38">
        <v>9009154100</v>
      </c>
      <c r="B198" s="38" t="s">
        <v>943</v>
      </c>
      <c r="C198" s="244" t="s">
        <v>944</v>
      </c>
      <c r="D198" s="245">
        <v>138.0009</v>
      </c>
      <c r="E198" s="246">
        <v>0</v>
      </c>
      <c r="F198" s="247">
        <f>[2]!Table323[[#This Row],[Single Family]]+[2]!Table323[[#This Row],[2-4 Units]]+[2]!Table323[[#This Row],[&gt;4 Units]]</f>
        <v>0</v>
      </c>
      <c r="J198" s="248">
        <v>0</v>
      </c>
      <c r="K198" s="247">
        <f>SUM([2]!Table323[[#This Row],[Single Family ]:[&gt;4 Units ]])</f>
        <v>0</v>
      </c>
      <c r="L198" s="249"/>
      <c r="M198" s="249"/>
      <c r="N198" s="249"/>
      <c r="O198" s="250">
        <f>[2]!Table323[[#This Row],[Incentive Disbursements]]-[2]!Table323[[#This Row],[Incentives]]</f>
        <v>0</v>
      </c>
      <c r="P198" s="158">
        <f>VLOOKUP(Table3236[[#This Row],[Census Tract]],'Population and Diversity Data'!$B$2:$K$823,10,FALSE)</f>
        <v>4</v>
      </c>
      <c r="Q198" s="159" t="str">
        <f>VLOOKUP(Table3236[[#This Row],[Census Tract]],'UI EnergyBurden'!$A$2:$B$184,2,FALSE)</f>
        <v>No</v>
      </c>
    </row>
    <row r="199" spans="1:17" x14ac:dyDescent="0.2">
      <c r="A199" s="38">
        <v>9009154500</v>
      </c>
      <c r="B199" s="38" t="s">
        <v>943</v>
      </c>
      <c r="C199" s="244" t="s">
        <v>936</v>
      </c>
      <c r="D199" s="245">
        <v>0</v>
      </c>
      <c r="E199" s="246">
        <v>0</v>
      </c>
      <c r="F199" s="247">
        <f>[2]!Table323[[#This Row],[Single Family]]+[2]!Table323[[#This Row],[2-4 Units]]+[2]!Table323[[#This Row],[&gt;4 Units]]</f>
        <v>0</v>
      </c>
      <c r="J199" s="248">
        <v>0</v>
      </c>
      <c r="K199" s="247">
        <f>SUM([2]!Table323[[#This Row],[Single Family ]:[&gt;4 Units ]])</f>
        <v>0</v>
      </c>
      <c r="L199" s="249"/>
      <c r="M199" s="249"/>
      <c r="N199" s="249"/>
      <c r="O199" s="250">
        <f>[2]!Table323[[#This Row],[Incentive Disbursements]]-[2]!Table323[[#This Row],[Incentives]]</f>
        <v>0</v>
      </c>
      <c r="P199" s="158">
        <f>VLOOKUP(Table3236[[#This Row],[Census Tract]],'Population and Diversity Data'!$B$2:$K$823,10,FALSE)</f>
        <v>4</v>
      </c>
      <c r="Q199" s="159" t="str">
        <f>VLOOKUP(Table3236[[#This Row],[Census Tract]],'UI EnergyBurden'!$A$2:$B$184,2,FALSE)</f>
        <v>No</v>
      </c>
    </row>
    <row r="200" spans="1:17" x14ac:dyDescent="0.2">
      <c r="A200" s="38">
        <v>9009154600</v>
      </c>
      <c r="B200" s="38" t="s">
        <v>943</v>
      </c>
      <c r="C200" s="244" t="s">
        <v>944</v>
      </c>
      <c r="D200" s="245">
        <v>9.6715999999999998</v>
      </c>
      <c r="E200" s="246">
        <v>0</v>
      </c>
      <c r="F200" s="247">
        <f>[2]!Table323[[#This Row],[Single Family]]+[2]!Table323[[#This Row],[2-4 Units]]+[2]!Table323[[#This Row],[&gt;4 Units]]</f>
        <v>0</v>
      </c>
      <c r="J200" s="248">
        <v>0</v>
      </c>
      <c r="K200" s="247">
        <f>SUM([2]!Table323[[#This Row],[Single Family ]:[&gt;4 Units ]])</f>
        <v>0</v>
      </c>
      <c r="L200" s="249"/>
      <c r="M200" s="249"/>
      <c r="N200" s="249"/>
      <c r="O200" s="250">
        <f>[2]!Table323[[#This Row],[Incentive Disbursements]]-[2]!Table323[[#This Row],[Incentives]]</f>
        <v>0</v>
      </c>
      <c r="P200" s="158">
        <f>VLOOKUP(Table3236[[#This Row],[Census Tract]],'Population and Diversity Data'!$B$2:$K$823,10,FALSE)</f>
        <v>5</v>
      </c>
      <c r="Q200" s="159" t="str">
        <f>VLOOKUP(Table3236[[#This Row],[Census Tract]],'UI EnergyBurden'!$A$2:$B$184,2,FALSE)</f>
        <v>No</v>
      </c>
    </row>
    <row r="201" spans="1:17" x14ac:dyDescent="0.2">
      <c r="A201" s="38">
        <v>9009160200</v>
      </c>
      <c r="B201" s="38" t="s">
        <v>943</v>
      </c>
      <c r="C201" s="244" t="s">
        <v>944</v>
      </c>
      <c r="D201" s="245">
        <v>38.472200000000001</v>
      </c>
      <c r="E201" s="246">
        <v>0</v>
      </c>
      <c r="F201" s="247">
        <f>[2]!Table323[[#This Row],[Single Family]]+[2]!Table323[[#This Row],[2-4 Units]]+[2]!Table323[[#This Row],[&gt;4 Units]]</f>
        <v>0</v>
      </c>
      <c r="J201" s="248">
        <v>0</v>
      </c>
      <c r="K201" s="247">
        <f>SUM([2]!Table323[[#This Row],[Single Family ]:[&gt;4 Units ]])</f>
        <v>0</v>
      </c>
      <c r="L201" s="249"/>
      <c r="M201" s="249"/>
      <c r="N201" s="249"/>
      <c r="O201" s="250">
        <f>[2]!Table323[[#This Row],[Incentive Disbursements]]-[2]!Table323[[#This Row],[Incentives]]</f>
        <v>0</v>
      </c>
      <c r="P201" s="158">
        <f>VLOOKUP(Table3236[[#This Row],[Census Tract]],'Population and Diversity Data'!$B$2:$K$823,10,FALSE)</f>
        <v>4</v>
      </c>
      <c r="Q201" s="159" t="str">
        <f>VLOOKUP(Table3236[[#This Row],[Census Tract]],'UI EnergyBurden'!$A$2:$B$184,2,FALSE)</f>
        <v>No</v>
      </c>
    </row>
    <row r="202" spans="1:17" x14ac:dyDescent="0.2">
      <c r="A202" s="38">
        <v>9009165400</v>
      </c>
      <c r="B202" s="38" t="s">
        <v>943</v>
      </c>
      <c r="C202" s="244" t="s">
        <v>944</v>
      </c>
      <c r="D202" s="245">
        <v>0</v>
      </c>
      <c r="E202" s="246">
        <v>0</v>
      </c>
      <c r="F202" s="247">
        <f>[2]!Table323[[#This Row],[Single Family]]+[2]!Table323[[#This Row],[2-4 Units]]+[2]!Table323[[#This Row],[&gt;4 Units]]</f>
        <v>0</v>
      </c>
      <c r="J202" s="248">
        <v>0</v>
      </c>
      <c r="K202" s="247">
        <f>SUM([2]!Table323[[#This Row],[Single Family ]:[&gt;4 Units ]])</f>
        <v>0</v>
      </c>
      <c r="L202" s="249"/>
      <c r="M202" s="249"/>
      <c r="N202" s="249"/>
      <c r="O202" s="250">
        <f>[2]!Table323[[#This Row],[Incentive Disbursements]]-[2]!Table323[[#This Row],[Incentives]]</f>
        <v>0</v>
      </c>
      <c r="P202" s="158">
        <f>VLOOKUP(Table3236[[#This Row],[Census Tract]],'Population and Diversity Data'!$B$2:$K$823,10,FALSE)</f>
        <v>3</v>
      </c>
      <c r="Q202" s="159" t="str">
        <f>VLOOKUP(Table3236[[#This Row],[Census Tract]],'UI EnergyBurden'!$A$2:$B$184,2,FALSE)</f>
        <v>No</v>
      </c>
    </row>
    <row r="203" spans="1:17" x14ac:dyDescent="0.2">
      <c r="A203" s="38">
        <v>9009165500</v>
      </c>
      <c r="B203" s="38" t="s">
        <v>943</v>
      </c>
      <c r="C203" s="244" t="s">
        <v>936</v>
      </c>
      <c r="D203" s="245">
        <v>766.12699999999995</v>
      </c>
      <c r="E203" s="246">
        <v>66.497294745876474</v>
      </c>
      <c r="F203" s="247">
        <f>[2]!Table323[[#This Row],[Single Family]]+[2]!Table323[[#This Row],[2-4 Units]]+[2]!Table323[[#This Row],[&gt;4 Units]]</f>
        <v>1</v>
      </c>
      <c r="G203">
        <v>1</v>
      </c>
      <c r="H203">
        <v>0</v>
      </c>
      <c r="I203">
        <v>0</v>
      </c>
      <c r="J203" s="248">
        <v>66.497294745876474</v>
      </c>
      <c r="K203" s="247">
        <f>SUM([2]!Table323[[#This Row],[Single Family ]:[&gt;4 Units ]])</f>
        <v>0</v>
      </c>
      <c r="L203" s="249"/>
      <c r="M203" s="249"/>
      <c r="N203" s="249"/>
      <c r="O203" s="250">
        <f>[2]!Table323[[#This Row],[Incentive Disbursements]]-[2]!Table323[[#This Row],[Incentives]]</f>
        <v>0</v>
      </c>
      <c r="P203" s="158">
        <f>VLOOKUP(Table3236[[#This Row],[Census Tract]],'Population and Diversity Data'!$B$2:$K$823,10,FALSE)</f>
        <v>4</v>
      </c>
      <c r="Q203" s="159" t="str">
        <f>VLOOKUP(Table3236[[#This Row],[Census Tract]],'UI EnergyBurden'!$A$2:$B$184,2,FALSE)</f>
        <v>Yes</v>
      </c>
    </row>
    <row r="204" spans="1:17" x14ac:dyDescent="0.2">
      <c r="A204" s="38">
        <v>9009165700</v>
      </c>
      <c r="B204" s="38" t="s">
        <v>943</v>
      </c>
      <c r="C204" s="244" t="s">
        <v>944</v>
      </c>
      <c r="D204" s="245">
        <v>0</v>
      </c>
      <c r="E204" s="246">
        <v>0</v>
      </c>
      <c r="F204" s="247">
        <f>[2]!Table323[[#This Row],[Single Family]]+[2]!Table323[[#This Row],[2-4 Units]]+[2]!Table323[[#This Row],[&gt;4 Units]]</f>
        <v>0</v>
      </c>
      <c r="J204" s="248">
        <v>0</v>
      </c>
      <c r="K204" s="247">
        <f>SUM([2]!Table323[[#This Row],[Single Family ]:[&gt;4 Units ]])</f>
        <v>0</v>
      </c>
      <c r="L204" s="249"/>
      <c r="M204" s="249"/>
      <c r="N204" s="249"/>
      <c r="O204" s="250">
        <f>[2]!Table323[[#This Row],[Incentive Disbursements]]-[2]!Table323[[#This Row],[Incentives]]</f>
        <v>0</v>
      </c>
      <c r="P204" s="158">
        <f>VLOOKUP(Table3236[[#This Row],[Census Tract]],'Population and Diversity Data'!$B$2:$K$823,10,FALSE)</f>
        <v>4</v>
      </c>
      <c r="Q204" s="159" t="str">
        <f>VLOOKUP(Table3236[[#This Row],[Census Tract]],'UI EnergyBurden'!$A$2:$B$184,2,FALSE)</f>
        <v>No</v>
      </c>
    </row>
    <row r="205" spans="1:17" x14ac:dyDescent="0.2">
      <c r="A205" s="38">
        <v>9009165802</v>
      </c>
      <c r="B205" s="38" t="s">
        <v>943</v>
      </c>
      <c r="C205" s="244" t="s">
        <v>944</v>
      </c>
      <c r="D205" s="245">
        <v>0</v>
      </c>
      <c r="E205" s="246">
        <v>0</v>
      </c>
      <c r="F205" s="247">
        <f>[2]!Table323[[#This Row],[Single Family]]+[2]!Table323[[#This Row],[2-4 Units]]+[2]!Table323[[#This Row],[&gt;4 Units]]</f>
        <v>0</v>
      </c>
      <c r="J205" s="248">
        <v>0</v>
      </c>
      <c r="K205" s="247">
        <f>SUM([2]!Table323[[#This Row],[Single Family ]:[&gt;4 Units ]])</f>
        <v>0</v>
      </c>
      <c r="L205" s="249"/>
      <c r="M205" s="249"/>
      <c r="N205" s="249"/>
      <c r="O205" s="250">
        <f>[2]!Table323[[#This Row],[Incentive Disbursements]]-[2]!Table323[[#This Row],[Incentives]]</f>
        <v>0</v>
      </c>
      <c r="P205" s="158">
        <f>VLOOKUP(Table3236[[#This Row],[Census Tract]],'Population and Diversity Data'!$B$2:$K$823,10,FALSE)</f>
        <v>3</v>
      </c>
      <c r="Q205" s="159" t="str">
        <f>VLOOKUP(Table3236[[#This Row],[Census Tract]],'UI EnergyBurden'!$A$2:$B$184,2,FALSE)</f>
        <v>No</v>
      </c>
    </row>
    <row r="206" spans="1:17" x14ac:dyDescent="0.2">
      <c r="A206" s="38">
        <v>9009166002</v>
      </c>
      <c r="B206" s="38" t="s">
        <v>943</v>
      </c>
      <c r="C206" s="244" t="s">
        <v>944</v>
      </c>
      <c r="D206" s="245">
        <v>0</v>
      </c>
      <c r="E206" s="246">
        <v>0</v>
      </c>
      <c r="F206" s="247">
        <f>[2]!Table323[[#This Row],[Single Family]]+[2]!Table323[[#This Row],[2-4 Units]]+[2]!Table323[[#This Row],[&gt;4 Units]]</f>
        <v>0</v>
      </c>
      <c r="J206" s="248">
        <v>0</v>
      </c>
      <c r="K206" s="247">
        <f>SUM([2]!Table323[[#This Row],[Single Family ]:[&gt;4 Units ]])</f>
        <v>0</v>
      </c>
      <c r="L206" s="249"/>
      <c r="M206" s="249"/>
      <c r="N206" s="249"/>
      <c r="O206" s="250">
        <f>[2]!Table323[[#This Row],[Incentive Disbursements]]-[2]!Table323[[#This Row],[Incentives]]</f>
        <v>0</v>
      </c>
      <c r="P206" s="158">
        <f>VLOOKUP(Table3236[[#This Row],[Census Tract]],'Population and Diversity Data'!$B$2:$K$823,10,FALSE)</f>
        <v>3</v>
      </c>
      <c r="Q206" s="159" t="str">
        <f>VLOOKUP(Table3236[[#This Row],[Census Tract]],'UI EnergyBurden'!$A$2:$B$184,2,FALSE)</f>
        <v>No</v>
      </c>
    </row>
    <row r="207" spans="1:17" x14ac:dyDescent="0.2">
      <c r="A207" s="38">
        <v>9009167202</v>
      </c>
      <c r="B207" s="38" t="s">
        <v>943</v>
      </c>
      <c r="C207" s="244" t="s">
        <v>944</v>
      </c>
      <c r="D207" s="245">
        <v>0.1389</v>
      </c>
      <c r="E207" s="246">
        <v>0</v>
      </c>
      <c r="F207" s="247">
        <f>[2]!Table323[[#This Row],[Single Family]]+[2]!Table323[[#This Row],[2-4 Units]]+[2]!Table323[[#This Row],[&gt;4 Units]]</f>
        <v>0</v>
      </c>
      <c r="J207" s="248">
        <v>0</v>
      </c>
      <c r="K207" s="247">
        <f>SUM([2]!Table323[[#This Row],[Single Family ]:[&gt;4 Units ]])</f>
        <v>0</v>
      </c>
      <c r="L207" s="249"/>
      <c r="M207" s="249"/>
      <c r="N207" s="249"/>
      <c r="O207" s="250">
        <f>[2]!Table323[[#This Row],[Incentive Disbursements]]-[2]!Table323[[#This Row],[Incentives]]</f>
        <v>0</v>
      </c>
      <c r="P207" s="158">
        <f>VLOOKUP(Table3236[[#This Row],[Census Tract]],'Population and Diversity Data'!$B$2:$K$823,10,FALSE)</f>
        <v>4</v>
      </c>
      <c r="Q207" s="159" t="str">
        <f>VLOOKUP(Table3236[[#This Row],[Census Tract]],'UI EnergyBurden'!$A$2:$B$184,2,FALSE)</f>
        <v>No</v>
      </c>
    </row>
    <row r="208" spans="1:17" x14ac:dyDescent="0.2">
      <c r="A208" s="38">
        <v>9009167300</v>
      </c>
      <c r="B208" s="38" t="s">
        <v>943</v>
      </c>
      <c r="C208" s="244" t="s">
        <v>944</v>
      </c>
      <c r="D208" s="245">
        <v>19.053799999999999</v>
      </c>
      <c r="E208" s="246">
        <v>0</v>
      </c>
      <c r="F208" s="247">
        <f>[2]!Table323[[#This Row],[Single Family]]+[2]!Table323[[#This Row],[2-4 Units]]+[2]!Table323[[#This Row],[&gt;4 Units]]</f>
        <v>0</v>
      </c>
      <c r="J208" s="248">
        <v>0</v>
      </c>
      <c r="K208" s="247">
        <f>SUM([2]!Table323[[#This Row],[Single Family ]:[&gt;4 Units ]])</f>
        <v>0</v>
      </c>
      <c r="L208" s="249"/>
      <c r="M208" s="249"/>
      <c r="N208" s="249"/>
      <c r="O208" s="250">
        <f>[2]!Table323[[#This Row],[Incentive Disbursements]]-[2]!Table323[[#This Row],[Incentives]]</f>
        <v>0</v>
      </c>
      <c r="P208" s="158">
        <f>VLOOKUP(Table3236[[#This Row],[Census Tract]],'Population and Diversity Data'!$B$2:$K$823,10,FALSE)</f>
        <v>2</v>
      </c>
      <c r="Q208" s="159" t="str">
        <f>VLOOKUP(Table3236[[#This Row],[Census Tract]],'UI EnergyBurden'!$A$2:$B$184,2,FALSE)</f>
        <v>No</v>
      </c>
    </row>
    <row r="209" spans="1:17" x14ac:dyDescent="0.2">
      <c r="A209" s="38">
        <v>9009180100</v>
      </c>
      <c r="B209" s="38" t="s">
        <v>943</v>
      </c>
      <c r="C209" s="244" t="s">
        <v>944</v>
      </c>
      <c r="D209" s="245">
        <v>0</v>
      </c>
      <c r="E209" s="246">
        <v>0</v>
      </c>
      <c r="F209" s="247">
        <f>[2]!Table323[[#This Row],[Single Family]]+[2]!Table323[[#This Row],[2-4 Units]]+[2]!Table323[[#This Row],[&gt;4 Units]]</f>
        <v>0</v>
      </c>
      <c r="J209" s="248">
        <v>0</v>
      </c>
      <c r="K209" s="247">
        <f>SUM([2]!Table323[[#This Row],[Single Family ]:[&gt;4 Units ]])</f>
        <v>0</v>
      </c>
      <c r="L209" s="249"/>
      <c r="M209" s="249"/>
      <c r="N209" s="249"/>
      <c r="O209" s="250">
        <f>[2]!Table323[[#This Row],[Incentive Disbursements]]-[2]!Table323[[#This Row],[Incentives]]</f>
        <v>0</v>
      </c>
      <c r="P209" s="158">
        <f>VLOOKUP(Table3236[[#This Row],[Census Tract]],'Population and Diversity Data'!$B$2:$K$823,10,FALSE)</f>
        <v>5</v>
      </c>
      <c r="Q209" s="159" t="str">
        <f>VLOOKUP(Table3236[[#This Row],[Census Tract]],'UI EnergyBurden'!$A$2:$B$184,2,FALSE)</f>
        <v>No</v>
      </c>
    </row>
    <row r="210" spans="1:17" x14ac:dyDescent="0.2">
      <c r="A210" s="38">
        <v>9009180200</v>
      </c>
      <c r="B210" s="38" t="s">
        <v>943</v>
      </c>
      <c r="C210" s="244" t="s">
        <v>944</v>
      </c>
      <c r="D210" s="245">
        <v>174.75399999999999</v>
      </c>
      <c r="E210" s="246">
        <v>21.434471192262045</v>
      </c>
      <c r="F210" s="247">
        <f>[2]!Table323[[#This Row],[Single Family]]+[2]!Table323[[#This Row],[2-4 Units]]+[2]!Table323[[#This Row],[&gt;4 Units]]</f>
        <v>1</v>
      </c>
      <c r="G210">
        <v>0</v>
      </c>
      <c r="H210">
        <v>1</v>
      </c>
      <c r="I210">
        <v>0</v>
      </c>
      <c r="J210" s="248">
        <v>21.434471192262045</v>
      </c>
      <c r="K210" s="247">
        <f>SUM([2]!Table323[[#This Row],[Single Family ]:[&gt;4 Units ]])</f>
        <v>0</v>
      </c>
      <c r="L210" s="249"/>
      <c r="M210" s="249"/>
      <c r="N210" s="249"/>
      <c r="O210" s="250">
        <f>[2]!Table323[[#This Row],[Incentive Disbursements]]-[2]!Table323[[#This Row],[Incentives]]</f>
        <v>0</v>
      </c>
      <c r="P210" s="158">
        <f>VLOOKUP(Table3236[[#This Row],[Census Tract]],'Population and Diversity Data'!$B$2:$K$823,10,FALSE)</f>
        <v>5</v>
      </c>
      <c r="Q210" s="159" t="str">
        <f>VLOOKUP(Table3236[[#This Row],[Census Tract]],'UI EnergyBurden'!$A$2:$B$184,2,FALSE)</f>
        <v>No</v>
      </c>
    </row>
    <row r="211" spans="1:17" x14ac:dyDescent="0.2">
      <c r="A211" s="38">
        <v>9009180300</v>
      </c>
      <c r="B211" s="38" t="s">
        <v>943</v>
      </c>
      <c r="C211" s="244" t="s">
        <v>944</v>
      </c>
      <c r="D211" s="245">
        <v>541.58529999999996</v>
      </c>
      <c r="E211" s="246">
        <v>0</v>
      </c>
      <c r="F211" s="247">
        <f>[2]!Table323[[#This Row],[Single Family]]+[2]!Table323[[#This Row],[2-4 Units]]+[2]!Table323[[#This Row],[&gt;4 Units]]</f>
        <v>0</v>
      </c>
      <c r="J211" s="248">
        <v>0</v>
      </c>
      <c r="K211" s="247">
        <f>SUM([2]!Table323[[#This Row],[Single Family ]:[&gt;4 Units ]])</f>
        <v>0</v>
      </c>
      <c r="L211" s="249"/>
      <c r="M211" s="249"/>
      <c r="N211" s="249"/>
      <c r="O211" s="250">
        <f>[2]!Table323[[#This Row],[Incentive Disbursements]]-[2]!Table323[[#This Row],[Incentives]]</f>
        <v>0</v>
      </c>
      <c r="P211" s="158">
        <f>VLOOKUP(Table3236[[#This Row],[Census Tract]],'Population and Diversity Data'!$B$2:$K$823,10,FALSE)</f>
        <v>3</v>
      </c>
      <c r="Q211" s="159" t="str">
        <f>VLOOKUP(Table3236[[#This Row],[Census Tract]],'UI EnergyBurden'!$A$2:$B$184,2,FALSE)</f>
        <v>No</v>
      </c>
    </row>
    <row r="212" spans="1:17" x14ac:dyDescent="0.2">
      <c r="A212" s="38">
        <v>9009180500</v>
      </c>
      <c r="B212" s="38" t="s">
        <v>943</v>
      </c>
      <c r="C212" s="244" t="s">
        <v>944</v>
      </c>
      <c r="D212" s="245">
        <v>433.71039999999999</v>
      </c>
      <c r="E212" s="246">
        <v>0</v>
      </c>
      <c r="F212" s="247">
        <f>[2]!Table323[[#This Row],[Single Family]]+[2]!Table323[[#This Row],[2-4 Units]]+[2]!Table323[[#This Row],[&gt;4 Units]]</f>
        <v>0</v>
      </c>
      <c r="J212" s="248">
        <v>0</v>
      </c>
      <c r="K212" s="247">
        <f>SUM([2]!Table323[[#This Row],[Single Family ]:[&gt;4 Units ]])</f>
        <v>0</v>
      </c>
      <c r="L212" s="249"/>
      <c r="M212" s="249"/>
      <c r="N212" s="249"/>
      <c r="O212" s="250">
        <f>[2]!Table323[[#This Row],[Incentive Disbursements]]-[2]!Table323[[#This Row],[Incentives]]</f>
        <v>0</v>
      </c>
      <c r="P212" s="158">
        <f>VLOOKUP(Table3236[[#This Row],[Census Tract]],'Population and Diversity Data'!$B$2:$K$823,10,FALSE)</f>
        <v>5</v>
      </c>
      <c r="Q212" s="159" t="str">
        <f>VLOOKUP(Table3236[[#This Row],[Census Tract]],'UI EnergyBurden'!$A$2:$B$184,2,FALSE)</f>
        <v>No</v>
      </c>
    </row>
    <row r="213" spans="1:17" x14ac:dyDescent="0.2">
      <c r="A213" s="38">
        <v>9009180601</v>
      </c>
      <c r="B213" s="38" t="s">
        <v>943</v>
      </c>
      <c r="C213" s="244" t="s">
        <v>944</v>
      </c>
      <c r="D213" s="245">
        <v>0</v>
      </c>
      <c r="E213" s="246">
        <v>0</v>
      </c>
      <c r="F213" s="247">
        <f>[2]!Table323[[#This Row],[Single Family]]+[2]!Table323[[#This Row],[2-4 Units]]+[2]!Table323[[#This Row],[&gt;4 Units]]</f>
        <v>0</v>
      </c>
      <c r="J213" s="248">
        <v>0</v>
      </c>
      <c r="K213" s="247">
        <f>SUM([2]!Table323[[#This Row],[Single Family ]:[&gt;4 Units ]])</f>
        <v>0</v>
      </c>
      <c r="L213" s="249"/>
      <c r="M213" s="249"/>
      <c r="N213" s="249"/>
      <c r="O213" s="250">
        <f>[2]!Table323[[#This Row],[Incentive Disbursements]]-[2]!Table323[[#This Row],[Incentives]]</f>
        <v>0</v>
      </c>
      <c r="P213" s="158">
        <f>VLOOKUP(Table3236[[#This Row],[Census Tract]],'Population and Diversity Data'!$B$2:$K$823,10,FALSE)</f>
        <v>1</v>
      </c>
      <c r="Q213" s="159" t="str">
        <f>VLOOKUP(Table3236[[#This Row],[Census Tract]],'UI EnergyBurden'!$A$2:$B$184,2,FALSE)</f>
        <v>No</v>
      </c>
    </row>
    <row r="214" spans="1:17" x14ac:dyDescent="0.2">
      <c r="A214" s="38">
        <v>9009180602</v>
      </c>
      <c r="B214" s="38" t="s">
        <v>943</v>
      </c>
      <c r="C214" s="244" t="s">
        <v>944</v>
      </c>
      <c r="D214" s="245">
        <v>0</v>
      </c>
      <c r="E214" s="246">
        <v>0</v>
      </c>
      <c r="F214" s="247">
        <f>[2]!Table323[[#This Row],[Single Family]]+[2]!Table323[[#This Row],[2-4 Units]]+[2]!Table323[[#This Row],[&gt;4 Units]]</f>
        <v>0</v>
      </c>
      <c r="J214" s="248">
        <v>0</v>
      </c>
      <c r="K214" s="247">
        <f>SUM([2]!Table323[[#This Row],[Single Family ]:[&gt;4 Units ]])</f>
        <v>0</v>
      </c>
      <c r="L214" s="249"/>
      <c r="M214" s="249"/>
      <c r="N214" s="249"/>
      <c r="O214" s="250">
        <f>[2]!Table323[[#This Row],[Incentive Disbursements]]-[2]!Table323[[#This Row],[Incentives]]</f>
        <v>0</v>
      </c>
      <c r="P214" s="158">
        <f>VLOOKUP(Table3236[[#This Row],[Census Tract]],'Population and Diversity Data'!$B$2:$K$823,10,FALSE)</f>
        <v>1</v>
      </c>
      <c r="Q214" s="159" t="str">
        <f>VLOOKUP(Table3236[[#This Row],[Census Tract]],'UI EnergyBurden'!$A$2:$B$184,2,FALSE)</f>
        <v>No</v>
      </c>
    </row>
    <row r="215" spans="1:17" x14ac:dyDescent="0.2">
      <c r="A215" s="38">
        <v>9009361401</v>
      </c>
      <c r="B215" s="38" t="s">
        <v>943</v>
      </c>
      <c r="C215" s="244" t="s">
        <v>936</v>
      </c>
      <c r="D215" s="245">
        <v>22608.335299999999</v>
      </c>
      <c r="E215" s="246">
        <v>0</v>
      </c>
      <c r="F215" s="247">
        <f>[2]!Table323[[#This Row],[Single Family]]+[2]!Table323[[#This Row],[2-4 Units]]+[2]!Table323[[#This Row],[&gt;4 Units]]</f>
        <v>0</v>
      </c>
      <c r="J215" s="248">
        <v>0</v>
      </c>
      <c r="K215" s="247">
        <f>SUM([2]!Table323[[#This Row],[Single Family ]:[&gt;4 Units ]])</f>
        <v>0</v>
      </c>
      <c r="L215" s="249"/>
      <c r="M215" s="249"/>
      <c r="N215" s="249"/>
      <c r="O215" s="250">
        <f>[2]!Table323[[#This Row],[Incentive Disbursements]]-[2]!Table323[[#This Row],[Incentives]]</f>
        <v>0</v>
      </c>
      <c r="P215" s="158">
        <f>VLOOKUP(Table3236[[#This Row],[Census Tract]],'Population and Diversity Data'!$B$2:$K$823,10,FALSE)</f>
        <v>5</v>
      </c>
      <c r="Q215" s="159" t="str">
        <f>VLOOKUP(Table3236[[#This Row],[Census Tract]],'UI EnergyBurden'!$A$2:$B$184,2,FALSE)</f>
        <v>No</v>
      </c>
    </row>
    <row r="216" spans="1:17" x14ac:dyDescent="0.2">
      <c r="A216" s="38">
        <v>9009361402</v>
      </c>
      <c r="B216" s="38" t="s">
        <v>943</v>
      </c>
      <c r="C216" s="244" t="s">
        <v>936</v>
      </c>
      <c r="D216" s="245">
        <v>4781.3608999999997</v>
      </c>
      <c r="E216" s="246">
        <v>7359.8913307246867</v>
      </c>
      <c r="F216" s="247">
        <f>[2]!Table323[[#This Row],[Single Family]]+[2]!Table323[[#This Row],[2-4 Units]]+[2]!Table323[[#This Row],[&gt;4 Units]]</f>
        <v>0</v>
      </c>
      <c r="J216" s="248">
        <v>0</v>
      </c>
      <c r="K216" s="247">
        <f>SUM([2]!Table323[[#This Row],[Single Family ]:[&gt;4 Units ]])</f>
        <v>1</v>
      </c>
      <c r="L216" s="249">
        <v>0</v>
      </c>
      <c r="M216" s="249">
        <v>1</v>
      </c>
      <c r="N216" s="249">
        <v>0</v>
      </c>
      <c r="O216" s="250">
        <f>[2]!Table323[[#This Row],[Incentive Disbursements]]-[2]!Table323[[#This Row],[Incentives]]</f>
        <v>7359.8913307246867</v>
      </c>
      <c r="P216" s="158">
        <f>VLOOKUP(Table3236[[#This Row],[Census Tract]],'Population and Diversity Data'!$B$2:$K$823,10,FALSE)</f>
        <v>5</v>
      </c>
      <c r="Q216" s="159" t="str">
        <f>VLOOKUP(Table3236[[#This Row],[Census Tract]],'UI EnergyBurden'!$A$2:$B$184,2,FALSE)</f>
        <v>No</v>
      </c>
    </row>
    <row r="217" spans="1:17" x14ac:dyDescent="0.2">
      <c r="A217" s="38">
        <v>9009180601</v>
      </c>
      <c r="B217" s="38" t="s">
        <v>3006</v>
      </c>
      <c r="C217" s="244" t="s">
        <v>944</v>
      </c>
      <c r="D217" s="245">
        <v>0</v>
      </c>
      <c r="E217" s="246">
        <v>0</v>
      </c>
      <c r="F217" s="247">
        <f>[2]!Table323[[#This Row],[Single Family]]+[2]!Table323[[#This Row],[2-4 Units]]+[2]!Table323[[#This Row],[&gt;4 Units]]</f>
        <v>0</v>
      </c>
      <c r="J217" s="248">
        <v>0</v>
      </c>
      <c r="K217" s="247">
        <f>SUM([2]!Table323[[#This Row],[Single Family ]:[&gt;4 Units ]])</f>
        <v>0</v>
      </c>
      <c r="L217" s="249"/>
      <c r="M217" s="249"/>
      <c r="N217" s="249"/>
      <c r="O217" s="250">
        <f>[2]!Table323[[#This Row],[Incentive Disbursements]]-[2]!Table323[[#This Row],[Incentives]]</f>
        <v>0</v>
      </c>
      <c r="P217" s="158">
        <f>VLOOKUP(Table3236[[#This Row],[Census Tract]],'Population and Diversity Data'!$B$2:$K$823,10,FALSE)</f>
        <v>1</v>
      </c>
      <c r="Q217" s="159" t="str">
        <f>VLOOKUP(Table3236[[#This Row],[Census Tract]],'UI EnergyBurden'!$A$2:$B$184,2,FALSE)</f>
        <v>No</v>
      </c>
    </row>
    <row r="218" spans="1:17" x14ac:dyDescent="0.2">
      <c r="A218" s="38">
        <v>9009184700</v>
      </c>
      <c r="B218" s="38" t="s">
        <v>3006</v>
      </c>
      <c r="C218" s="244" t="s">
        <v>944</v>
      </c>
      <c r="D218" s="245">
        <v>2754.6410000000001</v>
      </c>
      <c r="E218" s="246">
        <v>2443.3072219839542</v>
      </c>
      <c r="F218" s="247">
        <f>[2]!Table323[[#This Row],[Single Family]]+[2]!Table323[[#This Row],[2-4 Units]]+[2]!Table323[[#This Row],[&gt;4 Units]]</f>
        <v>2</v>
      </c>
      <c r="G218">
        <v>2</v>
      </c>
      <c r="H218">
        <v>0</v>
      </c>
      <c r="I218">
        <v>0</v>
      </c>
      <c r="J218" s="248">
        <v>2443.3072219839542</v>
      </c>
      <c r="K218" s="247">
        <f>SUM([2]!Table323[[#This Row],[Single Family ]:[&gt;4 Units ]])</f>
        <v>0</v>
      </c>
      <c r="L218" s="249"/>
      <c r="M218" s="249"/>
      <c r="N218" s="249"/>
      <c r="O218" s="250">
        <f>[2]!Table323[[#This Row],[Incentive Disbursements]]-[2]!Table323[[#This Row],[Incentives]]</f>
        <v>0</v>
      </c>
      <c r="P218" s="158">
        <f>VLOOKUP(Table3236[[#This Row],[Census Tract]],'Population and Diversity Data'!$B$2:$K$823,10,FALSE)</f>
        <v>4</v>
      </c>
      <c r="Q218" s="159" t="str">
        <f>VLOOKUP(Table3236[[#This Row],[Census Tract]],'UI EnergyBurden'!$A$2:$B$184,2,FALSE)</f>
        <v>No</v>
      </c>
    </row>
    <row r="219" spans="1:17" x14ac:dyDescent="0.2">
      <c r="A219" s="38">
        <v>9009186100</v>
      </c>
      <c r="B219" s="38" t="s">
        <v>3006</v>
      </c>
      <c r="C219" s="244" t="s">
        <v>944</v>
      </c>
      <c r="D219" s="245">
        <v>137173.78909999999</v>
      </c>
      <c r="E219" s="246">
        <v>85426.695997796531</v>
      </c>
      <c r="F219" s="247">
        <f>[2]!Table323[[#This Row],[Single Family]]+[2]!Table323[[#This Row],[2-4 Units]]+[2]!Table323[[#This Row],[&gt;4 Units]]</f>
        <v>46</v>
      </c>
      <c r="G219">
        <v>45</v>
      </c>
      <c r="H219">
        <v>1</v>
      </c>
      <c r="I219">
        <v>0</v>
      </c>
      <c r="J219" s="248">
        <v>82294.084995305806</v>
      </c>
      <c r="K219" s="247">
        <f>SUM([2]!Table323[[#This Row],[Single Family ]:[&gt;4 Units ]])</f>
        <v>3</v>
      </c>
      <c r="L219" s="249">
        <v>1</v>
      </c>
      <c r="M219" s="249">
        <v>2</v>
      </c>
      <c r="N219" s="249">
        <v>0</v>
      </c>
      <c r="O219" s="250">
        <f>[2]!Table323[[#This Row],[Incentive Disbursements]]-[2]!Table323[[#This Row],[Incentives]]</f>
        <v>3132.6110024907248</v>
      </c>
      <c r="P219" s="158">
        <f>VLOOKUP(Table3236[[#This Row],[Census Tract]],'Population and Diversity Data'!$B$2:$K$823,10,FALSE)</f>
        <v>2</v>
      </c>
      <c r="Q219" s="159" t="str">
        <f>VLOOKUP(Table3236[[#This Row],[Census Tract]],'UI EnergyBurden'!$A$2:$B$184,2,FALSE)</f>
        <v>No</v>
      </c>
    </row>
    <row r="220" spans="1:17" x14ac:dyDescent="0.2">
      <c r="A220" s="38">
        <v>9009186200</v>
      </c>
      <c r="B220" s="38" t="s">
        <v>3006</v>
      </c>
      <c r="C220" s="244" t="s">
        <v>944</v>
      </c>
      <c r="D220" s="245">
        <v>10810.026099999999</v>
      </c>
      <c r="E220" s="246">
        <v>8120.4790142167167</v>
      </c>
      <c r="F220" s="247">
        <f>[2]!Table323[[#This Row],[Single Family]]+[2]!Table323[[#This Row],[2-4 Units]]+[2]!Table323[[#This Row],[&gt;4 Units]]</f>
        <v>4</v>
      </c>
      <c r="G220">
        <v>4</v>
      </c>
      <c r="H220">
        <v>0</v>
      </c>
      <c r="I220">
        <v>0</v>
      </c>
      <c r="J220" s="248">
        <v>8120.4790142167167</v>
      </c>
      <c r="K220" s="247">
        <f>SUM([2]!Table323[[#This Row],[Single Family ]:[&gt;4 Units ]])</f>
        <v>0</v>
      </c>
      <c r="L220" s="249"/>
      <c r="M220" s="249"/>
      <c r="N220" s="249"/>
      <c r="O220" s="250">
        <f>[2]!Table323[[#This Row],[Incentive Disbursements]]-[2]!Table323[[#This Row],[Incentives]]</f>
        <v>0</v>
      </c>
      <c r="P220" s="158">
        <f>VLOOKUP(Table3236[[#This Row],[Census Tract]],'Population and Diversity Data'!$B$2:$K$823,10,FALSE)</f>
        <v>1</v>
      </c>
      <c r="Q220" s="159" t="str">
        <f>VLOOKUP(Table3236[[#This Row],[Census Tract]],'UI EnergyBurden'!$A$2:$B$184,2,FALSE)</f>
        <v>No</v>
      </c>
    </row>
    <row r="221" spans="1:17" x14ac:dyDescent="0.2">
      <c r="A221" s="38">
        <v>9009190302</v>
      </c>
      <c r="B221" s="38" t="s">
        <v>3006</v>
      </c>
      <c r="C221" s="244" t="s">
        <v>944</v>
      </c>
      <c r="D221" s="245">
        <v>283.57240000000002</v>
      </c>
      <c r="E221" s="246">
        <v>0</v>
      </c>
      <c r="F221" s="247">
        <f>[2]!Table323[[#This Row],[Single Family]]+[2]!Table323[[#This Row],[2-4 Units]]+[2]!Table323[[#This Row],[&gt;4 Units]]</f>
        <v>0</v>
      </c>
      <c r="J221" s="248">
        <v>0</v>
      </c>
      <c r="K221" s="247">
        <f>SUM([2]!Table323[[#This Row],[Single Family ]:[&gt;4 Units ]])</f>
        <v>0</v>
      </c>
      <c r="L221" s="249"/>
      <c r="M221" s="249"/>
      <c r="N221" s="249"/>
      <c r="O221" s="250">
        <f>[2]!Table323[[#This Row],[Incentive Disbursements]]-[2]!Table323[[#This Row],[Incentives]]</f>
        <v>0</v>
      </c>
      <c r="P221" s="158">
        <f>VLOOKUP(Table3236[[#This Row],[Census Tract]],'Population and Diversity Data'!$B$2:$K$823,10,FALSE)</f>
        <v>2</v>
      </c>
      <c r="Q221" s="159" t="str">
        <f>VLOOKUP(Table3236[[#This Row],[Census Tract]],'UI EnergyBurden'!$A$2:$B$184,2,FALSE)</f>
        <v>No</v>
      </c>
    </row>
    <row r="222" spans="1:17" x14ac:dyDescent="0.2">
      <c r="A222" s="38">
        <v>9009140800</v>
      </c>
      <c r="B222" s="38" t="s">
        <v>3000</v>
      </c>
      <c r="C222" s="244" t="s">
        <v>936</v>
      </c>
      <c r="D222" s="245">
        <v>0</v>
      </c>
      <c r="E222" s="246">
        <v>34.795916003075511</v>
      </c>
      <c r="F222" s="247">
        <f>[2]!Table323[[#This Row],[Single Family]]+[2]!Table323[[#This Row],[2-4 Units]]+[2]!Table323[[#This Row],[&gt;4 Units]]</f>
        <v>0</v>
      </c>
      <c r="J222" s="248">
        <v>34.795916003075511</v>
      </c>
      <c r="K222" s="247">
        <f>SUM([2]!Table323[[#This Row],[Single Family ]:[&gt;4 Units ]])</f>
        <v>0</v>
      </c>
      <c r="L222" s="249"/>
      <c r="M222" s="249"/>
      <c r="N222" s="249"/>
      <c r="O222" s="250">
        <f>[2]!Table323[[#This Row],[Incentive Disbursements]]-[2]!Table323[[#This Row],[Incentives]]</f>
        <v>0</v>
      </c>
      <c r="P222" s="158">
        <f>VLOOKUP(Table3236[[#This Row],[Census Tract]],'Population and Diversity Data'!$B$2:$K$823,10,FALSE)</f>
        <v>4</v>
      </c>
      <c r="Q222" s="159" t="str">
        <f>VLOOKUP(Table3236[[#This Row],[Census Tract]],'UI EnergyBurden'!$A$2:$B$184,2,FALSE)</f>
        <v>No</v>
      </c>
    </row>
    <row r="223" spans="1:17" x14ac:dyDescent="0.2">
      <c r="A223" s="38">
        <v>9009142601</v>
      </c>
      <c r="B223" s="38" t="s">
        <v>3005</v>
      </c>
      <c r="C223" s="244" t="s">
        <v>944</v>
      </c>
      <c r="D223" s="245">
        <v>529.9402</v>
      </c>
      <c r="E223" s="246">
        <v>0</v>
      </c>
      <c r="F223" s="247">
        <f>[2]!Table323[[#This Row],[Single Family]]+[2]!Table323[[#This Row],[2-4 Units]]+[2]!Table323[[#This Row],[&gt;4 Units]]</f>
        <v>0</v>
      </c>
      <c r="J223" s="248">
        <v>0</v>
      </c>
      <c r="K223" s="247">
        <f>SUM([2]!Table323[[#This Row],[Single Family ]:[&gt;4 Units ]])</f>
        <v>0</v>
      </c>
      <c r="L223" s="249"/>
      <c r="M223" s="249"/>
      <c r="N223" s="249"/>
      <c r="O223" s="250">
        <f>[2]!Table323[[#This Row],[Incentive Disbursements]]-[2]!Table323[[#This Row],[Incentives]]</f>
        <v>0</v>
      </c>
      <c r="P223" s="158">
        <f>VLOOKUP(Table3236[[#This Row],[Census Tract]],'Population and Diversity Data'!$B$2:$K$823,10,FALSE)</f>
        <v>5</v>
      </c>
      <c r="Q223" s="159" t="str">
        <f>VLOOKUP(Table3236[[#This Row],[Census Tract]],'UI EnergyBurden'!$A$2:$B$184,2,FALSE)</f>
        <v>No</v>
      </c>
    </row>
    <row r="224" spans="1:17" x14ac:dyDescent="0.2">
      <c r="A224" s="38">
        <v>9009142604</v>
      </c>
      <c r="B224" s="38" t="s">
        <v>3005</v>
      </c>
      <c r="C224" s="244" t="s">
        <v>944</v>
      </c>
      <c r="D224" s="245">
        <v>8.3750999999999998</v>
      </c>
      <c r="E224" s="246">
        <v>0</v>
      </c>
      <c r="F224" s="247">
        <f>[2]!Table323[[#This Row],[Single Family]]+[2]!Table323[[#This Row],[2-4 Units]]+[2]!Table323[[#This Row],[&gt;4 Units]]</f>
        <v>0</v>
      </c>
      <c r="J224" s="248">
        <v>0</v>
      </c>
      <c r="K224" s="247">
        <f>SUM([2]!Table323[[#This Row],[Single Family ]:[&gt;4 Units ]])</f>
        <v>0</v>
      </c>
      <c r="L224" s="249"/>
      <c r="M224" s="249"/>
      <c r="N224" s="249"/>
      <c r="O224" s="250">
        <f>[2]!Table323[[#This Row],[Incentive Disbursements]]-[2]!Table323[[#This Row],[Incentives]]</f>
        <v>0</v>
      </c>
      <c r="P224" s="158">
        <f>VLOOKUP(Table3236[[#This Row],[Census Tract]],'Population and Diversity Data'!$B$2:$K$823,10,FALSE)</f>
        <v>4</v>
      </c>
      <c r="Q224" s="159" t="str">
        <f>VLOOKUP(Table3236[[#This Row],[Census Tract]],'UI EnergyBurden'!$A$2:$B$184,2,FALSE)</f>
        <v>No</v>
      </c>
    </row>
    <row r="225" spans="1:17" x14ac:dyDescent="0.2">
      <c r="A225" s="38">
        <v>9009154200</v>
      </c>
      <c r="B225" s="38" t="s">
        <v>3005</v>
      </c>
      <c r="C225" s="244" t="s">
        <v>944</v>
      </c>
      <c r="D225" s="245">
        <v>476.2285</v>
      </c>
      <c r="E225" s="246">
        <v>2033.2923924565166</v>
      </c>
      <c r="F225" s="247">
        <f>[2]!Table323[[#This Row],[Single Family]]+[2]!Table323[[#This Row],[2-4 Units]]+[2]!Table323[[#This Row],[&gt;4 Units]]</f>
        <v>1</v>
      </c>
      <c r="G225">
        <v>1</v>
      </c>
      <c r="H225">
        <v>0</v>
      </c>
      <c r="I225">
        <v>0</v>
      </c>
      <c r="J225" s="248">
        <v>2033.2923924565166</v>
      </c>
      <c r="K225" s="247">
        <f>SUM([2]!Table323[[#This Row],[Single Family ]:[&gt;4 Units ]])</f>
        <v>0</v>
      </c>
      <c r="L225" s="249"/>
      <c r="M225" s="249"/>
      <c r="N225" s="249"/>
      <c r="O225" s="250">
        <f>[2]!Table323[[#This Row],[Incentive Disbursements]]-[2]!Table323[[#This Row],[Incentives]]</f>
        <v>0</v>
      </c>
      <c r="P225" s="158">
        <f>VLOOKUP(Table3236[[#This Row],[Census Tract]],'Population and Diversity Data'!$B$2:$K$823,10,FALSE)</f>
        <v>4</v>
      </c>
      <c r="Q225" s="159" t="str">
        <f>VLOOKUP(Table3236[[#This Row],[Census Tract]],'UI EnergyBurden'!$A$2:$B$184,2,FALSE)</f>
        <v>No</v>
      </c>
    </row>
    <row r="226" spans="1:17" x14ac:dyDescent="0.2">
      <c r="A226" s="38">
        <v>9009154500</v>
      </c>
      <c r="B226" s="38" t="s">
        <v>3005</v>
      </c>
      <c r="C226" s="244" t="s">
        <v>936</v>
      </c>
      <c r="D226" s="245">
        <v>0</v>
      </c>
      <c r="E226" s="246">
        <v>0</v>
      </c>
      <c r="F226" s="247">
        <f>[2]!Table323[[#This Row],[Single Family]]+[2]!Table323[[#This Row],[2-4 Units]]+[2]!Table323[[#This Row],[&gt;4 Units]]</f>
        <v>0</v>
      </c>
      <c r="J226" s="248">
        <v>0</v>
      </c>
      <c r="K226" s="247">
        <f>SUM([2]!Table323[[#This Row],[Single Family ]:[&gt;4 Units ]])</f>
        <v>0</v>
      </c>
      <c r="L226" s="249"/>
      <c r="M226" s="249"/>
      <c r="N226" s="249"/>
      <c r="O226" s="250">
        <f>[2]!Table323[[#This Row],[Incentive Disbursements]]-[2]!Table323[[#This Row],[Incentives]]</f>
        <v>0</v>
      </c>
      <c r="P226" s="158">
        <f>VLOOKUP(Table3236[[#This Row],[Census Tract]],'Population and Diversity Data'!$B$2:$K$823,10,FALSE)</f>
        <v>4</v>
      </c>
      <c r="Q226" s="159" t="str">
        <f>VLOOKUP(Table3236[[#This Row],[Census Tract]],'UI EnergyBurden'!$A$2:$B$184,2,FALSE)</f>
        <v>No</v>
      </c>
    </row>
    <row r="227" spans="1:17" x14ac:dyDescent="0.2">
      <c r="A227" s="38">
        <v>9009154600</v>
      </c>
      <c r="B227" s="38" t="s">
        <v>3005</v>
      </c>
      <c r="C227" s="244" t="s">
        <v>944</v>
      </c>
      <c r="D227" s="245">
        <v>174.66720000000001</v>
      </c>
      <c r="E227" s="246">
        <v>0</v>
      </c>
      <c r="F227" s="247">
        <f>[2]!Table323[[#This Row],[Single Family]]+[2]!Table323[[#This Row],[2-4 Units]]+[2]!Table323[[#This Row],[&gt;4 Units]]</f>
        <v>0</v>
      </c>
      <c r="J227" s="248">
        <v>0</v>
      </c>
      <c r="K227" s="247">
        <f>SUM([2]!Table323[[#This Row],[Single Family ]:[&gt;4 Units ]])</f>
        <v>0</v>
      </c>
      <c r="L227" s="249"/>
      <c r="M227" s="249"/>
      <c r="N227" s="249"/>
      <c r="O227" s="250">
        <f>[2]!Table323[[#This Row],[Incentive Disbursements]]-[2]!Table323[[#This Row],[Incentives]]</f>
        <v>0</v>
      </c>
      <c r="P227" s="158">
        <f>VLOOKUP(Table3236[[#This Row],[Census Tract]],'Population and Diversity Data'!$B$2:$K$823,10,FALSE)</f>
        <v>5</v>
      </c>
      <c r="Q227" s="159" t="str">
        <f>VLOOKUP(Table3236[[#This Row],[Census Tract]],'UI EnergyBurden'!$A$2:$B$184,2,FALSE)</f>
        <v>No</v>
      </c>
    </row>
    <row r="228" spans="1:17" x14ac:dyDescent="0.2">
      <c r="A228" s="38">
        <v>9009154700</v>
      </c>
      <c r="B228" s="38" t="s">
        <v>3005</v>
      </c>
      <c r="C228" s="244" t="s">
        <v>944</v>
      </c>
      <c r="D228" s="245">
        <v>313.58850000000001</v>
      </c>
      <c r="E228" s="246">
        <v>0</v>
      </c>
      <c r="F228" s="247">
        <f>[2]!Table323[[#This Row],[Single Family]]+[2]!Table323[[#This Row],[2-4 Units]]+[2]!Table323[[#This Row],[&gt;4 Units]]</f>
        <v>0</v>
      </c>
      <c r="J228" s="248">
        <v>0</v>
      </c>
      <c r="K228" s="247">
        <f>SUM([2]!Table323[[#This Row],[Single Family ]:[&gt;4 Units ]])</f>
        <v>0</v>
      </c>
      <c r="L228" s="249"/>
      <c r="M228" s="249"/>
      <c r="N228" s="249"/>
      <c r="O228" s="250">
        <f>[2]!Table323[[#This Row],[Incentive Disbursements]]-[2]!Table323[[#This Row],[Incentives]]</f>
        <v>0</v>
      </c>
      <c r="P228" s="158">
        <f>VLOOKUP(Table3236[[#This Row],[Census Tract]],'Population and Diversity Data'!$B$2:$K$823,10,FALSE)</f>
        <v>3</v>
      </c>
      <c r="Q228" s="159" t="str">
        <f>VLOOKUP(Table3236[[#This Row],[Census Tract]],'UI EnergyBurden'!$A$2:$B$184,2,FALSE)</f>
        <v>No</v>
      </c>
    </row>
    <row r="229" spans="1:17" x14ac:dyDescent="0.2">
      <c r="A229" s="38">
        <v>9009154800</v>
      </c>
      <c r="B229" s="38" t="s">
        <v>3005</v>
      </c>
      <c r="C229" s="244" t="s">
        <v>944</v>
      </c>
      <c r="D229" s="245">
        <v>110.60680000000001</v>
      </c>
      <c r="E229" s="246">
        <v>1365.2108051974669</v>
      </c>
      <c r="F229" s="247">
        <f>[2]!Table323[[#This Row],[Single Family]]+[2]!Table323[[#This Row],[2-4 Units]]+[2]!Table323[[#This Row],[&gt;4 Units]]</f>
        <v>1</v>
      </c>
      <c r="G229">
        <v>1</v>
      </c>
      <c r="H229">
        <v>0</v>
      </c>
      <c r="I229">
        <v>0</v>
      </c>
      <c r="J229" s="248">
        <v>1365.2108051974669</v>
      </c>
      <c r="K229" s="247">
        <f>SUM([2]!Table323[[#This Row],[Single Family ]:[&gt;4 Units ]])</f>
        <v>0</v>
      </c>
      <c r="L229" s="249"/>
      <c r="M229" s="249"/>
      <c r="N229" s="249"/>
      <c r="O229" s="250">
        <f>[2]!Table323[[#This Row],[Incentive Disbursements]]-[2]!Table323[[#This Row],[Incentives]]</f>
        <v>0</v>
      </c>
      <c r="P229" s="158">
        <f>VLOOKUP(Table3236[[#This Row],[Census Tract]],'Population and Diversity Data'!$B$2:$K$823,10,FALSE)</f>
        <v>2</v>
      </c>
      <c r="Q229" s="159" t="str">
        <f>VLOOKUP(Table3236[[#This Row],[Census Tract]],'UI EnergyBurden'!$A$2:$B$184,2,FALSE)</f>
        <v>No</v>
      </c>
    </row>
    <row r="230" spans="1:17" x14ac:dyDescent="0.2">
      <c r="A230" s="38">
        <v>9009155000</v>
      </c>
      <c r="B230" s="38" t="s">
        <v>3005</v>
      </c>
      <c r="C230" s="244" t="s">
        <v>944</v>
      </c>
      <c r="D230" s="245">
        <v>7.1828000000000003</v>
      </c>
      <c r="E230" s="246">
        <v>0</v>
      </c>
      <c r="F230" s="247">
        <f>[2]!Table323[[#This Row],[Single Family]]+[2]!Table323[[#This Row],[2-4 Units]]+[2]!Table323[[#This Row],[&gt;4 Units]]</f>
        <v>0</v>
      </c>
      <c r="J230" s="248">
        <v>0</v>
      </c>
      <c r="K230" s="247">
        <f>SUM([2]!Table323[[#This Row],[Single Family ]:[&gt;4 Units ]])</f>
        <v>0</v>
      </c>
      <c r="L230" s="249"/>
      <c r="M230" s="249"/>
      <c r="N230" s="249"/>
      <c r="O230" s="250">
        <f>[2]!Table323[[#This Row],[Incentive Disbursements]]-[2]!Table323[[#This Row],[Incentives]]</f>
        <v>0</v>
      </c>
      <c r="P230" s="158">
        <f>VLOOKUP(Table3236[[#This Row],[Census Tract]],'Population and Diversity Data'!$B$2:$K$823,10,FALSE)</f>
        <v>5</v>
      </c>
      <c r="Q230" s="159" t="str">
        <f>VLOOKUP(Table3236[[#This Row],[Census Tract]],'UI EnergyBurden'!$A$2:$B$184,2,FALSE)</f>
        <v>No</v>
      </c>
    </row>
    <row r="231" spans="1:17" x14ac:dyDescent="0.2">
      <c r="A231" s="38">
        <v>9009155100</v>
      </c>
      <c r="B231" s="38" t="s">
        <v>3005</v>
      </c>
      <c r="C231" s="244" t="s">
        <v>936</v>
      </c>
      <c r="D231" s="245">
        <v>231.11080000000001</v>
      </c>
      <c r="E231" s="246">
        <v>0</v>
      </c>
      <c r="F231" s="247">
        <f>[2]!Table323[[#This Row],[Single Family]]+[2]!Table323[[#This Row],[2-4 Units]]+[2]!Table323[[#This Row],[&gt;4 Units]]</f>
        <v>0</v>
      </c>
      <c r="J231" s="248">
        <v>0</v>
      </c>
      <c r="K231" s="247">
        <f>SUM([2]!Table323[[#This Row],[Single Family ]:[&gt;4 Units ]])</f>
        <v>0</v>
      </c>
      <c r="L231" s="249"/>
      <c r="M231" s="249"/>
      <c r="N231" s="249"/>
      <c r="O231" s="250">
        <f>[2]!Table323[[#This Row],[Incentive Disbursements]]-[2]!Table323[[#This Row],[Incentives]]</f>
        <v>0</v>
      </c>
      <c r="P231" s="158">
        <f>VLOOKUP(Table3236[[#This Row],[Census Tract]],'Population and Diversity Data'!$B$2:$K$823,10,FALSE)</f>
        <v>4</v>
      </c>
      <c r="Q231" s="159" t="str">
        <f>VLOOKUP(Table3236[[#This Row],[Census Tract]],'UI EnergyBurden'!$A$2:$B$184,2,FALSE)</f>
        <v>No</v>
      </c>
    </row>
    <row r="232" spans="1:17" x14ac:dyDescent="0.2">
      <c r="A232" s="38">
        <v>9009165100</v>
      </c>
      <c r="B232" s="38" t="s">
        <v>3005</v>
      </c>
      <c r="C232" s="244" t="s">
        <v>944</v>
      </c>
      <c r="D232" s="245">
        <v>0</v>
      </c>
      <c r="E232" s="246">
        <v>0</v>
      </c>
      <c r="F232" s="247">
        <f>[2]!Table323[[#This Row],[Single Family]]+[2]!Table323[[#This Row],[2-4 Units]]+[2]!Table323[[#This Row],[&gt;4 Units]]</f>
        <v>0</v>
      </c>
      <c r="J232" s="248">
        <v>0</v>
      </c>
      <c r="K232" s="247">
        <f>SUM([2]!Table323[[#This Row],[Single Family ]:[&gt;4 Units ]])</f>
        <v>0</v>
      </c>
      <c r="L232" s="249"/>
      <c r="M232" s="249"/>
      <c r="N232" s="249"/>
      <c r="O232" s="250">
        <f>[2]!Table323[[#This Row],[Incentive Disbursements]]-[2]!Table323[[#This Row],[Incentives]]</f>
        <v>0</v>
      </c>
      <c r="P232" s="158">
        <f>VLOOKUP(Table3236[[#This Row],[Census Tract]],'Population and Diversity Data'!$B$2:$K$823,10,FALSE)</f>
        <v>5</v>
      </c>
      <c r="Q232" s="159" t="str">
        <f>VLOOKUP(Table3236[[#This Row],[Census Tract]],'UI EnergyBurden'!$A$2:$B$184,2,FALSE)</f>
        <v>No</v>
      </c>
    </row>
    <row r="233" spans="1:17" x14ac:dyDescent="0.2">
      <c r="A233" s="38">
        <v>9009165200</v>
      </c>
      <c r="B233" s="38" t="s">
        <v>3005</v>
      </c>
      <c r="C233" s="244" t="s">
        <v>944</v>
      </c>
      <c r="D233" s="245">
        <v>0</v>
      </c>
      <c r="E233" s="246">
        <v>0</v>
      </c>
      <c r="F233" s="247">
        <f>[2]!Table323[[#This Row],[Single Family]]+[2]!Table323[[#This Row],[2-4 Units]]+[2]!Table323[[#This Row],[&gt;4 Units]]</f>
        <v>0</v>
      </c>
      <c r="J233" s="248">
        <v>0</v>
      </c>
      <c r="K233" s="247">
        <f>SUM([2]!Table323[[#This Row],[Single Family ]:[&gt;4 Units ]])</f>
        <v>0</v>
      </c>
      <c r="L233" s="249"/>
      <c r="M233" s="249"/>
      <c r="N233" s="249"/>
      <c r="O233" s="250">
        <f>[2]!Table323[[#This Row],[Incentive Disbursements]]-[2]!Table323[[#This Row],[Incentives]]</f>
        <v>0</v>
      </c>
      <c r="P233" s="158">
        <f>VLOOKUP(Table3236[[#This Row],[Census Tract]],'Population and Diversity Data'!$B$2:$K$823,10,FALSE)</f>
        <v>3</v>
      </c>
      <c r="Q233" s="159" t="str">
        <f>VLOOKUP(Table3236[[#This Row],[Census Tract]],'UI EnergyBurden'!$A$2:$B$184,2,FALSE)</f>
        <v>No</v>
      </c>
    </row>
    <row r="234" spans="1:17" x14ac:dyDescent="0.2">
      <c r="A234" s="38">
        <v>9009165700</v>
      </c>
      <c r="B234" s="38" t="s">
        <v>3000</v>
      </c>
      <c r="C234" s="244" t="s">
        <v>944</v>
      </c>
      <c r="D234" s="245">
        <v>0</v>
      </c>
      <c r="E234" s="246">
        <v>1286.1544840384795</v>
      </c>
      <c r="F234" s="247">
        <f>[2]!Table323[[#This Row],[Single Family]]+[2]!Table323[[#This Row],[2-4 Units]]+[2]!Table323[[#This Row],[&gt;4 Units]]</f>
        <v>1</v>
      </c>
      <c r="G234">
        <v>1</v>
      </c>
      <c r="H234">
        <v>0</v>
      </c>
      <c r="I234">
        <v>0</v>
      </c>
      <c r="J234" s="248">
        <v>1286.1544840384795</v>
      </c>
      <c r="K234" s="247">
        <f>SUM([2]!Table323[[#This Row],[Single Family ]:[&gt;4 Units ]])</f>
        <v>0</v>
      </c>
      <c r="L234" s="249"/>
      <c r="M234" s="249"/>
      <c r="N234" s="249"/>
      <c r="O234" s="250">
        <f>[2]!Table323[[#This Row],[Incentive Disbursements]]-[2]!Table323[[#This Row],[Incentives]]</f>
        <v>0</v>
      </c>
      <c r="P234" s="158">
        <f>VLOOKUP(Table3236[[#This Row],[Census Tract]],'Population and Diversity Data'!$B$2:$K$823,10,FALSE)</f>
        <v>4</v>
      </c>
      <c r="Q234" s="159" t="str">
        <f>VLOOKUP(Table3236[[#This Row],[Census Tract]],'UI EnergyBurden'!$A$2:$B$184,2,FALSE)</f>
        <v>No</v>
      </c>
    </row>
    <row r="235" spans="1:17" x14ac:dyDescent="0.2">
      <c r="A235" s="38">
        <v>9009166002</v>
      </c>
      <c r="B235" s="38" t="s">
        <v>3005</v>
      </c>
      <c r="C235" s="244" t="s">
        <v>944</v>
      </c>
      <c r="D235" s="245">
        <v>227.32550000000001</v>
      </c>
      <c r="E235" s="246">
        <v>0</v>
      </c>
      <c r="F235" s="247">
        <f>[2]!Table323[[#This Row],[Single Family]]+[2]!Table323[[#This Row],[2-4 Units]]+[2]!Table323[[#This Row],[&gt;4 Units]]</f>
        <v>0</v>
      </c>
      <c r="J235" s="248">
        <v>0</v>
      </c>
      <c r="K235" s="247">
        <f>SUM([2]!Table323[[#This Row],[Single Family ]:[&gt;4 Units ]])</f>
        <v>0</v>
      </c>
      <c r="L235" s="249"/>
      <c r="M235" s="249"/>
      <c r="N235" s="249"/>
      <c r="O235" s="250">
        <f>[2]!Table323[[#This Row],[Incentive Disbursements]]-[2]!Table323[[#This Row],[Incentives]]</f>
        <v>0</v>
      </c>
      <c r="P235" s="158">
        <f>VLOOKUP(Table3236[[#This Row],[Census Tract]],'Population and Diversity Data'!$B$2:$K$823,10,FALSE)</f>
        <v>3</v>
      </c>
      <c r="Q235" s="159" t="str">
        <f>VLOOKUP(Table3236[[#This Row],[Census Tract]],'UI EnergyBurden'!$A$2:$B$184,2,FALSE)</f>
        <v>No</v>
      </c>
    </row>
    <row r="236" spans="1:17" x14ac:dyDescent="0.2">
      <c r="A236" s="38">
        <v>9009167100</v>
      </c>
      <c r="B236" s="38" t="s">
        <v>3005</v>
      </c>
      <c r="C236" s="244" t="s">
        <v>944</v>
      </c>
      <c r="D236" s="245">
        <v>175927.88690000001</v>
      </c>
      <c r="E236" s="246">
        <v>129750.10146960904</v>
      </c>
      <c r="F236" s="247">
        <f>[2]!Table323[[#This Row],[Single Family]]+[2]!Table323[[#This Row],[2-4 Units]]+[2]!Table323[[#This Row],[&gt;4 Units]]</f>
        <v>71</v>
      </c>
      <c r="G236">
        <v>71</v>
      </c>
      <c r="H236">
        <v>0</v>
      </c>
      <c r="I236">
        <v>0</v>
      </c>
      <c r="J236" s="248">
        <v>118619.20806265241</v>
      </c>
      <c r="K236" s="247">
        <f>SUM([2]!Table323[[#This Row],[Single Family ]:[&gt;4 Units ]])</f>
        <v>4</v>
      </c>
      <c r="L236" s="249">
        <v>3</v>
      </c>
      <c r="M236" s="249">
        <v>1</v>
      </c>
      <c r="N236" s="249">
        <v>0</v>
      </c>
      <c r="O236" s="250">
        <f>[2]!Table323[[#This Row],[Incentive Disbursements]]-[2]!Table323[[#This Row],[Incentives]]</f>
        <v>11130.893406956631</v>
      </c>
      <c r="P236" s="158">
        <f>VLOOKUP(Table3236[[#This Row],[Census Tract]],'Population and Diversity Data'!$B$2:$K$823,10,FALSE)</f>
        <v>3</v>
      </c>
      <c r="Q236" s="159" t="str">
        <f>VLOOKUP(Table3236[[#This Row],[Census Tract]],'UI EnergyBurden'!$A$2:$B$184,2,FALSE)</f>
        <v>No</v>
      </c>
    </row>
    <row r="237" spans="1:17" x14ac:dyDescent="0.2">
      <c r="A237" s="38">
        <v>9009167201</v>
      </c>
      <c r="B237" s="38" t="s">
        <v>3005</v>
      </c>
      <c r="C237" s="244" t="s">
        <v>944</v>
      </c>
      <c r="D237" s="245">
        <v>81742.303499999907</v>
      </c>
      <c r="E237" s="246">
        <v>47240.508341178647</v>
      </c>
      <c r="F237" s="247">
        <f>[2]!Table323[[#This Row],[Single Family]]+[2]!Table323[[#This Row],[2-4 Units]]+[2]!Table323[[#This Row],[&gt;4 Units]]</f>
        <v>34</v>
      </c>
      <c r="G237">
        <v>34</v>
      </c>
      <c r="H237">
        <v>0</v>
      </c>
      <c r="I237">
        <v>0</v>
      </c>
      <c r="J237" s="248">
        <v>46370.749624765776</v>
      </c>
      <c r="K237" s="247">
        <f>SUM([2]!Table323[[#This Row],[Single Family ]:[&gt;4 Units ]])</f>
        <v>2</v>
      </c>
      <c r="L237" s="249">
        <v>2</v>
      </c>
      <c r="M237" s="249">
        <v>0</v>
      </c>
      <c r="N237" s="249">
        <v>0</v>
      </c>
      <c r="O237" s="250">
        <f>[2]!Table323[[#This Row],[Incentive Disbursements]]-[2]!Table323[[#This Row],[Incentives]]</f>
        <v>869.75871641287085</v>
      </c>
      <c r="P237" s="158">
        <f>VLOOKUP(Table3236[[#This Row],[Census Tract]],'Population and Diversity Data'!$B$2:$K$823,10,FALSE)</f>
        <v>2</v>
      </c>
      <c r="Q237" s="159" t="str">
        <f>VLOOKUP(Table3236[[#This Row],[Census Tract]],'UI EnergyBurden'!$A$2:$B$184,2,FALSE)</f>
        <v>No</v>
      </c>
    </row>
    <row r="238" spans="1:17" x14ac:dyDescent="0.2">
      <c r="A238" s="38">
        <v>9009167202</v>
      </c>
      <c r="B238" s="38" t="s">
        <v>3005</v>
      </c>
      <c r="C238" s="244" t="s">
        <v>944</v>
      </c>
      <c r="D238" s="245">
        <v>87141.806999999899</v>
      </c>
      <c r="E238" s="246">
        <v>53267.648135735377</v>
      </c>
      <c r="F238" s="247">
        <f>[2]!Table323[[#This Row],[Single Family]]+[2]!Table323[[#This Row],[2-4 Units]]+[2]!Table323[[#This Row],[&gt;4 Units]]</f>
        <v>23</v>
      </c>
      <c r="G238">
        <v>23</v>
      </c>
      <c r="H238">
        <v>0</v>
      </c>
      <c r="I238">
        <v>0</v>
      </c>
      <c r="J238" s="248">
        <v>47136.231940100632</v>
      </c>
      <c r="K238" s="247">
        <f>SUM([2]!Table323[[#This Row],[Single Family ]:[&gt;4 Units ]])</f>
        <v>6</v>
      </c>
      <c r="L238" s="249">
        <v>5</v>
      </c>
      <c r="M238" s="249">
        <v>1</v>
      </c>
      <c r="N238" s="249">
        <v>0</v>
      </c>
      <c r="O238" s="250">
        <f>[2]!Table323[[#This Row],[Incentive Disbursements]]-[2]!Table323[[#This Row],[Incentives]]</f>
        <v>6131.4161956347452</v>
      </c>
      <c r="P238" s="158">
        <f>VLOOKUP(Table3236[[#This Row],[Census Tract]],'Population and Diversity Data'!$B$2:$K$823,10,FALSE)</f>
        <v>4</v>
      </c>
      <c r="Q238" s="159" t="str">
        <f>VLOOKUP(Table3236[[#This Row],[Census Tract]],'UI EnergyBurden'!$A$2:$B$184,2,FALSE)</f>
        <v>No</v>
      </c>
    </row>
    <row r="239" spans="1:17" x14ac:dyDescent="0.2">
      <c r="A239" s="38">
        <v>9009167300</v>
      </c>
      <c r="B239" s="38" t="s">
        <v>3005</v>
      </c>
      <c r="C239" s="244" t="s">
        <v>944</v>
      </c>
      <c r="D239" s="245">
        <v>148627.13149999999</v>
      </c>
      <c r="E239" s="246">
        <v>95161.91708507188</v>
      </c>
      <c r="F239" s="247">
        <f>[2]!Table323[[#This Row],[Single Family]]+[2]!Table323[[#This Row],[2-4 Units]]+[2]!Table323[[#This Row],[&gt;4 Units]]</f>
        <v>62</v>
      </c>
      <c r="G239">
        <v>62</v>
      </c>
      <c r="H239">
        <v>0</v>
      </c>
      <c r="I239">
        <v>0</v>
      </c>
      <c r="J239" s="248">
        <v>85407.369176433713</v>
      </c>
      <c r="K239" s="247">
        <f>SUM([2]!Table323[[#This Row],[Single Family ]:[&gt;4 Units ]])</f>
        <v>3</v>
      </c>
      <c r="L239" s="249">
        <v>3</v>
      </c>
      <c r="M239" s="249">
        <v>0</v>
      </c>
      <c r="N239" s="249">
        <v>0</v>
      </c>
      <c r="O239" s="250">
        <f>[2]!Table323[[#This Row],[Incentive Disbursements]]-[2]!Table323[[#This Row],[Incentives]]</f>
        <v>9754.5479086381674</v>
      </c>
      <c r="P239" s="158">
        <f>VLOOKUP(Table3236[[#This Row],[Census Tract]],'Population and Diversity Data'!$B$2:$K$823,10,FALSE)</f>
        <v>2</v>
      </c>
      <c r="Q239" s="159" t="str">
        <f>VLOOKUP(Table3236[[#This Row],[Census Tract]],'UI EnergyBurden'!$A$2:$B$184,2,FALSE)</f>
        <v>No</v>
      </c>
    </row>
    <row r="240" spans="1:17" x14ac:dyDescent="0.2">
      <c r="A240" s="38">
        <v>9009180100</v>
      </c>
      <c r="B240" s="38" t="s">
        <v>3005</v>
      </c>
      <c r="C240" s="244" t="s">
        <v>944</v>
      </c>
      <c r="D240" s="245">
        <v>54.371499999999997</v>
      </c>
      <c r="E240" s="246">
        <v>0</v>
      </c>
      <c r="F240" s="247">
        <f>[2]!Table323[[#This Row],[Single Family]]+[2]!Table323[[#This Row],[2-4 Units]]+[2]!Table323[[#This Row],[&gt;4 Units]]</f>
        <v>0</v>
      </c>
      <c r="J240" s="248">
        <v>0</v>
      </c>
      <c r="K240" s="247">
        <f>SUM([2]!Table323[[#This Row],[Single Family ]:[&gt;4 Units ]])</f>
        <v>0</v>
      </c>
      <c r="L240" s="249"/>
      <c r="M240" s="249"/>
      <c r="N240" s="249"/>
      <c r="O240" s="250">
        <f>[2]!Table323[[#This Row],[Incentive Disbursements]]-[2]!Table323[[#This Row],[Incentives]]</f>
        <v>0</v>
      </c>
      <c r="P240" s="158">
        <f>VLOOKUP(Table3236[[#This Row],[Census Tract]],'Population and Diversity Data'!$B$2:$K$823,10,FALSE)</f>
        <v>5</v>
      </c>
      <c r="Q240" s="159" t="str">
        <f>VLOOKUP(Table3236[[#This Row],[Census Tract]],'UI EnergyBurden'!$A$2:$B$184,2,FALSE)</f>
        <v>No</v>
      </c>
    </row>
    <row r="241" spans="1:17" x14ac:dyDescent="0.2">
      <c r="A241" s="38">
        <v>9009180200</v>
      </c>
      <c r="B241" s="38" t="s">
        <v>3005</v>
      </c>
      <c r="C241" s="244" t="s">
        <v>944</v>
      </c>
      <c r="D241" s="245">
        <v>137.0864</v>
      </c>
      <c r="E241" s="246">
        <v>0</v>
      </c>
      <c r="F241" s="247">
        <f>[2]!Table323[[#This Row],[Single Family]]+[2]!Table323[[#This Row],[2-4 Units]]+[2]!Table323[[#This Row],[&gt;4 Units]]</f>
        <v>0</v>
      </c>
      <c r="J241" s="248">
        <v>0</v>
      </c>
      <c r="K241" s="247">
        <f>SUM([2]!Table323[[#This Row],[Single Family ]:[&gt;4 Units ]])</f>
        <v>0</v>
      </c>
      <c r="L241" s="249"/>
      <c r="M241" s="249"/>
      <c r="N241" s="249"/>
      <c r="O241" s="250">
        <f>[2]!Table323[[#This Row],[Incentive Disbursements]]-[2]!Table323[[#This Row],[Incentives]]</f>
        <v>0</v>
      </c>
      <c r="P241" s="158">
        <f>VLOOKUP(Table3236[[#This Row],[Census Tract]],'Population and Diversity Data'!$B$2:$K$823,10,FALSE)</f>
        <v>5</v>
      </c>
      <c r="Q241" s="159" t="str">
        <f>VLOOKUP(Table3236[[#This Row],[Census Tract]],'UI EnergyBurden'!$A$2:$B$184,2,FALSE)</f>
        <v>No</v>
      </c>
    </row>
    <row r="242" spans="1:17" x14ac:dyDescent="0.2">
      <c r="A242" s="38">
        <v>9009180300</v>
      </c>
      <c r="B242" s="38" t="s">
        <v>3005</v>
      </c>
      <c r="C242" s="244" t="s">
        <v>944</v>
      </c>
      <c r="D242" s="245">
        <v>0</v>
      </c>
      <c r="E242" s="246">
        <v>0</v>
      </c>
      <c r="F242" s="247">
        <f>[2]!Table323[[#This Row],[Single Family]]+[2]!Table323[[#This Row],[2-4 Units]]+[2]!Table323[[#This Row],[&gt;4 Units]]</f>
        <v>0</v>
      </c>
      <c r="J242" s="248">
        <v>0</v>
      </c>
      <c r="K242" s="247">
        <f>SUM([2]!Table323[[#This Row],[Single Family ]:[&gt;4 Units ]])</f>
        <v>0</v>
      </c>
      <c r="L242" s="249"/>
      <c r="M242" s="249"/>
      <c r="N242" s="249"/>
      <c r="O242" s="250">
        <f>[2]!Table323[[#This Row],[Incentive Disbursements]]-[2]!Table323[[#This Row],[Incentives]]</f>
        <v>0</v>
      </c>
      <c r="P242" s="158">
        <f>VLOOKUP(Table3236[[#This Row],[Census Tract]],'Population and Diversity Data'!$B$2:$K$823,10,FALSE)</f>
        <v>3</v>
      </c>
      <c r="Q242" s="159" t="str">
        <f>VLOOKUP(Table3236[[#This Row],[Census Tract]],'UI EnergyBurden'!$A$2:$B$184,2,FALSE)</f>
        <v>No</v>
      </c>
    </row>
    <row r="243" spans="1:17" x14ac:dyDescent="0.2">
      <c r="A243" s="38">
        <v>9009180601</v>
      </c>
      <c r="B243" s="38" t="s">
        <v>3005</v>
      </c>
      <c r="C243" s="244" t="s">
        <v>944</v>
      </c>
      <c r="D243" s="245">
        <v>55.563800000000001</v>
      </c>
      <c r="E243" s="246">
        <v>0</v>
      </c>
      <c r="F243" s="247">
        <f>[2]!Table323[[#This Row],[Single Family]]+[2]!Table323[[#This Row],[2-4 Units]]+[2]!Table323[[#This Row],[&gt;4 Units]]</f>
        <v>0</v>
      </c>
      <c r="J243" s="248">
        <v>0</v>
      </c>
      <c r="K243" s="247">
        <f>SUM([2]!Table323[[#This Row],[Single Family ]:[&gt;4 Units ]])</f>
        <v>0</v>
      </c>
      <c r="L243" s="249"/>
      <c r="M243" s="249"/>
      <c r="N243" s="249"/>
      <c r="O243" s="250">
        <f>[2]!Table323[[#This Row],[Incentive Disbursements]]-[2]!Table323[[#This Row],[Incentives]]</f>
        <v>0</v>
      </c>
      <c r="P243" s="158">
        <f>VLOOKUP(Table3236[[#This Row],[Census Tract]],'Population and Diversity Data'!$B$2:$K$823,10,FALSE)</f>
        <v>1</v>
      </c>
      <c r="Q243" s="159" t="str">
        <f>VLOOKUP(Table3236[[#This Row],[Census Tract]],'UI EnergyBurden'!$A$2:$B$184,2,FALSE)</f>
        <v>No</v>
      </c>
    </row>
    <row r="244" spans="1:17" x14ac:dyDescent="0.2">
      <c r="A244" s="38">
        <v>9009180602</v>
      </c>
      <c r="B244" s="38" t="s">
        <v>3005</v>
      </c>
      <c r="C244" s="244" t="s">
        <v>944</v>
      </c>
      <c r="D244" s="245">
        <v>1270.8086000000001</v>
      </c>
      <c r="E244" s="246">
        <v>0</v>
      </c>
      <c r="F244" s="247">
        <f>[2]!Table323[[#This Row],[Single Family]]+[2]!Table323[[#This Row],[2-4 Units]]+[2]!Table323[[#This Row],[&gt;4 Units]]</f>
        <v>0</v>
      </c>
      <c r="J244" s="248">
        <v>0</v>
      </c>
      <c r="K244" s="247">
        <f>SUM([2]!Table323[[#This Row],[Single Family ]:[&gt;4 Units ]])</f>
        <v>0</v>
      </c>
      <c r="L244" s="249"/>
      <c r="M244" s="249"/>
      <c r="N244" s="249"/>
      <c r="O244" s="250">
        <f>[2]!Table323[[#This Row],[Incentive Disbursements]]-[2]!Table323[[#This Row],[Incentives]]</f>
        <v>0</v>
      </c>
      <c r="P244" s="158">
        <f>VLOOKUP(Table3236[[#This Row],[Census Tract]],'Population and Diversity Data'!$B$2:$K$823,10,FALSE)</f>
        <v>1</v>
      </c>
      <c r="Q244" s="159" t="str">
        <f>VLOOKUP(Table3236[[#This Row],[Census Tract]],'UI EnergyBurden'!$A$2:$B$184,2,FALSE)</f>
        <v>No</v>
      </c>
    </row>
    <row r="245" spans="1:17" x14ac:dyDescent="0.2">
      <c r="A245" s="38">
        <v>9009186200</v>
      </c>
      <c r="B245" s="38" t="s">
        <v>3005</v>
      </c>
      <c r="C245" s="244" t="s">
        <v>944</v>
      </c>
      <c r="D245" s="245">
        <v>75.867800000000003</v>
      </c>
      <c r="E245" s="246">
        <v>0</v>
      </c>
      <c r="F245" s="247">
        <f>[2]!Table323[[#This Row],[Single Family]]+[2]!Table323[[#This Row],[2-4 Units]]+[2]!Table323[[#This Row],[&gt;4 Units]]</f>
        <v>0</v>
      </c>
      <c r="J245" s="248">
        <v>0</v>
      </c>
      <c r="K245" s="247">
        <f>SUM([2]!Table323[[#This Row],[Single Family ]:[&gt;4 Units ]])</f>
        <v>0</v>
      </c>
      <c r="L245" s="249"/>
      <c r="M245" s="249"/>
      <c r="N245" s="249"/>
      <c r="O245" s="250">
        <f>[2]!Table323[[#This Row],[Incentive Disbursements]]-[2]!Table323[[#This Row],[Incentives]]</f>
        <v>0</v>
      </c>
      <c r="P245" s="158">
        <f>VLOOKUP(Table3236[[#This Row],[Census Tract]],'Population and Diversity Data'!$B$2:$K$823,10,FALSE)</f>
        <v>1</v>
      </c>
      <c r="Q245" s="159" t="str">
        <f>VLOOKUP(Table3236[[#This Row],[Census Tract]],'UI EnergyBurden'!$A$2:$B$184,2,FALSE)</f>
        <v>No</v>
      </c>
    </row>
    <row r="246" spans="1:17" x14ac:dyDescent="0.2">
      <c r="A246" s="38">
        <v>9009120100</v>
      </c>
      <c r="B246" s="38" t="s">
        <v>2993</v>
      </c>
      <c r="C246" s="244" t="s">
        <v>944</v>
      </c>
      <c r="D246" s="245">
        <v>94.284899999999993</v>
      </c>
      <c r="E246" s="246">
        <v>0</v>
      </c>
      <c r="F246" s="247">
        <f>[2]!Table323[[#This Row],[Single Family]]+[2]!Table323[[#This Row],[2-4 Units]]+[2]!Table323[[#This Row],[&gt;4 Units]]</f>
        <v>0</v>
      </c>
      <c r="J246" s="248">
        <v>0</v>
      </c>
      <c r="K246" s="247">
        <f>SUM([2]!Table323[[#This Row],[Single Family ]:[&gt;4 Units ]])</f>
        <v>0</v>
      </c>
      <c r="L246" s="249"/>
      <c r="M246" s="249"/>
      <c r="N246" s="249"/>
      <c r="O246" s="250">
        <f>[2]!Table323[[#This Row],[Incentive Disbursements]]-[2]!Table323[[#This Row],[Incentives]]</f>
        <v>0</v>
      </c>
      <c r="P246" s="158">
        <f>VLOOKUP(Table3236[[#This Row],[Census Tract]],'Population and Diversity Data'!$B$2:$K$823,10,FALSE)</f>
        <v>2</v>
      </c>
      <c r="Q246" s="159" t="str">
        <f>VLOOKUP(Table3236[[#This Row],[Census Tract]],'UI EnergyBurden'!$A$2:$B$184,2,FALSE)</f>
        <v>No</v>
      </c>
    </row>
    <row r="247" spans="1:17" x14ac:dyDescent="0.2">
      <c r="A247" s="38">
        <v>9009140800</v>
      </c>
      <c r="B247" s="38" t="s">
        <v>3001</v>
      </c>
      <c r="C247" s="244" t="s">
        <v>936</v>
      </c>
      <c r="D247" s="245">
        <v>0</v>
      </c>
      <c r="E247" s="246">
        <v>588.14430265508872</v>
      </c>
      <c r="F247" s="247">
        <f>[2]!Table323[[#This Row],[Single Family]]+[2]!Table323[[#This Row],[2-4 Units]]+[2]!Table323[[#This Row],[&gt;4 Units]]</f>
        <v>0</v>
      </c>
      <c r="J247" s="248">
        <v>588.14430265508872</v>
      </c>
      <c r="K247" s="247">
        <f>SUM([2]!Table323[[#This Row],[Single Family ]:[&gt;4 Units ]])</f>
        <v>0</v>
      </c>
      <c r="L247" s="249"/>
      <c r="M247" s="249"/>
      <c r="N247" s="249"/>
      <c r="O247" s="250">
        <f>[2]!Table323[[#This Row],[Incentive Disbursements]]-[2]!Table323[[#This Row],[Incentives]]</f>
        <v>0</v>
      </c>
      <c r="P247" s="158">
        <f>VLOOKUP(Table3236[[#This Row],[Census Tract]],'Population and Diversity Data'!$B$2:$K$823,10,FALSE)</f>
        <v>4</v>
      </c>
      <c r="Q247" s="159" t="str">
        <f>VLOOKUP(Table3236[[#This Row],[Census Tract]],'UI EnergyBurden'!$A$2:$B$184,2,FALSE)</f>
        <v>No</v>
      </c>
    </row>
    <row r="248" spans="1:17" x14ac:dyDescent="0.2">
      <c r="A248" s="38">
        <v>9009150700</v>
      </c>
      <c r="B248" s="38" t="s">
        <v>2993</v>
      </c>
      <c r="C248" s="244" t="s">
        <v>944</v>
      </c>
      <c r="D248" s="245">
        <v>728.59849999999994</v>
      </c>
      <c r="E248" s="246">
        <v>2462.699211142939</v>
      </c>
      <c r="F248" s="247">
        <f>[2]!Table323[[#This Row],[Single Family]]+[2]!Table323[[#This Row],[2-4 Units]]+[2]!Table323[[#This Row],[&gt;4 Units]]</f>
        <v>1</v>
      </c>
      <c r="G248">
        <v>1</v>
      </c>
      <c r="H248">
        <v>0</v>
      </c>
      <c r="I248">
        <v>0</v>
      </c>
      <c r="J248" s="248">
        <v>2462.699211142939</v>
      </c>
      <c r="K248" s="247">
        <f>SUM([2]!Table323[[#This Row],[Single Family ]:[&gt;4 Units ]])</f>
        <v>0</v>
      </c>
      <c r="L248" s="249"/>
      <c r="M248" s="249"/>
      <c r="N248" s="249"/>
      <c r="O248" s="250">
        <f>[2]!Table323[[#This Row],[Incentive Disbursements]]-[2]!Table323[[#This Row],[Incentives]]</f>
        <v>0</v>
      </c>
      <c r="P248" s="158">
        <f>VLOOKUP(Table3236[[#This Row],[Census Tract]],'Population and Diversity Data'!$B$2:$K$823,10,FALSE)</f>
        <v>3</v>
      </c>
      <c r="Q248" s="159" t="str">
        <f>VLOOKUP(Table3236[[#This Row],[Census Tract]],'UI EnergyBurden'!$A$2:$B$184,2,FALSE)</f>
        <v>No</v>
      </c>
    </row>
    <row r="249" spans="1:17" x14ac:dyDescent="0.2">
      <c r="A249" s="38">
        <v>9009151200</v>
      </c>
      <c r="B249" s="38" t="s">
        <v>2993</v>
      </c>
      <c r="C249" s="244" t="s">
        <v>944</v>
      </c>
      <c r="D249" s="245">
        <v>0</v>
      </c>
      <c r="E249" s="246">
        <v>0</v>
      </c>
      <c r="F249" s="247">
        <f>[2]!Table323[[#This Row],[Single Family]]+[2]!Table323[[#This Row],[2-4 Units]]+[2]!Table323[[#This Row],[&gt;4 Units]]</f>
        <v>0</v>
      </c>
      <c r="J249" s="248">
        <v>0</v>
      </c>
      <c r="K249" s="247">
        <f>SUM([2]!Table323[[#This Row],[Single Family ]:[&gt;4 Units ]])</f>
        <v>0</v>
      </c>
      <c r="L249" s="249"/>
      <c r="M249" s="249"/>
      <c r="N249" s="249"/>
      <c r="O249" s="250">
        <f>[2]!Table323[[#This Row],[Incentive Disbursements]]-[2]!Table323[[#This Row],[Incentives]]</f>
        <v>0</v>
      </c>
      <c r="P249" s="158">
        <f>VLOOKUP(Table3236[[#This Row],[Census Tract]],'Population and Diversity Data'!$B$2:$K$823,10,FALSE)</f>
        <v>2</v>
      </c>
      <c r="Q249" s="159" t="str">
        <f>VLOOKUP(Table3236[[#This Row],[Census Tract]],'UI EnergyBurden'!$A$2:$B$184,2,FALSE)</f>
        <v>No</v>
      </c>
    </row>
    <row r="250" spans="1:17" x14ac:dyDescent="0.2">
      <c r="A250" s="38">
        <v>9009157100</v>
      </c>
      <c r="B250" s="38" t="s">
        <v>2993</v>
      </c>
      <c r="C250" s="244" t="s">
        <v>944</v>
      </c>
      <c r="D250" s="245">
        <v>54371.503700000103</v>
      </c>
      <c r="E250" s="246">
        <v>30604.377514042484</v>
      </c>
      <c r="F250" s="247">
        <f>[2]!Table323[[#This Row],[Single Family]]+[2]!Table323[[#This Row],[2-4 Units]]+[2]!Table323[[#This Row],[&gt;4 Units]]</f>
        <v>11</v>
      </c>
      <c r="G250">
        <v>11</v>
      </c>
      <c r="H250">
        <v>0</v>
      </c>
      <c r="I250">
        <v>0</v>
      </c>
      <c r="J250" s="248">
        <v>30159.355454055316</v>
      </c>
      <c r="K250" s="247">
        <f>SUM([2]!Table323[[#This Row],[Single Family ]:[&gt;4 Units ]])</f>
        <v>2</v>
      </c>
      <c r="L250" s="249">
        <v>1</v>
      </c>
      <c r="M250" s="249">
        <v>1</v>
      </c>
      <c r="N250" s="249">
        <v>0</v>
      </c>
      <c r="O250" s="250">
        <f>[2]!Table323[[#This Row],[Incentive Disbursements]]-[2]!Table323[[#This Row],[Incentives]]</f>
        <v>445.02205998716818</v>
      </c>
      <c r="P250" s="158">
        <f>VLOOKUP(Table3236[[#This Row],[Census Tract]],'Population and Diversity Data'!$B$2:$K$823,10,FALSE)</f>
        <v>5</v>
      </c>
      <c r="Q250" s="159" t="str">
        <f>VLOOKUP(Table3236[[#This Row],[Census Tract]],'UI EnergyBurden'!$A$2:$B$184,2,FALSE)</f>
        <v>No</v>
      </c>
    </row>
    <row r="251" spans="1:17" x14ac:dyDescent="0.2">
      <c r="A251" s="38">
        <v>9009157200</v>
      </c>
      <c r="B251" s="38" t="s">
        <v>2993</v>
      </c>
      <c r="C251" s="244" t="s">
        <v>944</v>
      </c>
      <c r="D251" s="245">
        <v>81277.952100000097</v>
      </c>
      <c r="E251" s="246">
        <v>133909.80695591928</v>
      </c>
      <c r="F251" s="247">
        <f>[2]!Table323[[#This Row],[Single Family]]+[2]!Table323[[#This Row],[2-4 Units]]+[2]!Table323[[#This Row],[&gt;4 Units]]</f>
        <v>33</v>
      </c>
      <c r="G251">
        <v>33</v>
      </c>
      <c r="H251">
        <v>0</v>
      </c>
      <c r="I251">
        <v>0</v>
      </c>
      <c r="J251" s="248">
        <v>84404.096971524123</v>
      </c>
      <c r="K251" s="247">
        <f>SUM([2]!Table323[[#This Row],[Single Family ]:[&gt;4 Units ]])</f>
        <v>3</v>
      </c>
      <c r="L251" s="249">
        <v>3</v>
      </c>
      <c r="M251" s="249">
        <v>0</v>
      </c>
      <c r="N251" s="249">
        <v>0</v>
      </c>
      <c r="O251" s="250">
        <f>[2]!Table323[[#This Row],[Incentive Disbursements]]-[2]!Table323[[#This Row],[Incentives]]</f>
        <v>49505.709984395158</v>
      </c>
      <c r="P251" s="158">
        <f>VLOOKUP(Table3236[[#This Row],[Census Tract]],'Population and Diversity Data'!$B$2:$K$823,10,FALSE)</f>
        <v>2</v>
      </c>
      <c r="Q251" s="159" t="str">
        <f>VLOOKUP(Table3236[[#This Row],[Census Tract]],'UI EnergyBurden'!$A$2:$B$184,2,FALSE)</f>
        <v>No</v>
      </c>
    </row>
    <row r="252" spans="1:17" x14ac:dyDescent="0.2">
      <c r="A252" s="38">
        <v>9009157300</v>
      </c>
      <c r="B252" s="38" t="s">
        <v>2993</v>
      </c>
      <c r="C252" s="244" t="s">
        <v>944</v>
      </c>
      <c r="D252" s="245">
        <v>77580.580099999905</v>
      </c>
      <c r="E252" s="246">
        <v>95582.260652458994</v>
      </c>
      <c r="F252" s="247">
        <f>[2]!Table323[[#This Row],[Single Family]]+[2]!Table323[[#This Row],[2-4 Units]]+[2]!Table323[[#This Row],[&gt;4 Units]]</f>
        <v>25</v>
      </c>
      <c r="G252">
        <v>25</v>
      </c>
      <c r="H252">
        <v>0</v>
      </c>
      <c r="I252">
        <v>0</v>
      </c>
      <c r="J252" s="248">
        <v>50879.486753004137</v>
      </c>
      <c r="K252" s="247">
        <f>SUM([2]!Table323[[#This Row],[Single Family ]:[&gt;4 Units ]])</f>
        <v>4</v>
      </c>
      <c r="L252" s="249">
        <v>4</v>
      </c>
      <c r="M252" s="249">
        <v>0</v>
      </c>
      <c r="N252" s="249">
        <v>0</v>
      </c>
      <c r="O252" s="250">
        <f>[2]!Table323[[#This Row],[Incentive Disbursements]]-[2]!Table323[[#This Row],[Incentives]]</f>
        <v>44702.773899454856</v>
      </c>
      <c r="P252" s="158">
        <f>VLOOKUP(Table3236[[#This Row],[Census Tract]],'Population and Diversity Data'!$B$2:$K$823,10,FALSE)</f>
        <v>3</v>
      </c>
      <c r="Q252" s="159" t="str">
        <f>VLOOKUP(Table3236[[#This Row],[Census Tract]],'UI EnergyBurden'!$A$2:$B$184,2,FALSE)</f>
        <v>No</v>
      </c>
    </row>
    <row r="253" spans="1:17" x14ac:dyDescent="0.2">
      <c r="A253" s="38">
        <v>9009157400</v>
      </c>
      <c r="B253" s="38" t="s">
        <v>2993</v>
      </c>
      <c r="C253" s="244" t="s">
        <v>944</v>
      </c>
      <c r="D253" s="245">
        <v>93459.739199999996</v>
      </c>
      <c r="E253" s="246">
        <v>135707.60368614426</v>
      </c>
      <c r="F253" s="247">
        <f>[2]!Table323[[#This Row],[Single Family]]+[2]!Table323[[#This Row],[2-4 Units]]+[2]!Table323[[#This Row],[&gt;4 Units]]</f>
        <v>38</v>
      </c>
      <c r="G253">
        <v>38</v>
      </c>
      <c r="H253">
        <v>0</v>
      </c>
      <c r="I253">
        <v>0</v>
      </c>
      <c r="J253" s="248">
        <v>115662.255692398</v>
      </c>
      <c r="K253" s="247">
        <f>SUM([2]!Table323[[#This Row],[Single Family ]:[&gt;4 Units ]])</f>
        <v>5</v>
      </c>
      <c r="L253" s="249">
        <v>5</v>
      </c>
      <c r="M253" s="249">
        <v>0</v>
      </c>
      <c r="N253" s="249">
        <v>0</v>
      </c>
      <c r="O253" s="250">
        <f>[2]!Table323[[#This Row],[Incentive Disbursements]]-[2]!Table323[[#This Row],[Incentives]]</f>
        <v>20045.347993746254</v>
      </c>
      <c r="P253" s="158">
        <f>VLOOKUP(Table3236[[#This Row],[Census Tract]],'Population and Diversity Data'!$B$2:$K$823,10,FALSE)</f>
        <v>3</v>
      </c>
      <c r="Q253" s="159" t="str">
        <f>VLOOKUP(Table3236[[#This Row],[Census Tract]],'UI EnergyBurden'!$A$2:$B$184,2,FALSE)</f>
        <v>No</v>
      </c>
    </row>
    <row r="254" spans="1:17" x14ac:dyDescent="0.2">
      <c r="A254" s="38">
        <v>9001090500</v>
      </c>
      <c r="B254" s="38" t="s">
        <v>2990</v>
      </c>
      <c r="C254" s="244" t="s">
        <v>944</v>
      </c>
      <c r="D254" s="245">
        <v>0</v>
      </c>
      <c r="E254" s="246">
        <v>0</v>
      </c>
      <c r="F254" s="247">
        <f>[2]!Table323[[#This Row],[Single Family]]+[2]!Table323[[#This Row],[2-4 Units]]+[2]!Table323[[#This Row],[&gt;4 Units]]</f>
        <v>0</v>
      </c>
      <c r="J254" s="248">
        <v>0</v>
      </c>
      <c r="K254" s="247">
        <f>SUM([2]!Table323[[#This Row],[Single Family ]:[&gt;4 Units ]])</f>
        <v>0</v>
      </c>
      <c r="L254" s="249"/>
      <c r="M254" s="249"/>
      <c r="N254" s="249"/>
      <c r="O254" s="250">
        <f>[2]!Table323[[#This Row],[Incentive Disbursements]]-[2]!Table323[[#This Row],[Incentives]]</f>
        <v>0</v>
      </c>
      <c r="P254" s="158">
        <f>VLOOKUP(Table3236[[#This Row],[Census Tract]],'Population and Diversity Data'!$B$2:$K$823,10,FALSE)</f>
        <v>3</v>
      </c>
      <c r="Q254" s="159" t="str">
        <f>VLOOKUP(Table3236[[#This Row],[Census Tract]],'UI EnergyBurden'!$A$2:$B$184,2,FALSE)</f>
        <v>No</v>
      </c>
    </row>
    <row r="255" spans="1:17" x14ac:dyDescent="0.2">
      <c r="A255" s="38">
        <v>9001090600</v>
      </c>
      <c r="B255" s="38" t="s">
        <v>2990</v>
      </c>
      <c r="C255" s="244" t="s">
        <v>944</v>
      </c>
      <c r="D255" s="245">
        <v>46.748899999999999</v>
      </c>
      <c r="E255" s="246">
        <v>1047.234684684478</v>
      </c>
      <c r="F255" s="247">
        <f>[2]!Table323[[#This Row],[Single Family]]+[2]!Table323[[#This Row],[2-4 Units]]+[2]!Table323[[#This Row],[&gt;4 Units]]</f>
        <v>1</v>
      </c>
      <c r="G255">
        <v>1</v>
      </c>
      <c r="H255">
        <v>0</v>
      </c>
      <c r="I255">
        <v>0</v>
      </c>
      <c r="J255" s="248">
        <v>1047.234684684478</v>
      </c>
      <c r="K255" s="247">
        <f>SUM([2]!Table323[[#This Row],[Single Family ]:[&gt;4 Units ]])</f>
        <v>0</v>
      </c>
      <c r="L255" s="249"/>
      <c r="M255" s="249"/>
      <c r="N255" s="249"/>
      <c r="O255" s="250">
        <f>[2]!Table323[[#This Row],[Incentive Disbursements]]-[2]!Table323[[#This Row],[Incentives]]</f>
        <v>0</v>
      </c>
      <c r="P255" s="158">
        <f>VLOOKUP(Table3236[[#This Row],[Census Tract]],'Population and Diversity Data'!$B$2:$K$823,10,FALSE)</f>
        <v>2</v>
      </c>
      <c r="Q255" s="159" t="str">
        <f>VLOOKUP(Table3236[[#This Row],[Census Tract]],'UI EnergyBurden'!$A$2:$B$184,2,FALSE)</f>
        <v>No</v>
      </c>
    </row>
    <row r="256" spans="1:17" x14ac:dyDescent="0.2">
      <c r="A256" s="38">
        <v>9001090700</v>
      </c>
      <c r="B256" s="38" t="s">
        <v>2990</v>
      </c>
      <c r="C256" s="244" t="s">
        <v>944</v>
      </c>
      <c r="D256" s="245">
        <v>415.14870000000002</v>
      </c>
      <c r="E256" s="246">
        <v>-1820.0379764817783</v>
      </c>
      <c r="F256" s="247">
        <f>[2]!Table323[[#This Row],[Single Family]]+[2]!Table323[[#This Row],[2-4 Units]]+[2]!Table323[[#This Row],[&gt;4 Units]]</f>
        <v>0</v>
      </c>
      <c r="J256" s="248">
        <v>0</v>
      </c>
      <c r="K256" s="247">
        <f>SUM([2]!Table323[[#This Row],[Single Family ]:[&gt;4 Units ]])</f>
        <v>0</v>
      </c>
      <c r="L256" s="249"/>
      <c r="M256" s="249"/>
      <c r="N256" s="249"/>
      <c r="O256" s="250">
        <f>[2]!Table323[[#This Row],[Incentive Disbursements]]-[2]!Table323[[#This Row],[Incentives]]</f>
        <v>-1820.0379764817783</v>
      </c>
      <c r="P256" s="158">
        <f>VLOOKUP(Table3236[[#This Row],[Census Tract]],'Population and Diversity Data'!$B$2:$K$823,10,FALSE)</f>
        <v>3</v>
      </c>
      <c r="Q256" s="159" t="str">
        <f>VLOOKUP(Table3236[[#This Row],[Census Tract]],'UI EnergyBurden'!$A$2:$B$184,2,FALSE)</f>
        <v>No</v>
      </c>
    </row>
    <row r="257" spans="1:17" x14ac:dyDescent="0.2">
      <c r="A257" s="38">
        <v>9001100100</v>
      </c>
      <c r="B257" s="38" t="s">
        <v>2990</v>
      </c>
      <c r="C257" s="244" t="s">
        <v>944</v>
      </c>
      <c r="D257" s="245">
        <v>278.06810000000002</v>
      </c>
      <c r="E257" s="246">
        <v>0</v>
      </c>
      <c r="F257" s="247">
        <f>[2]!Table323[[#This Row],[Single Family]]+[2]!Table323[[#This Row],[2-4 Units]]+[2]!Table323[[#This Row],[&gt;4 Units]]</f>
        <v>0</v>
      </c>
      <c r="J257" s="248">
        <v>0</v>
      </c>
      <c r="K257" s="247">
        <f>SUM([2]!Table323[[#This Row],[Single Family ]:[&gt;4 Units ]])</f>
        <v>0</v>
      </c>
      <c r="L257" s="249"/>
      <c r="M257" s="249"/>
      <c r="N257" s="249"/>
      <c r="O257" s="250">
        <f>[2]!Table323[[#This Row],[Incentive Disbursements]]-[2]!Table323[[#This Row],[Incentives]]</f>
        <v>0</v>
      </c>
      <c r="P257" s="158">
        <f>VLOOKUP(Table3236[[#This Row],[Census Tract]],'Population and Diversity Data'!$B$2:$K$823,10,FALSE)</f>
        <v>3</v>
      </c>
      <c r="Q257" s="159" t="str">
        <f>VLOOKUP(Table3236[[#This Row],[Census Tract]],'UI EnergyBurden'!$A$2:$B$184,2,FALSE)</f>
        <v>No</v>
      </c>
    </row>
    <row r="258" spans="1:17" x14ac:dyDescent="0.2">
      <c r="A258" s="38">
        <v>9001100200</v>
      </c>
      <c r="B258" s="38" t="s">
        <v>2990</v>
      </c>
      <c r="C258" s="244" t="s">
        <v>944</v>
      </c>
      <c r="D258" s="245">
        <v>569.35</v>
      </c>
      <c r="E258" s="246">
        <v>0</v>
      </c>
      <c r="F258" s="247">
        <f>[2]!Table323[[#This Row],[Single Family]]+[2]!Table323[[#This Row],[2-4 Units]]+[2]!Table323[[#This Row],[&gt;4 Units]]</f>
        <v>0</v>
      </c>
      <c r="J258" s="248">
        <v>0</v>
      </c>
      <c r="K258" s="247">
        <f>SUM([2]!Table323[[#This Row],[Single Family ]:[&gt;4 Units ]])</f>
        <v>0</v>
      </c>
      <c r="L258" s="249"/>
      <c r="M258" s="249"/>
      <c r="N258" s="249"/>
      <c r="O258" s="250">
        <f>[2]!Table323[[#This Row],[Incentive Disbursements]]-[2]!Table323[[#This Row],[Incentives]]</f>
        <v>0</v>
      </c>
      <c r="P258" s="158">
        <f>VLOOKUP(Table3236[[#This Row],[Census Tract]],'Population and Diversity Data'!$B$2:$K$823,10,FALSE)</f>
        <v>4</v>
      </c>
      <c r="Q258" s="159" t="str">
        <f>VLOOKUP(Table3236[[#This Row],[Census Tract]],'UI EnergyBurden'!$A$2:$B$184,2,FALSE)</f>
        <v>No</v>
      </c>
    </row>
    <row r="259" spans="1:17" x14ac:dyDescent="0.2">
      <c r="A259" s="38">
        <v>9001110100</v>
      </c>
      <c r="B259" s="38" t="s">
        <v>2990</v>
      </c>
      <c r="C259" s="244" t="s">
        <v>944</v>
      </c>
      <c r="D259" s="245">
        <v>47814.0262</v>
      </c>
      <c r="E259" s="246">
        <v>-7541.1908527040123</v>
      </c>
      <c r="F259" s="247">
        <f>[2]!Table323[[#This Row],[Single Family]]+[2]!Table323[[#This Row],[2-4 Units]]+[2]!Table323[[#This Row],[&gt;4 Units]]</f>
        <v>2</v>
      </c>
      <c r="G259">
        <v>2</v>
      </c>
      <c r="H259">
        <v>0</v>
      </c>
      <c r="I259">
        <v>0</v>
      </c>
      <c r="J259" s="248">
        <v>6359.3491926755705</v>
      </c>
      <c r="K259" s="247">
        <f>SUM([2]!Table323[[#This Row],[Single Family ]:[&gt;4 Units ]])</f>
        <v>0</v>
      </c>
      <c r="L259" s="249"/>
      <c r="M259" s="249"/>
      <c r="N259" s="249"/>
      <c r="O259" s="250">
        <f>[2]!Table323[[#This Row],[Incentive Disbursements]]-[2]!Table323[[#This Row],[Incentives]]</f>
        <v>-13900.540045379583</v>
      </c>
      <c r="P259" s="158">
        <f>VLOOKUP(Table3236[[#This Row],[Census Tract]],'Population and Diversity Data'!$B$2:$K$823,10,FALSE)</f>
        <v>3</v>
      </c>
      <c r="Q259" s="159" t="str">
        <f>VLOOKUP(Table3236[[#This Row],[Census Tract]],'UI EnergyBurden'!$A$2:$B$184,2,FALSE)</f>
        <v>No</v>
      </c>
    </row>
    <row r="260" spans="1:17" x14ac:dyDescent="0.2">
      <c r="A260" s="38">
        <v>9001110201</v>
      </c>
      <c r="B260" s="38" t="s">
        <v>2990</v>
      </c>
      <c r="C260" s="244" t="s">
        <v>944</v>
      </c>
      <c r="D260" s="245">
        <v>91460.939399999901</v>
      </c>
      <c r="E260" s="246">
        <v>81556.083729946142</v>
      </c>
      <c r="F260" s="247">
        <f>[2]!Table323[[#This Row],[Single Family]]+[2]!Table323[[#This Row],[2-4 Units]]+[2]!Table323[[#This Row],[&gt;4 Units]]</f>
        <v>24</v>
      </c>
      <c r="G260">
        <v>24</v>
      </c>
      <c r="H260">
        <v>0</v>
      </c>
      <c r="I260">
        <v>0</v>
      </c>
      <c r="J260" s="248">
        <v>41202.65672488627</v>
      </c>
      <c r="K260" s="247">
        <f>SUM([2]!Table323[[#This Row],[Single Family ]:[&gt;4 Units ]])</f>
        <v>6</v>
      </c>
      <c r="L260" s="249">
        <v>6</v>
      </c>
      <c r="M260" s="249">
        <v>0</v>
      </c>
      <c r="N260" s="249">
        <v>0</v>
      </c>
      <c r="O260" s="250">
        <f>[2]!Table323[[#This Row],[Incentive Disbursements]]-[2]!Table323[[#This Row],[Incentives]]</f>
        <v>40353.427005059872</v>
      </c>
      <c r="P260" s="158">
        <f>VLOOKUP(Table3236[[#This Row],[Census Tract]],'Population and Diversity Data'!$B$2:$K$823,10,FALSE)</f>
        <v>4</v>
      </c>
      <c r="Q260" s="159" t="str">
        <f>VLOOKUP(Table3236[[#This Row],[Census Tract]],'UI EnergyBurden'!$A$2:$B$184,2,FALSE)</f>
        <v>No</v>
      </c>
    </row>
    <row r="261" spans="1:17" x14ac:dyDescent="0.2">
      <c r="A261" s="38">
        <v>9001110202</v>
      </c>
      <c r="B261" s="38" t="s">
        <v>2990</v>
      </c>
      <c r="C261" s="244" t="s">
        <v>944</v>
      </c>
      <c r="D261" s="245">
        <v>88933.272799999802</v>
      </c>
      <c r="E261" s="246">
        <v>94809.873280382904</v>
      </c>
      <c r="F261" s="247">
        <f>[2]!Table323[[#This Row],[Single Family]]+[2]!Table323[[#This Row],[2-4 Units]]+[2]!Table323[[#This Row],[&gt;4 Units]]</f>
        <v>25</v>
      </c>
      <c r="G261">
        <v>24</v>
      </c>
      <c r="H261">
        <v>1</v>
      </c>
      <c r="I261">
        <v>0</v>
      </c>
      <c r="J261" s="248">
        <v>59550.747738478683</v>
      </c>
      <c r="K261" s="247">
        <f>SUM([2]!Table323[[#This Row],[Single Family ]:[&gt;4 Units ]])</f>
        <v>6</v>
      </c>
      <c r="L261" s="249">
        <v>4</v>
      </c>
      <c r="M261" s="249">
        <v>2</v>
      </c>
      <c r="N261" s="249">
        <v>0</v>
      </c>
      <c r="O261" s="250">
        <f>[2]!Table323[[#This Row],[Incentive Disbursements]]-[2]!Table323[[#This Row],[Incentives]]</f>
        <v>35259.125541904221</v>
      </c>
      <c r="P261" s="158">
        <f>VLOOKUP(Table3236[[#This Row],[Census Tract]],'Population and Diversity Data'!$B$2:$K$823,10,FALSE)</f>
        <v>2</v>
      </c>
      <c r="Q261" s="159" t="str">
        <f>VLOOKUP(Table3236[[#This Row],[Census Tract]],'UI EnergyBurden'!$A$2:$B$184,2,FALSE)</f>
        <v>No</v>
      </c>
    </row>
    <row r="262" spans="1:17" x14ac:dyDescent="0.2">
      <c r="A262" s="38">
        <v>9001110301</v>
      </c>
      <c r="B262" s="38" t="s">
        <v>2990</v>
      </c>
      <c r="C262" s="244" t="s">
        <v>944</v>
      </c>
      <c r="D262" s="245">
        <v>119372.9991</v>
      </c>
      <c r="E262" s="246">
        <v>39454.631584340619</v>
      </c>
      <c r="F262" s="247">
        <f>[2]!Table323[[#This Row],[Single Family]]+[2]!Table323[[#This Row],[2-4 Units]]+[2]!Table323[[#This Row],[&gt;4 Units]]</f>
        <v>25</v>
      </c>
      <c r="G262">
        <v>22</v>
      </c>
      <c r="H262">
        <v>3</v>
      </c>
      <c r="I262">
        <v>0</v>
      </c>
      <c r="J262" s="248">
        <v>30914.148880649285</v>
      </c>
      <c r="K262" s="247">
        <f>SUM([2]!Table323[[#This Row],[Single Family ]:[&gt;4 Units ]])</f>
        <v>5</v>
      </c>
      <c r="L262" s="249">
        <v>4</v>
      </c>
      <c r="M262" s="249">
        <v>1</v>
      </c>
      <c r="N262" s="249">
        <v>0</v>
      </c>
      <c r="O262" s="250">
        <f>[2]!Table323[[#This Row],[Incentive Disbursements]]-[2]!Table323[[#This Row],[Incentives]]</f>
        <v>8540.4827036913339</v>
      </c>
      <c r="P262" s="158">
        <f>VLOOKUP(Table3236[[#This Row],[Census Tract]],'Population and Diversity Data'!$B$2:$K$823,10,FALSE)</f>
        <v>3</v>
      </c>
      <c r="Q262" s="159" t="str">
        <f>VLOOKUP(Table3236[[#This Row],[Census Tract]],'UI EnergyBurden'!$A$2:$B$184,2,FALSE)</f>
        <v>No</v>
      </c>
    </row>
    <row r="263" spans="1:17" x14ac:dyDescent="0.2">
      <c r="A263" s="38">
        <v>9001110302</v>
      </c>
      <c r="B263" s="38" t="s">
        <v>2990</v>
      </c>
      <c r="C263" s="244" t="s">
        <v>944</v>
      </c>
      <c r="D263" s="245">
        <v>65182.709900000002</v>
      </c>
      <c r="E263" s="246">
        <v>35606.419121783234</v>
      </c>
      <c r="F263" s="247">
        <f>[2]!Table323[[#This Row],[Single Family]]+[2]!Table323[[#This Row],[2-4 Units]]+[2]!Table323[[#This Row],[&gt;4 Units]]</f>
        <v>11</v>
      </c>
      <c r="G263">
        <v>11</v>
      </c>
      <c r="H263">
        <v>0</v>
      </c>
      <c r="I263">
        <v>0</v>
      </c>
      <c r="J263" s="248">
        <v>19517.010403987842</v>
      </c>
      <c r="K263" s="247">
        <f>SUM([2]!Table323[[#This Row],[Single Family ]:[&gt;4 Units ]])</f>
        <v>1</v>
      </c>
      <c r="L263" s="249">
        <v>1</v>
      </c>
      <c r="M263" s="249">
        <v>0</v>
      </c>
      <c r="N263" s="249">
        <v>0</v>
      </c>
      <c r="O263" s="250">
        <f>[2]!Table323[[#This Row],[Incentive Disbursements]]-[2]!Table323[[#This Row],[Incentives]]</f>
        <v>16089.408717795392</v>
      </c>
      <c r="P263" s="158">
        <f>VLOOKUP(Table3236[[#This Row],[Census Tract]],'Population and Diversity Data'!$B$2:$K$823,10,FALSE)</f>
        <v>3</v>
      </c>
      <c r="Q263" s="159" t="str">
        <f>VLOOKUP(Table3236[[#This Row],[Census Tract]],'UI EnergyBurden'!$A$2:$B$184,2,FALSE)</f>
        <v>No</v>
      </c>
    </row>
    <row r="264" spans="1:17" x14ac:dyDescent="0.2">
      <c r="A264" s="38">
        <v>9001110400</v>
      </c>
      <c r="B264" s="38" t="s">
        <v>2990</v>
      </c>
      <c r="C264" s="244" t="s">
        <v>944</v>
      </c>
      <c r="D264" s="245">
        <v>94505.718299999993</v>
      </c>
      <c r="E264" s="246">
        <v>46133.91311931541</v>
      </c>
      <c r="F264" s="247">
        <f>[2]!Table323[[#This Row],[Single Family]]+[2]!Table323[[#This Row],[2-4 Units]]+[2]!Table323[[#This Row],[&gt;4 Units]]</f>
        <v>19</v>
      </c>
      <c r="G264">
        <v>19</v>
      </c>
      <c r="H264">
        <v>0</v>
      </c>
      <c r="I264">
        <v>0</v>
      </c>
      <c r="J264" s="248">
        <v>39895.778455873522</v>
      </c>
      <c r="K264" s="247">
        <f>SUM([2]!Table323[[#This Row],[Single Family ]:[&gt;4 Units ]])</f>
        <v>1</v>
      </c>
      <c r="L264" s="249">
        <v>1</v>
      </c>
      <c r="M264" s="249">
        <v>0</v>
      </c>
      <c r="N264" s="249">
        <v>0</v>
      </c>
      <c r="O264" s="250">
        <f>[2]!Table323[[#This Row],[Incentive Disbursements]]-[2]!Table323[[#This Row],[Incentives]]</f>
        <v>6238.1346634418878</v>
      </c>
      <c r="P264" s="158">
        <f>VLOOKUP(Table3236[[#This Row],[Census Tract]],'Population and Diversity Data'!$B$2:$K$823,10,FALSE)</f>
        <v>2</v>
      </c>
      <c r="Q264" s="159" t="str">
        <f>VLOOKUP(Table3236[[#This Row],[Census Tract]],'UI EnergyBurden'!$A$2:$B$184,2,FALSE)</f>
        <v>No</v>
      </c>
    </row>
    <row r="265" spans="1:17" x14ac:dyDescent="0.2">
      <c r="A265" s="38">
        <v>9001110500</v>
      </c>
      <c r="B265" s="38" t="s">
        <v>2990</v>
      </c>
      <c r="C265" s="244" t="s">
        <v>944</v>
      </c>
      <c r="D265" s="245">
        <v>117735.0469</v>
      </c>
      <c r="E265" s="246">
        <v>62975.558699773857</v>
      </c>
      <c r="F265" s="247">
        <f>[2]!Table323[[#This Row],[Single Family]]+[2]!Table323[[#This Row],[2-4 Units]]+[2]!Table323[[#This Row],[&gt;4 Units]]</f>
        <v>27</v>
      </c>
      <c r="G265">
        <v>27</v>
      </c>
      <c r="H265">
        <v>0</v>
      </c>
      <c r="I265">
        <v>0</v>
      </c>
      <c r="J265" s="248">
        <v>50072.414632489417</v>
      </c>
      <c r="K265" s="247">
        <f>SUM([2]!Table323[[#This Row],[Single Family ]:[&gt;4 Units ]])</f>
        <v>2</v>
      </c>
      <c r="L265" s="249">
        <v>2</v>
      </c>
      <c r="M265" s="249">
        <v>0</v>
      </c>
      <c r="N265" s="249">
        <v>0</v>
      </c>
      <c r="O265" s="250">
        <f>[2]!Table323[[#This Row],[Incentive Disbursements]]-[2]!Table323[[#This Row],[Incentives]]</f>
        <v>12903.14406728444</v>
      </c>
      <c r="P265" s="158">
        <f>VLOOKUP(Table3236[[#This Row],[Census Tract]],'Population and Diversity Data'!$B$2:$K$823,10,FALSE)</f>
        <v>1</v>
      </c>
      <c r="Q265" s="159" t="str">
        <f>VLOOKUP(Table3236[[#This Row],[Census Tract]],'UI EnergyBurden'!$A$2:$B$184,2,FALSE)</f>
        <v>No</v>
      </c>
    </row>
    <row r="266" spans="1:17" x14ac:dyDescent="0.2">
      <c r="A266" s="38">
        <v>9001110600</v>
      </c>
      <c r="B266" s="38" t="s">
        <v>2990</v>
      </c>
      <c r="C266" s="244" t="s">
        <v>944</v>
      </c>
      <c r="D266" s="245">
        <v>151887.48259999999</v>
      </c>
      <c r="E266" s="246">
        <v>58947.29898039301</v>
      </c>
      <c r="F266" s="247">
        <f>[2]!Table323[[#This Row],[Single Family]]+[2]!Table323[[#This Row],[2-4 Units]]+[2]!Table323[[#This Row],[&gt;4 Units]]</f>
        <v>29</v>
      </c>
      <c r="G266">
        <v>28</v>
      </c>
      <c r="H266">
        <v>1</v>
      </c>
      <c r="I266">
        <v>0</v>
      </c>
      <c r="J266" s="248">
        <v>43474.261290316303</v>
      </c>
      <c r="K266" s="247">
        <f>SUM([2]!Table323[[#This Row],[Single Family ]:[&gt;4 Units ]])</f>
        <v>4</v>
      </c>
      <c r="L266" s="249">
        <v>2</v>
      </c>
      <c r="M266" s="249">
        <v>2</v>
      </c>
      <c r="N266" s="249">
        <v>0</v>
      </c>
      <c r="O266" s="250">
        <f>[2]!Table323[[#This Row],[Incentive Disbursements]]-[2]!Table323[[#This Row],[Incentives]]</f>
        <v>15473.037690076708</v>
      </c>
      <c r="P266" s="158">
        <f>VLOOKUP(Table3236[[#This Row],[Census Tract]],'Population and Diversity Data'!$B$2:$K$823,10,FALSE)</f>
        <v>2</v>
      </c>
      <c r="Q266" s="159" t="str">
        <f>VLOOKUP(Table3236[[#This Row],[Census Tract]],'UI EnergyBurden'!$A$2:$B$184,2,FALSE)</f>
        <v>No</v>
      </c>
    </row>
    <row r="267" spans="1:17" x14ac:dyDescent="0.2">
      <c r="A267" s="38">
        <v>9009120200</v>
      </c>
      <c r="B267" s="38" t="s">
        <v>2990</v>
      </c>
      <c r="C267" s="244" t="s">
        <v>944</v>
      </c>
      <c r="D267" s="245">
        <v>0</v>
      </c>
      <c r="E267" s="246">
        <v>0</v>
      </c>
      <c r="F267" s="247">
        <f>[2]!Table323[[#This Row],[Single Family]]+[2]!Table323[[#This Row],[2-4 Units]]+[2]!Table323[[#This Row],[&gt;4 Units]]</f>
        <v>0</v>
      </c>
      <c r="J267" s="248">
        <v>0</v>
      </c>
      <c r="K267" s="247">
        <f>SUM([2]!Table323[[#This Row],[Single Family ]:[&gt;4 Units ]])</f>
        <v>0</v>
      </c>
      <c r="L267" s="249"/>
      <c r="M267" s="249"/>
      <c r="N267" s="249"/>
      <c r="O267" s="250">
        <f>[2]!Table323[[#This Row],[Incentive Disbursements]]-[2]!Table323[[#This Row],[Incentives]]</f>
        <v>0</v>
      </c>
      <c r="P267" s="158">
        <f>VLOOKUP(Table3236[[#This Row],[Census Tract]],'Population and Diversity Data'!$B$2:$K$823,10,FALSE)</f>
        <v>4</v>
      </c>
      <c r="Q267" s="159" t="str">
        <f>VLOOKUP(Table3236[[#This Row],[Census Tract]],'UI EnergyBurden'!$A$2:$B$184,2,FALSE)</f>
        <v>Yes</v>
      </c>
    </row>
    <row r="268" spans="1:17" x14ac:dyDescent="0.2">
      <c r="A268" s="38">
        <v>9009140800</v>
      </c>
      <c r="B268" s="38" t="s">
        <v>3002</v>
      </c>
      <c r="C268" s="244" t="s">
        <v>936</v>
      </c>
      <c r="D268" s="245">
        <v>0</v>
      </c>
      <c r="E268" s="246">
        <v>902.43549667221509</v>
      </c>
      <c r="F268" s="247">
        <f>[2]!Table323[[#This Row],[Single Family]]+[2]!Table323[[#This Row],[2-4 Units]]+[2]!Table323[[#This Row],[&gt;4 Units]]</f>
        <v>0</v>
      </c>
      <c r="J268" s="248">
        <v>902.43549667221509</v>
      </c>
      <c r="K268" s="247">
        <f>SUM([2]!Table323[[#This Row],[Single Family ]:[&gt;4 Units ]])</f>
        <v>0</v>
      </c>
      <c r="L268" s="249"/>
      <c r="M268" s="249"/>
      <c r="N268" s="249"/>
      <c r="O268" s="250">
        <f>[2]!Table323[[#This Row],[Incentive Disbursements]]-[2]!Table323[[#This Row],[Incentives]]</f>
        <v>0</v>
      </c>
      <c r="P268" s="158">
        <f>VLOOKUP(Table3236[[#This Row],[Census Tract]],'Population and Diversity Data'!$B$2:$K$823,10,FALSE)</f>
        <v>4</v>
      </c>
      <c r="Q268" s="159" t="str">
        <f>VLOOKUP(Table3236[[#This Row],[Census Tract]],'UI EnergyBurden'!$A$2:$B$184,2,FALSE)</f>
        <v>No</v>
      </c>
    </row>
    <row r="269" spans="1:17" x14ac:dyDescent="0.2">
      <c r="A269" s="38">
        <v>9009150500</v>
      </c>
      <c r="B269" s="38" t="s">
        <v>3002</v>
      </c>
      <c r="C269" s="244" t="s">
        <v>944</v>
      </c>
      <c r="D269" s="245">
        <v>0</v>
      </c>
      <c r="E269" s="246">
        <v>275.06840617894613</v>
      </c>
      <c r="F269" s="247">
        <f>[2]!Table323[[#This Row],[Single Family]]+[2]!Table323[[#This Row],[2-4 Units]]+[2]!Table323[[#This Row],[&gt;4 Units]]</f>
        <v>1</v>
      </c>
      <c r="G269">
        <v>1</v>
      </c>
      <c r="H269">
        <v>0</v>
      </c>
      <c r="I269">
        <v>0</v>
      </c>
      <c r="J269" s="248">
        <v>275.06840617894613</v>
      </c>
      <c r="K269" s="247">
        <f>SUM([2]!Table323[[#This Row],[Single Family ]:[&gt;4 Units ]])</f>
        <v>0</v>
      </c>
      <c r="L269" s="249"/>
      <c r="M269" s="249"/>
      <c r="N269" s="249"/>
      <c r="O269" s="250">
        <f>[2]!Table323[[#This Row],[Incentive Disbursements]]-[2]!Table323[[#This Row],[Incentives]]</f>
        <v>0</v>
      </c>
      <c r="P269" s="158">
        <f>VLOOKUP(Table3236[[#This Row],[Census Tract]],'Population and Diversity Data'!$B$2:$K$823,10,FALSE)</f>
        <v>2</v>
      </c>
      <c r="Q269" s="159" t="str">
        <f>VLOOKUP(Table3236[[#This Row],[Census Tract]],'UI EnergyBurden'!$A$2:$B$184,2,FALSE)</f>
        <v>No</v>
      </c>
    </row>
    <row r="270" spans="1:17" x14ac:dyDescent="0.2">
      <c r="A270" s="38">
        <v>9001070400</v>
      </c>
      <c r="B270" s="38" t="s">
        <v>956</v>
      </c>
      <c r="C270" s="244" t="s">
        <v>936</v>
      </c>
      <c r="D270" s="245">
        <v>50.864100000000001</v>
      </c>
      <c r="E270" s="246">
        <v>0</v>
      </c>
      <c r="F270" s="247">
        <f>[2]!Table323[[#This Row],[Single Family]]+[2]!Table323[[#This Row],[2-4 Units]]+[2]!Table323[[#This Row],[&gt;4 Units]]</f>
        <v>0</v>
      </c>
      <c r="J270" s="248">
        <v>0</v>
      </c>
      <c r="K270" s="247">
        <f>SUM([2]!Table323[[#This Row],[Single Family ]:[&gt;4 Units ]])</f>
        <v>0</v>
      </c>
      <c r="L270" s="249"/>
      <c r="M270" s="249"/>
      <c r="N270" s="249"/>
      <c r="O270" s="250">
        <f>[2]!Table323[[#This Row],[Incentive Disbursements]]-[2]!Table323[[#This Row],[Incentives]]</f>
        <v>0</v>
      </c>
      <c r="P270" s="158">
        <f>VLOOKUP(Table3236[[#This Row],[Census Tract]],'Population and Diversity Data'!$B$2:$K$823,10,FALSE)</f>
        <v>5</v>
      </c>
      <c r="Q270" s="159" t="str">
        <f>VLOOKUP(Table3236[[#This Row],[Census Tract]],'UI EnergyBurden'!$A$2:$B$184,2,FALSE)</f>
        <v>Yes</v>
      </c>
    </row>
    <row r="271" spans="1:17" x14ac:dyDescent="0.2">
      <c r="A271" s="38">
        <v>9001072900</v>
      </c>
      <c r="B271" s="38" t="s">
        <v>956</v>
      </c>
      <c r="C271" s="244" t="s">
        <v>944</v>
      </c>
      <c r="D271" s="245">
        <v>18.556000000000001</v>
      </c>
      <c r="E271" s="246">
        <v>0</v>
      </c>
      <c r="F271" s="247">
        <f>[2]!Table323[[#This Row],[Single Family]]+[2]!Table323[[#This Row],[2-4 Units]]+[2]!Table323[[#This Row],[&gt;4 Units]]</f>
        <v>0</v>
      </c>
      <c r="J271" s="248">
        <v>0</v>
      </c>
      <c r="K271" s="247">
        <f>SUM([2]!Table323[[#This Row],[Single Family ]:[&gt;4 Units ]])</f>
        <v>0</v>
      </c>
      <c r="L271" s="249"/>
      <c r="M271" s="249"/>
      <c r="N271" s="249"/>
      <c r="O271" s="250">
        <f>[2]!Table323[[#This Row],[Incentive Disbursements]]-[2]!Table323[[#This Row],[Incentives]]</f>
        <v>0</v>
      </c>
      <c r="P271" s="158">
        <f>VLOOKUP(Table3236[[#This Row],[Census Tract]],'Population and Diversity Data'!$B$2:$K$823,10,FALSE)</f>
        <v>4</v>
      </c>
      <c r="Q271" s="159" t="str">
        <f>VLOOKUP(Table3236[[#This Row],[Census Tract]],'UI EnergyBurden'!$A$2:$B$184,2,FALSE)</f>
        <v>No</v>
      </c>
    </row>
    <row r="272" spans="1:17" x14ac:dyDescent="0.2">
      <c r="A272" s="38">
        <v>9001073200</v>
      </c>
      <c r="B272" s="38" t="s">
        <v>956</v>
      </c>
      <c r="C272" s="244" t="s">
        <v>944</v>
      </c>
      <c r="D272" s="245">
        <v>37.274000000000001</v>
      </c>
      <c r="E272" s="246">
        <v>0</v>
      </c>
      <c r="F272" s="247">
        <f>[2]!Table323[[#This Row],[Single Family]]+[2]!Table323[[#This Row],[2-4 Units]]+[2]!Table323[[#This Row],[&gt;4 Units]]</f>
        <v>0</v>
      </c>
      <c r="J272" s="248">
        <v>0</v>
      </c>
      <c r="K272" s="247">
        <f>SUM([2]!Table323[[#This Row],[Single Family ]:[&gt;4 Units ]])</f>
        <v>0</v>
      </c>
      <c r="L272" s="249"/>
      <c r="M272" s="249"/>
      <c r="N272" s="249"/>
      <c r="O272" s="250">
        <f>[2]!Table323[[#This Row],[Incentive Disbursements]]-[2]!Table323[[#This Row],[Incentives]]</f>
        <v>0</v>
      </c>
      <c r="P272" s="158">
        <f>VLOOKUP(Table3236[[#This Row],[Census Tract]],'Population and Diversity Data'!$B$2:$K$823,10,FALSE)</f>
        <v>5</v>
      </c>
      <c r="Q272" s="159" t="str">
        <f>VLOOKUP(Table3236[[#This Row],[Census Tract]],'UI EnergyBurden'!$A$2:$B$184,2,FALSE)</f>
        <v>No</v>
      </c>
    </row>
    <row r="273" spans="1:17" x14ac:dyDescent="0.2">
      <c r="A273" s="38">
        <v>9001073700</v>
      </c>
      <c r="B273" s="38" t="s">
        <v>956</v>
      </c>
      <c r="C273" s="244" t="s">
        <v>936</v>
      </c>
      <c r="D273" s="245">
        <v>0</v>
      </c>
      <c r="E273" s="246">
        <v>0</v>
      </c>
      <c r="F273" s="247">
        <f>[2]!Table323[[#This Row],[Single Family]]+[2]!Table323[[#This Row],[2-4 Units]]+[2]!Table323[[#This Row],[&gt;4 Units]]</f>
        <v>0</v>
      </c>
      <c r="J273" s="248">
        <v>0</v>
      </c>
      <c r="K273" s="247">
        <f>SUM([2]!Table323[[#This Row],[Single Family ]:[&gt;4 Units ]])</f>
        <v>0</v>
      </c>
      <c r="L273" s="249"/>
      <c r="M273" s="249"/>
      <c r="N273" s="249"/>
      <c r="O273" s="250">
        <f>[2]!Table323[[#This Row],[Incentive Disbursements]]-[2]!Table323[[#This Row],[Incentives]]</f>
        <v>0</v>
      </c>
      <c r="P273" s="158">
        <f>VLOOKUP(Table3236[[#This Row],[Census Tract]],'Population and Diversity Data'!$B$2:$K$823,10,FALSE)</f>
        <v>5</v>
      </c>
      <c r="Q273" s="159" t="str">
        <f>VLOOKUP(Table3236[[#This Row],[Census Tract]],'UI EnergyBurden'!$A$2:$B$184,2,FALSE)</f>
        <v>Yes</v>
      </c>
    </row>
    <row r="274" spans="1:17" x14ac:dyDescent="0.2">
      <c r="A274" s="38">
        <v>9001074300</v>
      </c>
      <c r="B274" s="38" t="s">
        <v>956</v>
      </c>
      <c r="C274" s="244" t="s">
        <v>936</v>
      </c>
      <c r="D274" s="245">
        <v>69.194299999999998</v>
      </c>
      <c r="E274" s="246">
        <v>0</v>
      </c>
      <c r="F274" s="247">
        <f>[2]!Table323[[#This Row],[Single Family]]+[2]!Table323[[#This Row],[2-4 Units]]+[2]!Table323[[#This Row],[&gt;4 Units]]</f>
        <v>0</v>
      </c>
      <c r="J274" s="248">
        <v>0</v>
      </c>
      <c r="K274" s="247">
        <f>SUM([2]!Table323[[#This Row],[Single Family ]:[&gt;4 Units ]])</f>
        <v>0</v>
      </c>
      <c r="L274" s="249"/>
      <c r="M274" s="249"/>
      <c r="N274" s="249"/>
      <c r="O274" s="250">
        <f>[2]!Table323[[#This Row],[Incentive Disbursements]]-[2]!Table323[[#This Row],[Incentives]]</f>
        <v>0</v>
      </c>
      <c r="P274" s="158">
        <f>VLOOKUP(Table3236[[#This Row],[Census Tract]],'Population and Diversity Data'!$B$2:$K$823,10,FALSE)</f>
        <v>5</v>
      </c>
      <c r="Q274" s="159" t="str">
        <f>VLOOKUP(Table3236[[#This Row],[Census Tract]],'UI EnergyBurden'!$A$2:$B$184,2,FALSE)</f>
        <v>Yes</v>
      </c>
    </row>
    <row r="275" spans="1:17" x14ac:dyDescent="0.2">
      <c r="A275" s="38">
        <v>9001080100</v>
      </c>
      <c r="B275" s="38" t="s">
        <v>956</v>
      </c>
      <c r="C275" s="244" t="s">
        <v>944</v>
      </c>
      <c r="D275" s="245">
        <v>59251.9010000001</v>
      </c>
      <c r="E275" s="246">
        <v>37022.553489558923</v>
      </c>
      <c r="F275" s="247">
        <f>[2]!Table323[[#This Row],[Single Family]]+[2]!Table323[[#This Row],[2-4 Units]]+[2]!Table323[[#This Row],[&gt;4 Units]]</f>
        <v>22</v>
      </c>
      <c r="G275">
        <v>20</v>
      </c>
      <c r="H275">
        <v>2</v>
      </c>
      <c r="I275">
        <v>0</v>
      </c>
      <c r="J275" s="248">
        <v>17795.518707326009</v>
      </c>
      <c r="K275" s="247">
        <f>SUM([2]!Table323[[#This Row],[Single Family ]:[&gt;4 Units ]])</f>
        <v>19</v>
      </c>
      <c r="L275" s="249">
        <v>16</v>
      </c>
      <c r="M275" s="249">
        <v>3</v>
      </c>
      <c r="N275" s="249">
        <v>0</v>
      </c>
      <c r="O275" s="250">
        <f>[2]!Table323[[#This Row],[Incentive Disbursements]]-[2]!Table323[[#This Row],[Incentives]]</f>
        <v>19227.034782232913</v>
      </c>
      <c r="P275" s="158">
        <f>VLOOKUP(Table3236[[#This Row],[Census Tract]],'Population and Diversity Data'!$B$2:$K$823,10,FALSE)</f>
        <v>5</v>
      </c>
      <c r="Q275" s="159" t="str">
        <f>VLOOKUP(Table3236[[#This Row],[Census Tract]],'UI EnergyBurden'!$A$2:$B$184,2,FALSE)</f>
        <v>No</v>
      </c>
    </row>
    <row r="276" spans="1:17" x14ac:dyDescent="0.2">
      <c r="A276" s="38">
        <v>9001080200</v>
      </c>
      <c r="B276" s="38" t="s">
        <v>956</v>
      </c>
      <c r="C276" s="244" t="s">
        <v>944</v>
      </c>
      <c r="D276" s="245">
        <v>57737.786099999903</v>
      </c>
      <c r="E276" s="246">
        <v>53122.323284176477</v>
      </c>
      <c r="F276" s="247">
        <f>[2]!Table323[[#This Row],[Single Family]]+[2]!Table323[[#This Row],[2-4 Units]]+[2]!Table323[[#This Row],[&gt;4 Units]]</f>
        <v>17</v>
      </c>
      <c r="G276">
        <v>15</v>
      </c>
      <c r="H276">
        <v>2</v>
      </c>
      <c r="I276">
        <v>0</v>
      </c>
      <c r="J276" s="248">
        <v>6898.4394289961465</v>
      </c>
      <c r="K276" s="247">
        <f>SUM([2]!Table323[[#This Row],[Single Family ]:[&gt;4 Units ]])</f>
        <v>26</v>
      </c>
      <c r="L276" s="249">
        <v>20</v>
      </c>
      <c r="M276" s="249">
        <v>6</v>
      </c>
      <c r="N276" s="249">
        <v>0</v>
      </c>
      <c r="O276" s="250">
        <f>[2]!Table323[[#This Row],[Incentive Disbursements]]-[2]!Table323[[#This Row],[Incentives]]</f>
        <v>46223.883855180327</v>
      </c>
      <c r="P276" s="158">
        <f>VLOOKUP(Table3236[[#This Row],[Census Tract]],'Population and Diversity Data'!$B$2:$K$823,10,FALSE)</f>
        <v>4</v>
      </c>
      <c r="Q276" s="159" t="str">
        <f>VLOOKUP(Table3236[[#This Row],[Census Tract]],'UI EnergyBurden'!$A$2:$B$184,2,FALSE)</f>
        <v>No</v>
      </c>
    </row>
    <row r="277" spans="1:17" x14ac:dyDescent="0.2">
      <c r="A277" s="38">
        <v>9001080400</v>
      </c>
      <c r="B277" s="38" t="s">
        <v>956</v>
      </c>
      <c r="C277" s="244" t="s">
        <v>944</v>
      </c>
      <c r="D277" s="245">
        <v>78832.451199999996</v>
      </c>
      <c r="E277" s="246">
        <v>29930.870136326874</v>
      </c>
      <c r="F277" s="247">
        <f>[2]!Table323[[#This Row],[Single Family]]+[2]!Table323[[#This Row],[2-4 Units]]+[2]!Table323[[#This Row],[&gt;4 Units]]</f>
        <v>14</v>
      </c>
      <c r="G277">
        <v>13</v>
      </c>
      <c r="H277">
        <v>1</v>
      </c>
      <c r="I277">
        <v>0</v>
      </c>
      <c r="J277" s="248">
        <v>4472.3842152250691</v>
      </c>
      <c r="K277" s="247">
        <f>SUM([2]!Table323[[#This Row],[Single Family ]:[&gt;4 Units ]])</f>
        <v>27</v>
      </c>
      <c r="L277" s="249">
        <v>15</v>
      </c>
      <c r="M277" s="249">
        <v>12</v>
      </c>
      <c r="N277" s="249">
        <v>0</v>
      </c>
      <c r="O277" s="250">
        <f>[2]!Table323[[#This Row],[Incentive Disbursements]]-[2]!Table323[[#This Row],[Incentives]]</f>
        <v>25458.485921101805</v>
      </c>
      <c r="P277" s="158">
        <f>VLOOKUP(Table3236[[#This Row],[Census Tract]],'Population and Diversity Data'!$B$2:$K$823,10,FALSE)</f>
        <v>3</v>
      </c>
      <c r="Q277" s="159" t="str">
        <f>VLOOKUP(Table3236[[#This Row],[Census Tract]],'UI EnergyBurden'!$A$2:$B$184,2,FALSE)</f>
        <v>No</v>
      </c>
    </row>
    <row r="278" spans="1:17" x14ac:dyDescent="0.2">
      <c r="A278" s="38">
        <v>9001080500</v>
      </c>
      <c r="B278" s="38" t="s">
        <v>956</v>
      </c>
      <c r="C278" s="244" t="s">
        <v>944</v>
      </c>
      <c r="D278" s="245">
        <v>67513.527999999904</v>
      </c>
      <c r="E278" s="246">
        <v>17937.794112576605</v>
      </c>
      <c r="F278" s="247">
        <f>[2]!Table323[[#This Row],[Single Family]]+[2]!Table323[[#This Row],[2-4 Units]]+[2]!Table323[[#This Row],[&gt;4 Units]]</f>
        <v>17</v>
      </c>
      <c r="G278">
        <v>16</v>
      </c>
      <c r="H278">
        <v>1</v>
      </c>
      <c r="I278">
        <v>0</v>
      </c>
      <c r="J278" s="248">
        <v>16780.843449057324</v>
      </c>
      <c r="K278" s="247">
        <f>SUM([2]!Table323[[#This Row],[Single Family ]:[&gt;4 Units ]])</f>
        <v>1</v>
      </c>
      <c r="L278" s="249">
        <v>1</v>
      </c>
      <c r="M278" s="249">
        <v>0</v>
      </c>
      <c r="N278" s="249">
        <v>0</v>
      </c>
      <c r="O278" s="250">
        <f>[2]!Table323[[#This Row],[Incentive Disbursements]]-[2]!Table323[[#This Row],[Incentives]]</f>
        <v>1156.9506635192811</v>
      </c>
      <c r="P278" s="158">
        <f>VLOOKUP(Table3236[[#This Row],[Census Tract]],'Population and Diversity Data'!$B$2:$K$823,10,FALSE)</f>
        <v>1</v>
      </c>
      <c r="Q278" s="159" t="str">
        <f>VLOOKUP(Table3236[[#This Row],[Census Tract]],'UI EnergyBurden'!$A$2:$B$184,2,FALSE)</f>
        <v>No</v>
      </c>
    </row>
    <row r="279" spans="1:17" x14ac:dyDescent="0.2">
      <c r="A279" s="38">
        <v>9001080600</v>
      </c>
      <c r="B279" s="38" t="s">
        <v>956</v>
      </c>
      <c r="C279" s="244" t="s">
        <v>944</v>
      </c>
      <c r="D279" s="245">
        <v>43535.777800000098</v>
      </c>
      <c r="E279" s="246">
        <v>16970.847078216633</v>
      </c>
      <c r="F279" s="247">
        <f>[2]!Table323[[#This Row],[Single Family]]+[2]!Table323[[#This Row],[2-4 Units]]+[2]!Table323[[#This Row],[&gt;4 Units]]</f>
        <v>8</v>
      </c>
      <c r="G279">
        <v>7</v>
      </c>
      <c r="H279">
        <v>1</v>
      </c>
      <c r="I279">
        <v>0</v>
      </c>
      <c r="J279" s="248">
        <v>3514.777827386898</v>
      </c>
      <c r="K279" s="247">
        <f>SUM([2]!Table323[[#This Row],[Single Family ]:[&gt;4 Units ]])</f>
        <v>5</v>
      </c>
      <c r="L279" s="249">
        <v>5</v>
      </c>
      <c r="M279" s="249">
        <v>0</v>
      </c>
      <c r="N279" s="249">
        <v>0</v>
      </c>
      <c r="O279" s="250">
        <f>[2]!Table323[[#This Row],[Incentive Disbursements]]-[2]!Table323[[#This Row],[Incentives]]</f>
        <v>13456.069250829736</v>
      </c>
      <c r="P279" s="158">
        <f>VLOOKUP(Table3236[[#This Row],[Census Tract]],'Population and Diversity Data'!$B$2:$K$823,10,FALSE)</f>
        <v>2</v>
      </c>
      <c r="Q279" s="159" t="str">
        <f>VLOOKUP(Table3236[[#This Row],[Census Tract]],'UI EnergyBurden'!$A$2:$B$184,2,FALSE)</f>
        <v>No</v>
      </c>
    </row>
    <row r="280" spans="1:17" x14ac:dyDescent="0.2">
      <c r="A280" s="38">
        <v>9001080700</v>
      </c>
      <c r="B280" s="38" t="s">
        <v>956</v>
      </c>
      <c r="C280" s="244" t="s">
        <v>944</v>
      </c>
      <c r="D280" s="245">
        <v>36457.738700000104</v>
      </c>
      <c r="E280" s="246">
        <v>5276.0600548075745</v>
      </c>
      <c r="F280" s="247">
        <f>[2]!Table323[[#This Row],[Single Family]]+[2]!Table323[[#This Row],[2-4 Units]]+[2]!Table323[[#This Row],[&gt;4 Units]]</f>
        <v>12</v>
      </c>
      <c r="G280">
        <v>12</v>
      </c>
      <c r="H280">
        <v>0</v>
      </c>
      <c r="I280">
        <v>0</v>
      </c>
      <c r="J280" s="248">
        <v>5063.076781992866</v>
      </c>
      <c r="K280" s="247">
        <f>SUM([2]!Table323[[#This Row],[Single Family ]:[&gt;4 Units ]])</f>
        <v>3</v>
      </c>
      <c r="L280" s="249">
        <v>2</v>
      </c>
      <c r="M280" s="249">
        <v>1</v>
      </c>
      <c r="N280" s="249">
        <v>0</v>
      </c>
      <c r="O280" s="250">
        <f>[2]!Table323[[#This Row],[Incentive Disbursements]]-[2]!Table323[[#This Row],[Incentives]]</f>
        <v>212.98327281470847</v>
      </c>
      <c r="P280" s="158">
        <f>VLOOKUP(Table3236[[#This Row],[Census Tract]],'Population and Diversity Data'!$B$2:$K$823,10,FALSE)</f>
        <v>1</v>
      </c>
      <c r="Q280" s="159" t="str">
        <f>VLOOKUP(Table3236[[#This Row],[Census Tract]],'UI EnergyBurden'!$A$2:$B$184,2,FALSE)</f>
        <v>No</v>
      </c>
    </row>
    <row r="281" spans="1:17" x14ac:dyDescent="0.2">
      <c r="A281" s="38">
        <v>9001080800</v>
      </c>
      <c r="B281" s="38" t="s">
        <v>956</v>
      </c>
      <c r="C281" s="244" t="s">
        <v>944</v>
      </c>
      <c r="D281" s="245">
        <v>81784.641399999906</v>
      </c>
      <c r="E281" s="246">
        <v>30360.837454448811</v>
      </c>
      <c r="F281" s="247">
        <f>[2]!Table323[[#This Row],[Single Family]]+[2]!Table323[[#This Row],[2-4 Units]]+[2]!Table323[[#This Row],[&gt;4 Units]]</f>
        <v>32</v>
      </c>
      <c r="G281">
        <v>32</v>
      </c>
      <c r="H281">
        <v>0</v>
      </c>
      <c r="I281">
        <v>0</v>
      </c>
      <c r="J281" s="248">
        <v>20905.110861079775</v>
      </c>
      <c r="K281" s="247">
        <f>SUM([2]!Table323[[#This Row],[Single Family ]:[&gt;4 Units ]])</f>
        <v>8</v>
      </c>
      <c r="L281" s="249">
        <v>7</v>
      </c>
      <c r="M281" s="249">
        <v>1</v>
      </c>
      <c r="N281" s="249">
        <v>0</v>
      </c>
      <c r="O281" s="250">
        <f>[2]!Table323[[#This Row],[Incentive Disbursements]]-[2]!Table323[[#This Row],[Incentives]]</f>
        <v>9455.726593369036</v>
      </c>
      <c r="P281" s="158">
        <f>VLOOKUP(Table3236[[#This Row],[Census Tract]],'Population and Diversity Data'!$B$2:$K$823,10,FALSE)</f>
        <v>2</v>
      </c>
      <c r="Q281" s="159" t="str">
        <f>VLOOKUP(Table3236[[#This Row],[Census Tract]],'UI EnergyBurden'!$A$2:$B$184,2,FALSE)</f>
        <v>No</v>
      </c>
    </row>
    <row r="282" spans="1:17" x14ac:dyDescent="0.2">
      <c r="A282" s="38">
        <v>9001080900</v>
      </c>
      <c r="B282" s="38" t="s">
        <v>956</v>
      </c>
      <c r="C282" s="244" t="s">
        <v>944</v>
      </c>
      <c r="D282" s="245">
        <v>79381.614400000093</v>
      </c>
      <c r="E282" s="246">
        <v>76383.459308290461</v>
      </c>
      <c r="F282" s="247">
        <f>[2]!Table323[[#This Row],[Single Family]]+[2]!Table323[[#This Row],[2-4 Units]]+[2]!Table323[[#This Row],[&gt;4 Units]]</f>
        <v>37</v>
      </c>
      <c r="G282">
        <v>35</v>
      </c>
      <c r="H282">
        <v>2</v>
      </c>
      <c r="I282">
        <v>0</v>
      </c>
      <c r="J282" s="248">
        <v>23625.024467638359</v>
      </c>
      <c r="K282" s="247">
        <f>SUM([2]!Table323[[#This Row],[Single Family ]:[&gt;4 Units ]])</f>
        <v>13</v>
      </c>
      <c r="L282" s="249">
        <v>13</v>
      </c>
      <c r="M282" s="249">
        <v>0</v>
      </c>
      <c r="N282" s="249">
        <v>0</v>
      </c>
      <c r="O282" s="250">
        <f>[2]!Table323[[#This Row],[Incentive Disbursements]]-[2]!Table323[[#This Row],[Incentives]]</f>
        <v>52758.434840652102</v>
      </c>
      <c r="P282" s="158">
        <f>VLOOKUP(Table3236[[#This Row],[Census Tract]],'Population and Diversity Data'!$B$2:$K$823,10,FALSE)</f>
        <v>4</v>
      </c>
      <c r="Q282" s="159" t="str">
        <f>VLOOKUP(Table3236[[#This Row],[Census Tract]],'UI EnergyBurden'!$A$2:$B$184,2,FALSE)</f>
        <v>No</v>
      </c>
    </row>
    <row r="283" spans="1:17" x14ac:dyDescent="0.2">
      <c r="A283" s="38">
        <v>9001081000</v>
      </c>
      <c r="B283" s="38" t="s">
        <v>956</v>
      </c>
      <c r="C283" s="244" t="s">
        <v>944</v>
      </c>
      <c r="D283" s="245">
        <v>69046.922199999899</v>
      </c>
      <c r="E283" s="246">
        <v>52988.859497680074</v>
      </c>
      <c r="F283" s="247">
        <f>[2]!Table323[[#This Row],[Single Family]]+[2]!Table323[[#This Row],[2-4 Units]]+[2]!Table323[[#This Row],[&gt;4 Units]]</f>
        <v>22</v>
      </c>
      <c r="G283">
        <v>22</v>
      </c>
      <c r="H283">
        <v>0</v>
      </c>
      <c r="I283">
        <v>0</v>
      </c>
      <c r="J283" s="248">
        <v>17631.652356309995</v>
      </c>
      <c r="K283" s="247">
        <f>SUM([2]!Table323[[#This Row],[Single Family ]:[&gt;4 Units ]])</f>
        <v>24</v>
      </c>
      <c r="L283" s="249">
        <v>19</v>
      </c>
      <c r="M283" s="249">
        <v>5</v>
      </c>
      <c r="N283" s="249">
        <v>0</v>
      </c>
      <c r="O283" s="250">
        <f>[2]!Table323[[#This Row],[Incentive Disbursements]]-[2]!Table323[[#This Row],[Incentives]]</f>
        <v>35357.207141370076</v>
      </c>
      <c r="P283" s="158">
        <f>VLOOKUP(Table3236[[#This Row],[Census Tract]],'Population and Diversity Data'!$B$2:$K$823,10,FALSE)</f>
        <v>2</v>
      </c>
      <c r="Q283" s="159" t="str">
        <f>VLOOKUP(Table3236[[#This Row],[Census Tract]],'UI EnergyBurden'!$A$2:$B$184,2,FALSE)</f>
        <v>No</v>
      </c>
    </row>
    <row r="284" spans="1:17" x14ac:dyDescent="0.2">
      <c r="A284" s="38">
        <v>9001081100</v>
      </c>
      <c r="B284" s="38" t="s">
        <v>956</v>
      </c>
      <c r="C284" s="244" t="s">
        <v>944</v>
      </c>
      <c r="D284" s="245">
        <v>77966.711299999995</v>
      </c>
      <c r="E284" s="246">
        <v>63960.035727710274</v>
      </c>
      <c r="F284" s="247">
        <f>[2]!Table323[[#This Row],[Single Family]]+[2]!Table323[[#This Row],[2-4 Units]]+[2]!Table323[[#This Row],[&gt;4 Units]]</f>
        <v>21</v>
      </c>
      <c r="G284">
        <v>21</v>
      </c>
      <c r="H284">
        <v>0</v>
      </c>
      <c r="I284">
        <v>0</v>
      </c>
      <c r="J284" s="248">
        <v>19176.016666894386</v>
      </c>
      <c r="K284" s="247">
        <f>SUM([2]!Table323[[#This Row],[Single Family ]:[&gt;4 Units ]])</f>
        <v>11</v>
      </c>
      <c r="L284" s="249">
        <v>11</v>
      </c>
      <c r="M284" s="249">
        <v>0</v>
      </c>
      <c r="N284" s="249">
        <v>0</v>
      </c>
      <c r="O284" s="250">
        <f>[2]!Table323[[#This Row],[Incentive Disbursements]]-[2]!Table323[[#This Row],[Incentives]]</f>
        <v>44784.019060815888</v>
      </c>
      <c r="P284" s="158">
        <f>VLOOKUP(Table3236[[#This Row],[Census Tract]],'Population and Diversity Data'!$B$2:$K$823,10,FALSE)</f>
        <v>1</v>
      </c>
      <c r="Q284" s="159" t="str">
        <f>VLOOKUP(Table3236[[#This Row],[Census Tract]],'UI EnergyBurden'!$A$2:$B$184,2,FALSE)</f>
        <v>No</v>
      </c>
    </row>
    <row r="285" spans="1:17" x14ac:dyDescent="0.2">
      <c r="A285" s="38">
        <v>9001081200</v>
      </c>
      <c r="B285" s="38" t="s">
        <v>956</v>
      </c>
      <c r="C285" s="244" t="s">
        <v>944</v>
      </c>
      <c r="D285" s="245">
        <v>102590.0885</v>
      </c>
      <c r="E285" s="246">
        <v>68814.196137851919</v>
      </c>
      <c r="F285" s="247">
        <f>[2]!Table323[[#This Row],[Single Family]]+[2]!Table323[[#This Row],[2-4 Units]]+[2]!Table323[[#This Row],[&gt;4 Units]]</f>
        <v>40</v>
      </c>
      <c r="G285">
        <v>39</v>
      </c>
      <c r="H285">
        <v>0</v>
      </c>
      <c r="I285">
        <v>1</v>
      </c>
      <c r="J285" s="248">
        <v>57500.689345827275</v>
      </c>
      <c r="K285" s="247">
        <f>SUM([2]!Table323[[#This Row],[Single Family ]:[&gt;4 Units ]])</f>
        <v>4</v>
      </c>
      <c r="L285" s="249">
        <v>4</v>
      </c>
      <c r="M285" s="249">
        <v>0</v>
      </c>
      <c r="N285" s="249">
        <v>0</v>
      </c>
      <c r="O285" s="250">
        <f>[2]!Table323[[#This Row],[Incentive Disbursements]]-[2]!Table323[[#This Row],[Incentives]]</f>
        <v>11313.506792024644</v>
      </c>
      <c r="P285" s="158">
        <f>VLOOKUP(Table3236[[#This Row],[Census Tract]],'Population and Diversity Data'!$B$2:$K$823,10,FALSE)</f>
        <v>3</v>
      </c>
      <c r="Q285" s="159" t="str">
        <f>VLOOKUP(Table3236[[#This Row],[Census Tract]],'UI EnergyBurden'!$A$2:$B$184,2,FALSE)</f>
        <v>No</v>
      </c>
    </row>
    <row r="286" spans="1:17" x14ac:dyDescent="0.2">
      <c r="A286" s="38">
        <v>9001081300</v>
      </c>
      <c r="B286" s="38" t="s">
        <v>956</v>
      </c>
      <c r="C286" s="244" t="s">
        <v>944</v>
      </c>
      <c r="D286" s="245">
        <v>100014.4032</v>
      </c>
      <c r="E286" s="246">
        <v>27951.016780296144</v>
      </c>
      <c r="F286" s="247">
        <f>[2]!Table323[[#This Row],[Single Family]]+[2]!Table323[[#This Row],[2-4 Units]]+[2]!Table323[[#This Row],[&gt;4 Units]]</f>
        <v>15</v>
      </c>
      <c r="G286">
        <v>12</v>
      </c>
      <c r="H286">
        <v>3</v>
      </c>
      <c r="I286">
        <v>0</v>
      </c>
      <c r="J286" s="248">
        <v>20724.761988679271</v>
      </c>
      <c r="K286" s="247">
        <f>SUM([2]!Table323[[#This Row],[Single Family ]:[&gt;4 Units ]])</f>
        <v>6</v>
      </c>
      <c r="L286" s="249">
        <v>5</v>
      </c>
      <c r="M286" s="249">
        <v>1</v>
      </c>
      <c r="N286" s="249">
        <v>0</v>
      </c>
      <c r="O286" s="250">
        <f>[2]!Table323[[#This Row],[Incentive Disbursements]]-[2]!Table323[[#This Row],[Incentives]]</f>
        <v>7226.2547916168733</v>
      </c>
      <c r="P286" s="158">
        <f>VLOOKUP(Table3236[[#This Row],[Census Tract]],'Population and Diversity Data'!$B$2:$K$823,10,FALSE)</f>
        <v>4</v>
      </c>
      <c r="Q286" s="159" t="str">
        <f>VLOOKUP(Table3236[[#This Row],[Census Tract]],'UI EnergyBurden'!$A$2:$B$184,2,FALSE)</f>
        <v>No</v>
      </c>
    </row>
    <row r="287" spans="1:17" x14ac:dyDescent="0.2">
      <c r="A287" s="38">
        <v>9001090500</v>
      </c>
      <c r="B287" s="38" t="s">
        <v>956</v>
      </c>
      <c r="C287" s="244" t="s">
        <v>944</v>
      </c>
      <c r="D287" s="245">
        <v>171.0093</v>
      </c>
      <c r="E287" s="246">
        <v>0</v>
      </c>
      <c r="F287" s="247">
        <f>[2]!Table323[[#This Row],[Single Family]]+[2]!Table323[[#This Row],[2-4 Units]]+[2]!Table323[[#This Row],[&gt;4 Units]]</f>
        <v>0</v>
      </c>
      <c r="J287" s="248">
        <v>0</v>
      </c>
      <c r="K287" s="247">
        <f>SUM([2]!Table323[[#This Row],[Single Family ]:[&gt;4 Units ]])</f>
        <v>0</v>
      </c>
      <c r="L287" s="249"/>
      <c r="M287" s="249"/>
      <c r="N287" s="249"/>
      <c r="O287" s="250">
        <f>[2]!Table323[[#This Row],[Incentive Disbursements]]-[2]!Table323[[#This Row],[Incentives]]</f>
        <v>0</v>
      </c>
      <c r="P287" s="158">
        <f>VLOOKUP(Table3236[[#This Row],[Census Tract]],'Population and Diversity Data'!$B$2:$K$823,10,FALSE)</f>
        <v>3</v>
      </c>
      <c r="Q287" s="159" t="str">
        <f>VLOOKUP(Table3236[[#This Row],[Census Tract]],'UI EnergyBurden'!$A$2:$B$184,2,FALSE)</f>
        <v>No</v>
      </c>
    </row>
    <row r="288" spans="1:17" x14ac:dyDescent="0.2">
      <c r="A288" s="38">
        <v>9001110202</v>
      </c>
      <c r="B288" s="38" t="s">
        <v>956</v>
      </c>
      <c r="C288" s="244" t="s">
        <v>944</v>
      </c>
      <c r="D288" s="245">
        <v>112.0247</v>
      </c>
      <c r="E288" s="246">
        <v>0</v>
      </c>
      <c r="F288" s="247">
        <f>[2]!Table323[[#This Row],[Single Family]]+[2]!Table323[[#This Row],[2-4 Units]]+[2]!Table323[[#This Row],[&gt;4 Units]]</f>
        <v>0</v>
      </c>
      <c r="J288" s="248">
        <v>0</v>
      </c>
      <c r="K288" s="247">
        <f>SUM([2]!Table323[[#This Row],[Single Family ]:[&gt;4 Units ]])</f>
        <v>0</v>
      </c>
      <c r="L288" s="249"/>
      <c r="M288" s="249"/>
      <c r="N288" s="249"/>
      <c r="O288" s="250">
        <f>[2]!Table323[[#This Row],[Incentive Disbursements]]-[2]!Table323[[#This Row],[Incentives]]</f>
        <v>0</v>
      </c>
      <c r="P288" s="158">
        <f>VLOOKUP(Table3236[[#This Row],[Census Tract]],'Population and Diversity Data'!$B$2:$K$823,10,FALSE)</f>
        <v>2</v>
      </c>
      <c r="Q288" s="159" t="str">
        <f>VLOOKUP(Table3236[[#This Row],[Census Tract]],'UI EnergyBurden'!$A$2:$B$184,2,FALSE)</f>
        <v>No</v>
      </c>
    </row>
    <row r="289" spans="1:17" x14ac:dyDescent="0.2">
      <c r="A289" s="38">
        <v>9001110302</v>
      </c>
      <c r="B289" s="38" t="s">
        <v>956</v>
      </c>
      <c r="C289" s="244" t="s">
        <v>944</v>
      </c>
      <c r="D289" s="245">
        <v>92.837900000000005</v>
      </c>
      <c r="E289" s="246">
        <v>0</v>
      </c>
      <c r="F289" s="247">
        <f>[2]!Table323[[#This Row],[Single Family]]+[2]!Table323[[#This Row],[2-4 Units]]+[2]!Table323[[#This Row],[&gt;4 Units]]</f>
        <v>0</v>
      </c>
      <c r="J289" s="248">
        <v>0</v>
      </c>
      <c r="K289" s="247">
        <f>SUM([2]!Table323[[#This Row],[Single Family ]:[&gt;4 Units ]])</f>
        <v>0</v>
      </c>
      <c r="L289" s="249"/>
      <c r="M289" s="249"/>
      <c r="N289" s="249"/>
      <c r="O289" s="250">
        <f>[2]!Table323[[#This Row],[Incentive Disbursements]]-[2]!Table323[[#This Row],[Incentives]]</f>
        <v>0</v>
      </c>
      <c r="P289" s="158">
        <f>VLOOKUP(Table3236[[#This Row],[Census Tract]],'Population and Diversity Data'!$B$2:$K$823,10,FALSE)</f>
        <v>3</v>
      </c>
      <c r="Q289" s="159" t="str">
        <f>VLOOKUP(Table3236[[#This Row],[Census Tract]],'UI EnergyBurden'!$A$2:$B$184,2,FALSE)</f>
        <v>No</v>
      </c>
    </row>
    <row r="290" spans="1:17" x14ac:dyDescent="0.2">
      <c r="A290" s="38">
        <v>9009140800</v>
      </c>
      <c r="B290" s="38" t="s">
        <v>3003</v>
      </c>
      <c r="C290" s="244" t="s">
        <v>936</v>
      </c>
      <c r="D290" s="245">
        <v>0</v>
      </c>
      <c r="E290" s="246">
        <v>41.330294344234304</v>
      </c>
      <c r="F290" s="247">
        <f>[2]!Table323[[#This Row],[Single Family]]+[2]!Table323[[#This Row],[2-4 Units]]+[2]!Table323[[#This Row],[&gt;4 Units]]</f>
        <v>0</v>
      </c>
      <c r="J290" s="248">
        <v>41.330294344234304</v>
      </c>
      <c r="K290" s="247">
        <f>SUM([2]!Table323[[#This Row],[Single Family ]:[&gt;4 Units ]])</f>
        <v>0</v>
      </c>
      <c r="L290" s="249"/>
      <c r="M290" s="249"/>
      <c r="N290" s="249"/>
      <c r="O290" s="250">
        <f>[2]!Table323[[#This Row],[Incentive Disbursements]]-[2]!Table323[[#This Row],[Incentives]]</f>
        <v>0</v>
      </c>
      <c r="P290" s="158">
        <f>VLOOKUP(Table3236[[#This Row],[Census Tract]],'Population and Diversity Data'!$B$2:$K$823,10,FALSE)</f>
        <v>4</v>
      </c>
      <c r="Q290" s="159" t="str">
        <f>VLOOKUP(Table3236[[#This Row],[Census Tract]],'UI EnergyBurden'!$A$2:$B$184,2,FALSE)</f>
        <v>No</v>
      </c>
    </row>
    <row r="291" spans="1:17" x14ac:dyDescent="0.2">
      <c r="A291" s="38">
        <v>9001060100</v>
      </c>
      <c r="B291" s="38" t="s">
        <v>2985</v>
      </c>
      <c r="C291" s="244" t="s">
        <v>944</v>
      </c>
      <c r="D291" s="245">
        <v>0</v>
      </c>
      <c r="E291" s="246">
        <v>0</v>
      </c>
      <c r="F291" s="247">
        <f>[2]!Table323[[#This Row],[Single Family]]+[2]!Table323[[#This Row],[2-4 Units]]+[2]!Table323[[#This Row],[&gt;4 Units]]</f>
        <v>0</v>
      </c>
      <c r="J291" s="248">
        <v>0</v>
      </c>
      <c r="K291" s="247">
        <f>SUM([2]!Table323[[#This Row],[Single Family ]:[&gt;4 Units ]])</f>
        <v>0</v>
      </c>
      <c r="L291" s="249"/>
      <c r="M291" s="249"/>
      <c r="N291" s="249"/>
      <c r="O291" s="250">
        <f>[2]!Table323[[#This Row],[Incentive Disbursements]]-[2]!Table323[[#This Row],[Incentives]]</f>
        <v>0</v>
      </c>
      <c r="P291" s="158">
        <f>VLOOKUP(Table3236[[#This Row],[Census Tract]],'Population and Diversity Data'!$B$2:$K$823,10,FALSE)</f>
        <v>2</v>
      </c>
      <c r="Q291" s="159" t="str">
        <f>VLOOKUP(Table3236[[#This Row],[Census Tract]],'UI EnergyBurden'!$A$2:$B$184,2,FALSE)</f>
        <v>No</v>
      </c>
    </row>
    <row r="292" spans="1:17" x14ac:dyDescent="0.2">
      <c r="A292" s="38">
        <v>9001070200</v>
      </c>
      <c r="B292" s="38" t="s">
        <v>2987</v>
      </c>
      <c r="C292" s="244" t="s">
        <v>936</v>
      </c>
      <c r="D292" s="245">
        <v>0</v>
      </c>
      <c r="E292" s="246">
        <v>1131.984850374592</v>
      </c>
      <c r="F292" s="247">
        <f>[2]!Table323[[#This Row],[Single Family]]+[2]!Table323[[#This Row],[2-4 Units]]+[2]!Table323[[#This Row],[&gt;4 Units]]</f>
        <v>1</v>
      </c>
      <c r="G292">
        <v>1</v>
      </c>
      <c r="H292">
        <v>0</v>
      </c>
      <c r="I292">
        <v>0</v>
      </c>
      <c r="J292" s="248">
        <v>1131.984850374592</v>
      </c>
      <c r="K292" s="247">
        <f>SUM([2]!Table323[[#This Row],[Single Family ]:[&gt;4 Units ]])</f>
        <v>0</v>
      </c>
      <c r="L292" s="249"/>
      <c r="M292" s="249"/>
      <c r="N292" s="249"/>
      <c r="O292" s="250">
        <f>[2]!Table323[[#This Row],[Incentive Disbursements]]-[2]!Table323[[#This Row],[Incentives]]</f>
        <v>0</v>
      </c>
      <c r="P292" s="158">
        <f>VLOOKUP(Table3236[[#This Row],[Census Tract]],'Population and Diversity Data'!$B$2:$K$823,10,FALSE)</f>
        <v>4</v>
      </c>
      <c r="Q292" s="159" t="str">
        <f>VLOOKUP(Table3236[[#This Row],[Census Tract]],'UI EnergyBurden'!$A$2:$B$184,2,FALSE)</f>
        <v>No</v>
      </c>
    </row>
    <row r="293" spans="1:17" x14ac:dyDescent="0.2">
      <c r="A293" s="38">
        <v>9001072600</v>
      </c>
      <c r="B293" s="38" t="s">
        <v>2985</v>
      </c>
      <c r="C293" s="244" t="s">
        <v>944</v>
      </c>
      <c r="D293" s="245">
        <v>41.979599999999998</v>
      </c>
      <c r="E293" s="246">
        <v>0</v>
      </c>
      <c r="F293" s="247">
        <f>[2]!Table323[[#This Row],[Single Family]]+[2]!Table323[[#This Row],[2-4 Units]]+[2]!Table323[[#This Row],[&gt;4 Units]]</f>
        <v>0</v>
      </c>
      <c r="J293" s="248">
        <v>0</v>
      </c>
      <c r="K293" s="247">
        <f>SUM([2]!Table323[[#This Row],[Single Family ]:[&gt;4 Units ]])</f>
        <v>0</v>
      </c>
      <c r="L293" s="249"/>
      <c r="M293" s="249"/>
      <c r="N293" s="249"/>
      <c r="O293" s="250">
        <f>[2]!Table323[[#This Row],[Incentive Disbursements]]-[2]!Table323[[#This Row],[Incentives]]</f>
        <v>0</v>
      </c>
      <c r="P293" s="158">
        <f>VLOOKUP(Table3236[[#This Row],[Census Tract]],'Population and Diversity Data'!$B$2:$K$823,10,FALSE)</f>
        <v>3</v>
      </c>
      <c r="Q293" s="159" t="str">
        <f>VLOOKUP(Table3236[[#This Row],[Census Tract]],'UI EnergyBurden'!$A$2:$B$184,2,FALSE)</f>
        <v>No</v>
      </c>
    </row>
    <row r="294" spans="1:17" x14ac:dyDescent="0.2">
      <c r="A294" s="38">
        <v>9001072700</v>
      </c>
      <c r="B294" s="38" t="s">
        <v>2985</v>
      </c>
      <c r="C294" s="244" t="s">
        <v>944</v>
      </c>
      <c r="D294" s="245">
        <v>284.05279999999999</v>
      </c>
      <c r="E294" s="246">
        <v>0</v>
      </c>
      <c r="F294" s="247">
        <f>[2]!Table323[[#This Row],[Single Family]]+[2]!Table323[[#This Row],[2-4 Units]]+[2]!Table323[[#This Row],[&gt;4 Units]]</f>
        <v>0</v>
      </c>
      <c r="J294" s="248">
        <v>0</v>
      </c>
      <c r="K294" s="247">
        <f>SUM([2]!Table323[[#This Row],[Single Family ]:[&gt;4 Units ]])</f>
        <v>0</v>
      </c>
      <c r="L294" s="249"/>
      <c r="M294" s="249"/>
      <c r="N294" s="249"/>
      <c r="O294" s="250">
        <f>[2]!Table323[[#This Row],[Incentive Disbursements]]-[2]!Table323[[#This Row],[Incentives]]</f>
        <v>0</v>
      </c>
      <c r="P294" s="158">
        <f>VLOOKUP(Table3236[[#This Row],[Census Tract]],'Population and Diversity Data'!$B$2:$K$823,10,FALSE)</f>
        <v>4</v>
      </c>
      <c r="Q294" s="159" t="str">
        <f>VLOOKUP(Table3236[[#This Row],[Census Tract]],'UI EnergyBurden'!$A$2:$B$184,2,FALSE)</f>
        <v>No</v>
      </c>
    </row>
    <row r="295" spans="1:17" x14ac:dyDescent="0.2">
      <c r="A295" s="38">
        <v>9001072900</v>
      </c>
      <c r="B295" s="38" t="s">
        <v>2985</v>
      </c>
      <c r="C295" s="244" t="s">
        <v>944</v>
      </c>
      <c r="D295" s="245">
        <v>78.866</v>
      </c>
      <c r="E295" s="246">
        <v>0</v>
      </c>
      <c r="F295" s="247">
        <f>[2]!Table323[[#This Row],[Single Family]]+[2]!Table323[[#This Row],[2-4 Units]]+[2]!Table323[[#This Row],[&gt;4 Units]]</f>
        <v>0</v>
      </c>
      <c r="J295" s="248">
        <v>0</v>
      </c>
      <c r="K295" s="247">
        <f>SUM([2]!Table323[[#This Row],[Single Family ]:[&gt;4 Units ]])</f>
        <v>0</v>
      </c>
      <c r="L295" s="249"/>
      <c r="M295" s="249"/>
      <c r="N295" s="249"/>
      <c r="O295" s="250">
        <f>[2]!Table323[[#This Row],[Incentive Disbursements]]-[2]!Table323[[#This Row],[Incentives]]</f>
        <v>0</v>
      </c>
      <c r="P295" s="158">
        <f>VLOOKUP(Table3236[[#This Row],[Census Tract]],'Population and Diversity Data'!$B$2:$K$823,10,FALSE)</f>
        <v>4</v>
      </c>
      <c r="Q295" s="159" t="str">
        <f>VLOOKUP(Table3236[[#This Row],[Census Tract]],'UI EnergyBurden'!$A$2:$B$184,2,FALSE)</f>
        <v>No</v>
      </c>
    </row>
    <row r="296" spans="1:17" x14ac:dyDescent="0.2">
      <c r="A296" s="38">
        <v>9001073000</v>
      </c>
      <c r="B296" s="38" t="s">
        <v>2985</v>
      </c>
      <c r="C296" s="244" t="s">
        <v>944</v>
      </c>
      <c r="D296" s="245">
        <v>118.6635</v>
      </c>
      <c r="E296" s="246">
        <v>0</v>
      </c>
      <c r="F296" s="247">
        <f>[2]!Table323[[#This Row],[Single Family]]+[2]!Table323[[#This Row],[2-4 Units]]+[2]!Table323[[#This Row],[&gt;4 Units]]</f>
        <v>0</v>
      </c>
      <c r="J296" s="248">
        <v>0</v>
      </c>
      <c r="K296" s="247">
        <f>SUM([2]!Table323[[#This Row],[Single Family ]:[&gt;4 Units ]])</f>
        <v>0</v>
      </c>
      <c r="L296" s="249"/>
      <c r="M296" s="249"/>
      <c r="N296" s="249"/>
      <c r="O296" s="250">
        <f>[2]!Table323[[#This Row],[Incentive Disbursements]]-[2]!Table323[[#This Row],[Incentives]]</f>
        <v>0</v>
      </c>
      <c r="P296" s="158">
        <f>VLOOKUP(Table3236[[#This Row],[Census Tract]],'Population and Diversity Data'!$B$2:$K$823,10,FALSE)</f>
        <v>4</v>
      </c>
      <c r="Q296" s="159" t="str">
        <f>VLOOKUP(Table3236[[#This Row],[Census Tract]],'UI EnergyBurden'!$A$2:$B$184,2,FALSE)</f>
        <v>No</v>
      </c>
    </row>
    <row r="297" spans="1:17" x14ac:dyDescent="0.2">
      <c r="A297" s="38">
        <v>9001073100</v>
      </c>
      <c r="B297" s="38" t="s">
        <v>2985</v>
      </c>
      <c r="C297" s="244" t="s">
        <v>936</v>
      </c>
      <c r="D297" s="245">
        <v>99.9512</v>
      </c>
      <c r="E297" s="246">
        <v>0</v>
      </c>
      <c r="F297" s="247">
        <f>[2]!Table323[[#This Row],[Single Family]]+[2]!Table323[[#This Row],[2-4 Units]]+[2]!Table323[[#This Row],[&gt;4 Units]]</f>
        <v>0</v>
      </c>
      <c r="J297" s="248">
        <v>0</v>
      </c>
      <c r="K297" s="247">
        <f>SUM([2]!Table323[[#This Row],[Single Family ]:[&gt;4 Units ]])</f>
        <v>0</v>
      </c>
      <c r="L297" s="249"/>
      <c r="M297" s="249"/>
      <c r="N297" s="249"/>
      <c r="O297" s="250">
        <f>[2]!Table323[[#This Row],[Incentive Disbursements]]-[2]!Table323[[#This Row],[Incentives]]</f>
        <v>0</v>
      </c>
      <c r="P297" s="158">
        <f>VLOOKUP(Table3236[[#This Row],[Census Tract]],'Population and Diversity Data'!$B$2:$K$823,10,FALSE)</f>
        <v>5</v>
      </c>
      <c r="Q297" s="159" t="str">
        <f>VLOOKUP(Table3236[[#This Row],[Census Tract]],'UI EnergyBurden'!$A$2:$B$184,2,FALSE)</f>
        <v>No</v>
      </c>
    </row>
    <row r="298" spans="1:17" x14ac:dyDescent="0.2">
      <c r="A298" s="38">
        <v>9001081100</v>
      </c>
      <c r="B298" s="38" t="s">
        <v>2985</v>
      </c>
      <c r="C298" s="244" t="s">
        <v>944</v>
      </c>
      <c r="D298" s="245">
        <v>354.03429999999997</v>
      </c>
      <c r="E298" s="246">
        <v>456.39679458117075</v>
      </c>
      <c r="F298" s="247">
        <f>[2]!Table323[[#This Row],[Single Family]]+[2]!Table323[[#This Row],[2-4 Units]]+[2]!Table323[[#This Row],[&gt;4 Units]]</f>
        <v>1</v>
      </c>
      <c r="G298">
        <v>1</v>
      </c>
      <c r="H298">
        <v>0</v>
      </c>
      <c r="I298">
        <v>0</v>
      </c>
      <c r="J298" s="248">
        <v>456.39679458117075</v>
      </c>
      <c r="K298" s="247">
        <f>SUM([2]!Table323[[#This Row],[Single Family ]:[&gt;4 Units ]])</f>
        <v>0</v>
      </c>
      <c r="L298" s="249"/>
      <c r="M298" s="249"/>
      <c r="N298" s="249"/>
      <c r="O298" s="250">
        <f>[2]!Table323[[#This Row],[Incentive Disbursements]]-[2]!Table323[[#This Row],[Incentives]]</f>
        <v>0</v>
      </c>
      <c r="P298" s="158">
        <f>VLOOKUP(Table3236[[#This Row],[Census Tract]],'Population and Diversity Data'!$B$2:$K$823,10,FALSE)</f>
        <v>1</v>
      </c>
      <c r="Q298" s="159" t="str">
        <f>VLOOKUP(Table3236[[#This Row],[Census Tract]],'UI EnergyBurden'!$A$2:$B$184,2,FALSE)</f>
        <v>No</v>
      </c>
    </row>
    <row r="299" spans="1:17" x14ac:dyDescent="0.2">
      <c r="A299" s="38">
        <v>9001090100</v>
      </c>
      <c r="B299" s="38" t="s">
        <v>2985</v>
      </c>
      <c r="C299" s="244" t="s">
        <v>944</v>
      </c>
      <c r="D299" s="245">
        <v>71254.085099999997</v>
      </c>
      <c r="E299" s="246">
        <v>23065.833448844209</v>
      </c>
      <c r="F299" s="247">
        <f>[2]!Table323[[#This Row],[Single Family]]+[2]!Table323[[#This Row],[2-4 Units]]+[2]!Table323[[#This Row],[&gt;4 Units]]</f>
        <v>20</v>
      </c>
      <c r="G299">
        <v>20</v>
      </c>
      <c r="H299">
        <v>0</v>
      </c>
      <c r="I299">
        <v>0</v>
      </c>
      <c r="J299" s="248">
        <v>19852.966114736038</v>
      </c>
      <c r="K299" s="247">
        <f>SUM([2]!Table323[[#This Row],[Single Family ]:[&gt;4 Units ]])</f>
        <v>1</v>
      </c>
      <c r="L299" s="249">
        <v>1</v>
      </c>
      <c r="M299" s="249">
        <v>0</v>
      </c>
      <c r="N299" s="249">
        <v>0</v>
      </c>
      <c r="O299" s="250">
        <f>[2]!Table323[[#This Row],[Incentive Disbursements]]-[2]!Table323[[#This Row],[Incentives]]</f>
        <v>3212.8673341081703</v>
      </c>
      <c r="P299" s="158">
        <f>VLOOKUP(Table3236[[#This Row],[Census Tract]],'Population and Diversity Data'!$B$2:$K$823,10,FALSE)</f>
        <v>1</v>
      </c>
      <c r="Q299" s="159" t="str">
        <f>VLOOKUP(Table3236[[#This Row],[Census Tract]],'UI EnergyBurden'!$A$2:$B$184,2,FALSE)</f>
        <v>No</v>
      </c>
    </row>
    <row r="300" spans="1:17" x14ac:dyDescent="0.2">
      <c r="A300" s="38">
        <v>9001090200</v>
      </c>
      <c r="B300" s="38" t="s">
        <v>2985</v>
      </c>
      <c r="C300" s="244" t="s">
        <v>944</v>
      </c>
      <c r="D300" s="245">
        <v>141902.04870000001</v>
      </c>
      <c r="E300" s="246">
        <v>50138.23430503298</v>
      </c>
      <c r="F300" s="247">
        <f>[2]!Table323[[#This Row],[Single Family]]+[2]!Table323[[#This Row],[2-4 Units]]+[2]!Table323[[#This Row],[&gt;4 Units]]</f>
        <v>33</v>
      </c>
      <c r="G300">
        <v>33</v>
      </c>
      <c r="H300">
        <v>0</v>
      </c>
      <c r="I300">
        <v>0</v>
      </c>
      <c r="J300" s="248">
        <v>31831.837999878175</v>
      </c>
      <c r="K300" s="247">
        <f>SUM([2]!Table323[[#This Row],[Single Family ]:[&gt;4 Units ]])</f>
        <v>8</v>
      </c>
      <c r="L300" s="249">
        <v>7</v>
      </c>
      <c r="M300" s="249">
        <v>1</v>
      </c>
      <c r="N300" s="249">
        <v>0</v>
      </c>
      <c r="O300" s="250">
        <f>[2]!Table323[[#This Row],[Incentive Disbursements]]-[2]!Table323[[#This Row],[Incentives]]</f>
        <v>18306.396305154805</v>
      </c>
      <c r="P300" s="158">
        <f>VLOOKUP(Table3236[[#This Row],[Census Tract]],'Population and Diversity Data'!$B$2:$K$823,10,FALSE)</f>
        <v>3</v>
      </c>
      <c r="Q300" s="159" t="str">
        <f>VLOOKUP(Table3236[[#This Row],[Census Tract]],'UI EnergyBurden'!$A$2:$B$184,2,FALSE)</f>
        <v>No</v>
      </c>
    </row>
    <row r="301" spans="1:17" x14ac:dyDescent="0.2">
      <c r="A301" s="38">
        <v>9001090300</v>
      </c>
      <c r="B301" s="38" t="s">
        <v>2985</v>
      </c>
      <c r="C301" s="244" t="s">
        <v>944</v>
      </c>
      <c r="D301" s="245">
        <v>88643.617499999993</v>
      </c>
      <c r="E301" s="246">
        <v>56228.130392330226</v>
      </c>
      <c r="F301" s="247">
        <f>[2]!Table323[[#This Row],[Single Family]]+[2]!Table323[[#This Row],[2-4 Units]]+[2]!Table323[[#This Row],[&gt;4 Units]]</f>
        <v>19</v>
      </c>
      <c r="G301">
        <v>17</v>
      </c>
      <c r="H301">
        <v>2</v>
      </c>
      <c r="I301">
        <v>0</v>
      </c>
      <c r="J301" s="248">
        <v>13870.083562035878</v>
      </c>
      <c r="K301" s="247">
        <f>SUM([2]!Table323[[#This Row],[Single Family ]:[&gt;4 Units ]])</f>
        <v>11</v>
      </c>
      <c r="L301" s="249">
        <v>11</v>
      </c>
      <c r="M301" s="249">
        <v>0</v>
      </c>
      <c r="N301" s="249">
        <v>0</v>
      </c>
      <c r="O301" s="250">
        <f>[2]!Table323[[#This Row],[Incentive Disbursements]]-[2]!Table323[[#This Row],[Incentives]]</f>
        <v>42358.046830294348</v>
      </c>
      <c r="P301" s="158">
        <f>VLOOKUP(Table3236[[#This Row],[Census Tract]],'Population and Diversity Data'!$B$2:$K$823,10,FALSE)</f>
        <v>3</v>
      </c>
      <c r="Q301" s="159" t="str">
        <f>VLOOKUP(Table3236[[#This Row],[Census Tract]],'UI EnergyBurden'!$A$2:$B$184,2,FALSE)</f>
        <v>No</v>
      </c>
    </row>
    <row r="302" spans="1:17" x14ac:dyDescent="0.2">
      <c r="A302" s="38">
        <v>9001090400</v>
      </c>
      <c r="B302" s="38" t="s">
        <v>2985</v>
      </c>
      <c r="C302" s="244" t="s">
        <v>944</v>
      </c>
      <c r="D302" s="245">
        <v>107562.7838</v>
      </c>
      <c r="E302" s="246">
        <v>40031.155526798437</v>
      </c>
      <c r="F302" s="247">
        <f>[2]!Table323[[#This Row],[Single Family]]+[2]!Table323[[#This Row],[2-4 Units]]+[2]!Table323[[#This Row],[&gt;4 Units]]</f>
        <v>32</v>
      </c>
      <c r="G302">
        <v>32</v>
      </c>
      <c r="H302">
        <v>0</v>
      </c>
      <c r="I302">
        <v>0</v>
      </c>
      <c r="J302" s="248">
        <v>38690.700398640962</v>
      </c>
      <c r="K302" s="247">
        <f>SUM([2]!Table323[[#This Row],[Single Family ]:[&gt;4 Units ]])</f>
        <v>2</v>
      </c>
      <c r="L302" s="249">
        <v>2</v>
      </c>
      <c r="M302" s="249">
        <v>0</v>
      </c>
      <c r="N302" s="249">
        <v>0</v>
      </c>
      <c r="O302" s="250">
        <f>[2]!Table323[[#This Row],[Incentive Disbursements]]-[2]!Table323[[#This Row],[Incentives]]</f>
        <v>1340.455128157475</v>
      </c>
      <c r="P302" s="158">
        <f>VLOOKUP(Table3236[[#This Row],[Census Tract]],'Population and Diversity Data'!$B$2:$K$823,10,FALSE)</f>
        <v>4</v>
      </c>
      <c r="Q302" s="159" t="str">
        <f>VLOOKUP(Table3236[[#This Row],[Census Tract]],'UI EnergyBurden'!$A$2:$B$184,2,FALSE)</f>
        <v>No</v>
      </c>
    </row>
    <row r="303" spans="1:17" x14ac:dyDescent="0.2">
      <c r="A303" s="38">
        <v>9001090500</v>
      </c>
      <c r="B303" s="38" t="s">
        <v>2985</v>
      </c>
      <c r="C303" s="244" t="s">
        <v>944</v>
      </c>
      <c r="D303" s="245">
        <v>87751.845200000098</v>
      </c>
      <c r="E303" s="246">
        <v>63272.767803954281</v>
      </c>
      <c r="F303" s="247">
        <f>[2]!Table323[[#This Row],[Single Family]]+[2]!Table323[[#This Row],[2-4 Units]]+[2]!Table323[[#This Row],[&gt;4 Units]]</f>
        <v>25</v>
      </c>
      <c r="G303">
        <v>25</v>
      </c>
      <c r="H303">
        <v>0</v>
      </c>
      <c r="I303">
        <v>0</v>
      </c>
      <c r="J303" s="248">
        <v>26166.236156780644</v>
      </c>
      <c r="K303" s="247">
        <f>SUM([2]!Table323[[#This Row],[Single Family ]:[&gt;4 Units ]])</f>
        <v>6</v>
      </c>
      <c r="L303" s="249">
        <v>6</v>
      </c>
      <c r="M303" s="249">
        <v>0</v>
      </c>
      <c r="N303" s="249">
        <v>0</v>
      </c>
      <c r="O303" s="250">
        <f>[2]!Table323[[#This Row],[Incentive Disbursements]]-[2]!Table323[[#This Row],[Incentives]]</f>
        <v>37106.531647173637</v>
      </c>
      <c r="P303" s="158">
        <f>VLOOKUP(Table3236[[#This Row],[Census Tract]],'Population and Diversity Data'!$B$2:$K$823,10,FALSE)</f>
        <v>3</v>
      </c>
      <c r="Q303" s="159" t="str">
        <f>VLOOKUP(Table3236[[#This Row],[Census Tract]],'UI EnergyBurden'!$A$2:$B$184,2,FALSE)</f>
        <v>No</v>
      </c>
    </row>
    <row r="304" spans="1:17" x14ac:dyDescent="0.2">
      <c r="A304" s="38">
        <v>9001090600</v>
      </c>
      <c r="B304" s="38" t="s">
        <v>2985</v>
      </c>
      <c r="C304" s="244" t="s">
        <v>944</v>
      </c>
      <c r="D304" s="245">
        <v>74716.111200000203</v>
      </c>
      <c r="E304" s="246">
        <v>45163.260094483318</v>
      </c>
      <c r="F304" s="247">
        <f>[2]!Table323[[#This Row],[Single Family]]+[2]!Table323[[#This Row],[2-4 Units]]+[2]!Table323[[#This Row],[&gt;4 Units]]</f>
        <v>16</v>
      </c>
      <c r="G304">
        <v>16</v>
      </c>
      <c r="H304">
        <v>0</v>
      </c>
      <c r="I304">
        <v>0</v>
      </c>
      <c r="J304" s="248">
        <v>28267.216709450124</v>
      </c>
      <c r="K304" s="247">
        <f>SUM([2]!Table323[[#This Row],[Single Family ]:[&gt;4 Units ]])</f>
        <v>3</v>
      </c>
      <c r="L304" s="249">
        <v>3</v>
      </c>
      <c r="M304" s="249">
        <v>0</v>
      </c>
      <c r="N304" s="249">
        <v>0</v>
      </c>
      <c r="O304" s="250">
        <f>[2]!Table323[[#This Row],[Incentive Disbursements]]-[2]!Table323[[#This Row],[Incentives]]</f>
        <v>16896.043385033194</v>
      </c>
      <c r="P304" s="158">
        <f>VLOOKUP(Table3236[[#This Row],[Census Tract]],'Population and Diversity Data'!$B$2:$K$823,10,FALSE)</f>
        <v>2</v>
      </c>
      <c r="Q304" s="159" t="str">
        <f>VLOOKUP(Table3236[[#This Row],[Census Tract]],'UI EnergyBurden'!$A$2:$B$184,2,FALSE)</f>
        <v>No</v>
      </c>
    </row>
    <row r="305" spans="1:17" x14ac:dyDescent="0.2">
      <c r="A305" s="38">
        <v>9001090700</v>
      </c>
      <c r="B305" s="38" t="s">
        <v>2985</v>
      </c>
      <c r="C305" s="244" t="s">
        <v>944</v>
      </c>
      <c r="D305" s="245">
        <v>109772.8824</v>
      </c>
      <c r="E305" s="246">
        <v>55075.715273533191</v>
      </c>
      <c r="F305" s="247">
        <f>[2]!Table323[[#This Row],[Single Family]]+[2]!Table323[[#This Row],[2-4 Units]]+[2]!Table323[[#This Row],[&gt;4 Units]]</f>
        <v>25</v>
      </c>
      <c r="G305">
        <v>25</v>
      </c>
      <c r="H305">
        <v>0</v>
      </c>
      <c r="I305">
        <v>0</v>
      </c>
      <c r="J305" s="248">
        <v>29911.589067865178</v>
      </c>
      <c r="K305" s="247">
        <f>SUM([2]!Table323[[#This Row],[Single Family ]:[&gt;4 Units ]])</f>
        <v>4</v>
      </c>
      <c r="L305" s="249">
        <v>4</v>
      </c>
      <c r="M305" s="249">
        <v>0</v>
      </c>
      <c r="N305" s="249">
        <v>0</v>
      </c>
      <c r="O305" s="250">
        <f>[2]!Table323[[#This Row],[Incentive Disbursements]]-[2]!Table323[[#This Row],[Incentives]]</f>
        <v>25164.126205668013</v>
      </c>
      <c r="P305" s="158">
        <f>VLOOKUP(Table3236[[#This Row],[Census Tract]],'Population and Diversity Data'!$B$2:$K$823,10,FALSE)</f>
        <v>3</v>
      </c>
      <c r="Q305" s="159" t="str">
        <f>VLOOKUP(Table3236[[#This Row],[Census Tract]],'UI EnergyBurden'!$A$2:$B$184,2,FALSE)</f>
        <v>No</v>
      </c>
    </row>
    <row r="306" spans="1:17" x14ac:dyDescent="0.2">
      <c r="A306" s="38">
        <v>9001100100</v>
      </c>
      <c r="B306" s="38" t="s">
        <v>2985</v>
      </c>
      <c r="C306" s="244" t="s">
        <v>944</v>
      </c>
      <c r="D306" s="245">
        <v>84.520700000000005</v>
      </c>
      <c r="E306" s="246">
        <v>0</v>
      </c>
      <c r="F306" s="247">
        <f>[2]!Table323[[#This Row],[Single Family]]+[2]!Table323[[#This Row],[2-4 Units]]+[2]!Table323[[#This Row],[&gt;4 Units]]</f>
        <v>0</v>
      </c>
      <c r="J306" s="248">
        <v>0</v>
      </c>
      <c r="K306" s="247">
        <f>SUM([2]!Table323[[#This Row],[Single Family ]:[&gt;4 Units ]])</f>
        <v>0</v>
      </c>
      <c r="L306" s="249"/>
      <c r="M306" s="249"/>
      <c r="N306" s="249"/>
      <c r="O306" s="250">
        <f>[2]!Table323[[#This Row],[Incentive Disbursements]]-[2]!Table323[[#This Row],[Incentives]]</f>
        <v>0</v>
      </c>
      <c r="P306" s="158">
        <f>VLOOKUP(Table3236[[#This Row],[Census Tract]],'Population and Diversity Data'!$B$2:$K$823,10,FALSE)</f>
        <v>3</v>
      </c>
      <c r="Q306" s="159" t="str">
        <f>VLOOKUP(Table3236[[#This Row],[Census Tract]],'UI EnergyBurden'!$A$2:$B$184,2,FALSE)</f>
        <v>No</v>
      </c>
    </row>
    <row r="307" spans="1:17" x14ac:dyDescent="0.2">
      <c r="A307" s="38">
        <v>9001105100</v>
      </c>
      <c r="B307" s="38" t="s">
        <v>2985</v>
      </c>
      <c r="C307" s="244" t="s">
        <v>944</v>
      </c>
      <c r="D307" s="245">
        <v>416.27140000000003</v>
      </c>
      <c r="E307" s="246">
        <v>0</v>
      </c>
      <c r="F307" s="247">
        <f>[2]!Table323[[#This Row],[Single Family]]+[2]!Table323[[#This Row],[2-4 Units]]+[2]!Table323[[#This Row],[&gt;4 Units]]</f>
        <v>0</v>
      </c>
      <c r="J307" s="248">
        <v>0</v>
      </c>
      <c r="K307" s="247">
        <f>SUM([2]!Table323[[#This Row],[Single Family ]:[&gt;4 Units ]])</f>
        <v>0</v>
      </c>
      <c r="L307" s="249"/>
      <c r="M307" s="249"/>
      <c r="N307" s="249"/>
      <c r="O307" s="250">
        <f>[2]!Table323[[#This Row],[Incentive Disbursements]]-[2]!Table323[[#This Row],[Incentives]]</f>
        <v>0</v>
      </c>
      <c r="P307" s="158">
        <f>VLOOKUP(Table3236[[#This Row],[Census Tract]],'Population and Diversity Data'!$B$2:$K$823,10,FALSE)</f>
        <v>1</v>
      </c>
      <c r="Q307" s="159" t="str">
        <f>VLOOKUP(Table3236[[#This Row],[Census Tract]],'UI EnergyBurden'!$A$2:$B$184,2,FALSE)</f>
        <v>No</v>
      </c>
    </row>
    <row r="308" spans="1:17" x14ac:dyDescent="0.2">
      <c r="A308" s="38">
        <v>9001105200</v>
      </c>
      <c r="B308" s="38" t="s">
        <v>2985</v>
      </c>
      <c r="C308" s="244" t="s">
        <v>944</v>
      </c>
      <c r="D308" s="245">
        <v>85.672499999999999</v>
      </c>
      <c r="E308" s="246">
        <v>0</v>
      </c>
      <c r="F308" s="247">
        <f>[2]!Table323[[#This Row],[Single Family]]+[2]!Table323[[#This Row],[2-4 Units]]+[2]!Table323[[#This Row],[&gt;4 Units]]</f>
        <v>0</v>
      </c>
      <c r="J308" s="248">
        <v>0</v>
      </c>
      <c r="K308" s="247">
        <f>SUM([2]!Table323[[#This Row],[Single Family ]:[&gt;4 Units ]])</f>
        <v>0</v>
      </c>
      <c r="L308" s="249"/>
      <c r="M308" s="249"/>
      <c r="N308" s="249"/>
      <c r="O308" s="250">
        <f>[2]!Table323[[#This Row],[Incentive Disbursements]]-[2]!Table323[[#This Row],[Incentives]]</f>
        <v>0</v>
      </c>
      <c r="P308" s="158">
        <f>VLOOKUP(Table3236[[#This Row],[Census Tract]],'Population and Diversity Data'!$B$2:$K$823,10,FALSE)</f>
        <v>3</v>
      </c>
      <c r="Q308" s="159" t="str">
        <f>VLOOKUP(Table3236[[#This Row],[Census Tract]],'UI EnergyBurden'!$A$2:$B$184,2,FALSE)</f>
        <v>No</v>
      </c>
    </row>
    <row r="309" spans="1:17" x14ac:dyDescent="0.2">
      <c r="A309" s="38">
        <v>9001110302</v>
      </c>
      <c r="B309" s="38" t="s">
        <v>2985</v>
      </c>
      <c r="C309" s="244" t="s">
        <v>944</v>
      </c>
      <c r="D309" s="245">
        <v>146.7696</v>
      </c>
      <c r="E309" s="246">
        <v>0</v>
      </c>
      <c r="F309" s="247">
        <f>[2]!Table323[[#This Row],[Single Family]]+[2]!Table323[[#This Row],[2-4 Units]]+[2]!Table323[[#This Row],[&gt;4 Units]]</f>
        <v>0</v>
      </c>
      <c r="J309" s="248">
        <v>0</v>
      </c>
      <c r="K309" s="247">
        <f>SUM([2]!Table323[[#This Row],[Single Family ]:[&gt;4 Units ]])</f>
        <v>0</v>
      </c>
      <c r="L309" s="249"/>
      <c r="M309" s="249"/>
      <c r="N309" s="249"/>
      <c r="O309" s="250">
        <f>[2]!Table323[[#This Row],[Incentive Disbursements]]-[2]!Table323[[#This Row],[Incentives]]</f>
        <v>0</v>
      </c>
      <c r="P309" s="158">
        <f>VLOOKUP(Table3236[[#This Row],[Census Tract]],'Population and Diversity Data'!$B$2:$K$823,10,FALSE)</f>
        <v>3</v>
      </c>
      <c r="Q309" s="159" t="str">
        <f>VLOOKUP(Table3236[[#This Row],[Census Tract]],'UI EnergyBurden'!$A$2:$B$184,2,FALSE)</f>
        <v>No</v>
      </c>
    </row>
    <row r="310" spans="1:17" x14ac:dyDescent="0.2">
      <c r="A310" s="38">
        <v>9001110500</v>
      </c>
      <c r="B310" s="38" t="s">
        <v>2985</v>
      </c>
      <c r="C310" s="244" t="s">
        <v>944</v>
      </c>
      <c r="D310" s="245">
        <v>63.001300000000001</v>
      </c>
      <c r="E310" s="246">
        <v>0</v>
      </c>
      <c r="F310" s="247">
        <f>[2]!Table323[[#This Row],[Single Family]]+[2]!Table323[[#This Row],[2-4 Units]]+[2]!Table323[[#This Row],[&gt;4 Units]]</f>
        <v>0</v>
      </c>
      <c r="J310" s="248">
        <v>0</v>
      </c>
      <c r="K310" s="247">
        <f>SUM([2]!Table323[[#This Row],[Single Family ]:[&gt;4 Units ]])</f>
        <v>0</v>
      </c>
      <c r="L310" s="249"/>
      <c r="M310" s="249"/>
      <c r="N310" s="249"/>
      <c r="O310" s="250">
        <f>[2]!Table323[[#This Row],[Incentive Disbursements]]-[2]!Table323[[#This Row],[Incentives]]</f>
        <v>0</v>
      </c>
      <c r="P310" s="158">
        <f>VLOOKUP(Table3236[[#This Row],[Census Tract]],'Population and Diversity Data'!$B$2:$K$823,10,FALSE)</f>
        <v>1</v>
      </c>
      <c r="Q310" s="159" t="str">
        <f>VLOOKUP(Table3236[[#This Row],[Census Tract]],'UI EnergyBurden'!$A$2:$B$184,2,FALSE)</f>
        <v>No</v>
      </c>
    </row>
    <row r="311" spans="1:17" x14ac:dyDescent="0.2">
      <c r="A311" s="38">
        <v>9009140800</v>
      </c>
      <c r="B311" s="38" t="s">
        <v>2987</v>
      </c>
      <c r="C311" s="244" t="s">
        <v>936</v>
      </c>
      <c r="D311" s="245">
        <v>0</v>
      </c>
      <c r="E311" s="246">
        <v>483.19925315458943</v>
      </c>
      <c r="F311" s="247">
        <f>[2]!Table323[[#This Row],[Single Family]]+[2]!Table323[[#This Row],[2-4 Units]]+[2]!Table323[[#This Row],[&gt;4 Units]]</f>
        <v>0</v>
      </c>
      <c r="J311" s="248">
        <v>483.19925315458943</v>
      </c>
      <c r="K311" s="247">
        <f>SUM([2]!Table323[[#This Row],[Single Family ]:[&gt;4 Units ]])</f>
        <v>0</v>
      </c>
      <c r="L311" s="249"/>
      <c r="M311" s="249"/>
      <c r="N311" s="249"/>
      <c r="O311" s="250">
        <f>[2]!Table323[[#This Row],[Incentive Disbursements]]-[2]!Table323[[#This Row],[Incentives]]</f>
        <v>0</v>
      </c>
      <c r="P311" s="158">
        <f>VLOOKUP(Table3236[[#This Row],[Census Tract]],'Population and Diversity Data'!$B$2:$K$823,10,FALSE)</f>
        <v>4</v>
      </c>
      <c r="Q311" s="159" t="str">
        <f>VLOOKUP(Table3236[[#This Row],[Census Tract]],'UI EnergyBurden'!$A$2:$B$184,2,FALSE)</f>
        <v>No</v>
      </c>
    </row>
    <row r="312" spans="1:17" x14ac:dyDescent="0.2">
      <c r="A312" s="38">
        <v>9009140800</v>
      </c>
      <c r="B312" s="38" t="s">
        <v>950</v>
      </c>
      <c r="C312" s="244" t="s">
        <v>936</v>
      </c>
      <c r="D312" s="245">
        <v>43.247199999999999</v>
      </c>
      <c r="E312" s="246">
        <v>574.88877444254206</v>
      </c>
      <c r="F312" s="247">
        <f>[2]!Table323[[#This Row],[Single Family]]+[2]!Table323[[#This Row],[2-4 Units]]+[2]!Table323[[#This Row],[&gt;4 Units]]</f>
        <v>0</v>
      </c>
      <c r="J312" s="248">
        <v>574.88877444254206</v>
      </c>
      <c r="K312" s="247">
        <f>SUM([2]!Table323[[#This Row],[Single Family ]:[&gt;4 Units ]])</f>
        <v>0</v>
      </c>
      <c r="L312" s="249"/>
      <c r="M312" s="249"/>
      <c r="N312" s="249"/>
      <c r="O312" s="250">
        <f>[2]!Table323[[#This Row],[Incentive Disbursements]]-[2]!Table323[[#This Row],[Incentives]]</f>
        <v>0</v>
      </c>
      <c r="P312" s="158">
        <f>VLOOKUP(Table3236[[#This Row],[Census Tract]],'Population and Diversity Data'!$B$2:$K$823,10,FALSE)</f>
        <v>4</v>
      </c>
      <c r="Q312" s="159" t="str">
        <f>VLOOKUP(Table3236[[#This Row],[Census Tract]],'UI EnergyBurden'!$A$2:$B$184,2,FALSE)</f>
        <v>No</v>
      </c>
    </row>
    <row r="313" spans="1:17" x14ac:dyDescent="0.2">
      <c r="A313" s="38">
        <v>9009141100</v>
      </c>
      <c r="B313" s="38" t="s">
        <v>950</v>
      </c>
      <c r="C313" s="244" t="s">
        <v>944</v>
      </c>
      <c r="D313" s="245">
        <v>0</v>
      </c>
      <c r="E313" s="246">
        <v>0</v>
      </c>
      <c r="F313" s="247">
        <f>[2]!Table323[[#This Row],[Single Family]]+[2]!Table323[[#This Row],[2-4 Units]]+[2]!Table323[[#This Row],[&gt;4 Units]]</f>
        <v>0</v>
      </c>
      <c r="J313" s="248">
        <v>0</v>
      </c>
      <c r="K313" s="247">
        <f>SUM([2]!Table323[[#This Row],[Single Family ]:[&gt;4 Units ]])</f>
        <v>0</v>
      </c>
      <c r="L313" s="249"/>
      <c r="M313" s="249"/>
      <c r="N313" s="249"/>
      <c r="O313" s="250">
        <f>[2]!Table323[[#This Row],[Incentive Disbursements]]-[2]!Table323[[#This Row],[Incentives]]</f>
        <v>0</v>
      </c>
      <c r="P313" s="158">
        <f>VLOOKUP(Table3236[[#This Row],[Census Tract]],'Population and Diversity Data'!$B$2:$K$823,10,FALSE)</f>
        <v>4</v>
      </c>
      <c r="Q313" s="159" t="str">
        <f>VLOOKUP(Table3236[[#This Row],[Census Tract]],'UI EnergyBurden'!$A$2:$B$184,2,FALSE)</f>
        <v>No</v>
      </c>
    </row>
    <row r="314" spans="1:17" x14ac:dyDescent="0.2">
      <c r="A314" s="38">
        <v>9009142604</v>
      </c>
      <c r="B314" s="38" t="s">
        <v>3004</v>
      </c>
      <c r="C314" s="244" t="s">
        <v>944</v>
      </c>
      <c r="D314" s="245">
        <v>0</v>
      </c>
      <c r="E314" s="246">
        <v>5209.7734771467603</v>
      </c>
      <c r="F314" s="247">
        <f>[2]!Table323[[#This Row],[Single Family]]+[2]!Table323[[#This Row],[2-4 Units]]+[2]!Table323[[#This Row],[&gt;4 Units]]</f>
        <v>0</v>
      </c>
      <c r="J314" s="248">
        <v>0</v>
      </c>
      <c r="K314" s="247">
        <f>SUM([2]!Table323[[#This Row],[Single Family ]:[&gt;4 Units ]])</f>
        <v>2</v>
      </c>
      <c r="L314" s="249">
        <v>1</v>
      </c>
      <c r="M314" s="249">
        <v>1</v>
      </c>
      <c r="N314" s="249">
        <v>0</v>
      </c>
      <c r="O314" s="250">
        <f>[2]!Table323[[#This Row],[Incentive Disbursements]]-[2]!Table323[[#This Row],[Incentives]]</f>
        <v>5209.7734771467603</v>
      </c>
      <c r="P314" s="158">
        <f>VLOOKUP(Table3236[[#This Row],[Census Tract]],'Population and Diversity Data'!$B$2:$K$823,10,FALSE)</f>
        <v>4</v>
      </c>
      <c r="Q314" s="159" t="str">
        <f>VLOOKUP(Table3236[[#This Row],[Census Tract]],'UI EnergyBurden'!$A$2:$B$184,2,FALSE)</f>
        <v>No</v>
      </c>
    </row>
    <row r="315" spans="1:17" x14ac:dyDescent="0.2">
      <c r="A315" s="38">
        <v>9009151200</v>
      </c>
      <c r="B315" s="38" t="s">
        <v>950</v>
      </c>
      <c r="C315" s="244" t="s">
        <v>944</v>
      </c>
      <c r="D315" s="245">
        <v>43.496099999999998</v>
      </c>
      <c r="E315" s="246">
        <v>0</v>
      </c>
      <c r="F315" s="247">
        <f>[2]!Table323[[#This Row],[Single Family]]+[2]!Table323[[#This Row],[2-4 Units]]+[2]!Table323[[#This Row],[&gt;4 Units]]</f>
        <v>0</v>
      </c>
      <c r="J315" s="248">
        <v>0</v>
      </c>
      <c r="K315" s="247">
        <f>SUM([2]!Table323[[#This Row],[Single Family ]:[&gt;4 Units ]])</f>
        <v>0</v>
      </c>
      <c r="L315" s="249"/>
      <c r="M315" s="249"/>
      <c r="N315" s="249"/>
      <c r="O315" s="250">
        <f>[2]!Table323[[#This Row],[Incentive Disbursements]]-[2]!Table323[[#This Row],[Incentives]]</f>
        <v>0</v>
      </c>
      <c r="P315" s="158">
        <f>VLOOKUP(Table3236[[#This Row],[Census Tract]],'Population and Diversity Data'!$B$2:$K$823,10,FALSE)</f>
        <v>2</v>
      </c>
      <c r="Q315" s="159" t="str">
        <f>VLOOKUP(Table3236[[#This Row],[Census Tract]],'UI EnergyBurden'!$A$2:$B$184,2,FALSE)</f>
        <v>No</v>
      </c>
    </row>
    <row r="316" spans="1:17" x14ac:dyDescent="0.2">
      <c r="A316" s="38">
        <v>9009154100</v>
      </c>
      <c r="B316" s="38" t="s">
        <v>950</v>
      </c>
      <c r="C316" s="244" t="s">
        <v>944</v>
      </c>
      <c r="D316" s="245">
        <v>140097.96650000001</v>
      </c>
      <c r="E316" s="246">
        <v>213130.56852327805</v>
      </c>
      <c r="F316" s="247">
        <f>[2]!Table323[[#This Row],[Single Family]]+[2]!Table323[[#This Row],[2-4 Units]]+[2]!Table323[[#This Row],[&gt;4 Units]]</f>
        <v>29</v>
      </c>
      <c r="G316">
        <v>28</v>
      </c>
      <c r="H316">
        <v>1</v>
      </c>
      <c r="I316">
        <v>0</v>
      </c>
      <c r="J316" s="248">
        <v>41484.598128728947</v>
      </c>
      <c r="K316" s="247">
        <f>SUM([2]!Table323[[#This Row],[Single Family ]:[&gt;4 Units ]])</f>
        <v>11</v>
      </c>
      <c r="L316" s="249">
        <v>7</v>
      </c>
      <c r="M316" s="249">
        <v>2</v>
      </c>
      <c r="N316" s="249">
        <v>2</v>
      </c>
      <c r="O316" s="250">
        <f>[2]!Table323[[#This Row],[Incentive Disbursements]]-[2]!Table323[[#This Row],[Incentives]]</f>
        <v>171645.97039454911</v>
      </c>
      <c r="P316" s="158">
        <f>VLOOKUP(Table3236[[#This Row],[Census Tract]],'Population and Diversity Data'!$B$2:$K$823,10,FALSE)</f>
        <v>4</v>
      </c>
      <c r="Q316" s="159" t="str">
        <f>VLOOKUP(Table3236[[#This Row],[Census Tract]],'UI EnergyBurden'!$A$2:$B$184,2,FALSE)</f>
        <v>No</v>
      </c>
    </row>
    <row r="317" spans="1:17" x14ac:dyDescent="0.2">
      <c r="A317" s="38">
        <v>9009154200</v>
      </c>
      <c r="B317" s="38" t="s">
        <v>950</v>
      </c>
      <c r="C317" s="244" t="s">
        <v>944</v>
      </c>
      <c r="D317" s="245">
        <v>124643.2671</v>
      </c>
      <c r="E317" s="246">
        <v>54657.435252369803</v>
      </c>
      <c r="F317" s="247">
        <f>[2]!Table323[[#This Row],[Single Family]]+[2]!Table323[[#This Row],[2-4 Units]]+[2]!Table323[[#This Row],[&gt;4 Units]]</f>
        <v>15</v>
      </c>
      <c r="G317">
        <v>14</v>
      </c>
      <c r="H317">
        <v>1</v>
      </c>
      <c r="I317">
        <v>0</v>
      </c>
      <c r="J317" s="248">
        <v>12164.367235513748</v>
      </c>
      <c r="K317" s="247">
        <f>SUM([2]!Table323[[#This Row],[Single Family ]:[&gt;4 Units ]])</f>
        <v>11</v>
      </c>
      <c r="L317" s="249">
        <v>5</v>
      </c>
      <c r="M317" s="249">
        <v>5</v>
      </c>
      <c r="N317" s="249">
        <v>1</v>
      </c>
      <c r="O317" s="250">
        <f>[2]!Table323[[#This Row],[Incentive Disbursements]]-[2]!Table323[[#This Row],[Incentives]]</f>
        <v>42493.068016856058</v>
      </c>
      <c r="P317" s="158">
        <f>VLOOKUP(Table3236[[#This Row],[Census Tract]],'Population and Diversity Data'!$B$2:$K$823,10,FALSE)</f>
        <v>4</v>
      </c>
      <c r="Q317" s="159" t="str">
        <f>VLOOKUP(Table3236[[#This Row],[Census Tract]],'UI EnergyBurden'!$A$2:$B$184,2,FALSE)</f>
        <v>No</v>
      </c>
    </row>
    <row r="318" spans="1:17" x14ac:dyDescent="0.2">
      <c r="A318" s="38">
        <v>9009154500</v>
      </c>
      <c r="B318" s="38" t="s">
        <v>950</v>
      </c>
      <c r="C318" s="244" t="s">
        <v>936</v>
      </c>
      <c r="D318" s="245">
        <v>67239.908799999801</v>
      </c>
      <c r="E318" s="246">
        <v>11261.331948619401</v>
      </c>
      <c r="F318" s="247">
        <f>[2]!Table323[[#This Row],[Single Family]]+[2]!Table323[[#This Row],[2-4 Units]]+[2]!Table323[[#This Row],[&gt;4 Units]]</f>
        <v>10</v>
      </c>
      <c r="G318">
        <v>10</v>
      </c>
      <c r="H318">
        <v>0</v>
      </c>
      <c r="I318">
        <v>0</v>
      </c>
      <c r="J318" s="248">
        <v>8464.662314891988</v>
      </c>
      <c r="K318" s="247">
        <f>SUM([2]!Table323[[#This Row],[Single Family ]:[&gt;4 Units ]])</f>
        <v>7</v>
      </c>
      <c r="L318" s="249">
        <v>1</v>
      </c>
      <c r="M318" s="249">
        <v>6</v>
      </c>
      <c r="N318" s="249">
        <v>0</v>
      </c>
      <c r="O318" s="250">
        <f>[2]!Table323[[#This Row],[Incentive Disbursements]]-[2]!Table323[[#This Row],[Incentives]]</f>
        <v>2796.6696337274134</v>
      </c>
      <c r="P318" s="158">
        <f>VLOOKUP(Table3236[[#This Row],[Census Tract]],'Population and Diversity Data'!$B$2:$K$823,10,FALSE)</f>
        <v>4</v>
      </c>
      <c r="Q318" s="159" t="str">
        <f>VLOOKUP(Table3236[[#This Row],[Census Tract]],'UI EnergyBurden'!$A$2:$B$184,2,FALSE)</f>
        <v>No</v>
      </c>
    </row>
    <row r="319" spans="1:17" x14ac:dyDescent="0.2">
      <c r="A319" s="38">
        <v>9009154600</v>
      </c>
      <c r="B319" s="38" t="s">
        <v>950</v>
      </c>
      <c r="C319" s="244" t="s">
        <v>944</v>
      </c>
      <c r="D319" s="245">
        <v>74841.980299999894</v>
      </c>
      <c r="E319" s="246">
        <v>26781.275684373599</v>
      </c>
      <c r="F319" s="247">
        <f>[2]!Table323[[#This Row],[Single Family]]+[2]!Table323[[#This Row],[2-4 Units]]+[2]!Table323[[#This Row],[&gt;4 Units]]</f>
        <v>13</v>
      </c>
      <c r="G319">
        <v>10</v>
      </c>
      <c r="H319">
        <v>2</v>
      </c>
      <c r="I319">
        <v>1</v>
      </c>
      <c r="J319" s="248">
        <v>13584.736717832157</v>
      </c>
      <c r="K319" s="247">
        <f>SUM([2]!Table323[[#This Row],[Single Family ]:[&gt;4 Units ]])</f>
        <v>5</v>
      </c>
      <c r="L319" s="249">
        <v>4</v>
      </c>
      <c r="M319" s="249">
        <v>1</v>
      </c>
      <c r="N319" s="249">
        <v>0</v>
      </c>
      <c r="O319" s="250">
        <f>[2]!Table323[[#This Row],[Incentive Disbursements]]-[2]!Table323[[#This Row],[Incentives]]</f>
        <v>13196.538966541442</v>
      </c>
      <c r="P319" s="158">
        <f>VLOOKUP(Table3236[[#This Row],[Census Tract]],'Population and Diversity Data'!$B$2:$K$823,10,FALSE)</f>
        <v>5</v>
      </c>
      <c r="Q319" s="159" t="str">
        <f>VLOOKUP(Table3236[[#This Row],[Census Tract]],'UI EnergyBurden'!$A$2:$B$184,2,FALSE)</f>
        <v>No</v>
      </c>
    </row>
    <row r="320" spans="1:17" x14ac:dyDescent="0.2">
      <c r="A320" s="38">
        <v>9009154700</v>
      </c>
      <c r="B320" s="38" t="s">
        <v>950</v>
      </c>
      <c r="C320" s="244" t="s">
        <v>944</v>
      </c>
      <c r="D320" s="245">
        <v>110784.84239999999</v>
      </c>
      <c r="E320" s="246">
        <v>56693.034275703074</v>
      </c>
      <c r="F320" s="247">
        <f>[2]!Table323[[#This Row],[Single Family]]+[2]!Table323[[#This Row],[2-4 Units]]+[2]!Table323[[#This Row],[&gt;4 Units]]</f>
        <v>40</v>
      </c>
      <c r="G320">
        <v>40</v>
      </c>
      <c r="H320">
        <v>0</v>
      </c>
      <c r="I320">
        <v>0</v>
      </c>
      <c r="J320" s="248">
        <v>43223.669522204749</v>
      </c>
      <c r="K320" s="247">
        <f>SUM([2]!Table323[[#This Row],[Single Family ]:[&gt;4 Units ]])</f>
        <v>6</v>
      </c>
      <c r="L320" s="249">
        <v>6</v>
      </c>
      <c r="M320" s="249">
        <v>0</v>
      </c>
      <c r="N320" s="249">
        <v>0</v>
      </c>
      <c r="O320" s="250">
        <f>[2]!Table323[[#This Row],[Incentive Disbursements]]-[2]!Table323[[#This Row],[Incentives]]</f>
        <v>13469.364753498325</v>
      </c>
      <c r="P320" s="158">
        <f>VLOOKUP(Table3236[[#This Row],[Census Tract]],'Population and Diversity Data'!$B$2:$K$823,10,FALSE)</f>
        <v>3</v>
      </c>
      <c r="Q320" s="159" t="str">
        <f>VLOOKUP(Table3236[[#This Row],[Census Tract]],'UI EnergyBurden'!$A$2:$B$184,2,FALSE)</f>
        <v>No</v>
      </c>
    </row>
    <row r="321" spans="1:17" x14ac:dyDescent="0.2">
      <c r="A321" s="38">
        <v>9009154800</v>
      </c>
      <c r="B321" s="38" t="s">
        <v>950</v>
      </c>
      <c r="C321" s="244" t="s">
        <v>944</v>
      </c>
      <c r="D321" s="245">
        <v>88384.266499999998</v>
      </c>
      <c r="E321" s="246">
        <v>55144.80952994863</v>
      </c>
      <c r="F321" s="247">
        <f>[2]!Table323[[#This Row],[Single Family]]+[2]!Table323[[#This Row],[2-4 Units]]+[2]!Table323[[#This Row],[&gt;4 Units]]</f>
        <v>37</v>
      </c>
      <c r="G321">
        <v>37</v>
      </c>
      <c r="H321">
        <v>0</v>
      </c>
      <c r="I321">
        <v>0</v>
      </c>
      <c r="J321" s="248">
        <v>48827.603168502872</v>
      </c>
      <c r="K321" s="247">
        <f>SUM([2]!Table323[[#This Row],[Single Family ]:[&gt;4 Units ]])</f>
        <v>4</v>
      </c>
      <c r="L321" s="249">
        <v>4</v>
      </c>
      <c r="M321" s="249">
        <v>0</v>
      </c>
      <c r="N321" s="249">
        <v>0</v>
      </c>
      <c r="O321" s="250">
        <f>[2]!Table323[[#This Row],[Incentive Disbursements]]-[2]!Table323[[#This Row],[Incentives]]</f>
        <v>6317.2063614457584</v>
      </c>
      <c r="P321" s="158">
        <f>VLOOKUP(Table3236[[#This Row],[Census Tract]],'Population and Diversity Data'!$B$2:$K$823,10,FALSE)</f>
        <v>2</v>
      </c>
      <c r="Q321" s="159" t="str">
        <f>VLOOKUP(Table3236[[#This Row],[Census Tract]],'UI EnergyBurden'!$A$2:$B$184,2,FALSE)</f>
        <v>No</v>
      </c>
    </row>
    <row r="322" spans="1:17" x14ac:dyDescent="0.2">
      <c r="A322" s="38">
        <v>9009154900</v>
      </c>
      <c r="B322" s="38" t="s">
        <v>950</v>
      </c>
      <c r="C322" s="244" t="s">
        <v>944</v>
      </c>
      <c r="D322" s="245">
        <v>60957.443399999902</v>
      </c>
      <c r="E322" s="246">
        <v>18857.090944425378</v>
      </c>
      <c r="F322" s="247">
        <f>[2]!Table323[[#This Row],[Single Family]]+[2]!Table323[[#This Row],[2-4 Units]]+[2]!Table323[[#This Row],[&gt;4 Units]]</f>
        <v>9</v>
      </c>
      <c r="G322">
        <v>7</v>
      </c>
      <c r="H322">
        <v>2</v>
      </c>
      <c r="I322">
        <v>0</v>
      </c>
      <c r="J322" s="248">
        <v>9319.0455860749389</v>
      </c>
      <c r="K322" s="247">
        <f>SUM([2]!Table323[[#This Row],[Single Family ]:[&gt;4 Units ]])</f>
        <v>8</v>
      </c>
      <c r="L322" s="249">
        <v>1</v>
      </c>
      <c r="M322" s="249">
        <v>7</v>
      </c>
      <c r="N322" s="249">
        <v>0</v>
      </c>
      <c r="O322" s="250">
        <f>[2]!Table323[[#This Row],[Incentive Disbursements]]-[2]!Table323[[#This Row],[Incentives]]</f>
        <v>9538.0453583504386</v>
      </c>
      <c r="P322" s="158">
        <f>VLOOKUP(Table3236[[#This Row],[Census Tract]],'Population and Diversity Data'!$B$2:$K$823,10,FALSE)</f>
        <v>2</v>
      </c>
      <c r="Q322" s="159" t="str">
        <f>VLOOKUP(Table3236[[#This Row],[Census Tract]],'UI EnergyBurden'!$A$2:$B$184,2,FALSE)</f>
        <v>No</v>
      </c>
    </row>
    <row r="323" spans="1:17" x14ac:dyDescent="0.2">
      <c r="A323" s="38">
        <v>9009155000</v>
      </c>
      <c r="B323" s="38" t="s">
        <v>950</v>
      </c>
      <c r="C323" s="244" t="s">
        <v>944</v>
      </c>
      <c r="D323" s="245">
        <v>74234.418299999903</v>
      </c>
      <c r="E323" s="246">
        <v>24847.382697936002</v>
      </c>
      <c r="F323" s="247">
        <f>[2]!Table323[[#This Row],[Single Family]]+[2]!Table323[[#This Row],[2-4 Units]]+[2]!Table323[[#This Row],[&gt;4 Units]]</f>
        <v>19</v>
      </c>
      <c r="G323">
        <v>15</v>
      </c>
      <c r="H323">
        <v>4</v>
      </c>
      <c r="I323">
        <v>0</v>
      </c>
      <c r="J323" s="248">
        <v>11799.477117678289</v>
      </c>
      <c r="K323" s="247">
        <f>SUM([2]!Table323[[#This Row],[Single Family ]:[&gt;4 Units ]])</f>
        <v>12</v>
      </c>
      <c r="L323" s="249">
        <v>7</v>
      </c>
      <c r="M323" s="249">
        <v>5</v>
      </c>
      <c r="N323" s="249">
        <v>0</v>
      </c>
      <c r="O323" s="250">
        <f>[2]!Table323[[#This Row],[Incentive Disbursements]]-[2]!Table323[[#This Row],[Incentives]]</f>
        <v>13047.905580257713</v>
      </c>
      <c r="P323" s="158">
        <f>VLOOKUP(Table3236[[#This Row],[Census Tract]],'Population and Diversity Data'!$B$2:$K$823,10,FALSE)</f>
        <v>5</v>
      </c>
      <c r="Q323" s="159" t="str">
        <f>VLOOKUP(Table3236[[#This Row],[Census Tract]],'UI EnergyBurden'!$A$2:$B$184,2,FALSE)</f>
        <v>No</v>
      </c>
    </row>
    <row r="324" spans="1:17" x14ac:dyDescent="0.2">
      <c r="A324" s="38">
        <v>9009155100</v>
      </c>
      <c r="B324" s="38" t="s">
        <v>950</v>
      </c>
      <c r="C324" s="244" t="s">
        <v>936</v>
      </c>
      <c r="D324" s="245">
        <v>52121.565699999897</v>
      </c>
      <c r="E324" s="246">
        <v>5771.341257415791</v>
      </c>
      <c r="F324" s="247">
        <f>[2]!Table323[[#This Row],[Single Family]]+[2]!Table323[[#This Row],[2-4 Units]]+[2]!Table323[[#This Row],[&gt;4 Units]]</f>
        <v>8</v>
      </c>
      <c r="G324">
        <v>7</v>
      </c>
      <c r="H324">
        <v>1</v>
      </c>
      <c r="I324">
        <v>0</v>
      </c>
      <c r="J324" s="248">
        <v>4065.5477112834355</v>
      </c>
      <c r="K324" s="247">
        <f>SUM([2]!Table323[[#This Row],[Single Family ]:[&gt;4 Units ]])</f>
        <v>3</v>
      </c>
      <c r="L324" s="249">
        <v>2</v>
      </c>
      <c r="M324" s="249">
        <v>1</v>
      </c>
      <c r="N324" s="249">
        <v>0</v>
      </c>
      <c r="O324" s="250">
        <f>[2]!Table323[[#This Row],[Incentive Disbursements]]-[2]!Table323[[#This Row],[Incentives]]</f>
        <v>1705.7935461323555</v>
      </c>
      <c r="P324" s="158">
        <f>VLOOKUP(Table3236[[#This Row],[Census Tract]],'Population and Diversity Data'!$B$2:$K$823,10,FALSE)</f>
        <v>4</v>
      </c>
      <c r="Q324" s="159" t="str">
        <f>VLOOKUP(Table3236[[#This Row],[Census Tract]],'UI EnergyBurden'!$A$2:$B$184,2,FALSE)</f>
        <v>No</v>
      </c>
    </row>
    <row r="325" spans="1:17" x14ac:dyDescent="0.2">
      <c r="A325" s="38">
        <v>9009157100</v>
      </c>
      <c r="B325" s="38" t="s">
        <v>950</v>
      </c>
      <c r="C325" s="244" t="s">
        <v>944</v>
      </c>
      <c r="D325" s="245">
        <v>0</v>
      </c>
      <c r="E325" s="246">
        <v>0</v>
      </c>
      <c r="F325" s="247">
        <f>[2]!Table323[[#This Row],[Single Family]]+[2]!Table323[[#This Row],[2-4 Units]]+[2]!Table323[[#This Row],[&gt;4 Units]]</f>
        <v>0</v>
      </c>
      <c r="J325" s="248">
        <v>0</v>
      </c>
      <c r="K325" s="247">
        <f>SUM([2]!Table323[[#This Row],[Single Family ]:[&gt;4 Units ]])</f>
        <v>0</v>
      </c>
      <c r="L325" s="249"/>
      <c r="M325" s="249"/>
      <c r="N325" s="249"/>
      <c r="O325" s="250">
        <f>[2]!Table323[[#This Row],[Incentive Disbursements]]-[2]!Table323[[#This Row],[Incentives]]</f>
        <v>0</v>
      </c>
      <c r="P325" s="158">
        <f>VLOOKUP(Table3236[[#This Row],[Census Tract]],'Population and Diversity Data'!$B$2:$K$823,10,FALSE)</f>
        <v>5</v>
      </c>
      <c r="Q325" s="159" t="str">
        <f>VLOOKUP(Table3236[[#This Row],[Census Tract]],'UI EnergyBurden'!$A$2:$B$184,2,FALSE)</f>
        <v>No</v>
      </c>
    </row>
    <row r="326" spans="1:17" x14ac:dyDescent="0.2">
      <c r="A326" s="38">
        <v>9009167201</v>
      </c>
      <c r="B326" s="38" t="s">
        <v>950</v>
      </c>
      <c r="C326" s="244" t="s">
        <v>944</v>
      </c>
      <c r="D326" s="245">
        <v>565.22900000000004</v>
      </c>
      <c r="E326" s="246">
        <v>0</v>
      </c>
      <c r="F326" s="247">
        <f>[2]!Table323[[#This Row],[Single Family]]+[2]!Table323[[#This Row],[2-4 Units]]+[2]!Table323[[#This Row],[&gt;4 Units]]</f>
        <v>0</v>
      </c>
      <c r="J326" s="248">
        <v>0</v>
      </c>
      <c r="K326" s="247">
        <f>SUM([2]!Table323[[#This Row],[Single Family ]:[&gt;4 Units ]])</f>
        <v>0</v>
      </c>
      <c r="L326" s="249"/>
      <c r="M326" s="249"/>
      <c r="N326" s="249"/>
      <c r="O326" s="250">
        <f>[2]!Table323[[#This Row],[Incentive Disbursements]]-[2]!Table323[[#This Row],[Incentives]]</f>
        <v>0</v>
      </c>
      <c r="P326" s="158">
        <f>VLOOKUP(Table3236[[#This Row],[Census Tract]],'Population and Diversity Data'!$B$2:$K$823,10,FALSE)</f>
        <v>2</v>
      </c>
      <c r="Q326" s="159" t="str">
        <f>VLOOKUP(Table3236[[#This Row],[Census Tract]],'UI EnergyBurden'!$A$2:$B$184,2,FALSE)</f>
        <v>No</v>
      </c>
    </row>
    <row r="327" spans="1:17" x14ac:dyDescent="0.2">
      <c r="A327" s="38">
        <v>9009167202</v>
      </c>
      <c r="B327" s="38" t="s">
        <v>950</v>
      </c>
      <c r="C327" s="244" t="s">
        <v>944</v>
      </c>
      <c r="D327" s="245">
        <v>764.91129999999998</v>
      </c>
      <c r="E327" s="246">
        <v>0</v>
      </c>
      <c r="F327" s="247">
        <f>[2]!Table323[[#This Row],[Single Family]]+[2]!Table323[[#This Row],[2-4 Units]]+[2]!Table323[[#This Row],[&gt;4 Units]]</f>
        <v>0</v>
      </c>
      <c r="J327" s="248">
        <v>0</v>
      </c>
      <c r="K327" s="247">
        <f>SUM([2]!Table323[[#This Row],[Single Family ]:[&gt;4 Units ]])</f>
        <v>0</v>
      </c>
      <c r="L327" s="249"/>
      <c r="M327" s="249"/>
      <c r="N327" s="249"/>
      <c r="O327" s="250">
        <f>[2]!Table323[[#This Row],[Incentive Disbursements]]-[2]!Table323[[#This Row],[Incentives]]</f>
        <v>0</v>
      </c>
      <c r="P327" s="158">
        <f>VLOOKUP(Table3236[[#This Row],[Census Tract]],'Population and Diversity Data'!$B$2:$K$823,10,FALSE)</f>
        <v>4</v>
      </c>
      <c r="Q327" s="159" t="str">
        <f>VLOOKUP(Table3236[[#This Row],[Census Tract]],'UI EnergyBurden'!$A$2:$B$184,2,FALSE)</f>
        <v>No</v>
      </c>
    </row>
    <row r="328" spans="1:17" x14ac:dyDescent="0.2">
      <c r="A328" s="38">
        <v>9009180100</v>
      </c>
      <c r="B328" s="38" t="s">
        <v>950</v>
      </c>
      <c r="C328" s="244" t="s">
        <v>944</v>
      </c>
      <c r="D328" s="245">
        <v>264.08440000000002</v>
      </c>
      <c r="E328" s="246">
        <v>0</v>
      </c>
      <c r="F328" s="247">
        <f>[2]!Table323[[#This Row],[Single Family]]+[2]!Table323[[#This Row],[2-4 Units]]+[2]!Table323[[#This Row],[&gt;4 Units]]</f>
        <v>0</v>
      </c>
      <c r="J328" s="248">
        <v>0</v>
      </c>
      <c r="K328" s="247">
        <f>SUM([2]!Table323[[#This Row],[Single Family ]:[&gt;4 Units ]])</f>
        <v>0</v>
      </c>
      <c r="L328" s="249"/>
      <c r="M328" s="249"/>
      <c r="N328" s="249"/>
      <c r="O328" s="250">
        <f>[2]!Table323[[#This Row],[Incentive Disbursements]]-[2]!Table323[[#This Row],[Incentives]]</f>
        <v>0</v>
      </c>
      <c r="P328" s="158">
        <f>VLOOKUP(Table3236[[#This Row],[Census Tract]],'Population and Diversity Data'!$B$2:$K$823,10,FALSE)</f>
        <v>5</v>
      </c>
      <c r="Q328" s="159" t="str">
        <f>VLOOKUP(Table3236[[#This Row],[Census Tract]],'UI EnergyBurden'!$A$2:$B$184,2,FALSE)</f>
        <v>No</v>
      </c>
    </row>
    <row r="329" spans="1:17" x14ac:dyDescent="0.2">
      <c r="A329" s="38">
        <v>9009180200</v>
      </c>
      <c r="B329" s="38" t="s">
        <v>950</v>
      </c>
      <c r="C329" s="244" t="s">
        <v>944</v>
      </c>
      <c r="D329" s="245">
        <v>94.562600000000003</v>
      </c>
      <c r="E329" s="246">
        <v>0</v>
      </c>
      <c r="F329" s="247">
        <f>[2]!Table323[[#This Row],[Single Family]]+[2]!Table323[[#This Row],[2-4 Units]]+[2]!Table323[[#This Row],[&gt;4 Units]]</f>
        <v>0</v>
      </c>
      <c r="J329" s="248">
        <v>0</v>
      </c>
      <c r="K329" s="247">
        <f>SUM([2]!Table323[[#This Row],[Single Family ]:[&gt;4 Units ]])</f>
        <v>0</v>
      </c>
      <c r="L329" s="249"/>
      <c r="M329" s="249"/>
      <c r="N329" s="249"/>
      <c r="O329" s="250">
        <f>[2]!Table323[[#This Row],[Incentive Disbursements]]-[2]!Table323[[#This Row],[Incentives]]</f>
        <v>0</v>
      </c>
      <c r="P329" s="158">
        <f>VLOOKUP(Table3236[[#This Row],[Census Tract]],'Population and Diversity Data'!$B$2:$K$823,10,FALSE)</f>
        <v>5</v>
      </c>
      <c r="Q329" s="159" t="str">
        <f>VLOOKUP(Table3236[[#This Row],[Census Tract]],'UI EnergyBurden'!$A$2:$B$184,2,FALSE)</f>
        <v>No</v>
      </c>
    </row>
    <row r="330" spans="1:17" x14ac:dyDescent="0.2">
      <c r="A330" s="38">
        <v>9009180300</v>
      </c>
      <c r="B330" s="38" t="s">
        <v>950</v>
      </c>
      <c r="C330" s="244" t="s">
        <v>944</v>
      </c>
      <c r="D330" s="245">
        <v>18.827999999999999</v>
      </c>
      <c r="E330" s="246">
        <v>0</v>
      </c>
      <c r="F330" s="247">
        <f>[2]!Table323[[#This Row],[Single Family]]+[2]!Table323[[#This Row],[2-4 Units]]+[2]!Table323[[#This Row],[&gt;4 Units]]</f>
        <v>0</v>
      </c>
      <c r="J330" s="248">
        <v>0</v>
      </c>
      <c r="K330" s="247">
        <f>SUM([2]!Table323[[#This Row],[Single Family ]:[&gt;4 Units ]])</f>
        <v>0</v>
      </c>
      <c r="L330" s="249"/>
      <c r="M330" s="249"/>
      <c r="N330" s="249"/>
      <c r="O330" s="250">
        <f>[2]!Table323[[#This Row],[Incentive Disbursements]]-[2]!Table323[[#This Row],[Incentives]]</f>
        <v>0</v>
      </c>
      <c r="P330" s="158">
        <f>VLOOKUP(Table3236[[#This Row],[Census Tract]],'Population and Diversity Data'!$B$2:$K$823,10,FALSE)</f>
        <v>3</v>
      </c>
      <c r="Q330" s="159" t="str">
        <f>VLOOKUP(Table3236[[#This Row],[Census Tract]],'UI EnergyBurden'!$A$2:$B$184,2,FALSE)</f>
        <v>No</v>
      </c>
    </row>
    <row r="331" spans="1:17" x14ac:dyDescent="0.2">
      <c r="A331" s="38">
        <v>9009180400</v>
      </c>
      <c r="B331" s="38" t="s">
        <v>950</v>
      </c>
      <c r="C331" s="244" t="s">
        <v>944</v>
      </c>
      <c r="D331" s="245">
        <v>0</v>
      </c>
      <c r="E331" s="246">
        <v>0</v>
      </c>
      <c r="F331" s="247">
        <f>[2]!Table323[[#This Row],[Single Family]]+[2]!Table323[[#This Row],[2-4 Units]]+[2]!Table323[[#This Row],[&gt;4 Units]]</f>
        <v>0</v>
      </c>
      <c r="J331" s="248">
        <v>0</v>
      </c>
      <c r="K331" s="247">
        <f>SUM([2]!Table323[[#This Row],[Single Family ]:[&gt;4 Units ]])</f>
        <v>0</v>
      </c>
      <c r="L331" s="249"/>
      <c r="M331" s="249"/>
      <c r="N331" s="249"/>
      <c r="O331" s="250">
        <f>[2]!Table323[[#This Row],[Incentive Disbursements]]-[2]!Table323[[#This Row],[Incentives]]</f>
        <v>0</v>
      </c>
      <c r="P331" s="158">
        <f>VLOOKUP(Table3236[[#This Row],[Census Tract]],'Population and Diversity Data'!$B$2:$K$823,10,FALSE)</f>
        <v>4</v>
      </c>
      <c r="Q331" s="159" t="str">
        <f>VLOOKUP(Table3236[[#This Row],[Census Tract]],'UI EnergyBurden'!$A$2:$B$184,2,FALSE)</f>
        <v>No</v>
      </c>
    </row>
    <row r="332" spans="1:17" x14ac:dyDescent="0.2">
      <c r="A332" s="38">
        <v>9009180500</v>
      </c>
      <c r="B332" s="38" t="s">
        <v>950</v>
      </c>
      <c r="C332" s="244" t="s">
        <v>944</v>
      </c>
      <c r="D332" s="245">
        <v>70.126199999999997</v>
      </c>
      <c r="E332" s="246">
        <v>0</v>
      </c>
      <c r="F332" s="247">
        <f>[2]!Table323[[#This Row],[Single Family]]+[2]!Table323[[#This Row],[2-4 Units]]+[2]!Table323[[#This Row],[&gt;4 Units]]</f>
        <v>0</v>
      </c>
      <c r="J332" s="248">
        <v>0</v>
      </c>
      <c r="K332" s="247">
        <f>SUM([2]!Table323[[#This Row],[Single Family ]:[&gt;4 Units ]])</f>
        <v>0</v>
      </c>
      <c r="L332" s="249"/>
      <c r="M332" s="249"/>
      <c r="N332" s="249"/>
      <c r="O332" s="250">
        <f>[2]!Table323[[#This Row],[Incentive Disbursements]]-[2]!Table323[[#This Row],[Incentives]]</f>
        <v>0</v>
      </c>
      <c r="P332" s="158">
        <f>VLOOKUP(Table3236[[#This Row],[Census Tract]],'Population and Diversity Data'!$B$2:$K$823,10,FALSE)</f>
        <v>5</v>
      </c>
      <c r="Q332" s="159" t="str">
        <f>VLOOKUP(Table3236[[#This Row],[Census Tract]],'UI EnergyBurden'!$A$2:$B$184,2,FALSE)</f>
        <v>No</v>
      </c>
    </row>
    <row r="333" spans="1:17" x14ac:dyDescent="0.2">
      <c r="A333" s="38">
        <v>9009361500</v>
      </c>
      <c r="B333" s="38" t="s">
        <v>950</v>
      </c>
      <c r="C333" s="244" t="s">
        <v>944</v>
      </c>
      <c r="D333" s="245">
        <v>88395.970500000098</v>
      </c>
      <c r="E333" s="246">
        <v>28269.859826128006</v>
      </c>
      <c r="F333" s="247">
        <f>[2]!Table323[[#This Row],[Single Family]]+[2]!Table323[[#This Row],[2-4 Units]]+[2]!Table323[[#This Row],[&gt;4 Units]]</f>
        <v>9</v>
      </c>
      <c r="G333">
        <v>8</v>
      </c>
      <c r="H333">
        <v>1</v>
      </c>
      <c r="I333">
        <v>0</v>
      </c>
      <c r="J333" s="248">
        <v>12548.064428970254</v>
      </c>
      <c r="K333" s="247">
        <f>SUM([2]!Table323[[#This Row],[Single Family ]:[&gt;4 Units ]])</f>
        <v>11</v>
      </c>
      <c r="L333" s="249">
        <v>6</v>
      </c>
      <c r="M333" s="249">
        <v>5</v>
      </c>
      <c r="N333" s="249">
        <v>0</v>
      </c>
      <c r="O333" s="250">
        <f>[2]!Table323[[#This Row],[Incentive Disbursements]]-[2]!Table323[[#This Row],[Incentives]]</f>
        <v>15721.795397157752</v>
      </c>
      <c r="P333" s="158">
        <f>VLOOKUP(Table3236[[#This Row],[Census Tract]],'Population and Diversity Data'!$B$2:$K$823,10,FALSE)</f>
        <v>5</v>
      </c>
      <c r="Q333" s="159" t="str">
        <f>VLOOKUP(Table3236[[#This Row],[Census Tract]],'UI EnergyBurden'!$A$2:$B$184,2,FALSE)</f>
        <v>No</v>
      </c>
    </row>
    <row r="334" spans="1:17" x14ac:dyDescent="0.2">
      <c r="A334" s="38">
        <v>9009130101</v>
      </c>
      <c r="B334" s="38" t="s">
        <v>2995</v>
      </c>
      <c r="C334" s="244" t="s">
        <v>944</v>
      </c>
      <c r="D334" s="245">
        <v>226.78720000000001</v>
      </c>
      <c r="E334" s="246">
        <v>0</v>
      </c>
      <c r="F334" s="247">
        <f>[2]!Table323[[#This Row],[Single Family]]+[2]!Table323[[#This Row],[2-4 Units]]+[2]!Table323[[#This Row],[&gt;4 Units]]</f>
        <v>0</v>
      </c>
      <c r="J334" s="248">
        <v>0</v>
      </c>
      <c r="K334" s="247">
        <f>SUM([2]!Table323[[#This Row],[Single Family ]:[&gt;4 Units ]])</f>
        <v>0</v>
      </c>
      <c r="L334" s="249"/>
      <c r="M334" s="249"/>
      <c r="N334" s="249"/>
      <c r="O334" s="250">
        <f>[2]!Table323[[#This Row],[Incentive Disbursements]]-[2]!Table323[[#This Row],[Incentives]]</f>
        <v>0</v>
      </c>
      <c r="P334" s="158">
        <f>VLOOKUP(Table3236[[#This Row],[Census Tract]],'Population and Diversity Data'!$B$2:$K$823,10,FALSE)</f>
        <v>2</v>
      </c>
      <c r="Q334" s="159" t="str">
        <f>VLOOKUP(Table3236[[#This Row],[Census Tract]],'UI EnergyBurden'!$A$2:$B$184,2,FALSE)</f>
        <v>No</v>
      </c>
    </row>
    <row r="335" spans="1:17" x14ac:dyDescent="0.2">
      <c r="A335" s="38">
        <v>9009141200</v>
      </c>
      <c r="B335" s="38" t="s">
        <v>2995</v>
      </c>
      <c r="C335" s="244" t="s">
        <v>944</v>
      </c>
      <c r="D335" s="245">
        <v>0</v>
      </c>
      <c r="E335" s="246">
        <v>0</v>
      </c>
      <c r="F335" s="247">
        <f>[2]!Table323[[#This Row],[Single Family]]+[2]!Table323[[#This Row],[2-4 Units]]+[2]!Table323[[#This Row],[&gt;4 Units]]</f>
        <v>0</v>
      </c>
      <c r="J335" s="248">
        <v>0</v>
      </c>
      <c r="K335" s="247">
        <f>SUM([2]!Table323[[#This Row],[Single Family ]:[&gt;4 Units ]])</f>
        <v>0</v>
      </c>
      <c r="L335" s="249"/>
      <c r="M335" s="249"/>
      <c r="N335" s="249"/>
      <c r="O335" s="250">
        <f>[2]!Table323[[#This Row],[Incentive Disbursements]]-[2]!Table323[[#This Row],[Incentives]]</f>
        <v>0</v>
      </c>
      <c r="P335" s="158">
        <f>VLOOKUP(Table3236[[#This Row],[Census Tract]],'Population and Diversity Data'!$B$2:$K$823,10,FALSE)</f>
        <v>5</v>
      </c>
      <c r="Q335" s="159" t="str">
        <f>VLOOKUP(Table3236[[#This Row],[Census Tract]],'UI EnergyBurden'!$A$2:$B$184,2,FALSE)</f>
        <v>No</v>
      </c>
    </row>
    <row r="336" spans="1:17" x14ac:dyDescent="0.2">
      <c r="A336" s="38">
        <v>9009160100</v>
      </c>
      <c r="B336" s="38" t="s">
        <v>2995</v>
      </c>
      <c r="C336" s="244" t="s">
        <v>944</v>
      </c>
      <c r="D336" s="245">
        <v>88447.433699999907</v>
      </c>
      <c r="E336" s="246">
        <v>46258.101880363749</v>
      </c>
      <c r="F336" s="247">
        <f>[2]!Table323[[#This Row],[Single Family]]+[2]!Table323[[#This Row],[2-4 Units]]+[2]!Table323[[#This Row],[&gt;4 Units]]</f>
        <v>29</v>
      </c>
      <c r="G336">
        <v>29</v>
      </c>
      <c r="H336">
        <v>0</v>
      </c>
      <c r="I336">
        <v>0</v>
      </c>
      <c r="J336" s="248">
        <v>46258.101880363749</v>
      </c>
      <c r="K336" s="247">
        <f>SUM([2]!Table323[[#This Row],[Single Family ]:[&gt;4 Units ]])</f>
        <v>0</v>
      </c>
      <c r="L336" s="249"/>
      <c r="M336" s="249"/>
      <c r="N336" s="249"/>
      <c r="O336" s="250">
        <f>[2]!Table323[[#This Row],[Incentive Disbursements]]-[2]!Table323[[#This Row],[Incentives]]</f>
        <v>0</v>
      </c>
      <c r="P336" s="158">
        <f>VLOOKUP(Table3236[[#This Row],[Census Tract]],'Population and Diversity Data'!$B$2:$K$823,10,FALSE)</f>
        <v>5</v>
      </c>
      <c r="Q336" s="159" t="str">
        <f>VLOOKUP(Table3236[[#This Row],[Census Tract]],'UI EnergyBurden'!$A$2:$B$184,2,FALSE)</f>
        <v>No</v>
      </c>
    </row>
    <row r="337" spans="1:17" x14ac:dyDescent="0.2">
      <c r="A337" s="38">
        <v>9009160200</v>
      </c>
      <c r="B337" s="38" t="s">
        <v>2995</v>
      </c>
      <c r="C337" s="244" t="s">
        <v>944</v>
      </c>
      <c r="D337" s="245">
        <v>127202.5885</v>
      </c>
      <c r="E337" s="246">
        <v>52188.89928259296</v>
      </c>
      <c r="F337" s="247">
        <f>[2]!Table323[[#This Row],[Single Family]]+[2]!Table323[[#This Row],[2-4 Units]]+[2]!Table323[[#This Row],[&gt;4 Units]]</f>
        <v>25</v>
      </c>
      <c r="G337">
        <v>24</v>
      </c>
      <c r="H337">
        <v>1</v>
      </c>
      <c r="I337">
        <v>0</v>
      </c>
      <c r="J337" s="248">
        <v>44576.425616383989</v>
      </c>
      <c r="K337" s="247">
        <f>SUM([2]!Table323[[#This Row],[Single Family ]:[&gt;4 Units ]])</f>
        <v>2</v>
      </c>
      <c r="L337" s="249">
        <v>2</v>
      </c>
      <c r="M337" s="249">
        <v>0</v>
      </c>
      <c r="N337" s="249">
        <v>0</v>
      </c>
      <c r="O337" s="250">
        <f>[2]!Table323[[#This Row],[Incentive Disbursements]]-[2]!Table323[[#This Row],[Incentives]]</f>
        <v>7612.4736662089708</v>
      </c>
      <c r="P337" s="158">
        <f>VLOOKUP(Table3236[[#This Row],[Census Tract]],'Population and Diversity Data'!$B$2:$K$823,10,FALSE)</f>
        <v>4</v>
      </c>
      <c r="Q337" s="159" t="str">
        <f>VLOOKUP(Table3236[[#This Row],[Census Tract]],'UI EnergyBurden'!$A$2:$B$184,2,FALSE)</f>
        <v>No</v>
      </c>
    </row>
    <row r="338" spans="1:17" ht="16" thickBot="1" x14ac:dyDescent="0.25">
      <c r="A338" s="125"/>
      <c r="B338" s="38"/>
      <c r="C338" s="251"/>
      <c r="D338" s="245"/>
      <c r="E338" s="246"/>
      <c r="F338" s="247"/>
      <c r="J338" s="248"/>
      <c r="K338" s="247"/>
      <c r="L338" s="249"/>
      <c r="M338" s="249"/>
      <c r="N338" s="249"/>
      <c r="O338" s="250">
        <f>[2]!Table323[[#This Row],[Incentive Disbursements]]-[2]!Table323[[#This Row],[Incentives]]</f>
        <v>0</v>
      </c>
      <c r="P338" s="158" t="e">
        <f>VLOOKUP(Table3236[[#This Row],[Census Tract]],'Population and Diversity Data'!$B$2:$K$823,10,FALSE)</f>
        <v>#N/A</v>
      </c>
      <c r="Q338" s="159" t="e">
        <f>VLOOKUP(Table3236[[#This Row],[Census Tract]],'UI EnergyBurden'!$A$2:$B$184,2,FALSE)</f>
        <v>#N/A</v>
      </c>
    </row>
    <row r="339" spans="1:17" ht="16" thickBot="1" x14ac:dyDescent="0.25">
      <c r="A339" s="97"/>
      <c r="B339" s="98"/>
      <c r="C339" s="215" t="s">
        <v>2885</v>
      </c>
      <c r="D339" s="208">
        <f t="shared" ref="D339:O339" si="0">SUM(D6:D338)</f>
        <v>12129792.930899993</v>
      </c>
      <c r="E339" s="208">
        <f t="shared" si="0"/>
        <v>8494544.2900000028</v>
      </c>
      <c r="F339" s="2">
        <f t="shared" si="0"/>
        <v>2927</v>
      </c>
      <c r="G339" s="2">
        <f t="shared" si="0"/>
        <v>2715</v>
      </c>
      <c r="H339" s="2">
        <f t="shared" si="0"/>
        <v>171</v>
      </c>
      <c r="I339" s="2">
        <f t="shared" si="0"/>
        <v>41</v>
      </c>
      <c r="J339" s="208">
        <f t="shared" si="0"/>
        <v>3562086.7993295458</v>
      </c>
      <c r="K339" s="2">
        <f t="shared" si="0"/>
        <v>1504</v>
      </c>
      <c r="L339" s="252">
        <f t="shared" si="0"/>
        <v>860</v>
      </c>
      <c r="M339" s="252">
        <f t="shared" si="0"/>
        <v>621</v>
      </c>
      <c r="N339" s="252">
        <f t="shared" si="0"/>
        <v>23</v>
      </c>
      <c r="O339" s="253">
        <f t="shared" si="0"/>
        <v>4932457.4906704556</v>
      </c>
      <c r="P339" s="158" t="e">
        <f>VLOOKUP(Table3236[[#This Row],[Census Tract]],'Population and Diversity Data'!$B$2:$K$823,10,FALSE)</f>
        <v>#N/A</v>
      </c>
      <c r="Q339" s="159" t="e">
        <f>VLOOKUP(Table3236[[#This Row],[Census Tract]],'UI EnergyBurden'!$A$2:$B$184,2,FALSE)</f>
        <v>#N/A</v>
      </c>
    </row>
    <row r="340" spans="1:17" x14ac:dyDescent="0.2">
      <c r="P340" s="158" t="e">
        <f>VLOOKUP(Table3236[[#This Row],[Census Tract]],'Population and Diversity Data'!$B$2:$K$823,10,FALSE)</f>
        <v>#N/A</v>
      </c>
      <c r="Q340" s="159" t="e">
        <f>VLOOKUP(Table3236[[#This Row],[Census Tract]],'UI EnergyBurden'!$A$2:$B$184,2,FALSE)</f>
        <v>#N/A</v>
      </c>
    </row>
    <row r="341" spans="1:17" x14ac:dyDescent="0.2">
      <c r="P341" s="158" t="e">
        <f>VLOOKUP(Table3236[[#This Row],[Census Tract]],'Population and Diversity Data'!$B$2:$K$823,10,FALSE)</f>
        <v>#N/A</v>
      </c>
      <c r="Q341" s="159" t="e">
        <f>VLOOKUP(Table3236[[#This Row],[Census Tract]],'UI EnergyBurden'!$A$2:$B$184,2,FALSE)</f>
        <v>#N/A</v>
      </c>
    </row>
    <row r="342" spans="1:17" x14ac:dyDescent="0.2">
      <c r="P342" s="158" t="e">
        <f>VLOOKUP(Table3236[[#This Row],[Census Tract]],'Population and Diversity Data'!$B$2:$K$823,10,FALSE)</f>
        <v>#N/A</v>
      </c>
      <c r="Q342" s="159" t="e">
        <f>VLOOKUP(Table3236[[#This Row],[Census Tract]],'UI EnergyBurden'!$A$2:$B$184,2,FALSE)</f>
        <v>#N/A</v>
      </c>
    </row>
    <row r="343" spans="1:17" x14ac:dyDescent="0.2">
      <c r="P343" s="158" t="e">
        <f>VLOOKUP(Table3236[[#This Row],[Census Tract]],'Population and Diversity Data'!$B$2:$K$823,10,FALSE)</f>
        <v>#N/A</v>
      </c>
      <c r="Q343" s="159" t="e">
        <f>VLOOKUP(Table3236[[#This Row],[Census Tract]],'UI EnergyBurden'!$A$2:$B$184,2,FALSE)</f>
        <v>#N/A</v>
      </c>
    </row>
    <row r="344" spans="1:17" x14ac:dyDescent="0.2">
      <c r="P344" s="158" t="e">
        <f>VLOOKUP(Table3236[[#This Row],[Census Tract]],'Population and Diversity Data'!$B$2:$K$823,10,FALSE)</f>
        <v>#N/A</v>
      </c>
      <c r="Q344" s="159" t="e">
        <f>VLOOKUP(Table3236[[#This Row],[Census Tract]],'UI EnergyBurden'!$A$2:$B$184,2,FALSE)</f>
        <v>#N/A</v>
      </c>
    </row>
    <row r="345" spans="1:17" x14ac:dyDescent="0.2">
      <c r="P345" s="158" t="e">
        <f>VLOOKUP(Table3236[[#This Row],[Census Tract]],'Population and Diversity Data'!$B$2:$K$823,10,FALSE)</f>
        <v>#N/A</v>
      </c>
      <c r="Q345" s="159" t="e">
        <f>VLOOKUP(Table3236[[#This Row],[Census Tract]],'UI EnergyBurden'!$A$2:$B$184,2,FALSE)</f>
        <v>#N/A</v>
      </c>
    </row>
    <row r="346" spans="1:17" x14ac:dyDescent="0.2">
      <c r="P346" s="158" t="e">
        <f>VLOOKUP(Table3236[[#This Row],[Census Tract]],'Population and Diversity Data'!$B$2:$K$823,10,FALSE)</f>
        <v>#N/A</v>
      </c>
      <c r="Q346" s="159" t="e">
        <f>VLOOKUP(Table3236[[#This Row],[Census Tract]],'UI EnergyBurden'!$A$2:$B$184,2,FALSE)</f>
        <v>#N/A</v>
      </c>
    </row>
    <row r="347" spans="1:17" x14ac:dyDescent="0.2">
      <c r="P347" s="158" t="e">
        <f>VLOOKUP(Table3236[[#This Row],[Census Tract]],'Population and Diversity Data'!$B$2:$K$823,10,FALSE)</f>
        <v>#N/A</v>
      </c>
      <c r="Q347" s="159" t="e">
        <f>VLOOKUP(Table3236[[#This Row],[Census Tract]],'UI EnergyBurden'!$A$2:$B$184,2,FALSE)</f>
        <v>#N/A</v>
      </c>
    </row>
    <row r="348" spans="1:17" x14ac:dyDescent="0.2">
      <c r="P348" s="158" t="e">
        <f>VLOOKUP(Table3236[[#This Row],[Census Tract]],'Population and Diversity Data'!$B$2:$K$823,10,FALSE)</f>
        <v>#N/A</v>
      </c>
      <c r="Q348" s="159" t="e">
        <f>VLOOKUP(Table3236[[#This Row],[Census Tract]],'UI EnergyBurden'!$A$2:$B$184,2,FALSE)</f>
        <v>#N/A</v>
      </c>
    </row>
    <row r="349" spans="1:17" x14ac:dyDescent="0.2">
      <c r="P349" s="158" t="e">
        <f>VLOOKUP(Table3236[[#This Row],[Census Tract]],'Population and Diversity Data'!$B$2:$K$823,10,FALSE)</f>
        <v>#N/A</v>
      </c>
      <c r="Q349" s="159" t="e">
        <f>VLOOKUP(Table3236[[#This Row],[Census Tract]],'UI EnergyBurden'!$A$2:$B$184,2,FALSE)</f>
        <v>#N/A</v>
      </c>
    </row>
    <row r="350" spans="1:17" x14ac:dyDescent="0.2">
      <c r="P350" s="158" t="e">
        <f>VLOOKUP(Table3236[[#This Row],[Census Tract]],'Population and Diversity Data'!$B$2:$K$823,10,FALSE)</f>
        <v>#N/A</v>
      </c>
      <c r="Q350" s="159" t="e">
        <f>VLOOKUP(Table3236[[#This Row],[Census Tract]],'UI EnergyBurden'!$A$2:$B$184,2,FALSE)</f>
        <v>#N/A</v>
      </c>
    </row>
    <row r="351" spans="1:17" x14ac:dyDescent="0.2">
      <c r="P351" s="158" t="e">
        <f>VLOOKUP(Table3236[[#This Row],[Census Tract]],'Population and Diversity Data'!$B$2:$K$823,10,FALSE)</f>
        <v>#N/A</v>
      </c>
      <c r="Q351" s="159" t="e">
        <f>VLOOKUP(Table3236[[#This Row],[Census Tract]],'UI EnergyBurden'!$A$2:$B$184,2,FALSE)</f>
        <v>#N/A</v>
      </c>
    </row>
    <row r="352" spans="1:17" x14ac:dyDescent="0.2">
      <c r="P352" s="158" t="e">
        <f>VLOOKUP(Table3236[[#This Row],[Census Tract]],'Population and Diversity Data'!$B$2:$K$823,10,FALSE)</f>
        <v>#N/A</v>
      </c>
      <c r="Q352" s="159" t="e">
        <f>VLOOKUP(Table3236[[#This Row],[Census Tract]],'UI EnergyBurden'!$A$2:$B$184,2,FALSE)</f>
        <v>#N/A</v>
      </c>
    </row>
    <row r="353" spans="16:17" x14ac:dyDescent="0.2">
      <c r="P353" s="158" t="e">
        <f>VLOOKUP(Table3236[[#This Row],[Census Tract]],'Population and Diversity Data'!$B$2:$K$823,10,FALSE)</f>
        <v>#N/A</v>
      </c>
      <c r="Q353" s="159" t="e">
        <f>VLOOKUP(Table3236[[#This Row],[Census Tract]],'UI EnergyBurden'!$A$2:$B$184,2,FALSE)</f>
        <v>#N/A</v>
      </c>
    </row>
    <row r="354" spans="16:17" x14ac:dyDescent="0.2">
      <c r="P354" s="158" t="e">
        <f>VLOOKUP(Table3236[[#This Row],[Census Tract]],'Population and Diversity Data'!$B$2:$K$823,10,FALSE)</f>
        <v>#N/A</v>
      </c>
      <c r="Q354" s="159" t="e">
        <f>VLOOKUP(Table3236[[#This Row],[Census Tract]],'UI EnergyBurden'!$A$2:$B$184,2,FALSE)</f>
        <v>#N/A</v>
      </c>
    </row>
    <row r="355" spans="16:17" x14ac:dyDescent="0.2">
      <c r="P355" s="158" t="e">
        <f>VLOOKUP(Table3236[[#This Row],[Census Tract]],'Population and Diversity Data'!$B$2:$K$823,10,FALSE)</f>
        <v>#N/A</v>
      </c>
      <c r="Q355" s="159" t="e">
        <f>VLOOKUP(Table3236[[#This Row],[Census Tract]],'UI EnergyBurden'!$A$2:$B$184,2,FALSE)</f>
        <v>#N/A</v>
      </c>
    </row>
    <row r="356" spans="16:17" x14ac:dyDescent="0.2">
      <c r="P356" s="158" t="e">
        <f>VLOOKUP(Table3236[[#This Row],[Census Tract]],'Population and Diversity Data'!$B$2:$K$823,10,FALSE)</f>
        <v>#N/A</v>
      </c>
      <c r="Q356" s="159" t="e">
        <f>VLOOKUP(Table3236[[#This Row],[Census Tract]],'UI EnergyBurden'!$A$2:$B$184,2,FALSE)</f>
        <v>#N/A</v>
      </c>
    </row>
    <row r="357" spans="16:17" x14ac:dyDescent="0.2">
      <c r="P357" s="158" t="e">
        <f>VLOOKUP(Table3236[[#This Row],[Census Tract]],'Population and Diversity Data'!$B$2:$K$823,10,FALSE)</f>
        <v>#N/A</v>
      </c>
      <c r="Q357" s="159" t="e">
        <f>VLOOKUP(Table3236[[#This Row],[Census Tract]],'UI EnergyBurden'!$A$2:$B$184,2,FALSE)</f>
        <v>#N/A</v>
      </c>
    </row>
    <row r="358" spans="16:17" x14ac:dyDescent="0.2">
      <c r="P358" s="158" t="e">
        <f>VLOOKUP(Table3236[[#This Row],[Census Tract]],'Population and Diversity Data'!$B$2:$K$823,10,FALSE)</f>
        <v>#N/A</v>
      </c>
      <c r="Q358" s="159" t="e">
        <f>VLOOKUP(Table3236[[#This Row],[Census Tract]],'UI EnergyBurden'!$A$2:$B$184,2,FALSE)</f>
        <v>#N/A</v>
      </c>
    </row>
    <row r="359" spans="16:17" x14ac:dyDescent="0.2">
      <c r="P359" s="158" t="e">
        <f>VLOOKUP(Table3236[[#This Row],[Census Tract]],'Population and Diversity Data'!$B$2:$K$823,10,FALSE)</f>
        <v>#N/A</v>
      </c>
      <c r="Q359" s="159" t="e">
        <f>VLOOKUP(Table3236[[#This Row],[Census Tract]],'UI EnergyBurden'!$A$2:$B$184,2,FALSE)</f>
        <v>#N/A</v>
      </c>
    </row>
    <row r="360" spans="16:17" x14ac:dyDescent="0.2">
      <c r="P360" s="158" t="e">
        <f>VLOOKUP(Table3236[[#This Row],[Census Tract]],'Population and Diversity Data'!$B$2:$K$823,10,FALSE)</f>
        <v>#N/A</v>
      </c>
      <c r="Q360" s="159" t="e">
        <f>VLOOKUP(Table3236[[#This Row],[Census Tract]],'UI EnergyBurden'!$A$2:$B$184,2,FALSE)</f>
        <v>#N/A</v>
      </c>
    </row>
    <row r="361" spans="16:17" x14ac:dyDescent="0.2">
      <c r="P361" s="158" t="e">
        <f>VLOOKUP(Table3236[[#This Row],[Census Tract]],'Population and Diversity Data'!$B$2:$K$823,10,FALSE)</f>
        <v>#N/A</v>
      </c>
      <c r="Q361" s="159" t="e">
        <f>VLOOKUP(Table3236[[#This Row],[Census Tract]],'UI EnergyBurden'!$A$2:$B$184,2,FALSE)</f>
        <v>#N/A</v>
      </c>
    </row>
    <row r="362" spans="16:17" x14ac:dyDescent="0.2">
      <c r="P362" s="158" t="e">
        <f>VLOOKUP(Table3236[[#This Row],[Census Tract]],'Population and Diversity Data'!$B$2:$K$823,10,FALSE)</f>
        <v>#N/A</v>
      </c>
      <c r="Q362" s="159" t="e">
        <f>VLOOKUP(Table3236[[#This Row],[Census Tract]],'UI EnergyBurden'!$A$2:$B$184,2,FALSE)</f>
        <v>#N/A</v>
      </c>
    </row>
    <row r="363" spans="16:17" x14ac:dyDescent="0.2">
      <c r="P363" s="158" t="e">
        <f>VLOOKUP(Table3236[[#This Row],[Census Tract]],'Population and Diversity Data'!$B$2:$K$823,10,FALSE)</f>
        <v>#N/A</v>
      </c>
      <c r="Q363" s="159" t="e">
        <f>VLOOKUP(Table3236[[#This Row],[Census Tract]],'UI EnergyBurden'!$A$2:$B$184,2,FALSE)</f>
        <v>#N/A</v>
      </c>
    </row>
    <row r="364" spans="16:17" x14ac:dyDescent="0.2">
      <c r="P364" s="158" t="e">
        <f>VLOOKUP(Table3236[[#This Row],[Census Tract]],'Population and Diversity Data'!$B$2:$K$823,10,FALSE)</f>
        <v>#N/A</v>
      </c>
      <c r="Q364" s="159" t="e">
        <f>VLOOKUP(Table3236[[#This Row],[Census Tract]],'UI EnergyBurden'!$A$2:$B$184,2,FALSE)</f>
        <v>#N/A</v>
      </c>
    </row>
    <row r="365" spans="16:17" x14ac:dyDescent="0.2">
      <c r="P365" s="158" t="e">
        <f>VLOOKUP(Table3236[[#This Row],[Census Tract]],'Population and Diversity Data'!$B$2:$K$823,10,FALSE)</f>
        <v>#N/A</v>
      </c>
      <c r="Q365" s="159" t="e">
        <f>VLOOKUP(Table3236[[#This Row],[Census Tract]],'UI EnergyBurden'!$A$2:$B$184,2,FALSE)</f>
        <v>#N/A</v>
      </c>
    </row>
    <row r="366" spans="16:17" x14ac:dyDescent="0.2">
      <c r="P366" s="158" t="e">
        <f>VLOOKUP(Table3236[[#This Row],[Census Tract]],'Population and Diversity Data'!$B$2:$K$823,10,FALSE)</f>
        <v>#N/A</v>
      </c>
      <c r="Q366" s="159" t="e">
        <f>VLOOKUP(Table3236[[#This Row],[Census Tract]],'UI EnergyBurden'!$A$2:$B$184,2,FALSE)</f>
        <v>#N/A</v>
      </c>
    </row>
    <row r="367" spans="16:17" x14ac:dyDescent="0.2">
      <c r="P367" s="158" t="e">
        <f>VLOOKUP(Table3236[[#This Row],[Census Tract]],'Population and Diversity Data'!$B$2:$K$823,10,FALSE)</f>
        <v>#N/A</v>
      </c>
      <c r="Q367" s="159" t="e">
        <f>VLOOKUP(Table3236[[#This Row],[Census Tract]],'UI EnergyBurden'!$A$2:$B$184,2,FALSE)</f>
        <v>#N/A</v>
      </c>
    </row>
    <row r="368" spans="16:17" x14ac:dyDescent="0.2">
      <c r="P368" s="158" t="e">
        <f>VLOOKUP(Table3236[[#This Row],[Census Tract]],'Population and Diversity Data'!$B$2:$K$823,10,FALSE)</f>
        <v>#N/A</v>
      </c>
      <c r="Q368" s="159" t="e">
        <f>VLOOKUP(Table3236[[#This Row],[Census Tract]],'UI EnergyBurden'!$A$2:$B$184,2,FALSE)</f>
        <v>#N/A</v>
      </c>
    </row>
    <row r="369" spans="16:17" x14ac:dyDescent="0.2">
      <c r="P369" s="158" t="e">
        <f>VLOOKUP(Table3236[[#This Row],[Census Tract]],'Population and Diversity Data'!$B$2:$K$823,10,FALSE)</f>
        <v>#N/A</v>
      </c>
      <c r="Q369" s="159" t="e">
        <f>VLOOKUP(Table3236[[#This Row],[Census Tract]],'UI EnergyBurden'!$A$2:$B$184,2,FALSE)</f>
        <v>#N/A</v>
      </c>
    </row>
    <row r="370" spans="16:17" x14ac:dyDescent="0.2">
      <c r="P370" s="158" t="e">
        <f>VLOOKUP(Table3236[[#This Row],[Census Tract]],'Population and Diversity Data'!$B$2:$K$823,10,FALSE)</f>
        <v>#N/A</v>
      </c>
      <c r="Q370" s="159" t="e">
        <f>VLOOKUP(Table3236[[#This Row],[Census Tract]],'UI EnergyBurden'!$A$2:$B$184,2,FALSE)</f>
        <v>#N/A</v>
      </c>
    </row>
    <row r="371" spans="16:17" x14ac:dyDescent="0.2">
      <c r="P371" s="158" t="e">
        <f>VLOOKUP(Table3236[[#This Row],[Census Tract]],'Population and Diversity Data'!$B$2:$K$823,10,FALSE)</f>
        <v>#N/A</v>
      </c>
      <c r="Q371" s="159" t="e">
        <f>VLOOKUP(Table3236[[#This Row],[Census Tract]],'UI EnergyBurden'!$A$2:$B$184,2,FALSE)</f>
        <v>#N/A</v>
      </c>
    </row>
    <row r="372" spans="16:17" x14ac:dyDescent="0.2">
      <c r="P372" s="158" t="e">
        <f>VLOOKUP(Table3236[[#This Row],[Census Tract]],'Population and Diversity Data'!$B$2:$K$823,10,FALSE)</f>
        <v>#N/A</v>
      </c>
      <c r="Q372" s="159" t="e">
        <f>VLOOKUP(Table3236[[#This Row],[Census Tract]],'UI EnergyBurden'!$A$2:$B$184,2,FALSE)</f>
        <v>#N/A</v>
      </c>
    </row>
    <row r="373" spans="16:17" x14ac:dyDescent="0.2">
      <c r="P373" s="158" t="e">
        <f>VLOOKUP(Table3236[[#This Row],[Census Tract]],'Population and Diversity Data'!$B$2:$K$823,10,FALSE)</f>
        <v>#N/A</v>
      </c>
      <c r="Q373" s="159" t="e">
        <f>VLOOKUP(Table3236[[#This Row],[Census Tract]],'UI EnergyBurden'!$A$2:$B$184,2,FALSE)</f>
        <v>#N/A</v>
      </c>
    </row>
    <row r="374" spans="16:17" x14ac:dyDescent="0.2">
      <c r="P374" s="158" t="e">
        <f>VLOOKUP(Table3236[[#This Row],[Census Tract]],'Population and Diversity Data'!$B$2:$K$823,10,FALSE)</f>
        <v>#N/A</v>
      </c>
      <c r="Q374" s="159" t="e">
        <f>VLOOKUP(Table3236[[#This Row],[Census Tract]],'UI EnergyBurden'!$A$2:$B$184,2,FALSE)</f>
        <v>#N/A</v>
      </c>
    </row>
    <row r="375" spans="16:17" x14ac:dyDescent="0.2">
      <c r="P375" s="158" t="e">
        <f>VLOOKUP(Table3236[[#This Row],[Census Tract]],'Population and Diversity Data'!$B$2:$K$823,10,FALSE)</f>
        <v>#N/A</v>
      </c>
      <c r="Q375" s="159" t="e">
        <f>VLOOKUP(Table3236[[#This Row],[Census Tract]],'UI EnergyBurden'!$A$2:$B$184,2,FALSE)</f>
        <v>#N/A</v>
      </c>
    </row>
    <row r="376" spans="16:17" x14ac:dyDescent="0.2">
      <c r="P376" s="158" t="e">
        <f>VLOOKUP(Table3236[[#This Row],[Census Tract]],'Population and Diversity Data'!$B$2:$K$823,10,FALSE)</f>
        <v>#N/A</v>
      </c>
      <c r="Q376" s="159" t="e">
        <f>VLOOKUP(Table3236[[#This Row],[Census Tract]],'UI EnergyBurden'!$A$2:$B$184,2,FALSE)</f>
        <v>#N/A</v>
      </c>
    </row>
    <row r="377" spans="16:17" x14ac:dyDescent="0.2">
      <c r="P377" s="158" t="e">
        <f>VLOOKUP(Table3236[[#This Row],[Census Tract]],'Population and Diversity Data'!$B$2:$K$823,10,FALSE)</f>
        <v>#N/A</v>
      </c>
      <c r="Q377" s="159" t="e">
        <f>VLOOKUP(Table3236[[#This Row],[Census Tract]],'UI EnergyBurden'!$A$2:$B$184,2,FALSE)</f>
        <v>#N/A</v>
      </c>
    </row>
    <row r="378" spans="16:17" x14ac:dyDescent="0.2">
      <c r="P378" s="158" t="e">
        <f>VLOOKUP(Table3236[[#This Row],[Census Tract]],'Population and Diversity Data'!$B$2:$K$823,10,FALSE)</f>
        <v>#N/A</v>
      </c>
      <c r="Q378" s="159" t="e">
        <f>VLOOKUP(Table3236[[#This Row],[Census Tract]],'UI EnergyBurden'!$A$2:$B$184,2,FALSE)</f>
        <v>#N/A</v>
      </c>
    </row>
    <row r="379" spans="16:17" x14ac:dyDescent="0.2">
      <c r="P379" s="158" t="e">
        <f>VLOOKUP(Table3236[[#This Row],[Census Tract]],'Population and Diversity Data'!$B$2:$K$823,10,FALSE)</f>
        <v>#N/A</v>
      </c>
      <c r="Q379" s="159" t="e">
        <f>VLOOKUP(Table3236[[#This Row],[Census Tract]],'UI EnergyBurden'!$A$2:$B$184,2,FALSE)</f>
        <v>#N/A</v>
      </c>
    </row>
    <row r="380" spans="16:17" x14ac:dyDescent="0.2">
      <c r="P380" s="158" t="e">
        <f>VLOOKUP(Table3236[[#This Row],[Census Tract]],'Population and Diversity Data'!$B$2:$K$823,10,FALSE)</f>
        <v>#N/A</v>
      </c>
      <c r="Q380" s="159" t="e">
        <f>VLOOKUP(Table3236[[#This Row],[Census Tract]],'UI EnergyBurden'!$A$2:$B$184,2,FALSE)</f>
        <v>#N/A</v>
      </c>
    </row>
    <row r="381" spans="16:17" x14ac:dyDescent="0.2">
      <c r="P381" s="158" t="e">
        <f>VLOOKUP(Table3236[[#This Row],[Census Tract]],'Population and Diversity Data'!$B$2:$K$823,10,FALSE)</f>
        <v>#N/A</v>
      </c>
      <c r="Q381" s="159" t="e">
        <f>VLOOKUP(Table3236[[#This Row],[Census Tract]],'UI EnergyBurden'!$A$2:$B$184,2,FALSE)</f>
        <v>#N/A</v>
      </c>
    </row>
    <row r="382" spans="16:17" x14ac:dyDescent="0.2">
      <c r="P382" s="158" t="e">
        <f>VLOOKUP(Table3236[[#This Row],[Census Tract]],'Population and Diversity Data'!$B$2:$K$823,10,FALSE)</f>
        <v>#N/A</v>
      </c>
      <c r="Q382" s="159" t="e">
        <f>VLOOKUP(Table3236[[#This Row],[Census Tract]],'UI EnergyBurden'!$A$2:$B$184,2,FALSE)</f>
        <v>#N/A</v>
      </c>
    </row>
    <row r="383" spans="16:17" x14ac:dyDescent="0.2">
      <c r="P383" s="158" t="e">
        <f>VLOOKUP(Table3236[[#This Row],[Census Tract]],'Population and Diversity Data'!$B$2:$K$823,10,FALSE)</f>
        <v>#N/A</v>
      </c>
      <c r="Q383" s="159" t="e">
        <f>VLOOKUP(Table3236[[#This Row],[Census Tract]],'UI EnergyBurden'!$A$2:$B$184,2,FALSE)</f>
        <v>#N/A</v>
      </c>
    </row>
    <row r="384" spans="16:17" x14ac:dyDescent="0.2">
      <c r="P384" s="158" t="e">
        <f>VLOOKUP(Table3236[[#This Row],[Census Tract]],'Population and Diversity Data'!$B$2:$K$823,10,FALSE)</f>
        <v>#N/A</v>
      </c>
      <c r="Q384" s="159" t="e">
        <f>VLOOKUP(Table3236[[#This Row],[Census Tract]],'UI EnergyBurden'!$A$2:$B$184,2,FALSE)</f>
        <v>#N/A</v>
      </c>
    </row>
    <row r="385" spans="16:17" x14ac:dyDescent="0.2">
      <c r="P385" s="158" t="e">
        <f>VLOOKUP(Table3236[[#This Row],[Census Tract]],'Population and Diversity Data'!$B$2:$K$823,10,FALSE)</f>
        <v>#N/A</v>
      </c>
      <c r="Q385" s="159" t="e">
        <f>VLOOKUP(Table3236[[#This Row],[Census Tract]],'UI EnergyBurden'!$A$2:$B$184,2,FALSE)</f>
        <v>#N/A</v>
      </c>
    </row>
    <row r="386" spans="16:17" x14ac:dyDescent="0.2">
      <c r="P386" s="158" t="e">
        <f>VLOOKUP(Table3236[[#This Row],[Census Tract]],'Population and Diversity Data'!$B$2:$K$823,10,FALSE)</f>
        <v>#N/A</v>
      </c>
      <c r="Q386" s="159" t="e">
        <f>VLOOKUP(Table3236[[#This Row],[Census Tract]],'UI EnergyBurden'!$A$2:$B$184,2,FALSE)</f>
        <v>#N/A</v>
      </c>
    </row>
    <row r="387" spans="16:17" x14ac:dyDescent="0.2">
      <c r="P387" s="158" t="e">
        <f>VLOOKUP(Table3236[[#This Row],[Census Tract]],'Population and Diversity Data'!$B$2:$K$823,10,FALSE)</f>
        <v>#N/A</v>
      </c>
      <c r="Q387" s="159" t="e">
        <f>VLOOKUP(Table3236[[#This Row],[Census Tract]],'UI EnergyBurden'!$A$2:$B$184,2,FALSE)</f>
        <v>#N/A</v>
      </c>
    </row>
    <row r="388" spans="16:17" x14ac:dyDescent="0.2">
      <c r="P388" s="158" t="e">
        <f>VLOOKUP(Table3236[[#This Row],[Census Tract]],'Population and Diversity Data'!$B$2:$K$823,10,FALSE)</f>
        <v>#N/A</v>
      </c>
      <c r="Q388" s="159" t="e">
        <f>VLOOKUP(Table3236[[#This Row],[Census Tract]],'UI EnergyBurden'!$A$2:$B$184,2,FALSE)</f>
        <v>#N/A</v>
      </c>
    </row>
    <row r="389" spans="16:17" x14ac:dyDescent="0.2">
      <c r="P389" s="158" t="e">
        <f>VLOOKUP(Table3236[[#This Row],[Census Tract]],'Population and Diversity Data'!$B$2:$K$823,10,FALSE)</f>
        <v>#N/A</v>
      </c>
      <c r="Q389" s="159" t="e">
        <f>VLOOKUP(Table3236[[#This Row],[Census Tract]],'UI EnergyBurden'!$A$2:$B$184,2,FALSE)</f>
        <v>#N/A</v>
      </c>
    </row>
    <row r="390" spans="16:17" x14ac:dyDescent="0.2">
      <c r="P390" s="158" t="e">
        <f>VLOOKUP(Table3236[[#This Row],[Census Tract]],'Population and Diversity Data'!$B$2:$K$823,10,FALSE)</f>
        <v>#N/A</v>
      </c>
      <c r="Q390" s="159" t="e">
        <f>VLOOKUP(Table3236[[#This Row],[Census Tract]],'UI EnergyBurden'!$A$2:$B$184,2,FALSE)</f>
        <v>#N/A</v>
      </c>
    </row>
    <row r="391" spans="16:17" x14ac:dyDescent="0.2">
      <c r="P391" s="158" t="e">
        <f>VLOOKUP(Table3236[[#This Row],[Census Tract]],'Population and Diversity Data'!$B$2:$K$823,10,FALSE)</f>
        <v>#N/A</v>
      </c>
      <c r="Q391" s="159" t="e">
        <f>VLOOKUP(Table3236[[#This Row],[Census Tract]],'UI EnergyBurden'!$A$2:$B$184,2,FALSE)</f>
        <v>#N/A</v>
      </c>
    </row>
    <row r="392" spans="16:17" x14ac:dyDescent="0.2">
      <c r="P392" s="158" t="e">
        <f>VLOOKUP(Table3236[[#This Row],[Census Tract]],'Population and Diversity Data'!$B$2:$K$823,10,FALSE)</f>
        <v>#N/A</v>
      </c>
      <c r="Q392" s="159" t="e">
        <f>VLOOKUP(Table3236[[#This Row],[Census Tract]],'UI EnergyBurden'!$A$2:$B$184,2,FALSE)</f>
        <v>#N/A</v>
      </c>
    </row>
    <row r="393" spans="16:17" x14ac:dyDescent="0.2">
      <c r="P393" s="158" t="e">
        <f>VLOOKUP(Table3236[[#This Row],[Census Tract]],'Population and Diversity Data'!$B$2:$K$823,10,FALSE)</f>
        <v>#N/A</v>
      </c>
      <c r="Q393" s="159" t="e">
        <f>VLOOKUP(Table3236[[#This Row],[Census Tract]],'UI EnergyBurden'!$A$2:$B$184,2,FALSE)</f>
        <v>#N/A</v>
      </c>
    </row>
    <row r="394" spans="16:17" x14ac:dyDescent="0.2">
      <c r="P394" s="158" t="e">
        <f>VLOOKUP(Table3236[[#This Row],[Census Tract]],'Population and Diversity Data'!$B$2:$K$823,10,FALSE)</f>
        <v>#N/A</v>
      </c>
      <c r="Q394" s="159" t="e">
        <f>VLOOKUP(Table3236[[#This Row],[Census Tract]],'UI EnergyBurden'!$A$2:$B$184,2,FALSE)</f>
        <v>#N/A</v>
      </c>
    </row>
    <row r="395" spans="16:17" x14ac:dyDescent="0.2">
      <c r="P395" s="158" t="e">
        <f>VLOOKUP(Table3236[[#This Row],[Census Tract]],'Population and Diversity Data'!$B$2:$K$823,10,FALSE)</f>
        <v>#N/A</v>
      </c>
      <c r="Q395" s="159" t="e">
        <f>VLOOKUP(Table3236[[#This Row],[Census Tract]],'UI EnergyBurden'!$A$2:$B$184,2,FALSE)</f>
        <v>#N/A</v>
      </c>
    </row>
    <row r="396" spans="16:17" x14ac:dyDescent="0.2">
      <c r="P396" s="158" t="e">
        <f>VLOOKUP(Table3236[[#This Row],[Census Tract]],'Population and Diversity Data'!$B$2:$K$823,10,FALSE)</f>
        <v>#N/A</v>
      </c>
      <c r="Q396" s="159" t="e">
        <f>VLOOKUP(Table3236[[#This Row],[Census Tract]],'UI EnergyBurden'!$A$2:$B$184,2,FALSE)</f>
        <v>#N/A</v>
      </c>
    </row>
    <row r="397" spans="16:17" x14ac:dyDescent="0.2">
      <c r="P397" s="158" t="e">
        <f>VLOOKUP(Table3236[[#This Row],[Census Tract]],'Population and Diversity Data'!$B$2:$K$823,10,FALSE)</f>
        <v>#N/A</v>
      </c>
      <c r="Q397" s="159" t="e">
        <f>VLOOKUP(Table3236[[#This Row],[Census Tract]],'UI EnergyBurden'!$A$2:$B$184,2,FALSE)</f>
        <v>#N/A</v>
      </c>
    </row>
    <row r="398" spans="16:17" x14ac:dyDescent="0.2">
      <c r="P398" s="158" t="e">
        <f>VLOOKUP(Table3236[[#This Row],[Census Tract]],'Population and Diversity Data'!$B$2:$K$823,10,FALSE)</f>
        <v>#N/A</v>
      </c>
      <c r="Q398" s="159" t="e">
        <f>VLOOKUP(Table3236[[#This Row],[Census Tract]],'UI EnergyBurden'!$A$2:$B$184,2,FALSE)</f>
        <v>#N/A</v>
      </c>
    </row>
    <row r="399" spans="16:17" x14ac:dyDescent="0.2">
      <c r="P399" s="158" t="e">
        <f>VLOOKUP(Table3236[[#This Row],[Census Tract]],'Population and Diversity Data'!$B$2:$K$823,10,FALSE)</f>
        <v>#N/A</v>
      </c>
      <c r="Q399" s="159" t="e">
        <f>VLOOKUP(Table3236[[#This Row],[Census Tract]],'UI EnergyBurden'!$A$2:$B$184,2,FALSE)</f>
        <v>#N/A</v>
      </c>
    </row>
    <row r="400" spans="16:17" x14ac:dyDescent="0.2">
      <c r="P400" s="158" t="e">
        <f>VLOOKUP(Table3236[[#This Row],[Census Tract]],'Population and Diversity Data'!$B$2:$K$823,10,FALSE)</f>
        <v>#N/A</v>
      </c>
      <c r="Q400" s="159" t="e">
        <f>VLOOKUP(Table3236[[#This Row],[Census Tract]],'UI EnergyBurden'!$A$2:$B$184,2,FALSE)</f>
        <v>#N/A</v>
      </c>
    </row>
    <row r="401" spans="16:17" x14ac:dyDescent="0.2">
      <c r="P401" s="158" t="e">
        <f>VLOOKUP(Table3236[[#This Row],[Census Tract]],'Population and Diversity Data'!$B$2:$K$823,10,FALSE)</f>
        <v>#N/A</v>
      </c>
      <c r="Q401" s="159" t="e">
        <f>VLOOKUP(Table3236[[#This Row],[Census Tract]],'UI EnergyBurden'!$A$2:$B$184,2,FALSE)</f>
        <v>#N/A</v>
      </c>
    </row>
    <row r="402" spans="16:17" x14ac:dyDescent="0.2">
      <c r="P402" s="158" t="e">
        <f>VLOOKUP(Table3236[[#This Row],[Census Tract]],'Population and Diversity Data'!$B$2:$K$823,10,FALSE)</f>
        <v>#N/A</v>
      </c>
      <c r="Q402" s="159" t="e">
        <f>VLOOKUP(Table3236[[#This Row],[Census Tract]],'UI EnergyBurden'!$A$2:$B$184,2,FALSE)</f>
        <v>#N/A</v>
      </c>
    </row>
    <row r="403" spans="16:17" x14ac:dyDescent="0.2">
      <c r="P403" s="158" t="e">
        <f>VLOOKUP(Table3236[[#This Row],[Census Tract]],'Population and Diversity Data'!$B$2:$K$823,10,FALSE)</f>
        <v>#N/A</v>
      </c>
      <c r="Q403" s="159" t="e">
        <f>VLOOKUP(Table3236[[#This Row],[Census Tract]],'UI EnergyBurden'!$A$2:$B$184,2,FALSE)</f>
        <v>#N/A</v>
      </c>
    </row>
    <row r="404" spans="16:17" x14ac:dyDescent="0.2">
      <c r="P404" s="158" t="e">
        <f>VLOOKUP(Table3236[[#This Row],[Census Tract]],'Population and Diversity Data'!$B$2:$K$823,10,FALSE)</f>
        <v>#N/A</v>
      </c>
      <c r="Q404" s="159" t="e">
        <f>VLOOKUP(Table3236[[#This Row],[Census Tract]],'UI EnergyBurden'!$A$2:$B$184,2,FALSE)</f>
        <v>#N/A</v>
      </c>
    </row>
    <row r="405" spans="16:17" x14ac:dyDescent="0.2">
      <c r="P405" s="158" t="e">
        <f>VLOOKUP(Table3236[[#This Row],[Census Tract]],'Population and Diversity Data'!$B$2:$K$823,10,FALSE)</f>
        <v>#N/A</v>
      </c>
      <c r="Q405" s="159" t="e">
        <f>VLOOKUP(Table3236[[#This Row],[Census Tract]],'UI EnergyBurden'!$A$2:$B$184,2,FALSE)</f>
        <v>#N/A</v>
      </c>
    </row>
    <row r="406" spans="16:17" x14ac:dyDescent="0.2">
      <c r="P406" s="158" t="e">
        <f>VLOOKUP(Table3236[[#This Row],[Census Tract]],'Population and Diversity Data'!$B$2:$K$823,10,FALSE)</f>
        <v>#N/A</v>
      </c>
      <c r="Q406" s="159" t="e">
        <f>VLOOKUP(Table3236[[#This Row],[Census Tract]],'UI EnergyBurden'!$A$2:$B$184,2,FALSE)</f>
        <v>#N/A</v>
      </c>
    </row>
    <row r="407" spans="16:17" x14ac:dyDescent="0.2">
      <c r="P407" s="158" t="e">
        <f>VLOOKUP(Table3236[[#This Row],[Census Tract]],'Population and Diversity Data'!$B$2:$K$823,10,FALSE)</f>
        <v>#N/A</v>
      </c>
      <c r="Q407" s="159" t="e">
        <f>VLOOKUP(Table3236[[#This Row],[Census Tract]],'UI EnergyBurden'!$A$2:$B$184,2,FALSE)</f>
        <v>#N/A</v>
      </c>
    </row>
    <row r="408" spans="16:17" x14ac:dyDescent="0.2">
      <c r="P408" s="158" t="e">
        <f>VLOOKUP(Table3236[[#This Row],[Census Tract]],'Population and Diversity Data'!$B$2:$K$823,10,FALSE)</f>
        <v>#N/A</v>
      </c>
      <c r="Q408" s="159" t="e">
        <f>VLOOKUP(Table3236[[#This Row],[Census Tract]],'UI EnergyBurden'!$A$2:$B$184,2,FALSE)</f>
        <v>#N/A</v>
      </c>
    </row>
    <row r="409" spans="16:17" x14ac:dyDescent="0.2">
      <c r="P409" s="158" t="e">
        <f>VLOOKUP(Table3236[[#This Row],[Census Tract]],'Population and Diversity Data'!$B$2:$K$823,10,FALSE)</f>
        <v>#N/A</v>
      </c>
      <c r="Q409" s="159" t="e">
        <f>VLOOKUP(Table3236[[#This Row],[Census Tract]],'UI EnergyBurden'!$A$2:$B$184,2,FALSE)</f>
        <v>#N/A</v>
      </c>
    </row>
    <row r="410" spans="16:17" x14ac:dyDescent="0.2">
      <c r="P410" s="158" t="e">
        <f>VLOOKUP(Table3236[[#This Row],[Census Tract]],'Population and Diversity Data'!$B$2:$K$823,10,FALSE)</f>
        <v>#N/A</v>
      </c>
      <c r="Q410" s="159" t="e">
        <f>VLOOKUP(Table3236[[#This Row],[Census Tract]],'UI EnergyBurden'!$A$2:$B$184,2,FALSE)</f>
        <v>#N/A</v>
      </c>
    </row>
    <row r="411" spans="16:17" x14ac:dyDescent="0.2">
      <c r="P411" s="158" t="e">
        <f>VLOOKUP(Table3236[[#This Row],[Census Tract]],'Population and Diversity Data'!$B$2:$K$823,10,FALSE)</f>
        <v>#N/A</v>
      </c>
      <c r="Q411" s="159" t="e">
        <f>VLOOKUP(Table3236[[#This Row],[Census Tract]],'UI EnergyBurden'!$A$2:$B$184,2,FALSE)</f>
        <v>#N/A</v>
      </c>
    </row>
    <row r="412" spans="16:17" x14ac:dyDescent="0.2">
      <c r="P412" s="158" t="e">
        <f>VLOOKUP(Table3236[[#This Row],[Census Tract]],'Population and Diversity Data'!$B$2:$K$823,10,FALSE)</f>
        <v>#N/A</v>
      </c>
      <c r="Q412" s="159" t="e">
        <f>VLOOKUP(Table3236[[#This Row],[Census Tract]],'UI EnergyBurden'!$A$2:$B$184,2,FALSE)</f>
        <v>#N/A</v>
      </c>
    </row>
    <row r="413" spans="16:17" x14ac:dyDescent="0.2">
      <c r="P413" s="158" t="e">
        <f>VLOOKUP(Table3236[[#This Row],[Census Tract]],'Population and Diversity Data'!$B$2:$K$823,10,FALSE)</f>
        <v>#N/A</v>
      </c>
      <c r="Q413" s="159" t="e">
        <f>VLOOKUP(Table3236[[#This Row],[Census Tract]],'UI EnergyBurden'!$A$2:$B$184,2,FALSE)</f>
        <v>#N/A</v>
      </c>
    </row>
    <row r="414" spans="16:17" x14ac:dyDescent="0.2">
      <c r="P414" s="158" t="e">
        <f>VLOOKUP(Table3236[[#This Row],[Census Tract]],'Population and Diversity Data'!$B$2:$K$823,10,FALSE)</f>
        <v>#N/A</v>
      </c>
      <c r="Q414" s="159" t="e">
        <f>VLOOKUP(Table3236[[#This Row],[Census Tract]],'UI EnergyBurden'!$A$2:$B$184,2,FALSE)</f>
        <v>#N/A</v>
      </c>
    </row>
    <row r="415" spans="16:17" x14ac:dyDescent="0.2">
      <c r="P415" s="158" t="e">
        <f>VLOOKUP(Table3236[[#This Row],[Census Tract]],'Population and Diversity Data'!$B$2:$K$823,10,FALSE)</f>
        <v>#N/A</v>
      </c>
      <c r="Q415" s="159" t="e">
        <f>VLOOKUP(Table3236[[#This Row],[Census Tract]],'UI EnergyBurden'!$A$2:$B$184,2,FALSE)</f>
        <v>#N/A</v>
      </c>
    </row>
    <row r="416" spans="16:17" x14ac:dyDescent="0.2">
      <c r="P416" s="158" t="e">
        <f>VLOOKUP(Table3236[[#This Row],[Census Tract]],'Population and Diversity Data'!$B$2:$K$823,10,FALSE)</f>
        <v>#N/A</v>
      </c>
      <c r="Q416" s="159" t="e">
        <f>VLOOKUP(Table3236[[#This Row],[Census Tract]],'UI EnergyBurden'!$A$2:$B$184,2,FALSE)</f>
        <v>#N/A</v>
      </c>
    </row>
    <row r="417" spans="16:17" x14ac:dyDescent="0.2">
      <c r="P417" s="158" t="e">
        <f>VLOOKUP(Table3236[[#This Row],[Census Tract]],'Population and Diversity Data'!$B$2:$K$823,10,FALSE)</f>
        <v>#N/A</v>
      </c>
      <c r="Q417" s="159" t="e">
        <f>VLOOKUP(Table3236[[#This Row],[Census Tract]],'UI EnergyBurden'!$A$2:$B$184,2,FALSE)</f>
        <v>#N/A</v>
      </c>
    </row>
    <row r="418" spans="16:17" x14ac:dyDescent="0.2">
      <c r="P418" s="160" t="e">
        <f>VLOOKUP(Table3236[[#This Row],[Census Tract]],'Population and Diversity Data'!$B$2:$K$823,10,FALSE)</f>
        <v>#N/A</v>
      </c>
      <c r="Q418" s="161" t="e">
        <f>VLOOKUP(Table3236[[#This Row],[Census Tract]],'UI EnergyBurden'!$A$2:$B$184,2,FALSE)</f>
        <v>#N/A</v>
      </c>
    </row>
  </sheetData>
  <mergeCells count="7">
    <mergeCell ref="A1:O2"/>
    <mergeCell ref="A3:C3"/>
    <mergeCell ref="D3:O3"/>
    <mergeCell ref="A4:C4"/>
    <mergeCell ref="D4:E4"/>
    <mergeCell ref="F4:J4"/>
    <mergeCell ref="K4:O4"/>
  </mergeCells>
  <phoneticPr fontId="33" type="noConversion"/>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E790-4671-417D-99A5-8CB3B071F56A}">
  <sheetPr>
    <tabColor theme="7" tint="0.59999389629810485"/>
  </sheetPr>
  <dimension ref="B1:AD81"/>
  <sheetViews>
    <sheetView topLeftCell="Q1" workbookViewId="0">
      <selection activeCell="AD25" sqref="AD25"/>
    </sheetView>
  </sheetViews>
  <sheetFormatPr baseColWidth="10" defaultColWidth="8.83203125" defaultRowHeight="15" x14ac:dyDescent="0.2"/>
  <cols>
    <col min="2" max="2" width="19.5" bestFit="1" customWidth="1"/>
    <col min="7" max="7" width="18.6640625" customWidth="1"/>
    <col min="9" max="9" width="10.83203125" customWidth="1"/>
    <col min="15" max="15" width="14.33203125" bestFit="1" customWidth="1"/>
    <col min="19" max="20" width="12.6640625" bestFit="1" customWidth="1"/>
    <col min="21" max="21" width="11.5" bestFit="1" customWidth="1"/>
    <col min="22" max="23" width="11.1640625" bestFit="1" customWidth="1"/>
    <col min="26" max="26" width="12.6640625" bestFit="1" customWidth="1"/>
    <col min="28" max="28" width="11.5" bestFit="1" customWidth="1"/>
    <col min="29" max="30" width="11.1640625" bestFit="1" customWidth="1"/>
  </cols>
  <sheetData>
    <row r="1" spans="2:30" x14ac:dyDescent="0.2">
      <c r="R1" t="s">
        <v>925</v>
      </c>
      <c r="S1" t="s">
        <v>934</v>
      </c>
      <c r="T1" t="s">
        <v>943</v>
      </c>
      <c r="U1" t="s">
        <v>950</v>
      </c>
      <c r="V1" t="s">
        <v>953</v>
      </c>
      <c r="W1" t="s">
        <v>956</v>
      </c>
      <c r="Y1" t="s">
        <v>959</v>
      </c>
      <c r="Z1" t="s">
        <v>934</v>
      </c>
      <c r="AA1" t="s">
        <v>943</v>
      </c>
      <c r="AB1" t="s">
        <v>950</v>
      </c>
      <c r="AC1" t="s">
        <v>953</v>
      </c>
      <c r="AD1" t="s">
        <v>956</v>
      </c>
    </row>
    <row r="2" spans="2:30" x14ac:dyDescent="0.2">
      <c r="B2" t="s">
        <v>3009</v>
      </c>
      <c r="S2" s="145">
        <v>0</v>
      </c>
      <c r="T2" s="145">
        <v>0</v>
      </c>
      <c r="U2" s="145">
        <v>0</v>
      </c>
      <c r="V2" s="145">
        <v>0</v>
      </c>
      <c r="W2" s="145">
        <v>50.864100000000001</v>
      </c>
      <c r="Z2" s="145">
        <v>0</v>
      </c>
      <c r="AA2">
        <v>370.41</v>
      </c>
      <c r="AB2" s="145">
        <v>350</v>
      </c>
      <c r="AC2" s="145">
        <v>155</v>
      </c>
      <c r="AD2" s="145">
        <v>0</v>
      </c>
    </row>
    <row r="3" spans="2:30" x14ac:dyDescent="0.2">
      <c r="B3" s="10" t="s">
        <v>923</v>
      </c>
      <c r="C3" s="142">
        <v>43466</v>
      </c>
      <c r="D3" s="142">
        <v>43497</v>
      </c>
      <c r="E3" s="142">
        <v>43525</v>
      </c>
      <c r="F3" s="142">
        <v>43556</v>
      </c>
      <c r="G3" s="142">
        <v>43586</v>
      </c>
      <c r="H3" s="142">
        <v>43617</v>
      </c>
      <c r="I3" s="142">
        <v>43647</v>
      </c>
      <c r="J3" s="142">
        <v>43678</v>
      </c>
      <c r="K3" s="142">
        <v>43709</v>
      </c>
      <c r="L3" s="142">
        <v>43739</v>
      </c>
      <c r="M3" s="142">
        <v>43770</v>
      </c>
      <c r="N3" s="142">
        <v>43800</v>
      </c>
      <c r="O3" t="s">
        <v>3010</v>
      </c>
      <c r="S3" s="146">
        <v>0</v>
      </c>
      <c r="T3" s="146">
        <v>53179.4405999999</v>
      </c>
      <c r="U3" s="146">
        <v>43.247199999999999</v>
      </c>
      <c r="V3" s="146">
        <v>0</v>
      </c>
      <c r="W3" s="146">
        <v>18.556000000000001</v>
      </c>
      <c r="Z3" s="146">
        <v>0</v>
      </c>
      <c r="AA3">
        <v>0</v>
      </c>
      <c r="AB3" s="146">
        <v>0</v>
      </c>
      <c r="AC3" s="146">
        <v>97.04</v>
      </c>
      <c r="AD3" s="146">
        <v>0</v>
      </c>
    </row>
    <row r="4" spans="2:30" x14ac:dyDescent="0.2">
      <c r="B4" t="s">
        <v>2988</v>
      </c>
      <c r="C4">
        <v>252</v>
      </c>
      <c r="D4">
        <v>85</v>
      </c>
      <c r="E4">
        <v>18</v>
      </c>
      <c r="F4">
        <v>84</v>
      </c>
      <c r="G4">
        <v>173</v>
      </c>
      <c r="H4">
        <v>133</v>
      </c>
      <c r="I4">
        <v>158</v>
      </c>
      <c r="J4">
        <v>133</v>
      </c>
      <c r="K4">
        <v>275</v>
      </c>
      <c r="L4">
        <v>289</v>
      </c>
      <c r="M4">
        <v>137</v>
      </c>
      <c r="N4">
        <v>50</v>
      </c>
      <c r="O4">
        <f>SUM(C4:N4)</f>
        <v>1787</v>
      </c>
      <c r="S4" s="145">
        <v>0</v>
      </c>
      <c r="T4" s="145">
        <v>0</v>
      </c>
      <c r="U4" s="145">
        <v>0</v>
      </c>
      <c r="V4" s="145">
        <v>143.75399999999999</v>
      </c>
      <c r="W4" s="145">
        <v>37.274000000000001</v>
      </c>
      <c r="Z4" s="145">
        <v>11088.15</v>
      </c>
      <c r="AA4">
        <v>0</v>
      </c>
      <c r="AB4" s="145">
        <v>0</v>
      </c>
      <c r="AC4" s="145">
        <v>0</v>
      </c>
      <c r="AD4" s="145">
        <v>0</v>
      </c>
    </row>
    <row r="5" spans="2:30" x14ac:dyDescent="0.2">
      <c r="B5" s="12" t="s">
        <v>2986</v>
      </c>
      <c r="C5">
        <v>1120</v>
      </c>
      <c r="D5">
        <v>896</v>
      </c>
      <c r="E5">
        <v>1380</v>
      </c>
      <c r="F5">
        <v>686</v>
      </c>
      <c r="G5">
        <v>2157</v>
      </c>
      <c r="H5">
        <v>1461</v>
      </c>
      <c r="I5">
        <v>1186</v>
      </c>
      <c r="J5">
        <v>1547</v>
      </c>
      <c r="K5">
        <v>2286</v>
      </c>
      <c r="L5">
        <v>2285</v>
      </c>
      <c r="M5">
        <v>1463</v>
      </c>
      <c r="N5">
        <v>332</v>
      </c>
      <c r="O5">
        <f t="shared" ref="O5:O21" si="0">SUM(C5:N5)</f>
        <v>16799</v>
      </c>
      <c r="P5">
        <v>1</v>
      </c>
      <c r="S5" s="146">
        <v>87876.710500000394</v>
      </c>
      <c r="T5" s="146">
        <v>5569.7996999999996</v>
      </c>
      <c r="U5" s="146">
        <v>0</v>
      </c>
      <c r="V5" s="146">
        <v>152.922</v>
      </c>
      <c r="W5" s="146">
        <v>0</v>
      </c>
      <c r="Z5" s="146">
        <v>0</v>
      </c>
      <c r="AA5">
        <v>0</v>
      </c>
      <c r="AB5" s="146">
        <v>3171.78</v>
      </c>
      <c r="AC5" s="146">
        <v>0</v>
      </c>
      <c r="AD5" s="146">
        <v>0</v>
      </c>
    </row>
    <row r="6" spans="2:30" x14ac:dyDescent="0.2">
      <c r="B6" t="s">
        <v>2994</v>
      </c>
      <c r="C6">
        <v>154</v>
      </c>
      <c r="D6">
        <v>48</v>
      </c>
      <c r="E6">
        <v>32</v>
      </c>
      <c r="F6">
        <v>42</v>
      </c>
      <c r="G6">
        <v>125</v>
      </c>
      <c r="H6">
        <v>89</v>
      </c>
      <c r="I6">
        <v>119</v>
      </c>
      <c r="J6">
        <v>80</v>
      </c>
      <c r="K6">
        <v>164</v>
      </c>
      <c r="L6">
        <v>196</v>
      </c>
      <c r="M6">
        <v>93</v>
      </c>
      <c r="N6">
        <v>28</v>
      </c>
      <c r="O6">
        <f t="shared" si="0"/>
        <v>1170</v>
      </c>
      <c r="S6" s="145">
        <v>0</v>
      </c>
      <c r="T6" s="145">
        <v>0</v>
      </c>
      <c r="U6" s="145">
        <v>43.496099999999998</v>
      </c>
      <c r="V6" s="145">
        <v>94.991</v>
      </c>
      <c r="W6" s="145">
        <v>69.194299999999998</v>
      </c>
      <c r="Z6" s="145">
        <v>2227.9299999999998</v>
      </c>
      <c r="AA6">
        <v>2174.4499999999998</v>
      </c>
      <c r="AB6" s="145">
        <v>0</v>
      </c>
      <c r="AC6" s="145">
        <v>0</v>
      </c>
      <c r="AD6" s="145">
        <v>0</v>
      </c>
    </row>
    <row r="7" spans="2:30" x14ac:dyDescent="0.2">
      <c r="B7" t="s">
        <v>2997</v>
      </c>
      <c r="C7">
        <v>60</v>
      </c>
      <c r="D7">
        <v>74</v>
      </c>
      <c r="E7">
        <v>230</v>
      </c>
      <c r="F7">
        <v>63</v>
      </c>
      <c r="G7">
        <v>93</v>
      </c>
      <c r="H7">
        <v>252</v>
      </c>
      <c r="I7">
        <v>69</v>
      </c>
      <c r="J7">
        <v>176</v>
      </c>
      <c r="K7">
        <v>271</v>
      </c>
      <c r="L7">
        <v>71</v>
      </c>
      <c r="M7">
        <v>17</v>
      </c>
      <c r="N7">
        <v>98</v>
      </c>
      <c r="O7">
        <f t="shared" si="0"/>
        <v>1474</v>
      </c>
      <c r="S7" s="146">
        <v>45704.852400000003</v>
      </c>
      <c r="T7" s="146">
        <v>27566.794900000001</v>
      </c>
      <c r="U7" s="146">
        <v>140097.96650000001</v>
      </c>
      <c r="V7" s="146">
        <v>177.19649999999999</v>
      </c>
      <c r="W7" s="146">
        <v>59251.9010000001</v>
      </c>
      <c r="Z7" s="146">
        <v>0</v>
      </c>
      <c r="AA7">
        <v>0</v>
      </c>
      <c r="AB7" s="146">
        <v>129756.75</v>
      </c>
      <c r="AC7" s="146">
        <v>0</v>
      </c>
      <c r="AD7" s="146">
        <v>22394.32</v>
      </c>
    </row>
    <row r="8" spans="2:30" x14ac:dyDescent="0.2">
      <c r="B8" t="s">
        <v>3007</v>
      </c>
      <c r="C8">
        <v>1</v>
      </c>
      <c r="D8">
        <v>7</v>
      </c>
      <c r="E8">
        <v>59</v>
      </c>
      <c r="F8">
        <v>6</v>
      </c>
      <c r="G8">
        <v>33</v>
      </c>
      <c r="H8">
        <v>39</v>
      </c>
      <c r="I8">
        <v>7</v>
      </c>
      <c r="J8">
        <v>22</v>
      </c>
      <c r="K8">
        <v>40</v>
      </c>
      <c r="L8">
        <v>32</v>
      </c>
      <c r="M8">
        <v>28</v>
      </c>
      <c r="N8">
        <v>24</v>
      </c>
      <c r="O8">
        <f t="shared" si="0"/>
        <v>298</v>
      </c>
      <c r="S8" s="145">
        <v>0</v>
      </c>
      <c r="T8" s="145">
        <v>0</v>
      </c>
      <c r="U8" s="145">
        <v>124643.2671</v>
      </c>
      <c r="V8" s="145">
        <v>41.586100000000002</v>
      </c>
      <c r="W8" s="145">
        <v>57737.786099999903</v>
      </c>
      <c r="Z8" s="145">
        <v>202635.3</v>
      </c>
      <c r="AA8">
        <v>1533.48</v>
      </c>
      <c r="AB8" s="145">
        <v>33276.18</v>
      </c>
      <c r="AC8" s="145">
        <v>0</v>
      </c>
      <c r="AD8" s="145">
        <v>32132.799999999999</v>
      </c>
    </row>
    <row r="9" spans="2:30" x14ac:dyDescent="0.2">
      <c r="B9" t="s">
        <v>3011</v>
      </c>
      <c r="C9">
        <v>73</v>
      </c>
      <c r="D9">
        <v>78</v>
      </c>
      <c r="E9">
        <v>174</v>
      </c>
      <c r="F9">
        <v>53</v>
      </c>
      <c r="G9">
        <v>259</v>
      </c>
      <c r="H9">
        <v>35</v>
      </c>
      <c r="I9">
        <v>173</v>
      </c>
      <c r="J9">
        <v>147</v>
      </c>
      <c r="K9">
        <v>248</v>
      </c>
      <c r="L9">
        <v>241</v>
      </c>
      <c r="M9">
        <v>219</v>
      </c>
      <c r="N9">
        <v>215</v>
      </c>
      <c r="O9">
        <f t="shared" si="0"/>
        <v>1915</v>
      </c>
      <c r="S9" s="146">
        <v>16956.723999999998</v>
      </c>
      <c r="T9" s="146">
        <v>41243.352400000098</v>
      </c>
      <c r="U9" s="146">
        <v>0</v>
      </c>
      <c r="V9" s="146">
        <v>231.15710000000001</v>
      </c>
      <c r="W9" s="146">
        <v>78832.451199999996</v>
      </c>
      <c r="Z9" s="146">
        <v>0</v>
      </c>
      <c r="AA9">
        <v>0</v>
      </c>
      <c r="AB9" s="146">
        <v>6856.05</v>
      </c>
      <c r="AC9" s="146">
        <v>0</v>
      </c>
      <c r="AD9" s="146">
        <v>18104.68</v>
      </c>
    </row>
    <row r="10" spans="2:30" x14ac:dyDescent="0.2">
      <c r="B10" s="12" t="s">
        <v>2998</v>
      </c>
      <c r="C10">
        <v>327</v>
      </c>
      <c r="D10">
        <v>235</v>
      </c>
      <c r="E10">
        <v>129</v>
      </c>
      <c r="F10">
        <v>307</v>
      </c>
      <c r="G10">
        <v>313</v>
      </c>
      <c r="H10">
        <v>374</v>
      </c>
      <c r="I10">
        <v>312</v>
      </c>
      <c r="J10">
        <v>400</v>
      </c>
      <c r="K10">
        <v>385</v>
      </c>
      <c r="L10">
        <v>542</v>
      </c>
      <c r="M10">
        <v>77</v>
      </c>
      <c r="N10">
        <v>67</v>
      </c>
      <c r="O10">
        <f t="shared" si="0"/>
        <v>3468</v>
      </c>
      <c r="P10">
        <v>4</v>
      </c>
      <c r="S10" s="145">
        <v>0</v>
      </c>
      <c r="T10" s="145">
        <v>0</v>
      </c>
      <c r="U10" s="145">
        <v>67239.908799999801</v>
      </c>
      <c r="V10" s="145">
        <v>0</v>
      </c>
      <c r="W10" s="145">
        <v>67513.527999999904</v>
      </c>
      <c r="Z10" s="145">
        <v>1029.53</v>
      </c>
      <c r="AA10">
        <v>2256.9499999999998</v>
      </c>
      <c r="AB10" s="145">
        <v>0</v>
      </c>
      <c r="AC10" s="145">
        <v>121.71</v>
      </c>
      <c r="AD10" s="145">
        <v>10850.27</v>
      </c>
    </row>
    <row r="11" spans="2:30" x14ac:dyDescent="0.2">
      <c r="B11" t="s">
        <v>2999</v>
      </c>
      <c r="C11">
        <v>247</v>
      </c>
      <c r="D11">
        <v>64</v>
      </c>
      <c r="E11">
        <v>3</v>
      </c>
      <c r="F11">
        <v>207</v>
      </c>
      <c r="G11">
        <v>75</v>
      </c>
      <c r="H11">
        <v>327</v>
      </c>
      <c r="I11">
        <v>102</v>
      </c>
      <c r="J11">
        <v>190</v>
      </c>
      <c r="K11">
        <v>355</v>
      </c>
      <c r="L11">
        <v>273</v>
      </c>
      <c r="M11">
        <v>262</v>
      </c>
      <c r="N11">
        <v>855</v>
      </c>
      <c r="O11">
        <f t="shared" si="0"/>
        <v>2960</v>
      </c>
      <c r="S11" s="146">
        <v>17866.1715</v>
      </c>
      <c r="T11" s="146">
        <v>40619.569599999901</v>
      </c>
      <c r="U11" s="146">
        <v>74841.980299999894</v>
      </c>
      <c r="V11" s="146">
        <v>60626.775900000102</v>
      </c>
      <c r="W11" s="146">
        <v>43535.777800000098</v>
      </c>
      <c r="Z11" s="146">
        <v>0</v>
      </c>
      <c r="AA11">
        <v>0</v>
      </c>
      <c r="AB11" s="146">
        <v>16304.8</v>
      </c>
      <c r="AC11" s="146">
        <v>29109.47</v>
      </c>
      <c r="AD11" s="146">
        <v>10265.379999999999</v>
      </c>
    </row>
    <row r="12" spans="2:30" x14ac:dyDescent="0.2">
      <c r="B12" s="12" t="s">
        <v>2996</v>
      </c>
      <c r="C12">
        <v>1120</v>
      </c>
      <c r="D12">
        <v>787</v>
      </c>
      <c r="E12">
        <v>412</v>
      </c>
      <c r="F12">
        <v>735</v>
      </c>
      <c r="G12">
        <v>1123</v>
      </c>
      <c r="H12">
        <v>1402</v>
      </c>
      <c r="I12">
        <v>985</v>
      </c>
      <c r="J12">
        <v>1240</v>
      </c>
      <c r="K12">
        <v>1432</v>
      </c>
      <c r="L12">
        <v>1715</v>
      </c>
      <c r="M12">
        <v>252</v>
      </c>
      <c r="N12">
        <v>15</v>
      </c>
      <c r="O12">
        <f t="shared" si="0"/>
        <v>11218</v>
      </c>
      <c r="P12">
        <v>2</v>
      </c>
      <c r="S12" s="145">
        <v>0</v>
      </c>
      <c r="T12" s="145">
        <v>0</v>
      </c>
      <c r="U12" s="145">
        <v>110784.84239999999</v>
      </c>
      <c r="V12" s="145">
        <v>48468.042599999899</v>
      </c>
      <c r="W12" s="145">
        <v>36457.738700000104</v>
      </c>
      <c r="Z12" s="145">
        <v>359.75</v>
      </c>
      <c r="AA12">
        <v>3999.65</v>
      </c>
      <c r="AB12" s="145">
        <v>34515.480000000003</v>
      </c>
      <c r="AC12" s="145">
        <v>13366.62</v>
      </c>
      <c r="AD12" s="145">
        <v>3191.4</v>
      </c>
    </row>
    <row r="13" spans="2:30" x14ac:dyDescent="0.2">
      <c r="B13" t="s">
        <v>2975</v>
      </c>
      <c r="C13">
        <v>6</v>
      </c>
      <c r="D13">
        <v>12</v>
      </c>
      <c r="E13">
        <v>50</v>
      </c>
      <c r="F13">
        <v>10</v>
      </c>
      <c r="G13">
        <v>14</v>
      </c>
      <c r="H13">
        <v>47</v>
      </c>
      <c r="I13">
        <v>5</v>
      </c>
      <c r="J13">
        <v>22</v>
      </c>
      <c r="K13">
        <v>58</v>
      </c>
      <c r="L13">
        <v>19</v>
      </c>
      <c r="M13">
        <v>1</v>
      </c>
      <c r="N13">
        <v>43</v>
      </c>
      <c r="O13">
        <f t="shared" si="0"/>
        <v>287</v>
      </c>
      <c r="S13" s="146">
        <v>23101.568599999999</v>
      </c>
      <c r="T13" s="146">
        <v>52288.773399999904</v>
      </c>
      <c r="U13" s="146">
        <v>88384.266499999998</v>
      </c>
      <c r="V13" s="146">
        <v>34716.817999999999</v>
      </c>
      <c r="W13" s="146">
        <v>81784.641399999906</v>
      </c>
      <c r="Z13" s="146">
        <v>0</v>
      </c>
      <c r="AA13">
        <v>0</v>
      </c>
      <c r="AB13" s="146">
        <v>33572.9</v>
      </c>
      <c r="AC13" s="146">
        <v>13678.03</v>
      </c>
      <c r="AD13" s="146">
        <v>18364.759999999998</v>
      </c>
    </row>
    <row r="14" spans="2:30" x14ac:dyDescent="0.2">
      <c r="B14" t="s">
        <v>3000</v>
      </c>
      <c r="C14">
        <v>28</v>
      </c>
      <c r="D14">
        <v>42</v>
      </c>
      <c r="E14">
        <v>183</v>
      </c>
      <c r="F14">
        <v>31</v>
      </c>
      <c r="G14">
        <v>44</v>
      </c>
      <c r="H14">
        <v>137</v>
      </c>
      <c r="I14">
        <v>52</v>
      </c>
      <c r="J14">
        <v>120</v>
      </c>
      <c r="K14">
        <v>117</v>
      </c>
      <c r="L14">
        <v>47</v>
      </c>
      <c r="M14">
        <v>4</v>
      </c>
      <c r="N14">
        <v>27</v>
      </c>
      <c r="O14">
        <f t="shared" si="0"/>
        <v>832</v>
      </c>
      <c r="S14" s="145">
        <v>0</v>
      </c>
      <c r="T14" s="145">
        <v>0</v>
      </c>
      <c r="U14" s="145">
        <v>60957.443399999902</v>
      </c>
      <c r="V14" s="145">
        <v>82247.570100000201</v>
      </c>
      <c r="W14" s="145">
        <v>79381.614400000093</v>
      </c>
      <c r="Z14" s="145">
        <v>96774.69</v>
      </c>
      <c r="AA14">
        <v>2774.03</v>
      </c>
      <c r="AB14" s="145">
        <v>11480.45</v>
      </c>
      <c r="AC14" s="145">
        <v>93458.42</v>
      </c>
      <c r="AD14" s="145">
        <v>46203.07</v>
      </c>
    </row>
    <row r="15" spans="2:30" x14ac:dyDescent="0.2">
      <c r="B15" t="s">
        <v>3001</v>
      </c>
      <c r="C15">
        <v>57</v>
      </c>
      <c r="D15">
        <v>9</v>
      </c>
      <c r="E15">
        <v>1</v>
      </c>
      <c r="F15">
        <v>46</v>
      </c>
      <c r="G15">
        <v>14</v>
      </c>
      <c r="H15">
        <v>36</v>
      </c>
      <c r="I15">
        <v>33</v>
      </c>
      <c r="J15">
        <v>31</v>
      </c>
      <c r="K15">
        <v>71</v>
      </c>
      <c r="L15">
        <v>85</v>
      </c>
      <c r="M15">
        <v>5</v>
      </c>
      <c r="N15">
        <v>40</v>
      </c>
      <c r="O15">
        <f t="shared" si="0"/>
        <v>428</v>
      </c>
      <c r="S15" s="146">
        <v>35967.757299999997</v>
      </c>
      <c r="T15" s="146">
        <v>46744.9413999998</v>
      </c>
      <c r="U15" s="146">
        <v>74234.418299999903</v>
      </c>
      <c r="V15" s="146">
        <v>0</v>
      </c>
      <c r="W15" s="146">
        <v>69046.922199999899</v>
      </c>
      <c r="Z15" s="146">
        <v>0</v>
      </c>
      <c r="AA15">
        <v>0</v>
      </c>
      <c r="AB15" s="146">
        <v>15127.42</v>
      </c>
      <c r="AC15" s="146">
        <v>42110.68</v>
      </c>
      <c r="AD15" s="146">
        <v>32052.07</v>
      </c>
    </row>
    <row r="16" spans="2:30" x14ac:dyDescent="0.2">
      <c r="B16" t="s">
        <v>3002</v>
      </c>
      <c r="C16">
        <v>176</v>
      </c>
      <c r="D16">
        <v>44</v>
      </c>
      <c r="E16">
        <v>87</v>
      </c>
      <c r="F16">
        <v>90</v>
      </c>
      <c r="G16">
        <v>116</v>
      </c>
      <c r="H16">
        <v>129</v>
      </c>
      <c r="I16">
        <v>183</v>
      </c>
      <c r="J16">
        <v>150</v>
      </c>
      <c r="K16">
        <v>363</v>
      </c>
      <c r="L16">
        <v>291</v>
      </c>
      <c r="M16">
        <v>172</v>
      </c>
      <c r="N16">
        <v>56</v>
      </c>
      <c r="O16">
        <f t="shared" si="0"/>
        <v>1857</v>
      </c>
      <c r="S16" s="145">
        <v>0</v>
      </c>
      <c r="T16" s="145">
        <v>0</v>
      </c>
      <c r="U16" s="145">
        <v>0</v>
      </c>
      <c r="V16" s="145">
        <v>67465.568400000004</v>
      </c>
      <c r="W16" s="145">
        <v>77966.711299999995</v>
      </c>
      <c r="Z16" s="145">
        <v>4170.01</v>
      </c>
      <c r="AA16">
        <v>3852.71</v>
      </c>
      <c r="AB16" s="145">
        <v>3513.67</v>
      </c>
      <c r="AC16" s="145">
        <v>0</v>
      </c>
      <c r="AD16" s="145">
        <v>38688.35</v>
      </c>
    </row>
    <row r="17" spans="2:30" x14ac:dyDescent="0.2">
      <c r="B17" t="s">
        <v>3012</v>
      </c>
      <c r="C17">
        <v>1</v>
      </c>
      <c r="D17">
        <v>2</v>
      </c>
      <c r="E17">
        <v>21</v>
      </c>
      <c r="F17">
        <v>3</v>
      </c>
      <c r="G17">
        <v>25</v>
      </c>
      <c r="H17">
        <v>3</v>
      </c>
      <c r="I17">
        <v>18</v>
      </c>
      <c r="J17">
        <v>9</v>
      </c>
      <c r="K17">
        <v>13</v>
      </c>
      <c r="L17">
        <v>20</v>
      </c>
      <c r="M17">
        <v>11</v>
      </c>
      <c r="N17">
        <v>0</v>
      </c>
      <c r="O17">
        <f t="shared" si="0"/>
        <v>126</v>
      </c>
      <c r="S17" s="146">
        <v>29174.958600000002</v>
      </c>
      <c r="T17" s="146">
        <v>50564.050300000003</v>
      </c>
      <c r="U17" s="146">
        <v>52121.565699999897</v>
      </c>
      <c r="V17" s="146">
        <v>85902.613000000201</v>
      </c>
      <c r="W17" s="146">
        <v>102590.0885</v>
      </c>
      <c r="Z17" s="146">
        <v>0</v>
      </c>
      <c r="AA17">
        <v>0</v>
      </c>
      <c r="AB17" s="146">
        <v>0</v>
      </c>
      <c r="AC17" s="146">
        <v>29461.26</v>
      </c>
      <c r="AD17" s="146">
        <v>41624.550000000003</v>
      </c>
    </row>
    <row r="18" spans="2:30" x14ac:dyDescent="0.2">
      <c r="B18" s="12" t="s">
        <v>3003</v>
      </c>
      <c r="C18">
        <v>306</v>
      </c>
      <c r="D18">
        <v>124</v>
      </c>
      <c r="E18">
        <v>12</v>
      </c>
      <c r="F18">
        <v>349</v>
      </c>
      <c r="G18">
        <v>93</v>
      </c>
      <c r="H18">
        <v>534</v>
      </c>
      <c r="I18">
        <v>213</v>
      </c>
      <c r="J18">
        <v>285</v>
      </c>
      <c r="K18">
        <v>448</v>
      </c>
      <c r="L18">
        <v>450</v>
      </c>
      <c r="M18">
        <v>392</v>
      </c>
      <c r="N18">
        <v>1</v>
      </c>
      <c r="O18">
        <f t="shared" si="0"/>
        <v>3207</v>
      </c>
      <c r="P18">
        <v>5</v>
      </c>
      <c r="S18" s="145">
        <v>0</v>
      </c>
      <c r="T18" s="145">
        <v>0</v>
      </c>
      <c r="U18" s="145">
        <v>0</v>
      </c>
      <c r="V18" s="145">
        <v>67016.043900000004</v>
      </c>
      <c r="W18" s="145">
        <v>100014.4032</v>
      </c>
      <c r="Z18" s="145">
        <v>14379.5</v>
      </c>
      <c r="AA18">
        <v>5327.67</v>
      </c>
      <c r="AB18" s="145">
        <v>0</v>
      </c>
      <c r="AC18" s="145">
        <v>53703</v>
      </c>
      <c r="AD18" s="145">
        <v>16907.099999999999</v>
      </c>
    </row>
    <row r="19" spans="2:30" x14ac:dyDescent="0.2">
      <c r="B19" t="s">
        <v>2987</v>
      </c>
      <c r="C19">
        <v>9</v>
      </c>
      <c r="D19">
        <v>51</v>
      </c>
      <c r="E19">
        <v>215</v>
      </c>
      <c r="F19">
        <v>19</v>
      </c>
      <c r="G19">
        <v>238</v>
      </c>
      <c r="H19">
        <v>35</v>
      </c>
      <c r="I19">
        <v>40</v>
      </c>
      <c r="J19">
        <v>136</v>
      </c>
      <c r="K19">
        <v>166</v>
      </c>
      <c r="L19">
        <v>177</v>
      </c>
      <c r="M19">
        <v>103</v>
      </c>
      <c r="N19">
        <v>294</v>
      </c>
      <c r="O19">
        <f t="shared" si="0"/>
        <v>1483</v>
      </c>
      <c r="S19" s="146">
        <v>37249.348899999997</v>
      </c>
      <c r="T19" s="146">
        <v>55064.527799999902</v>
      </c>
      <c r="U19" s="146">
        <v>565.22900000000004</v>
      </c>
      <c r="V19" s="146">
        <v>77328.733099999998</v>
      </c>
      <c r="W19" s="146">
        <v>171.0093</v>
      </c>
      <c r="Z19" s="146">
        <v>0</v>
      </c>
      <c r="AA19">
        <v>0</v>
      </c>
      <c r="AB19" s="146">
        <v>0</v>
      </c>
      <c r="AC19" s="146">
        <v>12576.38</v>
      </c>
      <c r="AD19" s="146">
        <v>0</v>
      </c>
    </row>
    <row r="20" spans="2:30" x14ac:dyDescent="0.2">
      <c r="B20" s="12" t="s">
        <v>3004</v>
      </c>
      <c r="C20">
        <v>515</v>
      </c>
      <c r="D20">
        <v>166</v>
      </c>
      <c r="E20">
        <v>18</v>
      </c>
      <c r="F20">
        <v>403</v>
      </c>
      <c r="G20">
        <v>215</v>
      </c>
      <c r="H20">
        <v>685</v>
      </c>
      <c r="I20">
        <v>297</v>
      </c>
      <c r="J20">
        <v>405</v>
      </c>
      <c r="K20">
        <v>652</v>
      </c>
      <c r="L20">
        <v>644</v>
      </c>
      <c r="M20">
        <v>129</v>
      </c>
      <c r="N20">
        <v>4</v>
      </c>
      <c r="O20">
        <f t="shared" si="0"/>
        <v>4133</v>
      </c>
      <c r="P20">
        <v>3</v>
      </c>
      <c r="S20" s="145">
        <v>51783.790099999998</v>
      </c>
      <c r="T20" s="145">
        <v>59341.469599999902</v>
      </c>
      <c r="U20" s="145">
        <v>764.91129999999998</v>
      </c>
      <c r="V20" s="145">
        <v>76841.958499999906</v>
      </c>
      <c r="W20" s="145">
        <v>112.0247</v>
      </c>
      <c r="Z20" s="145">
        <v>21423.83</v>
      </c>
      <c r="AA20">
        <v>8974.89</v>
      </c>
      <c r="AB20" s="145">
        <v>0</v>
      </c>
      <c r="AC20" s="145">
        <v>50093.18</v>
      </c>
      <c r="AD20" s="145">
        <v>0</v>
      </c>
    </row>
    <row r="21" spans="2:30" x14ac:dyDescent="0.2">
      <c r="B21" t="s">
        <v>2976</v>
      </c>
      <c r="C21">
        <v>45</v>
      </c>
      <c r="D21">
        <v>7</v>
      </c>
      <c r="E21">
        <v>6</v>
      </c>
      <c r="F21">
        <v>9</v>
      </c>
      <c r="G21">
        <v>25</v>
      </c>
      <c r="H21">
        <v>9</v>
      </c>
      <c r="I21">
        <v>26</v>
      </c>
      <c r="J21">
        <v>26</v>
      </c>
      <c r="K21">
        <v>42</v>
      </c>
      <c r="L21">
        <v>59</v>
      </c>
      <c r="M21">
        <v>17</v>
      </c>
      <c r="N21">
        <v>0</v>
      </c>
      <c r="O21">
        <f t="shared" si="0"/>
        <v>271</v>
      </c>
      <c r="S21" s="146">
        <v>0</v>
      </c>
      <c r="T21" s="146">
        <v>50898.5147</v>
      </c>
      <c r="U21" s="146">
        <v>264.08440000000002</v>
      </c>
      <c r="V21" s="146">
        <v>144930.68359999999</v>
      </c>
      <c r="W21" s="146">
        <v>92.837900000000005</v>
      </c>
      <c r="Z21" s="146">
        <v>4593.8599999999997</v>
      </c>
      <c r="AA21">
        <v>26111.11</v>
      </c>
      <c r="AB21" s="146">
        <v>0</v>
      </c>
      <c r="AC21" s="146">
        <v>65336.89</v>
      </c>
      <c r="AD21" s="146">
        <v>0</v>
      </c>
    </row>
    <row r="22" spans="2:30" x14ac:dyDescent="0.2">
      <c r="B22" t="s">
        <v>3013</v>
      </c>
      <c r="C22">
        <v>4497</v>
      </c>
      <c r="D22">
        <v>2731</v>
      </c>
      <c r="E22">
        <v>3030</v>
      </c>
      <c r="F22">
        <v>3143</v>
      </c>
      <c r="G22">
        <v>5135</v>
      </c>
      <c r="H22">
        <v>5727</v>
      </c>
      <c r="I22">
        <v>3978</v>
      </c>
      <c r="J22">
        <v>5119</v>
      </c>
      <c r="K22">
        <v>7386</v>
      </c>
      <c r="L22">
        <v>7436</v>
      </c>
      <c r="M22">
        <v>3382</v>
      </c>
      <c r="N22">
        <v>2149</v>
      </c>
      <c r="O22">
        <f>SUM(O4:O21)</f>
        <v>53713</v>
      </c>
      <c r="S22" s="145">
        <v>45169.658199999998</v>
      </c>
      <c r="T22" s="145">
        <v>62230.979699999902</v>
      </c>
      <c r="U22" s="145">
        <v>94.562600000000003</v>
      </c>
      <c r="V22" s="145">
        <v>103220.78479999999</v>
      </c>
      <c r="W22" s="145">
        <v>0</v>
      </c>
      <c r="Z22" s="145">
        <v>0</v>
      </c>
      <c r="AA22">
        <v>18001.45</v>
      </c>
      <c r="AB22" s="145">
        <v>0</v>
      </c>
      <c r="AC22" s="145">
        <v>63414.76</v>
      </c>
      <c r="AD22" s="145">
        <v>25</v>
      </c>
    </row>
    <row r="23" spans="2:30" x14ac:dyDescent="0.2">
      <c r="S23" s="146">
        <v>0</v>
      </c>
      <c r="T23" s="146">
        <v>0</v>
      </c>
      <c r="U23" s="146">
        <v>18.827999999999999</v>
      </c>
      <c r="V23" s="146">
        <v>88585.424700000105</v>
      </c>
      <c r="W23" s="146">
        <v>0</v>
      </c>
      <c r="Z23" s="146">
        <v>1572.32</v>
      </c>
      <c r="AA23">
        <v>5178.01</v>
      </c>
      <c r="AB23" s="146">
        <v>0</v>
      </c>
      <c r="AC23" s="146">
        <v>25722.63</v>
      </c>
    </row>
    <row r="24" spans="2:30" x14ac:dyDescent="0.2">
      <c r="S24" s="145">
        <v>34389.4211</v>
      </c>
      <c r="T24" s="145">
        <v>76079.437600000005</v>
      </c>
      <c r="U24" s="145">
        <v>0</v>
      </c>
      <c r="V24" s="145">
        <v>695.01679999999999</v>
      </c>
      <c r="Z24" s="145">
        <v>0</v>
      </c>
      <c r="AA24">
        <v>0</v>
      </c>
      <c r="AB24" s="145">
        <v>0</v>
      </c>
      <c r="AC24" s="145">
        <v>0</v>
      </c>
    </row>
    <row r="25" spans="2:30" x14ac:dyDescent="0.2">
      <c r="S25" s="146">
        <v>38432.275500000003</v>
      </c>
      <c r="T25" s="146">
        <v>67783.353199999998</v>
      </c>
      <c r="U25" s="146">
        <v>70.126199999999997</v>
      </c>
      <c r="V25" s="146">
        <v>0</v>
      </c>
      <c r="W25" s="51">
        <f>SUM(W2:W23)</f>
        <v>854665.32409999997</v>
      </c>
      <c r="Z25" s="146">
        <v>3327.16</v>
      </c>
      <c r="AA25">
        <v>12592.36</v>
      </c>
      <c r="AB25" s="146">
        <v>0</v>
      </c>
      <c r="AC25" s="146">
        <v>481.11</v>
      </c>
      <c r="AD25" s="51">
        <f>SUM(AD2:AD22)</f>
        <v>290803.75</v>
      </c>
    </row>
    <row r="26" spans="2:30" x14ac:dyDescent="0.2">
      <c r="S26" s="145">
        <v>0</v>
      </c>
      <c r="T26" s="145">
        <v>0</v>
      </c>
      <c r="U26" s="145">
        <v>88395.970500000098</v>
      </c>
      <c r="V26" s="145">
        <v>0</v>
      </c>
      <c r="Z26" s="145">
        <v>1330.85</v>
      </c>
      <c r="AA26">
        <v>47450.57</v>
      </c>
      <c r="AB26" s="145">
        <v>17211.07</v>
      </c>
    </row>
    <row r="27" spans="2:30" x14ac:dyDescent="0.2">
      <c r="S27" s="146">
        <v>24529.813099999999</v>
      </c>
      <c r="T27" s="146">
        <v>89500.176099999997</v>
      </c>
      <c r="U27" s="146">
        <v>0</v>
      </c>
      <c r="Z27" s="146">
        <v>0</v>
      </c>
      <c r="AA27">
        <v>0</v>
      </c>
    </row>
    <row r="28" spans="2:30" x14ac:dyDescent="0.2">
      <c r="S28" s="145">
        <v>0</v>
      </c>
      <c r="T28" s="145">
        <v>0</v>
      </c>
      <c r="V28" s="51">
        <f>SUM(V2:V26)</f>
        <v>938887.64010000043</v>
      </c>
      <c r="Z28" s="145">
        <v>3390.23</v>
      </c>
      <c r="AA28">
        <v>10815.87</v>
      </c>
      <c r="AB28" s="51">
        <f>SUM(AB2:AB26)</f>
        <v>305136.54999999993</v>
      </c>
      <c r="AC28" s="51">
        <f>SUM(AC2:AC25)</f>
        <v>492886.18</v>
      </c>
    </row>
    <row r="29" spans="2:30" ht="33" customHeight="1" x14ac:dyDescent="0.2">
      <c r="G29" s="143" t="s">
        <v>924</v>
      </c>
      <c r="H29" s="144" t="s">
        <v>925</v>
      </c>
      <c r="I29" s="143" t="s">
        <v>926</v>
      </c>
      <c r="J29" s="144"/>
      <c r="S29" s="146">
        <v>46534.635900000103</v>
      </c>
      <c r="T29" s="146">
        <v>59212.536800000104</v>
      </c>
      <c r="U29" s="51">
        <f>SUM(U2:U27)</f>
        <v>883566.11429999955</v>
      </c>
      <c r="Z29" s="146">
        <v>0</v>
      </c>
      <c r="AA29">
        <v>0</v>
      </c>
    </row>
    <row r="30" spans="2:30" x14ac:dyDescent="0.2">
      <c r="F30" t="s">
        <v>934</v>
      </c>
      <c r="S30" s="145">
        <v>0</v>
      </c>
      <c r="T30" s="145">
        <v>54159.681900000003</v>
      </c>
      <c r="Z30" s="145">
        <v>19032.27</v>
      </c>
      <c r="AA30">
        <v>6368.9</v>
      </c>
    </row>
    <row r="31" spans="2:30" x14ac:dyDescent="0.2">
      <c r="S31" s="146">
        <v>43927.019899999999</v>
      </c>
      <c r="T31" s="146">
        <v>72665.771399999896</v>
      </c>
      <c r="Z31" s="146">
        <v>0</v>
      </c>
      <c r="AA31">
        <v>9616.59</v>
      </c>
    </row>
    <row r="32" spans="2:30" x14ac:dyDescent="0.2">
      <c r="F32" t="s">
        <v>943</v>
      </c>
      <c r="S32" s="145">
        <v>119833.8798</v>
      </c>
      <c r="T32" s="145">
        <v>47650.880900000098</v>
      </c>
      <c r="Z32" s="145">
        <v>44620.47</v>
      </c>
      <c r="AA32">
        <v>2599.46</v>
      </c>
    </row>
    <row r="33" spans="6:27" x14ac:dyDescent="0.2">
      <c r="S33" s="146">
        <v>0</v>
      </c>
      <c r="T33" s="146">
        <v>0</v>
      </c>
      <c r="Z33" s="146">
        <v>23077.93</v>
      </c>
      <c r="AA33">
        <v>26.98</v>
      </c>
    </row>
    <row r="34" spans="6:27" x14ac:dyDescent="0.2">
      <c r="F34" t="s">
        <v>950</v>
      </c>
      <c r="S34" s="145">
        <v>41166.362699999998</v>
      </c>
      <c r="T34" s="145">
        <v>14835.8009</v>
      </c>
      <c r="Z34" s="145">
        <v>0</v>
      </c>
      <c r="AA34">
        <v>0</v>
      </c>
    </row>
    <row r="35" spans="6:27" x14ac:dyDescent="0.2">
      <c r="S35" s="146">
        <v>62912.309300000103</v>
      </c>
      <c r="T35" s="146">
        <v>31597.2291</v>
      </c>
      <c r="Z35" s="146">
        <v>15404.49</v>
      </c>
      <c r="AA35">
        <v>3747.81</v>
      </c>
    </row>
    <row r="36" spans="6:27" x14ac:dyDescent="0.2">
      <c r="F36" t="s">
        <v>953</v>
      </c>
      <c r="S36" s="145">
        <v>38727.082199999997</v>
      </c>
      <c r="T36" s="145">
        <v>0</v>
      </c>
      <c r="Z36" s="145">
        <v>29244.41</v>
      </c>
      <c r="AA36">
        <v>10400.34</v>
      </c>
    </row>
    <row r="37" spans="6:27" x14ac:dyDescent="0.2">
      <c r="S37" s="146">
        <v>78001.035200000304</v>
      </c>
      <c r="T37" s="146">
        <v>53392.115599999903</v>
      </c>
      <c r="Z37" s="146">
        <v>18716.64</v>
      </c>
      <c r="AA37">
        <v>0</v>
      </c>
    </row>
    <row r="38" spans="6:27" x14ac:dyDescent="0.2">
      <c r="F38" t="s">
        <v>956</v>
      </c>
      <c r="S38" s="145">
        <v>118351.0931</v>
      </c>
      <c r="T38" s="145">
        <v>0</v>
      </c>
      <c r="Z38" s="145">
        <v>43073.09</v>
      </c>
      <c r="AA38">
        <v>6815.37</v>
      </c>
    </row>
    <row r="39" spans="6:27" x14ac:dyDescent="0.2">
      <c r="S39" s="146">
        <v>59967.633300000001</v>
      </c>
      <c r="T39" s="146">
        <v>54491.1928999999</v>
      </c>
      <c r="Z39" s="146">
        <v>47344.93</v>
      </c>
      <c r="AA39">
        <v>0</v>
      </c>
    </row>
    <row r="40" spans="6:27" x14ac:dyDescent="0.2">
      <c r="S40" s="145">
        <v>67221.614200000098</v>
      </c>
      <c r="T40" s="145">
        <v>0</v>
      </c>
      <c r="Z40" s="145">
        <v>239893.12</v>
      </c>
      <c r="AA40">
        <v>7352.41</v>
      </c>
    </row>
    <row r="41" spans="6:27" x14ac:dyDescent="0.2">
      <c r="S41" s="146">
        <v>67436.167800000097</v>
      </c>
      <c r="T41" s="146">
        <v>64777.257400000097</v>
      </c>
      <c r="Z41" s="146">
        <v>53807.48</v>
      </c>
      <c r="AA41">
        <v>0</v>
      </c>
    </row>
    <row r="42" spans="6:27" x14ac:dyDescent="0.2">
      <c r="S42" s="145">
        <v>27045.101699999999</v>
      </c>
      <c r="T42" s="145">
        <v>92154.619600000093</v>
      </c>
      <c r="Z42" s="145">
        <v>17678.66</v>
      </c>
      <c r="AA42">
        <v>25570.16</v>
      </c>
    </row>
    <row r="43" spans="6:27" x14ac:dyDescent="0.2">
      <c r="S43" s="146">
        <v>0</v>
      </c>
      <c r="T43" s="146">
        <v>0</v>
      </c>
      <c r="Z43" s="146">
        <v>34954.18</v>
      </c>
      <c r="AA43">
        <v>14190.36</v>
      </c>
    </row>
    <row r="44" spans="6:27" x14ac:dyDescent="0.2">
      <c r="S44" s="145">
        <v>69620.792000000001</v>
      </c>
      <c r="T44" s="145">
        <v>45179.0501</v>
      </c>
      <c r="Z44" s="145">
        <v>0</v>
      </c>
      <c r="AA44">
        <v>0</v>
      </c>
    </row>
    <row r="45" spans="6:27" x14ac:dyDescent="0.2">
      <c r="S45" s="146">
        <v>24172.335500000001</v>
      </c>
      <c r="T45" s="146">
        <v>40066.7255</v>
      </c>
      <c r="Z45" s="146">
        <v>3053.03</v>
      </c>
      <c r="AA45">
        <v>16767.72</v>
      </c>
    </row>
    <row r="46" spans="6:27" x14ac:dyDescent="0.2">
      <c r="S46" s="145">
        <v>0</v>
      </c>
      <c r="T46" s="145">
        <v>83322.580300000103</v>
      </c>
      <c r="Z46" s="145">
        <v>21408.65</v>
      </c>
      <c r="AA46">
        <v>29975.46</v>
      </c>
    </row>
    <row r="47" spans="6:27" x14ac:dyDescent="0.2">
      <c r="S47" s="146">
        <v>49786.050399999898</v>
      </c>
      <c r="T47" s="146">
        <v>77725.744400000098</v>
      </c>
      <c r="Z47" s="146">
        <v>0</v>
      </c>
      <c r="AA47">
        <v>67092.72</v>
      </c>
    </row>
    <row r="48" spans="6:27" x14ac:dyDescent="0.2">
      <c r="S48" s="145">
        <v>0</v>
      </c>
      <c r="T48" s="145">
        <v>138.0009</v>
      </c>
      <c r="Z48" s="145">
        <v>48424.62</v>
      </c>
      <c r="AA48">
        <v>0</v>
      </c>
    </row>
    <row r="49" spans="19:27" x14ac:dyDescent="0.2">
      <c r="S49" s="146">
        <v>53978.008699999998</v>
      </c>
      <c r="T49" s="146">
        <v>0</v>
      </c>
      <c r="Z49" s="146">
        <v>0</v>
      </c>
      <c r="AA49">
        <v>0</v>
      </c>
    </row>
    <row r="50" spans="19:27" x14ac:dyDescent="0.2">
      <c r="S50" s="145">
        <v>0</v>
      </c>
      <c r="T50" s="145">
        <v>9.6715999999999998</v>
      </c>
      <c r="Z50" s="145">
        <v>7178.22</v>
      </c>
      <c r="AA50">
        <v>0</v>
      </c>
    </row>
    <row r="51" spans="19:27" x14ac:dyDescent="0.2">
      <c r="S51" s="146">
        <v>38030.339099999997</v>
      </c>
      <c r="T51" s="146">
        <v>38.472200000000001</v>
      </c>
      <c r="Z51" s="146">
        <v>0</v>
      </c>
      <c r="AA51">
        <v>0</v>
      </c>
    </row>
    <row r="52" spans="19:27" x14ac:dyDescent="0.2">
      <c r="S52" s="145">
        <v>0</v>
      </c>
      <c r="T52" s="145">
        <v>0</v>
      </c>
      <c r="Z52" s="145">
        <v>846.37</v>
      </c>
      <c r="AA52">
        <v>0</v>
      </c>
    </row>
    <row r="53" spans="19:27" x14ac:dyDescent="0.2">
      <c r="S53" s="146">
        <v>24351.613000000001</v>
      </c>
      <c r="T53" s="146">
        <v>0</v>
      </c>
      <c r="Z53" s="146">
        <v>0</v>
      </c>
      <c r="AA53">
        <v>26.37</v>
      </c>
    </row>
    <row r="54" spans="19:27" x14ac:dyDescent="0.2">
      <c r="S54" s="145">
        <v>0</v>
      </c>
      <c r="T54" s="145">
        <v>766.12699999999995</v>
      </c>
      <c r="Z54" s="145">
        <v>24518.83</v>
      </c>
      <c r="AA54">
        <v>0</v>
      </c>
    </row>
    <row r="55" spans="19:27" x14ac:dyDescent="0.2">
      <c r="S55" s="146">
        <v>64008.1363000001</v>
      </c>
      <c r="T55" s="146">
        <v>0</v>
      </c>
      <c r="Z55" s="146">
        <v>0</v>
      </c>
      <c r="AA55">
        <v>0</v>
      </c>
    </row>
    <row r="56" spans="19:27" x14ac:dyDescent="0.2">
      <c r="S56" s="145">
        <v>0</v>
      </c>
      <c r="T56" s="145">
        <v>0</v>
      </c>
      <c r="Z56" s="145">
        <v>2512.29</v>
      </c>
      <c r="AA56">
        <v>0</v>
      </c>
    </row>
    <row r="57" spans="19:27" x14ac:dyDescent="0.2">
      <c r="S57" s="146">
        <v>25510.301599999999</v>
      </c>
      <c r="T57" s="146">
        <v>0</v>
      </c>
      <c r="Z57" s="146">
        <v>0</v>
      </c>
      <c r="AA57">
        <v>0</v>
      </c>
    </row>
    <row r="58" spans="19:27" x14ac:dyDescent="0.2">
      <c r="S58" s="145">
        <v>0</v>
      </c>
      <c r="T58" s="145">
        <v>0.1389</v>
      </c>
      <c r="Z58" s="145">
        <v>106775.64</v>
      </c>
      <c r="AA58">
        <v>0</v>
      </c>
    </row>
    <row r="59" spans="19:27" x14ac:dyDescent="0.2">
      <c r="S59" s="146">
        <v>35070.078800000003</v>
      </c>
      <c r="T59" s="146">
        <v>19.053799999999999</v>
      </c>
      <c r="Z59" s="146">
        <v>0</v>
      </c>
      <c r="AA59">
        <v>0</v>
      </c>
    </row>
    <row r="60" spans="19:27" x14ac:dyDescent="0.2">
      <c r="S60" s="145">
        <v>0</v>
      </c>
      <c r="T60" s="145">
        <v>0</v>
      </c>
      <c r="Z60" s="145">
        <v>13413.06</v>
      </c>
      <c r="AA60">
        <v>0</v>
      </c>
    </row>
    <row r="61" spans="19:27" x14ac:dyDescent="0.2">
      <c r="S61" s="146">
        <v>26942.261399999999</v>
      </c>
      <c r="T61" s="146">
        <v>174.75399999999999</v>
      </c>
      <c r="Z61" s="146">
        <v>0</v>
      </c>
      <c r="AA61">
        <v>8.5</v>
      </c>
    </row>
    <row r="62" spans="19:27" x14ac:dyDescent="0.2">
      <c r="S62" s="145">
        <v>0</v>
      </c>
      <c r="T62" s="145">
        <v>541.58529999999996</v>
      </c>
      <c r="Z62" s="145">
        <v>8289.77</v>
      </c>
      <c r="AA62">
        <v>0</v>
      </c>
    </row>
    <row r="63" spans="19:27" x14ac:dyDescent="0.2">
      <c r="S63" s="146">
        <v>51549.295899999903</v>
      </c>
      <c r="T63" s="146">
        <v>433.71039999999999</v>
      </c>
      <c r="Z63" s="146">
        <v>0</v>
      </c>
      <c r="AA63">
        <v>0</v>
      </c>
    </row>
    <row r="64" spans="19:27" x14ac:dyDescent="0.2">
      <c r="S64" s="145">
        <v>0</v>
      </c>
      <c r="T64" s="145">
        <v>0</v>
      </c>
      <c r="Z64" s="145">
        <v>20133.349999999999</v>
      </c>
      <c r="AA64">
        <v>0</v>
      </c>
    </row>
    <row r="65" spans="19:27" x14ac:dyDescent="0.2">
      <c r="S65" s="146">
        <v>54299.358399999903</v>
      </c>
      <c r="T65" s="146">
        <v>0</v>
      </c>
      <c r="Z65" s="146">
        <v>0</v>
      </c>
      <c r="AA65">
        <v>0</v>
      </c>
    </row>
    <row r="66" spans="19:27" x14ac:dyDescent="0.2">
      <c r="S66" s="145">
        <v>255.44900000000001</v>
      </c>
      <c r="T66" s="145">
        <v>0</v>
      </c>
      <c r="Z66" s="145">
        <v>0</v>
      </c>
      <c r="AA66">
        <v>0</v>
      </c>
    </row>
    <row r="67" spans="19:27" x14ac:dyDescent="0.2">
      <c r="S67" s="146">
        <v>0</v>
      </c>
      <c r="T67" s="146">
        <v>22608.335299999999</v>
      </c>
      <c r="Z67" s="146">
        <v>0</v>
      </c>
      <c r="AA67">
        <v>0</v>
      </c>
    </row>
    <row r="68" spans="19:27" x14ac:dyDescent="0.2">
      <c r="S68" s="145">
        <v>0</v>
      </c>
      <c r="T68" s="145">
        <v>0</v>
      </c>
      <c r="Z68" s="145">
        <v>0</v>
      </c>
      <c r="AA68">
        <v>2918.62</v>
      </c>
    </row>
    <row r="69" spans="19:27" x14ac:dyDescent="0.2">
      <c r="S69" s="146">
        <v>0</v>
      </c>
      <c r="T69" s="146">
        <v>4781.3608999999997</v>
      </c>
      <c r="Z69" s="146">
        <v>0</v>
      </c>
      <c r="AA69">
        <v>0</v>
      </c>
    </row>
    <row r="70" spans="19:27" x14ac:dyDescent="0.2">
      <c r="S70" s="145">
        <v>71.845299999999995</v>
      </c>
      <c r="T70" s="145">
        <v>0</v>
      </c>
      <c r="Z70" s="145">
        <v>0</v>
      </c>
    </row>
    <row r="71" spans="19:27" x14ac:dyDescent="0.2">
      <c r="S71" s="146">
        <v>120.8455</v>
      </c>
      <c r="Z71" s="146">
        <v>0</v>
      </c>
      <c r="AA71">
        <f>SUM(AA2:AA69)</f>
        <v>354891.38</v>
      </c>
    </row>
    <row r="72" spans="19:27" x14ac:dyDescent="0.2">
      <c r="S72" s="145">
        <v>0</v>
      </c>
      <c r="T72" s="51">
        <f>SUM(T2:T70)</f>
        <v>1599417.5780999996</v>
      </c>
      <c r="Z72" s="145">
        <v>0</v>
      </c>
    </row>
    <row r="73" spans="19:27" x14ac:dyDescent="0.2">
      <c r="S73" s="146">
        <v>190.06890000000001</v>
      </c>
      <c r="Z73" s="146">
        <v>0</v>
      </c>
    </row>
    <row r="74" spans="19:27" x14ac:dyDescent="0.2">
      <c r="S74" s="145">
        <v>0</v>
      </c>
      <c r="Z74" s="145">
        <v>0</v>
      </c>
    </row>
    <row r="75" spans="19:27" x14ac:dyDescent="0.2">
      <c r="S75" s="146">
        <v>338.9221</v>
      </c>
      <c r="Z75" s="146">
        <v>5570.37</v>
      </c>
    </row>
    <row r="76" spans="19:27" x14ac:dyDescent="0.2">
      <c r="S76" s="145">
        <v>0</v>
      </c>
      <c r="Z76" s="145">
        <v>0</v>
      </c>
    </row>
    <row r="77" spans="19:27" x14ac:dyDescent="0.2">
      <c r="S77" s="146">
        <v>46248.605099999899</v>
      </c>
      <c r="Z77" s="146">
        <v>7200.74</v>
      </c>
    </row>
    <row r="78" spans="19:27" x14ac:dyDescent="0.2">
      <c r="S78" s="145">
        <v>0</v>
      </c>
      <c r="Z78" s="145">
        <v>275</v>
      </c>
    </row>
    <row r="79" spans="19:27" x14ac:dyDescent="0.2">
      <c r="S79" s="146">
        <v>0</v>
      </c>
      <c r="Z79" s="146">
        <v>913038.08950161596</v>
      </c>
    </row>
    <row r="81" spans="19:26" x14ac:dyDescent="0.2">
      <c r="S81" s="51">
        <f>SUM(S2:S79)</f>
        <v>1823871.2919000003</v>
      </c>
      <c r="Z81" s="51">
        <f>SUM(Z2:Z79)</f>
        <v>2137788.8095016163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4A6D-0597-4B71-8EA5-CB218458741C}">
  <sheetPr>
    <tabColor rgb="FFFFFF00"/>
  </sheetPr>
  <dimension ref="B1:BG58"/>
  <sheetViews>
    <sheetView tabSelected="1" zoomScale="95" zoomScaleNormal="95" workbookViewId="0">
      <selection activeCell="K10" sqref="K10:K11"/>
    </sheetView>
  </sheetViews>
  <sheetFormatPr baseColWidth="10" defaultColWidth="8.83203125" defaultRowHeight="15" x14ac:dyDescent="0.2"/>
  <cols>
    <col min="2" max="2" width="10.6640625" customWidth="1"/>
    <col min="3" max="3" width="16.5" customWidth="1"/>
    <col min="4" max="4" width="9.83203125" style="5" customWidth="1"/>
    <col min="5" max="5" width="12.5" style="99" bestFit="1" customWidth="1"/>
    <col min="6" max="6" width="13.5" style="99" customWidth="1"/>
    <col min="7" max="7" width="12" style="99" bestFit="1" customWidth="1"/>
    <col min="8" max="8" width="18.1640625" customWidth="1"/>
    <col min="11" max="11" width="15.83203125" customWidth="1"/>
    <col min="12" max="12" width="10.83203125" customWidth="1"/>
    <col min="13" max="13" width="12.5" style="99" bestFit="1" customWidth="1"/>
    <col min="14" max="14" width="14.1640625" style="99" customWidth="1"/>
    <col min="15" max="15" width="9.1640625" style="99"/>
    <col min="17" max="17" width="12.83203125" bestFit="1" customWidth="1"/>
    <col min="18" max="18" width="21.5" bestFit="1" customWidth="1"/>
    <col min="19" max="19" width="16.5" bestFit="1" customWidth="1"/>
    <col min="20" max="20" width="11.1640625" bestFit="1" customWidth="1"/>
    <col min="21" max="21" width="13.33203125" bestFit="1" customWidth="1"/>
    <col min="22" max="22" width="11.83203125" customWidth="1"/>
    <col min="23" max="23" width="7.6640625" bestFit="1" customWidth="1"/>
    <col min="28" max="28" width="14.5" bestFit="1" customWidth="1"/>
    <col min="29" max="29" width="14.5" customWidth="1"/>
    <col min="30" max="30" width="13.5" bestFit="1" customWidth="1"/>
    <col min="31" max="31" width="13.5" customWidth="1"/>
    <col min="32" max="32" width="14.1640625" customWidth="1"/>
    <col min="33" max="33" width="13.5" customWidth="1"/>
    <col min="34" max="34" width="13.5" bestFit="1" customWidth="1"/>
    <col min="35" max="35" width="13.5" customWidth="1"/>
    <col min="36" max="36" width="20" customWidth="1"/>
    <col min="43" max="43" width="20.5" customWidth="1"/>
    <col min="44" max="44" width="20.83203125" bestFit="1" customWidth="1"/>
    <col min="45" max="46" width="15.5" customWidth="1"/>
    <col min="47" max="47" width="14.5" bestFit="1" customWidth="1"/>
    <col min="51" max="51" width="11" customWidth="1"/>
    <col min="52" max="53" width="10.1640625" customWidth="1"/>
    <col min="54" max="57" width="13.5" bestFit="1" customWidth="1"/>
  </cols>
  <sheetData>
    <row r="1" spans="2:59" ht="21" x14ac:dyDescent="0.25">
      <c r="C1" s="267" t="s">
        <v>882</v>
      </c>
      <c r="D1" s="267"/>
      <c r="E1" s="267"/>
      <c r="K1" s="257" t="s">
        <v>883</v>
      </c>
      <c r="L1" s="257"/>
      <c r="M1" s="257"/>
      <c r="R1" s="257" t="s">
        <v>884</v>
      </c>
      <c r="S1" s="257"/>
      <c r="T1" s="257"/>
      <c r="U1" s="257"/>
      <c r="V1" s="257"/>
      <c r="W1" s="257"/>
      <c r="AA1" s="257" t="s">
        <v>885</v>
      </c>
      <c r="AB1" s="257"/>
      <c r="AC1" s="257"/>
      <c r="AD1" s="257"/>
      <c r="AE1" s="257"/>
      <c r="AF1" s="257"/>
      <c r="AG1" s="257"/>
      <c r="AH1" s="257"/>
      <c r="AI1" s="257"/>
      <c r="AP1" s="257" t="s">
        <v>886</v>
      </c>
      <c r="AQ1" s="257"/>
      <c r="AR1" s="257"/>
      <c r="AS1" s="257"/>
      <c r="AT1" s="257"/>
      <c r="AU1" s="257"/>
      <c r="AZ1" t="s">
        <v>887</v>
      </c>
    </row>
    <row r="2" spans="2:59" x14ac:dyDescent="0.2">
      <c r="Z2" s="114"/>
    </row>
    <row r="3" spans="2:59" ht="16" x14ac:dyDescent="0.2">
      <c r="B3" s="10" t="s">
        <v>888</v>
      </c>
      <c r="C3" s="10" t="s">
        <v>889</v>
      </c>
      <c r="J3" s="10" t="s">
        <v>890</v>
      </c>
      <c r="K3" s="10" t="s">
        <v>891</v>
      </c>
      <c r="L3" s="5"/>
      <c r="Z3" s="114"/>
      <c r="AA3" s="10" t="s">
        <v>892</v>
      </c>
      <c r="AB3" s="10" t="s">
        <v>893</v>
      </c>
      <c r="AC3" s="10"/>
      <c r="AP3" t="s">
        <v>894</v>
      </c>
      <c r="AQ3" s="119" t="s">
        <v>895</v>
      </c>
      <c r="AY3" t="s">
        <v>894</v>
      </c>
      <c r="AZ3" t="s">
        <v>896</v>
      </c>
    </row>
    <row r="4" spans="2:59" x14ac:dyDescent="0.2">
      <c r="L4" s="5"/>
      <c r="R4" s="10" t="s">
        <v>897</v>
      </c>
      <c r="S4" s="10" t="s">
        <v>898</v>
      </c>
      <c r="Z4" s="128" t="s">
        <v>899</v>
      </c>
      <c r="AA4" t="s">
        <v>900</v>
      </c>
    </row>
    <row r="5" spans="2:59" ht="48" x14ac:dyDescent="0.2">
      <c r="B5" s="263" t="s">
        <v>901</v>
      </c>
      <c r="C5" s="263"/>
      <c r="D5" s="263"/>
      <c r="E5" s="131" t="s">
        <v>902</v>
      </c>
      <c r="F5" s="132" t="s">
        <v>903</v>
      </c>
      <c r="G5" s="133" t="s">
        <v>904</v>
      </c>
      <c r="H5" s="141" t="s">
        <v>905</v>
      </c>
      <c r="J5" s="263" t="s">
        <v>906</v>
      </c>
      <c r="K5" s="263"/>
      <c r="L5" s="263"/>
      <c r="M5" s="131" t="s">
        <v>902</v>
      </c>
      <c r="N5" s="134" t="s">
        <v>903</v>
      </c>
      <c r="O5" s="133" t="s">
        <v>907</v>
      </c>
      <c r="P5" s="141" t="s">
        <v>905</v>
      </c>
      <c r="R5" s="141" t="s">
        <v>908</v>
      </c>
      <c r="S5" s="141" t="s">
        <v>909</v>
      </c>
      <c r="T5" s="141" t="s">
        <v>910</v>
      </c>
      <c r="U5" s="141" t="s">
        <v>911</v>
      </c>
      <c r="V5" s="141" t="s">
        <v>912</v>
      </c>
      <c r="W5" s="141" t="s">
        <v>913</v>
      </c>
      <c r="Z5" s="114"/>
      <c r="AA5" s="135" t="s">
        <v>914</v>
      </c>
      <c r="AB5" s="135" t="s">
        <v>915</v>
      </c>
      <c r="AC5" s="135" t="s">
        <v>916</v>
      </c>
      <c r="AD5" s="135" t="s">
        <v>917</v>
      </c>
      <c r="AE5" s="135" t="s">
        <v>916</v>
      </c>
      <c r="AF5" s="135" t="s">
        <v>907</v>
      </c>
      <c r="AG5" s="135" t="s">
        <v>918</v>
      </c>
      <c r="AH5" s="135" t="s">
        <v>919</v>
      </c>
      <c r="AI5" s="135" t="s">
        <v>920</v>
      </c>
      <c r="AJ5" s="135" t="s">
        <v>921</v>
      </c>
      <c r="AQ5" s="263" t="s">
        <v>922</v>
      </c>
      <c r="AR5" s="263"/>
      <c r="AS5" s="263"/>
      <c r="AT5" s="131" t="s">
        <v>902</v>
      </c>
      <c r="AU5" s="132" t="s">
        <v>903</v>
      </c>
      <c r="AZ5" s="261" t="s">
        <v>923</v>
      </c>
      <c r="BA5" s="261"/>
      <c r="BB5" s="143" t="s">
        <v>924</v>
      </c>
      <c r="BC5" s="144" t="s">
        <v>925</v>
      </c>
      <c r="BD5" s="143" t="s">
        <v>926</v>
      </c>
      <c r="BE5" s="144" t="s">
        <v>907</v>
      </c>
      <c r="BF5" s="144" t="s">
        <v>905</v>
      </c>
    </row>
    <row r="6" spans="2:59" x14ac:dyDescent="0.2">
      <c r="B6" s="264" t="s">
        <v>927</v>
      </c>
      <c r="C6" s="265" t="s">
        <v>928</v>
      </c>
      <c r="D6" s="5" t="s">
        <v>929</v>
      </c>
      <c r="E6" s="99">
        <f>SUMIFS(Table8[CLM $ Collected ],Table8[Distressed Tract1],"Yes")</f>
        <v>3599347.9723999971</v>
      </c>
      <c r="F6" s="99">
        <f>SUMIFS(Table8[Incentive Disbursements],Table8[Distressed Tract1],"Yes")</f>
        <v>2814319.7479295474</v>
      </c>
      <c r="G6" s="99">
        <f>(F6/E6)*100</f>
        <v>78.189710178340903</v>
      </c>
      <c r="H6" t="str">
        <f>IF($G$16&lt;=G6, "Yes","No")</f>
        <v>Yes</v>
      </c>
      <c r="J6" s="264" t="s">
        <v>927</v>
      </c>
      <c r="K6" s="265" t="s">
        <v>928</v>
      </c>
      <c r="L6" s="5" t="s">
        <v>929</v>
      </c>
      <c r="M6" s="99">
        <f>SUMIFS(Table325[CLM $ Collected ],Table325[Distressed Tract1],"Yes")</f>
        <v>3636636.4099000003</v>
      </c>
      <c r="N6" s="99">
        <f>SUMIFS(Table325[Incentive Disbursements],Table325[Distressed Tract1],"Yes")</f>
        <v>1520761.09</v>
      </c>
      <c r="O6" s="99">
        <f>(N6/M6)*100</f>
        <v>41.817793108489987</v>
      </c>
      <c r="P6" t="str">
        <f>IF($O$15&lt;=O6, "Yes","No")</f>
        <v>No</v>
      </c>
      <c r="R6" s="264" t="s">
        <v>930</v>
      </c>
      <c r="S6" s="5" t="s">
        <v>931</v>
      </c>
      <c r="T6" s="5">
        <f>SUMIFS(Table3236[Total Units],Table3236[Distressed Tract1],"Yes")</f>
        <v>225</v>
      </c>
      <c r="U6" s="5">
        <f>SUMIFS(Table3236[Single Family],Table3236[Distressed Tract1],"Yes")</f>
        <v>175</v>
      </c>
      <c r="V6" s="5">
        <f>SUMIFS(Table3236[2-4 Units],Table3236[Distressed Tract1],"Yes")</f>
        <v>50</v>
      </c>
      <c r="W6" s="5">
        <f>SUMIFS(Table3236[&gt;4 Units],Table3236[Distressed Tract1],"No")</f>
        <v>41</v>
      </c>
      <c r="Z6" s="114" t="s">
        <v>932</v>
      </c>
      <c r="AA6" s="114">
        <v>1</v>
      </c>
      <c r="AB6" s="118">
        <f>SUMIFS(Table3[CLM $ Collected ],Table3[BIPOC Index],AA6)+SUMIFS(Table32[CLM $ Collected ],Table32[BIPOC Index],AA6)+SUMIFS(Table8[CLM $ Collected ],Table8[BIPOC Index],AA6)+SUMIFS(Table325[CLM $ Collected ],Table325[BIPOC Index],AA6)</f>
        <v>24780082.374330875</v>
      </c>
      <c r="AC6" s="118">
        <f>(AB6/$AB$11)*100</f>
        <v>17.484474345629277</v>
      </c>
      <c r="AD6" s="118">
        <f>SUMIFS(Table3[Incentive Disbursements],Table3[BIPOC Index],AA6)+SUMIFS(Table32[Incentive Disbursements],Table32[BIPOC Index],AA6)+SUMIFS(Table8[Incentive Disbursements],Table8[BIPOC Index],AA6)+SUMIFS(Table325[Incentive Disbursements],Table325[BIPOC Index],AA6)</f>
        <v>16675157.199420769</v>
      </c>
      <c r="AE6" s="118">
        <f>(AD6/$AD$11)*100</f>
        <v>16.928621015443824</v>
      </c>
      <c r="AF6" s="118">
        <f>AE6/AC6</f>
        <v>0.96820874798993295</v>
      </c>
      <c r="AG6" s="118">
        <f>SUMIFS(Table3[Residential CLM $ Collected],Table3[BIPOC Index],AA6)+SUMIFS(Table32[Residential CLM $ Collected],Table32[BIPOC Index],AA6)+SUMIFS(Table8[Residential CLM $ Collected],Table8[BIPOC Index],AA6)+SUMIFS(Table325[Residential CLM $ Collected],Table325[BIPOC Index],AA6)</f>
        <v>11082993.057561915</v>
      </c>
      <c r="AH6" s="118">
        <f>SUMIFS(Table3[Residential Incentive Disbursements],Table3[BIPOC Index],AA6)+SUMIFS(Table32[Residential Incentive Disbursements],Table32[BIPOC Index],AA6)+SUMIFS(Table8[Residential Incentive Disbursements],Table8[BIPOC Index],AA6)+SUMIFS(Table325[Residential Incentive Disbursements],Table325[BIPOC Index],AA6)</f>
        <v>8838849.4225696512</v>
      </c>
      <c r="AI6" s="118">
        <f>SUMIFS(Table3[C&amp;I CLM $ Collected],Table3[BIPOC Index],AA6)+SUMIFS(Table32[C&amp;I CLM $ Collected],Table32[BIPOC Index],AA6)+SUMIFS(Table8[C&amp;I CLM $ Collected],Table8[BIPOC Index],AA6)+SUMIFS(Table325[C&amp;I CLM $ Collected],Table325[BIPOC Index],AA6)</f>
        <v>13697089.316768959</v>
      </c>
      <c r="AJ6" s="118">
        <f>SUMIFS(Table3[C&amp;I Incentive Disbursements],Table3[BIPOC Index],AA6)+SUMIFS(Table32[C&amp;I Incentive Disbursements],Table32[BIPOC Index],AA6)+SUMIFS(Table8[C&amp;I Incentive Disbursements],Table8[BIPOC Index],AA6)+SUMIFS(Table325[C&amp;I Incentive Disbursements],Table325[BIPOC Index],AA6)</f>
        <v>7836307.7768511139</v>
      </c>
      <c r="AQ6" s="264" t="s">
        <v>927</v>
      </c>
      <c r="AR6" s="265" t="s">
        <v>933</v>
      </c>
      <c r="AS6" s="5" t="s">
        <v>929</v>
      </c>
      <c r="AT6" s="51">
        <f>SUMIFS(Table8[CLM $ Collected ],Table8[Energy Burdened?],"Yes")+SUMIFS(Table325[CLM $ Collected ],Table325[Energy Burdened?],"Yes")</f>
        <v>4919178.0635999991</v>
      </c>
      <c r="AU6" s="51">
        <f>SUMIFS(Table8[Incentive Disbursements],Table8[Energy Burdened?],"Yes")+SUMIFS(Table325[Incentive Disbursements],Table325[Energy Burdened?],"Yes")</f>
        <v>2677032.1237770845</v>
      </c>
      <c r="AZ6" t="s">
        <v>934</v>
      </c>
      <c r="BA6" t="s">
        <v>935</v>
      </c>
      <c r="BB6">
        <v>16799</v>
      </c>
      <c r="BC6" s="51">
        <f>SUMIFS(Table3236[CLM $ Collected ],Table3236[Town],"Bridgeport")</f>
        <v>1823871.2919000003</v>
      </c>
      <c r="BD6" s="51">
        <f>SUMIFS(Table3236[Incentive Disbursements],Table3236[Town],"Bridgeport")</f>
        <v>2137788.8095016158</v>
      </c>
      <c r="BE6">
        <f>(BD6/BC6)*100</f>
        <v>117.21160473306178</v>
      </c>
      <c r="BF6" t="s">
        <v>936</v>
      </c>
    </row>
    <row r="7" spans="2:59" x14ac:dyDescent="0.2">
      <c r="B7" s="264"/>
      <c r="C7" s="265"/>
      <c r="D7" s="5" t="s">
        <v>937</v>
      </c>
      <c r="E7" s="99">
        <f>E6/(E6+E8)*100</f>
        <v>20.511537529738828</v>
      </c>
      <c r="F7" s="99">
        <f>F6/(F6+F8)*100</f>
        <v>24.156295979524785</v>
      </c>
      <c r="J7" s="264"/>
      <c r="K7" s="265"/>
      <c r="L7" s="5" t="s">
        <v>937</v>
      </c>
      <c r="M7" s="99">
        <f>M6/(M6+M8)*100</f>
        <v>31.478688063586084</v>
      </c>
      <c r="N7" s="99">
        <f>N6/(N6+N8)*100</f>
        <v>29.526318058428874</v>
      </c>
      <c r="R7" s="264"/>
      <c r="S7" s="5" t="s">
        <v>938</v>
      </c>
      <c r="T7" s="5">
        <f>SUMIFS(Table3236[Total Units],Table3236[Distressed Tract1],"No")</f>
        <v>2702</v>
      </c>
      <c r="U7" s="5">
        <f>SUMIFS(Table3236[Single Family],Table3236[Distressed Tract1],"No")</f>
        <v>2540</v>
      </c>
      <c r="V7" s="5">
        <f>SUMIFS(Table3236[2-4 Units],Table3236[Distressed Tract1],"No")</f>
        <v>121</v>
      </c>
      <c r="W7" s="5">
        <f>SUMIFS(Table3236[&gt;4 Units],Table3236[Distressed Tract1],"Yes")</f>
        <v>0</v>
      </c>
      <c r="Z7" s="114"/>
      <c r="AA7" s="114">
        <v>2</v>
      </c>
      <c r="AB7" s="118">
        <f>SUMIFS(Table3[CLM $ Collected ],Table3[BIPOC Index],AA7)+SUMIFS(Table32[CLM $ Collected ],Table32[BIPOC Index],AA7)+SUMIFS(Table8[CLM $ Collected ],Table8[BIPOC Index],AA7)+SUMIFS(Table325[CLM $ Collected ],Table325[BIPOC Index],AA7)</f>
        <v>23342117.124215692</v>
      </c>
      <c r="AC7" s="118">
        <f t="shared" ref="AC7:AC10" si="0">(AB7/$AB$11)*100</f>
        <v>16.469866478482338</v>
      </c>
      <c r="AD7" s="118">
        <f>SUMIFS(Table3[Incentive Disbursements],Table3[BIPOC Index],AA7)+SUMIFS(Table32[Incentive Disbursements],Table32[BIPOC Index],AA7)+SUMIFS(Table8[Incentive Disbursements],Table8[BIPOC Index],AA7)+SUMIFS(Table325[Incentive Disbursements],Table325[BIPOC Index],AA7)</f>
        <v>17921217.537457384</v>
      </c>
      <c r="AE7" s="118">
        <f t="shared" ref="AE7:AE10" si="1">(AD7/$AD$11)*100</f>
        <v>18.19362157722146</v>
      </c>
      <c r="AF7" s="118">
        <f t="shared" ref="AF7:AF10" si="2">AE7/AC7</f>
        <v>1.1046611459170714</v>
      </c>
      <c r="AG7" s="118">
        <f>SUMIFS(Table3[Residential CLM $ Collected],Table3[BIPOC Index],AA7)+SUMIFS(Table32[Residential CLM $ Collected],Table32[BIPOC Index],AA7)+SUMIFS(Table8[Residential CLM $ Collected],Table8[BIPOC Index],AA7)+SUMIFS(Table325[Residential CLM $ Collected],Table325[BIPOC Index],AA7)</f>
        <v>12869196.947451519</v>
      </c>
      <c r="AH7" s="118">
        <f>SUMIFS(Table3[Residential Incentive Disbursements],Table3[BIPOC Index],AA7)+SUMIFS(Table32[Residential Incentive Disbursements],Table32[BIPOC Index],AA7)+SUMIFS(Table8[Residential Incentive Disbursements],Table8[BIPOC Index],AA7)+SUMIFS(Table325[Residential Incentive Disbursements],Table325[BIPOC Index],AA7)</f>
        <v>7600032.1131966421</v>
      </c>
      <c r="AI7" s="118">
        <f>SUMIFS(Table3[C&amp;I CLM $ Collected],Table3[BIPOC Index],AA7)+SUMIFS(Table32[C&amp;I CLM $ Collected],Table32[BIPOC Index],AA7)+SUMIFS(Table8[C&amp;I CLM $ Collected],Table8[BIPOC Index],AA7)+SUMIFS(Table325[C&amp;I CLM $ Collected],Table325[BIPOC Index],AA7)</f>
        <v>10472920.17676416</v>
      </c>
      <c r="AJ7" s="118">
        <f>SUMIFS(Table3[C&amp;I Incentive Disbursements],Table3[BIPOC Index],AA7)+SUMIFS(Table32[C&amp;I Incentive Disbursements],Table32[BIPOC Index],AA7)+SUMIFS(Table8[C&amp;I Incentive Disbursements],Table8[BIPOC Index],AA7)+SUMIFS(Table325[C&amp;I Incentive Disbursements],Table325[BIPOC Index],AA7)</f>
        <v>10321185.424260743</v>
      </c>
      <c r="AQ7" s="264"/>
      <c r="AR7" s="265"/>
      <c r="AS7" s="5" t="s">
        <v>937</v>
      </c>
      <c r="AT7" s="99">
        <f>(AT6/(AT6+AT8))*100</f>
        <v>16.904036115962946</v>
      </c>
      <c r="AU7" s="99">
        <f>(AU6/(AU6+AU8))*100</f>
        <v>15.933777993039572</v>
      </c>
      <c r="BA7" t="s">
        <v>939</v>
      </c>
      <c r="BB7" s="99">
        <f>(BB6/53713)*100</f>
        <v>31.275482657829574</v>
      </c>
      <c r="BC7" s="99">
        <f>(BC6/12129793)*100</f>
        <v>15.036293627599417</v>
      </c>
      <c r="BD7" s="99">
        <f>(BD6/8494544.29)*100</f>
        <v>25.166609726413185</v>
      </c>
      <c r="BE7">
        <f>BC7/BB7</f>
        <v>0.4807693550921171</v>
      </c>
    </row>
    <row r="8" spans="2:59" x14ac:dyDescent="0.2">
      <c r="B8" s="264"/>
      <c r="C8" s="265" t="s">
        <v>940</v>
      </c>
      <c r="D8" s="5" t="s">
        <v>929</v>
      </c>
      <c r="E8" s="99">
        <f>SUMIFS(Table8[CLM $ Collected ],Table8[Distressed Tract1],"No")</f>
        <v>13948570.935099997</v>
      </c>
      <c r="F8" s="99">
        <f>SUMIFS(Table8[Incentive Disbursements],Table8[Distressed Tract1],"No")</f>
        <v>8836140.8620704468</v>
      </c>
      <c r="G8" s="99">
        <f t="shared" ref="G8:G15" si="3">(F8/E8)*100</f>
        <v>63.348001047442793</v>
      </c>
      <c r="H8" t="str">
        <f>IF($G$16&lt;=G8, "Yes","No")</f>
        <v>Yes</v>
      </c>
      <c r="J8" s="264"/>
      <c r="K8" s="265" t="s">
        <v>940</v>
      </c>
      <c r="L8" s="5" t="s">
        <v>929</v>
      </c>
      <c r="M8" s="99">
        <f>SUMIFS(Table325[CLM $ Collected ],Table325[Distressed Tract1],"No")</f>
        <v>7916057.2809999986</v>
      </c>
      <c r="N8" s="99">
        <f>SUMIFS(Table325[Incentive Disbursements],Table325[Distressed Tract1],"No")</f>
        <v>3629766.27</v>
      </c>
      <c r="O8" s="99">
        <f t="shared" ref="O8:O14" si="4">(N8/M8)*100</f>
        <v>45.853208752191705</v>
      </c>
      <c r="P8" t="str">
        <f t="shared" ref="P8:P12" si="5">IF($O$15&lt;=O8, "Yes","No")</f>
        <v>No</v>
      </c>
      <c r="R8" s="266" t="s">
        <v>941</v>
      </c>
      <c r="S8" s="5" t="s">
        <v>931</v>
      </c>
      <c r="T8" s="5">
        <f>SUMIFS(Table323[Total Units],Table323[Distressed Tract1],"Yes")</f>
        <v>9</v>
      </c>
      <c r="U8" s="5">
        <f>SUMIFS(Table323[Single Family],Table323[Distressed Tract1],"Yes")</f>
        <v>8</v>
      </c>
      <c r="V8" s="5">
        <f>SUMIFS(Table323[2-4 Units],Table323[Distressed Tract1],"Yes")</f>
        <v>1</v>
      </c>
      <c r="W8" s="5">
        <f>SUMIFS(Table323[&gt;4 Units],Table323[Distressed Tract1],"Yes")</f>
        <v>0</v>
      </c>
      <c r="Z8" s="114"/>
      <c r="AA8" s="114">
        <v>3</v>
      </c>
      <c r="AB8" s="118">
        <f>SUMIFS(Table3[CLM $ Collected ],Table3[BIPOC Index],AA8)+SUMIFS(Table32[CLM $ Collected ],Table32[BIPOC Index],AA8)+SUMIFS(Table8[CLM $ Collected ],Table8[BIPOC Index],AA8)+SUMIFS(Table325[CLM $ Collected ],Table325[BIPOC Index],AA8)</f>
        <v>32840909.407994073</v>
      </c>
      <c r="AC8" s="118">
        <f t="shared" si="0"/>
        <v>23.172079469195573</v>
      </c>
      <c r="AD8" s="118">
        <f>SUMIFS(Table3[Incentive Disbursements],Table3[BIPOC Index],AA8)+SUMIFS(Table32[Incentive Disbursements],Table32[BIPOC Index],AA8)+SUMIFS(Table8[Incentive Disbursements],Table8[BIPOC Index],AA8)+SUMIFS(Table325[Incentive Disbursements],Table325[BIPOC Index],AA8)</f>
        <v>19010613.470378906</v>
      </c>
      <c r="AE8" s="118">
        <f t="shared" si="1"/>
        <v>19.299576421523312</v>
      </c>
      <c r="AF8" s="118">
        <f t="shared" si="2"/>
        <v>0.8328806418595156</v>
      </c>
      <c r="AG8" s="118">
        <f>SUMIFS(Table3[Residential CLM $ Collected],Table3[BIPOC Index],AA8)+SUMIFS(Table32[Residential CLM $ Collected],Table32[BIPOC Index],AA8)+SUMIFS(Table8[Residential CLM $ Collected],Table8[BIPOC Index],AA8)+SUMIFS(Table325[Residential CLM $ Collected],Table325[BIPOC Index],AA8)</f>
        <v>15305584.446534079</v>
      </c>
      <c r="AH8" s="118">
        <f>SUMIFS(Table3[Residential Incentive Disbursements],Table3[BIPOC Index],AA8)+SUMIFS(Table32[Residential Incentive Disbursements],Table32[BIPOC Index],AA8)+SUMIFS(Table8[Residential Incentive Disbursements],Table8[BIPOC Index],AA8)+SUMIFS(Table325[Residential Incentive Disbursements],Table325[BIPOC Index],AA8)</f>
        <v>9658265.0736721531</v>
      </c>
      <c r="AI8" s="118">
        <f>SUMIFS(Table3[C&amp;I CLM $ Collected],Table3[BIPOC Index],AA8)+SUMIFS(Table32[C&amp;I CLM $ Collected],Table32[BIPOC Index],AA8)+SUMIFS(Table8[C&amp;I CLM $ Collected],Table8[BIPOC Index],AA8)+SUMIFS(Table325[C&amp;I CLM $ Collected],Table325[BIPOC Index],AA8)</f>
        <v>17535324.961460002</v>
      </c>
      <c r="AJ8" s="118">
        <f>SUMIFS(Table3[C&amp;I Incentive Disbursements],Table3[BIPOC Index],AA8)+SUMIFS(Table32[C&amp;I Incentive Disbursements],Table32[BIPOC Index],AA8)+SUMIFS(Table8[C&amp;I Incentive Disbursements],Table8[BIPOC Index],AA8)+SUMIFS(Table325[C&amp;I Incentive Disbursements],Table325[BIPOC Index],AA8)</f>
        <v>9352348.3967067543</v>
      </c>
      <c r="AQ8" s="264"/>
      <c r="AR8" s="265" t="s">
        <v>942</v>
      </c>
      <c r="AS8" s="5" t="s">
        <v>929</v>
      </c>
      <c r="AT8" s="51">
        <f>SUMIFS(Table8[CLM $ Collected ],Table8[Energy Burdened?],"No")+SUMIFS(Table325[CLM $ Collected ],Table325[Energy Burdened?],"No")</f>
        <v>24181434.5348</v>
      </c>
      <c r="AU8" s="51">
        <f>SUMIFS(Table8[Incentive Disbursements],Table8[Energy Burdened?],"No")+SUMIFS(Table325[Incentive Disbursements],Table325[Energy Burdened?],"No")</f>
        <v>14123955.846222907</v>
      </c>
      <c r="AZ8" t="s">
        <v>943</v>
      </c>
      <c r="BA8" t="s">
        <v>935</v>
      </c>
      <c r="BB8">
        <v>11218</v>
      </c>
      <c r="BC8" s="51">
        <f>SUMIFS(Table3236[CLM $ Collected ],Table3236[Town],"New Haven")</f>
        <v>1599417.5780999996</v>
      </c>
      <c r="BD8" s="51">
        <f>SUMIFS(Table3236[Incentive Disbursements],Table3236[Town],"New Haven")</f>
        <v>894930.47776377911</v>
      </c>
      <c r="BE8">
        <f t="shared" ref="BE8:BE10" si="6">(BD8/BC8)*100</f>
        <v>55.953522708365902</v>
      </c>
      <c r="BF8" s="51" t="s">
        <v>944</v>
      </c>
    </row>
    <row r="9" spans="2:59" x14ac:dyDescent="0.2">
      <c r="B9" s="264"/>
      <c r="C9" s="265"/>
      <c r="D9" s="5" t="s">
        <v>937</v>
      </c>
      <c r="E9" s="99">
        <f>E8/(E8+E6)*100</f>
        <v>79.488462470261169</v>
      </c>
      <c r="F9" s="99">
        <f>F8/(F8+F6)*100</f>
        <v>75.843704020475229</v>
      </c>
      <c r="J9" s="264"/>
      <c r="K9" s="265"/>
      <c r="L9" s="5" t="s">
        <v>937</v>
      </c>
      <c r="M9" s="99">
        <f>M8/(M8+M6)*100</f>
        <v>68.521311936413923</v>
      </c>
      <c r="N9" s="99">
        <f>N8/(N8+N6)*100</f>
        <v>70.473681941571115</v>
      </c>
      <c r="R9" s="266"/>
      <c r="S9" s="5" t="s">
        <v>938</v>
      </c>
      <c r="T9" s="5">
        <f>SUMIFS(Table323[Total Units],Table323[Distressed Tract1],"No")</f>
        <v>17700</v>
      </c>
      <c r="U9" s="5">
        <f>SUMIFS(Table323[Single Family],Table323[Distressed Tract1],"No")</f>
        <v>9973</v>
      </c>
      <c r="V9" s="5">
        <f>SUMIFS(Table323[2-4 Units],Table323[Distressed Tract1],"No")</f>
        <v>168</v>
      </c>
      <c r="W9" s="5">
        <f>SUMIFS(Table323[&gt;4 Units],Table323[Distressed Tract1],"No")</f>
        <v>7559</v>
      </c>
      <c r="Z9" s="114"/>
      <c r="AA9" s="114">
        <v>4</v>
      </c>
      <c r="AB9" s="118">
        <f>SUMIFS(Table3[CLM $ Collected ],Table3[BIPOC Index],AA9)+SUMIFS(Table32[CLM $ Collected ],Table32[BIPOC Index],AA9)+SUMIFS(Table8[CLM $ Collected ],Table8[BIPOC Index],AA9)+SUMIFS(Table325[CLM $ Collected ],Table325[BIPOC Index],AA9)</f>
        <v>30815234.045378245</v>
      </c>
      <c r="AC9" s="118">
        <f t="shared" si="0"/>
        <v>21.742791689792615</v>
      </c>
      <c r="AD9" s="118">
        <f>SUMIFS(Table3[Incentive Disbursements],Table3[BIPOC Index],AA9)+SUMIFS(Table32[Incentive Disbursements],Table32[BIPOC Index],AA9)+SUMIFS(Table8[Incentive Disbursements],Table8[BIPOC Index],AA9)+SUMIFS(Table325[Incentive Disbursements],Table325[BIPOC Index],AA9)</f>
        <v>24234432.480351221</v>
      </c>
      <c r="AE9" s="118">
        <f t="shared" si="1"/>
        <v>24.602797927354999</v>
      </c>
      <c r="AF9" s="118">
        <f t="shared" si="2"/>
        <v>1.1315381335739443</v>
      </c>
      <c r="AG9" s="118">
        <f>SUMIFS(Table3[Residential CLM $ Collected],Table3[BIPOC Index],AA9)+SUMIFS(Table32[Residential CLM $ Collected],Table32[BIPOC Index],AA9)+SUMIFS(Table8[Residential CLM $ Collected],Table8[BIPOC Index],AA9)+SUMIFS(Table325[Residential CLM $ Collected],Table325[BIPOC Index],AA9)</f>
        <v>14701322.602958085</v>
      </c>
      <c r="AH9" s="118">
        <f>SUMIFS(Table3[Residential Incentive Disbursements],Table3[BIPOC Index],AA9)+SUMIFS(Table32[Residential Incentive Disbursements],Table32[BIPOC Index],AA9)+SUMIFS(Table8[Residential Incentive Disbursements],Table8[BIPOC Index],AA9)+SUMIFS(Table325[Residential Incentive Disbursements],Table325[BIPOC Index],AA9)</f>
        <v>10879462.962737011</v>
      </c>
      <c r="AI9" s="118">
        <f>SUMIFS(Table3[C&amp;I CLM $ Collected],Table3[BIPOC Index],AA9)+SUMIFS(Table32[C&amp;I CLM $ Collected],Table32[BIPOC Index],AA9)+SUMIFS(Table8[C&amp;I CLM $ Collected],Table8[BIPOC Index],AA9)+SUMIFS(Table325[C&amp;I CLM $ Collected],Table325[BIPOC Index],AA9)</f>
        <v>16113911.442420162</v>
      </c>
      <c r="AJ9" s="118">
        <f>SUMIFS(Table3[C&amp;I Incentive Disbursements],Table3[BIPOC Index],AA9)+SUMIFS(Table32[C&amp;I Incentive Disbursements],Table32[BIPOC Index],AA9)+SUMIFS(Table8[C&amp;I Incentive Disbursements],Table8[BIPOC Index],AA9)+SUMIFS(Table325[C&amp;I Incentive Disbursements],Table325[BIPOC Index],AA9)</f>
        <v>13354969.51761421</v>
      </c>
      <c r="AQ9" s="264"/>
      <c r="AR9" s="265"/>
      <c r="AS9" s="5" t="s">
        <v>937</v>
      </c>
      <c r="AT9" s="99">
        <f>(AT8/(AT8+AT6))*100</f>
        <v>83.095963884037047</v>
      </c>
      <c r="AU9" s="99">
        <f>(AU8/(AU8+AU6))*100</f>
        <v>84.06622200696043</v>
      </c>
      <c r="BA9" t="s">
        <v>939</v>
      </c>
      <c r="BB9" s="99">
        <f>(BB8/53713)*100</f>
        <v>20.885074376780295</v>
      </c>
      <c r="BC9" s="99">
        <f>(BC8/12129793)*100</f>
        <v>13.185860452029145</v>
      </c>
      <c r="BD9" s="99">
        <f>(BD8/8494544.29)*100</f>
        <v>10.535355955672806</v>
      </c>
      <c r="BE9">
        <f>BC9/BB9</f>
        <v>0.63135329154915443</v>
      </c>
      <c r="BG9" s="12" t="s">
        <v>945</v>
      </c>
    </row>
    <row r="10" spans="2:59" x14ac:dyDescent="0.2">
      <c r="B10" s="5" t="s">
        <v>947</v>
      </c>
      <c r="C10" s="5" t="s">
        <v>948</v>
      </c>
      <c r="E10" s="99">
        <f>SUM(E6,E8)</f>
        <v>17547918.907499995</v>
      </c>
      <c r="F10" s="99">
        <f>SUM(F6,F8)</f>
        <v>11650460.609999994</v>
      </c>
      <c r="G10" s="121">
        <f t="shared" ref="G10" si="7">(F10/E10)*100</f>
        <v>66.392263785881624</v>
      </c>
      <c r="J10" s="266" t="s">
        <v>946</v>
      </c>
      <c r="K10" s="265" t="s">
        <v>928</v>
      </c>
      <c r="L10" s="5" t="s">
        <v>929</v>
      </c>
      <c r="M10" s="99">
        <f>SUMIFS(Table32[CLM $ Collected ],Table32[Distressed Tract1],"Yes")</f>
        <v>94.36843872</v>
      </c>
      <c r="N10" s="99">
        <f>SUMIFS(Table32[Incentive Disbursements],Table32[Distressed Tract1],"Yes")</f>
        <v>0</v>
      </c>
      <c r="O10" s="99">
        <f t="shared" si="4"/>
        <v>0</v>
      </c>
      <c r="P10" t="str">
        <f t="shared" si="5"/>
        <v>No</v>
      </c>
      <c r="R10" s="5" t="s">
        <v>947</v>
      </c>
      <c r="S10" s="5" t="s">
        <v>948</v>
      </c>
      <c r="T10" s="5">
        <f>SUM(T6:T9)</f>
        <v>20636</v>
      </c>
      <c r="U10" s="5">
        <f t="shared" ref="U10:W10" si="8">SUM(U6:U9)</f>
        <v>12696</v>
      </c>
      <c r="V10" s="5">
        <f t="shared" si="8"/>
        <v>340</v>
      </c>
      <c r="W10" s="5">
        <f t="shared" si="8"/>
        <v>7600</v>
      </c>
      <c r="Z10" s="114" t="s">
        <v>949</v>
      </c>
      <c r="AA10" s="114">
        <v>5</v>
      </c>
      <c r="AB10" s="118">
        <f>SUMIFS(Table3[CLM $ Collected ],Table3[BIPOC Index],AA10)+SUMIFS(Table32[CLM $ Collected ],Table32[BIPOC Index],AA10)+SUMIFS(Table8[CLM $ Collected ],Table8[BIPOC Index],AA10)+SUMIFS(Table325[CLM $ Collected ],Table325[BIPOC Index],AA10)</f>
        <v>29947864.450623535</v>
      </c>
      <c r="AC10" s="118">
        <f t="shared" si="0"/>
        <v>21.130788016900183</v>
      </c>
      <c r="AD10" s="118">
        <f>SUMIFS(Table3[Incentive Disbursements],Table3[BIPOC Index],AA10)+SUMIFS(Table32[Incentive Disbursements],Table32[BIPOC Index],AA10)+SUMIFS(Table8[Incentive Disbursements],Table8[BIPOC Index],AA10)+SUMIFS(Table325[Incentive Disbursements],Table325[BIPOC Index],AA10)</f>
        <v>20661329.088691723</v>
      </c>
      <c r="AE10" s="118">
        <f t="shared" si="1"/>
        <v>20.975383058456391</v>
      </c>
      <c r="AF10" s="118">
        <f t="shared" si="2"/>
        <v>0.99264556729642539</v>
      </c>
      <c r="AG10" s="118">
        <f>SUMIFS(Table3[Residential CLM $ Collected],Table3[BIPOC Index],AA10)+SUMIFS(Table32[Residential CLM $ Collected],Table32[BIPOC Index],AA10)+SUMIFS(Table8[Residential CLM $ Collected],Table8[BIPOC Index],AA10)+SUMIFS(Table325[Residential CLM $ Collected],Table325[BIPOC Index],AA10)</f>
        <v>10931371.939538078</v>
      </c>
      <c r="AH10" s="118">
        <f>SUMIFS(Table3[Residential Incentive Disbursements],Table3[BIPOC Index],AA10)+SUMIFS(Table32[Residential Incentive Disbursements],Table32[BIPOC Index],AA10)+SUMIFS(Table8[Residential Incentive Disbursements],Table8[BIPOC Index],AA10)+SUMIFS(Table325[Residential Incentive Disbursements],Table325[BIPOC Index],AA10)</f>
        <v>8485341.6547245458</v>
      </c>
      <c r="AI10" s="118">
        <f>SUMIFS(Table3[C&amp;I CLM $ Collected],Table3[BIPOC Index],AA10)+SUMIFS(Table32[C&amp;I CLM $ Collected],Table32[BIPOC Index],AA10)+SUMIFS(Table8[C&amp;I CLM $ Collected],Table8[BIPOC Index],AA10)+SUMIFS(Table325[C&amp;I CLM $ Collected],Table325[BIPOC Index],AA10)</f>
        <v>19016492.511085443</v>
      </c>
      <c r="AJ10" s="118">
        <f>SUMIFS(Table3[C&amp;I Incentive Disbursements],Table3[BIPOC Index],AA10)+SUMIFS(Table32[C&amp;I Incentive Disbursements],Table32[BIPOC Index],AA10)+SUMIFS(Table8[C&amp;I Incentive Disbursements],Table8[BIPOC Index],AA10)+SUMIFS(Table325[C&amp;I Incentive Disbursements],Table325[BIPOC Index],AA10)</f>
        <v>12175987.433967175</v>
      </c>
      <c r="AQ10" s="163" t="s">
        <v>946</v>
      </c>
      <c r="AR10" s="265" t="s">
        <v>933</v>
      </c>
      <c r="AS10" s="5" t="s">
        <v>929</v>
      </c>
      <c r="AT10" s="51">
        <f>SUMIFS(Table3[CLM $ Collected ],Table3[Energy Burdened?],"Yes")+SUMIFS(Table32[CLM $ Collected ],Table32[Energy Burdened?],"Yes")</f>
        <v>6813666.8984886408</v>
      </c>
      <c r="AU10" s="51">
        <f>SUMIFS(Table3[Incentive Disbursements],Table3[Energy Burdened?],"Yes")+SUMIFS(Table32[Incentive Disbursements],Table32[Energy Burdened?],"Yes")</f>
        <v>5681348.0652999999</v>
      </c>
      <c r="AW10" s="51"/>
      <c r="AZ10" t="s">
        <v>950</v>
      </c>
      <c r="BA10" t="s">
        <v>935</v>
      </c>
      <c r="BB10">
        <v>4133</v>
      </c>
      <c r="BC10" s="51">
        <f>SUMIFS(Table3236[CLM $ Collected ],Table3236[Town],"West Haven")</f>
        <v>883566.11429999955</v>
      </c>
      <c r="BD10" s="51">
        <f>SUMIFS(Table3236[Incentive Disbursements],Table3236[Town],"West Haven")</f>
        <v>501198.79219178698</v>
      </c>
      <c r="BE10">
        <f t="shared" si="6"/>
        <v>56.724537539430088</v>
      </c>
      <c r="BF10" s="51" t="s">
        <v>944</v>
      </c>
    </row>
    <row r="11" spans="2:59" x14ac:dyDescent="0.2">
      <c r="B11" s="266" t="s">
        <v>946</v>
      </c>
      <c r="C11" s="265" t="s">
        <v>928</v>
      </c>
      <c r="D11" s="5" t="s">
        <v>929</v>
      </c>
      <c r="E11" s="99">
        <f>SUMIFS(Table3[CLM $ Collected ],Table3[Distressed Tract1],"Yes")</f>
        <v>384737.82419232005</v>
      </c>
      <c r="F11" s="99">
        <f>SUMIFS(Table3[Incentive Disbursements],Table3[Distressed Tract1],"Yes")</f>
        <v>52144.1662</v>
      </c>
      <c r="G11" s="99">
        <f t="shared" si="3"/>
        <v>13.553168656985109</v>
      </c>
      <c r="H11" t="str">
        <f>IF($G$16&lt;=G11, "Yes","No")</f>
        <v>Yes</v>
      </c>
      <c r="J11" s="266"/>
      <c r="K11" s="265"/>
      <c r="L11" s="5" t="s">
        <v>937</v>
      </c>
      <c r="M11" s="99">
        <f>M10/(M10+M12)*100</f>
        <v>2.2436857363156482E-4</v>
      </c>
      <c r="N11" s="99">
        <f>N10/(N10+N12)*100</f>
        <v>0</v>
      </c>
      <c r="Z11" s="114"/>
      <c r="AA11" s="114" t="s">
        <v>951</v>
      </c>
      <c r="AB11" s="118">
        <f>SUM(AB6:AB10)</f>
        <v>141726207.40254244</v>
      </c>
      <c r="AC11" s="118"/>
      <c r="AD11" s="118">
        <f t="shared" ref="AD11:AJ11" si="9">SUM(AD6:AD10)</f>
        <v>98502749.776300013</v>
      </c>
      <c r="AE11" s="118"/>
      <c r="AF11" s="118"/>
      <c r="AG11" s="118">
        <f t="shared" si="9"/>
        <v>64890468.994043678</v>
      </c>
      <c r="AH11" s="118">
        <f t="shared" si="9"/>
        <v>45461951.226900004</v>
      </c>
      <c r="AI11" s="118">
        <f t="shared" si="9"/>
        <v>76835738.408498734</v>
      </c>
      <c r="AJ11" s="118">
        <f t="shared" si="9"/>
        <v>53040798.549399994</v>
      </c>
      <c r="AQ11" s="163"/>
      <c r="AR11" s="265"/>
      <c r="AS11" s="5" t="s">
        <v>937</v>
      </c>
      <c r="AT11" s="99">
        <f>(AT10/(AT10+AT12))*100</f>
        <v>6.0623561743260401</v>
      </c>
      <c r="AU11" s="99">
        <f>(AU10/(AU10+AU12))*100</f>
        <v>6.9581300224284739</v>
      </c>
      <c r="BA11" t="s">
        <v>939</v>
      </c>
      <c r="BB11" s="99">
        <f>(BB10/53713)*100</f>
        <v>7.6945990728501474</v>
      </c>
      <c r="BC11" s="99">
        <f>(BC10/12129793)*100</f>
        <v>7.2842637487713064</v>
      </c>
      <c r="BD11" s="99">
        <f>(BD10/8494544.29)*100</f>
        <v>5.9002434395663981</v>
      </c>
      <c r="BE11">
        <f>BC11/BB11</f>
        <v>0.94667229309884637</v>
      </c>
      <c r="BG11" s="12" t="s">
        <v>952</v>
      </c>
    </row>
    <row r="12" spans="2:59" x14ac:dyDescent="0.2">
      <c r="B12" s="266"/>
      <c r="C12" s="265"/>
      <c r="D12" s="5" t="s">
        <v>937</v>
      </c>
      <c r="E12" s="99">
        <f>E11/(E11+E13)*100</f>
        <v>0.54449824267185587</v>
      </c>
      <c r="F12" s="99">
        <f>F11/(F11+F13)*100</f>
        <v>0.11742779562353689</v>
      </c>
      <c r="J12" s="266"/>
      <c r="K12" s="265" t="s">
        <v>940</v>
      </c>
      <c r="L12" s="5" t="s">
        <v>929</v>
      </c>
      <c r="M12" s="99">
        <f>SUMIFS(Table32[CLM $ Collected ],Table32[Distressed Tract1],"No")</f>
        <v>42059467.357421435</v>
      </c>
      <c r="N12" s="99">
        <f>SUMIFS(Table32[Incentive Disbursements],Table32[Distressed Tract1],"No")</f>
        <v>37329757.104799993</v>
      </c>
      <c r="O12" s="99">
        <f t="shared" si="4"/>
        <v>88.754707204377183</v>
      </c>
      <c r="P12" t="str">
        <f t="shared" si="5"/>
        <v>Yes</v>
      </c>
      <c r="Z12" s="114"/>
      <c r="AA12" s="114"/>
      <c r="AB12" s="114"/>
      <c r="AC12" s="114"/>
      <c r="AD12" s="114"/>
      <c r="AE12" s="114"/>
      <c r="AF12" s="114"/>
      <c r="AG12" s="114"/>
      <c r="AH12" s="114"/>
      <c r="AI12" s="114"/>
      <c r="AQ12" s="163"/>
      <c r="AR12" s="5" t="s">
        <v>942</v>
      </c>
      <c r="AS12" s="5" t="s">
        <v>929</v>
      </c>
      <c r="AT12" s="51">
        <f>SUMIFS(Table3[CLM $ Collected ],Table3[Energy Burdened?],"No")+SUMIFS(Table32[CLM $ Collected ],Table32[Energy Burdened?],"No")</f>
        <v>105579381.3249791</v>
      </c>
      <c r="AU12" s="51">
        <f>SUMIFS(Table3[Incentive Disbursements],Table3[Energy Burdened?],"No")+SUMIFS(Table32[Incentive Disbursements],Table32[Energy Burdened?],"No")</f>
        <v>75969153.534799993</v>
      </c>
      <c r="AZ12" t="s">
        <v>953</v>
      </c>
      <c r="BA12" t="s">
        <v>935</v>
      </c>
      <c r="BB12">
        <v>3468</v>
      </c>
      <c r="BC12" s="51">
        <f>SUMIFS(Table3236[CLM $ Collected ],Table3236[Town],"Hamden")</f>
        <v>938887.64010000043</v>
      </c>
      <c r="BD12" s="51">
        <f>SUMIFS(Table3236[Incentive Disbursements],Table3236[Town],"Hamden")</f>
        <v>700074.15852310101</v>
      </c>
      <c r="BE12">
        <f>(BD12/BC12)*100</f>
        <v>74.564210734368217</v>
      </c>
      <c r="BF12" s="51" t="s">
        <v>936</v>
      </c>
    </row>
    <row r="13" spans="2:59" x14ac:dyDescent="0.2">
      <c r="B13" s="266"/>
      <c r="C13" s="265" t="s">
        <v>940</v>
      </c>
      <c r="D13" s="5" t="s">
        <v>929</v>
      </c>
      <c r="E13" s="99">
        <f>SUMIFS(Table3[CLM $ Collected ],Table3[Distressed Tract1],"No")</f>
        <v>70274411.10242486</v>
      </c>
      <c r="F13" s="99">
        <f>SUMIFS(Table3[Incentive Disbursements],Table3[Distressed Tract1],"No")</f>
        <v>44353156.915299967</v>
      </c>
      <c r="G13" s="99">
        <f t="shared" si="3"/>
        <v>63.114234924936326</v>
      </c>
      <c r="H13" t="str">
        <f>IF($G$16&lt;=G13, "Yes","No")</f>
        <v>Yes</v>
      </c>
      <c r="J13" s="266"/>
      <c r="K13" s="265"/>
      <c r="L13" s="5" t="s">
        <v>937</v>
      </c>
      <c r="M13" s="99">
        <f>M12/(M10+M12)*100</f>
        <v>99.999775631426374</v>
      </c>
      <c r="N13" s="99">
        <f>N12/(N10+N12)*100</f>
        <v>100</v>
      </c>
      <c r="Z13" s="114"/>
      <c r="AQ13" s="163"/>
      <c r="AR13" s="5"/>
      <c r="AS13" s="5" t="s">
        <v>937</v>
      </c>
      <c r="AT13" s="99">
        <f>(AT12/(AT12+AT10))*100</f>
        <v>93.937643825673959</v>
      </c>
      <c r="AU13" s="99">
        <f>(AU12/(AU12+AU10))*100</f>
        <v>93.041869977571523</v>
      </c>
      <c r="BA13" t="s">
        <v>939</v>
      </c>
      <c r="BB13" s="99">
        <f>(BB12/53713)*100</f>
        <v>6.4565375235045517</v>
      </c>
      <c r="BC13" s="99">
        <f>(BC12/12129793)*100</f>
        <v>7.7403434675266132</v>
      </c>
      <c r="BD13" s="99">
        <f>(BD12/8494544.29)*100</f>
        <v>8.2414563350649281</v>
      </c>
      <c r="BE13">
        <f>BD13/BC13</f>
        <v>1.0647403916429103</v>
      </c>
    </row>
    <row r="14" spans="2:59" x14ac:dyDescent="0.2">
      <c r="B14" s="266"/>
      <c r="C14" s="265"/>
      <c r="D14" s="5" t="s">
        <v>937</v>
      </c>
      <c r="E14" s="99">
        <f>E13/(E11+E13)*100</f>
        <v>99.45550175732815</v>
      </c>
      <c r="F14" s="99">
        <f>F13/(F11+F13)*100</f>
        <v>99.882572204376473</v>
      </c>
      <c r="J14" s="5" t="s">
        <v>947</v>
      </c>
      <c r="K14" s="5" t="s">
        <v>948</v>
      </c>
      <c r="L14" s="5"/>
      <c r="M14" s="99">
        <f>SUM(M6,M8,M10,M12)</f>
        <v>53612255.416760154</v>
      </c>
      <c r="N14" s="99">
        <f>SUM(N6,N8,N10,N12)</f>
        <v>42480284.464799993</v>
      </c>
      <c r="O14" s="99">
        <f t="shared" si="4"/>
        <v>79.236145046641511</v>
      </c>
      <c r="R14" s="10" t="s">
        <v>954</v>
      </c>
      <c r="S14" s="10" t="s">
        <v>955</v>
      </c>
      <c r="Z14" s="114"/>
      <c r="AQ14" s="265" t="s">
        <v>948</v>
      </c>
      <c r="AR14" s="5" t="s">
        <v>933</v>
      </c>
      <c r="AS14" s="5" t="s">
        <v>929</v>
      </c>
      <c r="AT14" s="51">
        <f>AT6+AT10</f>
        <v>11732844.962088641</v>
      </c>
      <c r="AU14" s="51">
        <f>AU6+AU10</f>
        <v>8358380.1890770849</v>
      </c>
      <c r="AZ14" t="s">
        <v>956</v>
      </c>
      <c r="BA14" t="s">
        <v>935</v>
      </c>
      <c r="BB14">
        <v>3207</v>
      </c>
      <c r="BC14" s="51">
        <f>SUMIFS(Table3236[CLM $ Collected ],Table3236[Town],"Stratford")</f>
        <v>854665.32409999997</v>
      </c>
      <c r="BD14" s="51">
        <f>SUMIFS(Table3236[Incentive Disbursements],Table3236[Town],"Stratford")</f>
        <v>480760.18335628504</v>
      </c>
      <c r="BE14">
        <f>(BD14/BC14)*100</f>
        <v>56.251279863559056</v>
      </c>
      <c r="BF14" s="51" t="s">
        <v>944</v>
      </c>
    </row>
    <row r="15" spans="2:59" x14ac:dyDescent="0.2">
      <c r="B15" s="5" t="s">
        <v>947</v>
      </c>
      <c r="C15" s="5" t="s">
        <v>948</v>
      </c>
      <c r="E15" s="99">
        <f>SUM(E11,E13)</f>
        <v>70659148.926617175</v>
      </c>
      <c r="F15" s="99">
        <f>SUM(F11,F13)</f>
        <v>44405301.081499964</v>
      </c>
      <c r="G15" s="121">
        <f t="shared" si="3"/>
        <v>62.844375790057903</v>
      </c>
      <c r="J15" t="s">
        <v>957</v>
      </c>
      <c r="O15" s="99">
        <f>O14-(O14*0.05)</f>
        <v>75.274337794309432</v>
      </c>
      <c r="R15" s="141" t="s">
        <v>908</v>
      </c>
      <c r="S15" s="141" t="s">
        <v>909</v>
      </c>
      <c r="T15" s="141" t="s">
        <v>958</v>
      </c>
      <c r="U15" s="141" t="s">
        <v>959</v>
      </c>
      <c r="V15" s="141" t="s">
        <v>907</v>
      </c>
      <c r="W15" s="141" t="s">
        <v>905</v>
      </c>
      <c r="Z15" s="114"/>
      <c r="AQ15" s="265"/>
      <c r="AR15" s="5"/>
      <c r="AS15" s="5" t="s">
        <v>937</v>
      </c>
      <c r="AT15" s="99">
        <f>(AT14/AT18)*100</f>
        <v>8.2921347104444543</v>
      </c>
      <c r="AU15" s="99">
        <f>(AU14/AU18)*100</f>
        <v>8.4898463452152289</v>
      </c>
      <c r="AV15" s="51"/>
      <c r="BA15" t="s">
        <v>939</v>
      </c>
      <c r="BB15" s="99">
        <f>(BB14/53713)*100</f>
        <v>5.9706216372200398</v>
      </c>
      <c r="BC15" s="99">
        <f>(BC14/12129793)*100</f>
        <v>7.0460009012519835</v>
      </c>
      <c r="BD15" s="99">
        <f>(BD14/8494544.29)*100</f>
        <v>5.6596347837311125</v>
      </c>
      <c r="BE15">
        <f>BD15/BC15</f>
        <v>0.80324071243383866</v>
      </c>
    </row>
    <row r="16" spans="2:59" ht="15" customHeight="1" x14ac:dyDescent="0.2">
      <c r="L16" s="5"/>
      <c r="R16" s="264" t="s">
        <v>930</v>
      </c>
      <c r="S16" s="5" t="s">
        <v>931</v>
      </c>
      <c r="T16" s="5">
        <f>SUMIFS(Table3236[CLM $ Collected ],Table3236[Distressed Tract1],"Yes")</f>
        <v>2142093.8968999996</v>
      </c>
      <c r="U16" s="5">
        <f>SUMIFS(Table3236[Incentives],Table3236[Distressed Tract1],"Yes")</f>
        <v>192124.55734047704</v>
      </c>
      <c r="V16" s="99">
        <f t="shared" ref="V16:V24" si="10">(U16/T16)*100</f>
        <v>8.9690072698734777</v>
      </c>
      <c r="W16" t="str">
        <f>IF($V$25&lt;=V16, "Yes","No")</f>
        <v>No</v>
      </c>
      <c r="AA16" t="s">
        <v>960</v>
      </c>
      <c r="AB16" t="s">
        <v>961</v>
      </c>
      <c r="AJ16" s="12" t="s">
        <v>962</v>
      </c>
      <c r="AQ16" s="265"/>
      <c r="AR16" s="140" t="s">
        <v>942</v>
      </c>
      <c r="AS16" s="5" t="s">
        <v>929</v>
      </c>
      <c r="AT16" s="51">
        <f>AT8+AT12</f>
        <v>129760815.85977909</v>
      </c>
      <c r="AU16" s="51">
        <f>AU8+AU12</f>
        <v>90093109.3810229</v>
      </c>
    </row>
    <row r="17" spans="2:57" x14ac:dyDescent="0.2">
      <c r="B17" s="10" t="s">
        <v>963</v>
      </c>
      <c r="C17" s="10" t="s">
        <v>964</v>
      </c>
      <c r="J17" s="10" t="s">
        <v>965</v>
      </c>
      <c r="K17" s="10" t="s">
        <v>966</v>
      </c>
      <c r="L17" s="5"/>
      <c r="R17" s="264"/>
      <c r="S17" s="5" t="s">
        <v>3887</v>
      </c>
      <c r="T17" s="5">
        <f>T16/(T16+T18)*100</f>
        <v>17.65977299944775</v>
      </c>
      <c r="U17" s="5">
        <f>U16/(U16+U18)*100</f>
        <v>5.3935956130164655</v>
      </c>
      <c r="V17" s="99"/>
      <c r="AB17" s="258" t="s">
        <v>967</v>
      </c>
      <c r="AC17" s="258"/>
      <c r="AD17" s="258"/>
      <c r="AE17" s="258"/>
      <c r="AF17" s="259" t="s">
        <v>968</v>
      </c>
      <c r="AG17" s="259"/>
      <c r="AH17" s="260" t="s">
        <v>969</v>
      </c>
      <c r="AI17" s="260"/>
      <c r="AJ17" s="262" t="s">
        <v>970</v>
      </c>
      <c r="AK17" s="262"/>
      <c r="AQ17" s="265"/>
      <c r="AR17" s="140"/>
      <c r="AS17" s="5" t="s">
        <v>937</v>
      </c>
      <c r="AT17" s="99">
        <f>(AT16/AT18)*100</f>
        <v>91.707865289555542</v>
      </c>
      <c r="AU17" s="99">
        <f>(AU16/AU18)*100</f>
        <v>91.510153654784773</v>
      </c>
    </row>
    <row r="18" spans="2:57" ht="48" x14ac:dyDescent="0.2">
      <c r="B18" s="263" t="s">
        <v>971</v>
      </c>
      <c r="C18" s="263"/>
      <c r="D18" s="263"/>
      <c r="E18" s="131" t="s">
        <v>902</v>
      </c>
      <c r="F18" s="134" t="s">
        <v>903</v>
      </c>
      <c r="G18" s="133" t="s">
        <v>907</v>
      </c>
      <c r="H18" s="141" t="s">
        <v>905</v>
      </c>
      <c r="J18" s="263" t="s">
        <v>972</v>
      </c>
      <c r="K18" s="263"/>
      <c r="L18" s="263"/>
      <c r="M18" s="131" t="s">
        <v>902</v>
      </c>
      <c r="N18" s="134" t="s">
        <v>903</v>
      </c>
      <c r="O18" s="133" t="s">
        <v>907</v>
      </c>
      <c r="P18" s="141" t="s">
        <v>905</v>
      </c>
      <c r="R18" s="162"/>
      <c r="S18" s="5" t="s">
        <v>938</v>
      </c>
      <c r="T18" s="5">
        <f>SUMIFS(Table3236[CLM $ Collected ],Table3236[Distressed Tract1],"No")</f>
        <v>9987699.0339999981</v>
      </c>
      <c r="U18" s="5">
        <f>SUMIFS(Table3236[Incentives],Table3236[Distressed Tract1],"No")</f>
        <v>3369962.2419890692</v>
      </c>
      <c r="V18" s="99">
        <f t="shared" si="10"/>
        <v>33.741127265820552</v>
      </c>
      <c r="W18" t="str">
        <f>IF($V$25&lt;=V18, "Yes","No")</f>
        <v>Yes</v>
      </c>
      <c r="AA18" s="135" t="s">
        <v>914</v>
      </c>
      <c r="AB18" s="135" t="s">
        <v>915</v>
      </c>
      <c r="AC18" s="135" t="s">
        <v>973</v>
      </c>
      <c r="AD18" s="135" t="s">
        <v>917</v>
      </c>
      <c r="AE18" s="135" t="s">
        <v>973</v>
      </c>
      <c r="AF18" s="136" t="s">
        <v>974</v>
      </c>
      <c r="AG18" s="136" t="s">
        <v>973</v>
      </c>
      <c r="AI18" s="136" t="s">
        <v>975</v>
      </c>
      <c r="AJ18" s="136" t="s">
        <v>973</v>
      </c>
      <c r="AL18" s="136" t="s">
        <v>970</v>
      </c>
      <c r="AM18" s="136" t="s">
        <v>976</v>
      </c>
      <c r="AQ18" s="5" t="s">
        <v>947</v>
      </c>
      <c r="AR18" s="5" t="s">
        <v>977</v>
      </c>
      <c r="AS18" s="5" t="s">
        <v>929</v>
      </c>
      <c r="AT18" s="147">
        <f>AT14+AT16</f>
        <v>141493660.82186773</v>
      </c>
      <c r="AU18" s="147">
        <f>AU14+AU16</f>
        <v>98451489.57009998</v>
      </c>
      <c r="AY18" s="261" t="s">
        <v>978</v>
      </c>
      <c r="AZ18" s="261"/>
      <c r="BA18" s="143" t="s">
        <v>924</v>
      </c>
      <c r="BB18" s="144" t="s">
        <v>925</v>
      </c>
      <c r="BC18" s="143" t="s">
        <v>926</v>
      </c>
      <c r="BD18" s="144" t="s">
        <v>907</v>
      </c>
      <c r="BE18" s="144" t="s">
        <v>905</v>
      </c>
    </row>
    <row r="19" spans="2:57" x14ac:dyDescent="0.2">
      <c r="B19" s="264" t="s">
        <v>927</v>
      </c>
      <c r="C19" s="265" t="s">
        <v>928</v>
      </c>
      <c r="D19" s="5" t="s">
        <v>929</v>
      </c>
      <c r="E19" s="99">
        <f>SUMIFS(Table8[Residential CLM $ Collected],Table8[Distressed Tract1],"Yes")</f>
        <v>2142093.8968999996</v>
      </c>
      <c r="F19" s="99">
        <f>SUMIFS(Table8[Residential Incentive Disbursements],Table8[Distressed Tract1],"Yes")</f>
        <v>1613575.9093120208</v>
      </c>
      <c r="G19" s="99">
        <f>(F19/E19)*100</f>
        <v>75.327039195021257</v>
      </c>
      <c r="H19" t="str">
        <f>IF($G$28&lt;=G19, "Yes","No")</f>
        <v>Yes</v>
      </c>
      <c r="J19" s="264" t="s">
        <v>927</v>
      </c>
      <c r="K19" s="265" t="s">
        <v>928</v>
      </c>
      <c r="L19" s="5" t="s">
        <v>929</v>
      </c>
      <c r="M19" s="99">
        <f>SUMIFS(Table325[Residential CLM $ Collected],Table325[Distressed Tract1],"Yes")</f>
        <v>101423.4553</v>
      </c>
      <c r="N19" s="99">
        <f>SUMIFS(Table325[Residential Incentive Disbursements],Table325[Distressed Tract1],"Yes")</f>
        <v>0</v>
      </c>
      <c r="O19" s="99">
        <f>(N19/M19)*100</f>
        <v>0</v>
      </c>
      <c r="P19" t="str">
        <f>IF($O$28&lt;=O19, "Yes","No")</f>
        <v>No</v>
      </c>
      <c r="R19" s="162"/>
      <c r="S19" s="5" t="s">
        <v>3887</v>
      </c>
      <c r="T19" s="5">
        <f>T18/(T18+T16)*100</f>
        <v>82.340227000552247</v>
      </c>
      <c r="U19" s="5">
        <f>U18/(U18+U16)*100</f>
        <v>94.606404386983527</v>
      </c>
      <c r="V19" s="99"/>
      <c r="AA19" s="114">
        <v>1</v>
      </c>
      <c r="AB19" s="129">
        <f>SUMIFS(Table323[CLM $ Collected ],Table323[BIPOC Index],AA19)+SUMIFS(Table3236[CLM $ Collected ],Table3236[BIPOC Index],AA19)</f>
        <v>11080871.434542073</v>
      </c>
      <c r="AC19" s="129">
        <f>(AB19/$AB$24)*100</f>
        <v>17.117232006549813</v>
      </c>
      <c r="AD19" s="129">
        <f>SUMIFS(Table323[Incentive Disbursements],Table323[BIPOC Index],AA19)+SUMIFS(Table3236[Incentive Disbursements],Table3236[BIPOC Index],AA19)</f>
        <v>8838849.4225696512</v>
      </c>
      <c r="AE19" s="129">
        <f>(AD19/$AD$24)*100</f>
        <v>19.44264318880596</v>
      </c>
      <c r="AF19" s="129">
        <f>SUMIFS(Table323[Incentives],Table323[BIPOC Index],AA19)+SUMIFS(Table3236[Incentives],Table3236[BIPOC Index],AA19)</f>
        <v>2474230.1261108532</v>
      </c>
      <c r="AG19" s="129">
        <f>(AF19/$AF$24)*100</f>
        <v>18.717030130549478</v>
      </c>
      <c r="AH19">
        <f>AG19/AC19</f>
        <v>1.0934612630936773</v>
      </c>
      <c r="AI19" s="129">
        <f>SUMIFS(Table323[[Incentives ]],Table323[BIPOC Index],AA19)+SUMIFS(Table3236[[Incentives ]],Table3236[BIPOC Index],AA19)</f>
        <v>3864922.4508587993</v>
      </c>
      <c r="AJ19" s="129">
        <f>(AI19/$AI$24)*100</f>
        <v>22.113532696610587</v>
      </c>
      <c r="AK19">
        <f>AJ19/AC19</f>
        <v>1.2918871864416495</v>
      </c>
      <c r="AL19" s="13">
        <f>SUMIFS(Table323[Total Units],Table323[BIPOC Index],AA19)+SUMIFS(Table3236[Total Units],Table3236[BIPOC Index],AA19)</f>
        <v>3130</v>
      </c>
      <c r="AM19" s="99">
        <f>(AL19/$AL$24)*100</f>
        <v>15.177229307084323</v>
      </c>
      <c r="AY19" t="s">
        <v>979</v>
      </c>
      <c r="AZ19" t="s">
        <v>935</v>
      </c>
      <c r="BA19">
        <v>10445</v>
      </c>
      <c r="BB19" s="51">
        <f>SUMIFS(Table323[CLM $ Collected ],Table323[Town],"Hartford")</f>
        <v>1306725.1446988806</v>
      </c>
      <c r="BC19" s="51">
        <f>SUMIFS(Table323[Incentive Disbursements],Table323[Town],"Hartford")</f>
        <v>2063866.1880999997</v>
      </c>
      <c r="BD19">
        <f>(BC19/BB19)*100</f>
        <v>157.94187449998088</v>
      </c>
      <c r="BE19" t="s">
        <v>936</v>
      </c>
    </row>
    <row r="20" spans="2:57" ht="16" x14ac:dyDescent="0.2">
      <c r="B20" s="264"/>
      <c r="C20" s="265"/>
      <c r="D20" s="5" t="s">
        <v>937</v>
      </c>
      <c r="E20" s="99">
        <f>E19/(E19+E21)*100</f>
        <v>17.65977299944775</v>
      </c>
      <c r="F20" s="99">
        <f>F19/(F19+F21)*100</f>
        <v>18.995438180380841</v>
      </c>
      <c r="J20" s="264"/>
      <c r="K20" s="265"/>
      <c r="L20" s="5" t="s">
        <v>937</v>
      </c>
      <c r="M20" s="99">
        <f>M19/(M19+M21)*100</f>
        <v>65.313875148882005</v>
      </c>
      <c r="N20" s="99">
        <f>N19/(N19+N21)*100</f>
        <v>0</v>
      </c>
      <c r="R20" s="266" t="s">
        <v>941</v>
      </c>
      <c r="S20" s="5" t="s">
        <v>931</v>
      </c>
      <c r="T20" s="5">
        <f>SUMIFS(Table323[CLM $ Collected ],Table323[Distressed Tract1],"Yes")</f>
        <v>384701.87284992012</v>
      </c>
      <c r="U20" s="5">
        <f>SUMIFS(Table323[Incentives],Table323[Distressed Tract1],"Yes")</f>
        <v>4462.5061999999998</v>
      </c>
      <c r="V20" s="99">
        <f t="shared" si="10"/>
        <v>1.1599907655611836</v>
      </c>
      <c r="W20" t="str">
        <f>IF($V$25&lt;=V20, "Yes","No")</f>
        <v>No</v>
      </c>
      <c r="AA20" s="114">
        <v>2</v>
      </c>
      <c r="AB20" s="129">
        <f>SUMIFS(Table323[CLM $ Collected ],Table323[BIPOC Index],AA20)+SUMIFS(Table3236[CLM $ Collected ],Table3236[BIPOC Index],AA20)</f>
        <v>12863153.69866576</v>
      </c>
      <c r="AC20" s="129">
        <f t="shared" ref="AC20:AC23" si="11">(AB20/$AB$24)*100</f>
        <v>19.870421518438125</v>
      </c>
      <c r="AD20" s="129">
        <f>SUMIFS(Table323[Incentive Disbursements],Table323[BIPOC Index],AA20)+SUMIFS(Table3236[Incentive Disbursements],Table3236[BIPOC Index],AA20)</f>
        <v>7600032.1131966421</v>
      </c>
      <c r="AE20" s="129">
        <f t="shared" ref="AE20:AE23" si="12">(AD20/$AD$24)*100</f>
        <v>16.717641124537991</v>
      </c>
      <c r="AF20" s="129">
        <f>SUMIFS(Table323[Incentives],Table323[BIPOC Index],AA20)+SUMIFS(Table3236[Incentives],Table3236[BIPOC Index],AA20)</f>
        <v>2786377.7476990214</v>
      </c>
      <c r="AG20" s="129">
        <f t="shared" ref="AG20:AG23" si="13">(AF20/$AF$24)*100</f>
        <v>21.07836118734518</v>
      </c>
      <c r="AH20">
        <f t="shared" ref="AH20:AH23" si="14">AG20/AC20</f>
        <v>1.0607908426998485</v>
      </c>
      <c r="AI20" s="129">
        <f>SUMIFS(Table323[[Incentives ]],Table323[BIPOC Index],AA20)+SUMIFS(Table3236[[Incentives ]],Table3236[BIPOC Index],AA20)</f>
        <v>1816179.7598976183</v>
      </c>
      <c r="AJ20" s="129">
        <f>(AI20/$AI$24)*100</f>
        <v>10.391450543721563</v>
      </c>
      <c r="AK20">
        <f t="shared" ref="AK20:AK23" si="15">AJ20/AC20</f>
        <v>0.52296075018233246</v>
      </c>
      <c r="AL20" s="13">
        <f>SUMIFS(Table323[Total Units],Table323[BIPOC Index],AA20)+SUMIFS(Table3236[Total Units],Table3236[BIPOC Index],AA20)</f>
        <v>3178</v>
      </c>
      <c r="AM20" s="99">
        <f>(AL20/$AL$24)*100</f>
        <v>15.409979149493283</v>
      </c>
      <c r="AP20" t="s">
        <v>894</v>
      </c>
      <c r="AQ20" s="119" t="s">
        <v>980</v>
      </c>
      <c r="AZ20" t="s">
        <v>939</v>
      </c>
      <c r="BA20" s="99">
        <f>(BA19/77814)*100</f>
        <v>13.423034415400828</v>
      </c>
      <c r="BB20" s="154">
        <f>(BB19/52682522.8472697)*100</f>
        <v>2.4803769335177206</v>
      </c>
      <c r="BC20" s="154">
        <f>(BC19/36999853.3169)*100</f>
        <v>5.5780388382169912</v>
      </c>
      <c r="BD20">
        <f>BC20/BB20</f>
        <v>2.2488674051270521</v>
      </c>
    </row>
    <row r="21" spans="2:57" x14ac:dyDescent="0.2">
      <c r="B21" s="264"/>
      <c r="C21" s="265" t="s">
        <v>940</v>
      </c>
      <c r="D21" s="5" t="s">
        <v>929</v>
      </c>
      <c r="E21" s="99">
        <f>SUMIFS(Table8[Residential CLM $ Collected],Table8[Distressed Tract1],"No")</f>
        <v>9987699.0339999981</v>
      </c>
      <c r="F21" s="99">
        <f>SUMIFS(Table8[Residential Incentive Disbursements],Table8[Distressed Tract1],"No")</f>
        <v>6880968.38068798</v>
      </c>
      <c r="G21" s="99">
        <f t="shared" ref="G21:G27" si="16">(F21/E21)*100</f>
        <v>68.894430611734251</v>
      </c>
      <c r="H21" t="str">
        <f>IF($G$28&lt;=G21, "Yes","No")</f>
        <v>Yes</v>
      </c>
      <c r="J21" s="264"/>
      <c r="K21" s="265" t="s">
        <v>940</v>
      </c>
      <c r="L21" s="5" t="s">
        <v>929</v>
      </c>
      <c r="M21" s="99">
        <f>SUMIFS(Table325[Residential CLM $ Collected],Table325[Distressed Tract1],"No")</f>
        <v>53862.776099999995</v>
      </c>
      <c r="N21" s="99">
        <f>SUMIFS(Table325[Residential Incentive Disbursements],Table325[Distressed Tract1],"No")</f>
        <v>800</v>
      </c>
      <c r="O21" s="99">
        <f t="shared" ref="O21:O27" si="17">(N21/M21)*100</f>
        <v>1.4852557887375584</v>
      </c>
      <c r="P21" t="str">
        <f t="shared" ref="P21:P25" si="18">IF($O$28&lt;=O21, "Yes","No")</f>
        <v>Yes</v>
      </c>
      <c r="R21" s="266"/>
      <c r="S21" s="5" t="s">
        <v>3887</v>
      </c>
      <c r="T21" s="5">
        <f>T20/(T20+T22)*100</f>
        <v>0.73022674704701873</v>
      </c>
      <c r="U21" s="5">
        <f>U20/(U20+U22)*100</f>
        <v>4.6166392536005407E-2</v>
      </c>
      <c r="V21" s="99"/>
      <c r="AA21" s="114">
        <v>3</v>
      </c>
      <c r="AB21" s="129">
        <f>SUMIFS(Table323[CLM $ Collected ],Table323[BIPOC Index],AA21)+SUMIFS(Table3236[CLM $ Collected ],Table3236[BIPOC Index],AA21)</f>
        <v>15285214.505451357</v>
      </c>
      <c r="AC21" s="129">
        <f t="shared" si="11"/>
        <v>23.61191215919057</v>
      </c>
      <c r="AD21" s="129">
        <f>SUMIFS(Table323[Incentive Disbursements],Table323[BIPOC Index],AA21)+SUMIFS(Table3236[Incentive Disbursements],Table3236[BIPOC Index],AA21)</f>
        <v>9659765.6436721534</v>
      </c>
      <c r="AE21" s="129">
        <f t="shared" si="12"/>
        <v>21.248396450542003</v>
      </c>
      <c r="AF21" s="129">
        <f>SUMIFS(Table323[Incentives],Table323[BIPOC Index],AA21)+SUMIFS(Table3236[Incentives],Table3236[BIPOC Index],AA21)</f>
        <v>3468758.7158020213</v>
      </c>
      <c r="AG21" s="129">
        <f t="shared" si="13"/>
        <v>26.24042958418158</v>
      </c>
      <c r="AH21">
        <f t="shared" si="14"/>
        <v>1.1113216671004724</v>
      </c>
      <c r="AI21" s="129">
        <f>SUMIFS(Table323[[Incentives ]],Table323[BIPOC Index],AA21)+SUMIFS(Table3236[[Incentives ]],Table3236[BIPOC Index],AA21)</f>
        <v>3115205.0809701262</v>
      </c>
      <c r="AJ21" s="129">
        <f>(AI21/$AI$24)*100</f>
        <v>17.823951266958311</v>
      </c>
      <c r="AK21">
        <f t="shared" si="15"/>
        <v>0.75487114922289822</v>
      </c>
      <c r="AL21" s="13">
        <f>SUMIFS(Table323[Total Units],Table323[BIPOC Index],AA21)+SUMIFS(Table3236[Total Units],Table3236[BIPOC Index],AA21)</f>
        <v>5540</v>
      </c>
      <c r="AM21" s="99">
        <f>(AL21/$AL$24)*100</f>
        <v>26.863210978034235</v>
      </c>
      <c r="AY21" t="s">
        <v>982</v>
      </c>
      <c r="AZ21" t="s">
        <v>935</v>
      </c>
      <c r="BA21">
        <v>8219</v>
      </c>
      <c r="BB21" s="51">
        <f>SUMIFS(Table323[CLM $ Collected ],Table323[Town],"Waterbury")</f>
        <v>1845386.6902617598</v>
      </c>
      <c r="BC21" s="51">
        <f>SUMIFS(Table323[Incentive Disbursements],Table323[Town],"Waterbury")</f>
        <v>2425063.2431000001</v>
      </c>
      <c r="BD21">
        <f t="shared" ref="BD21:BD27" si="19">(BC21/BB21)*100</f>
        <v>131.41219972471004</v>
      </c>
      <c r="BE21" t="s">
        <v>936</v>
      </c>
    </row>
    <row r="22" spans="2:57" x14ac:dyDescent="0.2">
      <c r="B22" s="264"/>
      <c r="C22" s="265"/>
      <c r="D22" s="5" t="s">
        <v>937</v>
      </c>
      <c r="E22" s="99">
        <f>E21/(E21+E19)*100</f>
        <v>82.340227000552247</v>
      </c>
      <c r="F22" s="99">
        <f>F21/(F21+F19)*100</f>
        <v>81.004561819619155</v>
      </c>
      <c r="J22" s="264"/>
      <c r="K22" s="265"/>
      <c r="L22" s="5" t="s">
        <v>937</v>
      </c>
      <c r="M22" s="99">
        <f>M21/(M21+M19)*100</f>
        <v>34.686124851118002</v>
      </c>
      <c r="N22" s="99">
        <f>N21/(N21+N19)*100</f>
        <v>100</v>
      </c>
      <c r="R22" s="163"/>
      <c r="S22" s="5" t="s">
        <v>938</v>
      </c>
      <c r="T22" s="5">
        <f>SUMIFS(Table323[CLM $ Collected ],Table323[Distressed Tract1],"No")</f>
        <v>52297820.974419802</v>
      </c>
      <c r="U22" s="5">
        <f>SUMIFS(Table323[Incentives],Table323[Distressed Tract1],"No")</f>
        <v>9661673.3014000151</v>
      </c>
      <c r="V22" s="99">
        <f t="shared" si="10"/>
        <v>18.47433243179632</v>
      </c>
      <c r="W22" t="str">
        <f>IF($V$25&lt;=V22, "Yes","No")</f>
        <v>No</v>
      </c>
      <c r="AA22" s="114">
        <v>4</v>
      </c>
      <c r="AB22" s="129">
        <f>SUMIFS(Table323[CLM $ Collected ],Table323[BIPOC Index],AA22)+SUMIFS(Table3236[CLM $ Collected ],Table3236[BIPOC Index],AA22)</f>
        <v>14633641.970209444</v>
      </c>
      <c r="AC22" s="129">
        <f t="shared" si="11"/>
        <v>22.605392200835634</v>
      </c>
      <c r="AD22" s="129">
        <f>SUMIFS(Table323[Incentive Disbursements],Table323[BIPOC Index],AA22)+SUMIFS(Table3236[Incentive Disbursements],Table3236[BIPOC Index],AA22)</f>
        <v>10848643.62983701</v>
      </c>
      <c r="AE22" s="129">
        <f t="shared" si="12"/>
        <v>23.863547968001555</v>
      </c>
      <c r="AF22" s="129">
        <f>SUMIFS(Table323[Incentives],Table323[BIPOC Index],AA22)+SUMIFS(Table3236[Incentives],Table3236[BIPOC Index],AA22)</f>
        <v>2602560.7888723654</v>
      </c>
      <c r="AG22" s="129">
        <f t="shared" si="13"/>
        <v>19.687824583430938</v>
      </c>
      <c r="AH22">
        <f t="shared" si="14"/>
        <v>0.87093488175370626</v>
      </c>
      <c r="AI22" s="129">
        <f>SUMIFS(Table323[[Incentives ]],Table323[BIPOC Index],AA22)+SUMIFS(Table3236[[Incentives ]],Table3236[BIPOC Index],AA22)</f>
        <v>4556598.9283646503</v>
      </c>
      <c r="AJ22" s="129">
        <f>(AI22/$AI$24)*100</f>
        <v>26.071027470510483</v>
      </c>
      <c r="AK22">
        <f t="shared" si="15"/>
        <v>1.1533101146348055</v>
      </c>
      <c r="AL22" s="13">
        <f>SUMIFS(Table323[Total Units],Table323[BIPOC Index],AA22)+SUMIFS(Table3236[Total Units],Table3236[BIPOC Index],AA22)</f>
        <v>4552</v>
      </c>
      <c r="AM22" s="99">
        <f>(AL22/$AL$24)*100</f>
        <v>22.072443388449788</v>
      </c>
      <c r="AZ22" t="s">
        <v>939</v>
      </c>
      <c r="BA22" s="99">
        <f>(BA21/77814)*100</f>
        <v>10.562366669236898</v>
      </c>
      <c r="BB22" s="154">
        <f>(BB21/52682522.8472697)*100</f>
        <v>3.502844189166233</v>
      </c>
      <c r="BC22" s="154">
        <f>(BC21/36999853.3169)*100</f>
        <v>6.5542509650770198</v>
      </c>
      <c r="BD22">
        <f>BC22/BB22</f>
        <v>1.8711226109766248</v>
      </c>
    </row>
    <row r="23" spans="2:57" ht="48" x14ac:dyDescent="0.2">
      <c r="B23" s="266" t="s">
        <v>946</v>
      </c>
      <c r="C23" s="265" t="s">
        <v>928</v>
      </c>
      <c r="D23" s="5" t="s">
        <v>929</v>
      </c>
      <c r="E23" s="99">
        <f>SUMIFS(Table3[Residential CLM $ Collected],Table3[Distressed Tract1],"Yes")</f>
        <v>384701.87284992012</v>
      </c>
      <c r="F23" s="99">
        <f>SUMIFS(Table3[Residential Incentive Disbursements],Table3[Distressed Tract1],"Yes")</f>
        <v>52144.1662</v>
      </c>
      <c r="G23" s="99">
        <f t="shared" si="16"/>
        <v>13.554435234148828</v>
      </c>
      <c r="H23" t="str">
        <f>IF($G$28&lt;=G23, "Yes","No")</f>
        <v>No</v>
      </c>
      <c r="J23" s="266" t="s">
        <v>946</v>
      </c>
      <c r="K23" s="265" t="s">
        <v>928</v>
      </c>
      <c r="L23" s="5" t="s">
        <v>929</v>
      </c>
      <c r="M23" s="99">
        <f>SUMIFS(Table32[Residential CLM $ Collected],Table32[Distressed Tract1],"Yes")</f>
        <v>0</v>
      </c>
      <c r="N23" s="99">
        <f>SUMIFS(Table32[Residential Incentive Disbursements],Table32[Distressed Tract1],"Yes")</f>
        <v>0</v>
      </c>
      <c r="O23" s="99" t="e">
        <f t="shared" si="17"/>
        <v>#DIV/0!</v>
      </c>
      <c r="P23" t="e">
        <f t="shared" si="18"/>
        <v>#DIV/0!</v>
      </c>
      <c r="R23" s="163"/>
      <c r="S23" s="5" t="s">
        <v>3887</v>
      </c>
      <c r="T23" s="5">
        <f>T22/(T22+T20)*100</f>
        <v>99.269773252952987</v>
      </c>
      <c r="U23" s="5">
        <f>U22/(U22+U20)*100</f>
        <v>99.953833607463991</v>
      </c>
      <c r="V23" s="99"/>
      <c r="AA23" s="114">
        <v>5</v>
      </c>
      <c r="AB23" s="129">
        <f>SUMIFS(Table323[CLM $ Collected ],Table323[BIPOC Index],AA23)+SUMIFS(Table3236[CLM $ Collected ],Table3236[BIPOC Index],AA23)</f>
        <v>10872301.219184637</v>
      </c>
      <c r="AC23" s="129">
        <f t="shared" si="11"/>
        <v>16.795042114985854</v>
      </c>
      <c r="AD23" s="129">
        <f>SUMIFS(Table323[Incentive Disbursements],Table323[BIPOC Index],AA23)+SUMIFS(Table3236[Incentive Disbursements],Table3236[BIPOC Index],AA23)</f>
        <v>8513860.4176245481</v>
      </c>
      <c r="AE23" s="129">
        <f t="shared" si="12"/>
        <v>18.727771268112491</v>
      </c>
      <c r="AF23" s="129">
        <f>SUMIFS(Table323[Incentives],Table323[BIPOC Index],AA23)+SUMIFS(Table3236[Incentives],Table3236[BIPOC Index],AA23)</f>
        <v>1887211.068445283</v>
      </c>
      <c r="AG23" s="129">
        <f t="shared" si="13"/>
        <v>14.276354514492828</v>
      </c>
      <c r="AH23">
        <f t="shared" si="14"/>
        <v>0.85003386218093169</v>
      </c>
      <c r="AI23" s="129">
        <f>SUMIFS(Table323[[Incentives ]],Table323[BIPOC Index],AA23)+SUMIFS(Table3236[[Incentives ]],Table3236[BIPOC Index],AA23)</f>
        <v>4124728.4205792639</v>
      </c>
      <c r="AJ23" s="129">
        <f>(AI23/$AI$24)*100</f>
        <v>23.600038022199072</v>
      </c>
      <c r="AK23">
        <f t="shared" si="15"/>
        <v>1.4051788534153937</v>
      </c>
      <c r="AL23" s="13">
        <f>SUMIFS(Table323[Total Units],Table323[BIPOC Index],AA23)+SUMIFS(Table3236[Total Units],Table3236[BIPOC Index],AA23)</f>
        <v>4223</v>
      </c>
      <c r="AM23" s="99">
        <f>(AL23/$AL$24)*100</f>
        <v>20.477137176938371</v>
      </c>
      <c r="AP23" s="139" t="s">
        <v>983</v>
      </c>
      <c r="AQ23" s="137"/>
      <c r="AR23" s="137"/>
      <c r="AS23" s="131" t="s">
        <v>902</v>
      </c>
      <c r="AT23" s="132" t="s">
        <v>903</v>
      </c>
      <c r="AU23" s="138" t="s">
        <v>984</v>
      </c>
      <c r="AY23" t="s">
        <v>985</v>
      </c>
      <c r="AZ23" t="s">
        <v>935</v>
      </c>
      <c r="BA23">
        <v>4786</v>
      </c>
      <c r="BB23" s="51">
        <f>SUMIFS(Table323[CLM $ Collected ],Table323[Town],"New Britain")</f>
        <v>901771.47806400014</v>
      </c>
      <c r="BC23" s="51">
        <f>SUMIFS(Table323[Incentive Disbursements],Table323[Town],"New Britain")</f>
        <v>752561.01059999992</v>
      </c>
      <c r="BD23">
        <f t="shared" si="19"/>
        <v>83.453627543827622</v>
      </c>
      <c r="BE23" t="s">
        <v>936</v>
      </c>
    </row>
    <row r="24" spans="2:57" x14ac:dyDescent="0.2">
      <c r="B24" s="266"/>
      <c r="C24" s="265"/>
      <c r="D24" s="5" t="s">
        <v>937</v>
      </c>
      <c r="E24" s="99">
        <f>E23/(E23+E25)*100</f>
        <v>0.73095844791820919</v>
      </c>
      <c r="F24" s="99">
        <f>F23/(F23+F25)*100</f>
        <v>0.14093073762587785</v>
      </c>
      <c r="J24" s="266"/>
      <c r="K24" s="265"/>
      <c r="L24" s="5" t="s">
        <v>937</v>
      </c>
      <c r="M24" s="99">
        <f>M23/(M23+M25)*100</f>
        <v>0</v>
      </c>
      <c r="N24" s="99" t="e">
        <f>N23/(N23+N25)*100</f>
        <v>#DIV/0!</v>
      </c>
      <c r="R24" t="s">
        <v>947</v>
      </c>
      <c r="S24" s="5" t="s">
        <v>948</v>
      </c>
      <c r="T24">
        <f>SUM(T16,T18,T20,T22)</f>
        <v>64812315.778169721</v>
      </c>
      <c r="U24">
        <f>SUM(U16,U18,U20,U22)</f>
        <v>13228222.606929561</v>
      </c>
      <c r="V24" s="99">
        <f t="shared" si="10"/>
        <v>20.41004467762766</v>
      </c>
      <c r="AA24" t="s">
        <v>951</v>
      </c>
      <c r="AB24" s="99">
        <f>SUM(AB19:AB23)</f>
        <v>64735182.828053273</v>
      </c>
      <c r="AC24" s="99"/>
      <c r="AD24" s="99">
        <f t="shared" ref="AD24:AI24" si="20">SUM(AD19:AD23)</f>
        <v>45461151.226900004</v>
      </c>
      <c r="AE24" s="99"/>
      <c r="AF24" s="99">
        <f t="shared" si="20"/>
        <v>13219138.446929544</v>
      </c>
      <c r="AG24" s="99"/>
      <c r="AI24" s="99">
        <f t="shared" si="20"/>
        <v>17477634.640670456</v>
      </c>
      <c r="AJ24" s="99"/>
      <c r="AL24" s="99">
        <f t="shared" ref="AL24" si="21">SUM(AL19:AL23)</f>
        <v>20623</v>
      </c>
      <c r="AP24" s="162" t="s">
        <v>927</v>
      </c>
      <c r="AQ24" s="130" t="s">
        <v>933</v>
      </c>
      <c r="AR24" s="5" t="s">
        <v>929</v>
      </c>
      <c r="AS24" s="99">
        <f>SUMIFS(Table3236[CLM $ Collected ],Table3236[Energy Burdened?],"Yes")</f>
        <v>1534129.7640999996</v>
      </c>
      <c r="AT24" s="99">
        <f>SUMIFS(Table3236[Incentives],Table3236[Energy Burdened?],"Yes")</f>
        <v>111940.49781947002</v>
      </c>
      <c r="AU24">
        <f>SUMIFS(Table3236[Total Units],Table3236[Energy Burdened?],"Yes")</f>
        <v>138</v>
      </c>
      <c r="AZ24" t="s">
        <v>939</v>
      </c>
      <c r="BA24" s="99">
        <f>(BA23/77814)*100</f>
        <v>6.1505641658313417</v>
      </c>
      <c r="BB24" s="154">
        <f>(BB23/52682522.8472697)*100</f>
        <v>1.7117089868271846</v>
      </c>
      <c r="BC24" s="154">
        <f>(BC23/36999853.3169)*100</f>
        <v>2.0339567407318917</v>
      </c>
      <c r="BD24">
        <f>BC24/BB24</f>
        <v>1.1882608296063362</v>
      </c>
    </row>
    <row r="25" spans="2:57" x14ac:dyDescent="0.2">
      <c r="B25" s="266"/>
      <c r="C25" s="265" t="s">
        <v>940</v>
      </c>
      <c r="D25" s="5" t="s">
        <v>929</v>
      </c>
      <c r="E25" s="99">
        <f>SUMIFS(Table3[Residential CLM $ Collected],Table3[Distressed Tract1],"No")</f>
        <v>52245084.942742981</v>
      </c>
      <c r="F25" s="99">
        <f>SUMIFS(Table3[Residential Incentive Disbursements],Table3[Distressed Tract1],"No")</f>
        <v>36947709.150700003</v>
      </c>
      <c r="G25" s="99">
        <f t="shared" si="16"/>
        <v>70.719971440743464</v>
      </c>
      <c r="H25" t="str">
        <f>IF($G$28&lt;=G25, "Yes","No")</f>
        <v>Yes</v>
      </c>
      <c r="J25" s="266"/>
      <c r="K25" s="265" t="s">
        <v>940</v>
      </c>
      <c r="L25" s="5" t="s">
        <v>929</v>
      </c>
      <c r="M25" s="99">
        <f>SUMIFS(Table32[Residential CLM $ Collected],Table32[Distressed Tract1],"No")</f>
        <v>52735.964530559999</v>
      </c>
      <c r="N25" s="99">
        <f>SUMIFS(Table32[Residential Incentive Disbursements],Table32[Distressed Tract1],"No")</f>
        <v>0</v>
      </c>
      <c r="O25" s="99">
        <f t="shared" si="17"/>
        <v>0</v>
      </c>
      <c r="P25" t="str">
        <f t="shared" si="18"/>
        <v>No</v>
      </c>
      <c r="R25" t="s">
        <v>981</v>
      </c>
      <c r="V25" s="99">
        <f>V24-(V24*0.05)</f>
        <v>19.389542443746276</v>
      </c>
      <c r="AP25" s="162"/>
      <c r="AQ25" s="130"/>
      <c r="AR25" s="5" t="s">
        <v>937</v>
      </c>
      <c r="AS25" s="99">
        <f>(AS24/(AS24+AS26))*100</f>
        <v>12.647617093214233</v>
      </c>
      <c r="AT25" s="99">
        <f>(AT24/(AT24+AT26))*100</f>
        <v>3.1425539052147582</v>
      </c>
      <c r="AU25" s="99">
        <f>(AU24/(AU24+AU26))*100</f>
        <v>4.7147249743764945</v>
      </c>
      <c r="AY25" t="s">
        <v>988</v>
      </c>
      <c r="AZ25" t="s">
        <v>935</v>
      </c>
      <c r="BA25">
        <v>3603</v>
      </c>
      <c r="BB25" s="51">
        <f>SUMIFS(Table323[CLM $ Collected ],Table323[Town],"Stamford")</f>
        <v>2568651.1349443202</v>
      </c>
      <c r="BC25" s="51">
        <f>SUMIFS(Table323[Incentive Disbursements],Table323[Town],"Stamford")</f>
        <v>1109741.4864000001</v>
      </c>
      <c r="BD25">
        <f t="shared" si="19"/>
        <v>43.203277833369754</v>
      </c>
      <c r="BE25" t="s">
        <v>944</v>
      </c>
    </row>
    <row r="26" spans="2:57" x14ac:dyDescent="0.2">
      <c r="B26" s="266"/>
      <c r="C26" s="265"/>
      <c r="D26" s="5" t="s">
        <v>937</v>
      </c>
      <c r="E26" s="99">
        <f>E25/(E23+E25)*100</f>
        <v>99.269041552081788</v>
      </c>
      <c r="F26" s="99">
        <f>F25/(F23+F25)*100</f>
        <v>99.859069262374135</v>
      </c>
      <c r="J26" s="266"/>
      <c r="K26" s="265"/>
      <c r="L26" s="5" t="s">
        <v>937</v>
      </c>
      <c r="M26" s="99">
        <f>M25/(M23+M25)*100</f>
        <v>100</v>
      </c>
      <c r="N26" s="99" t="e">
        <f>N25/(N23+N25)*100</f>
        <v>#DIV/0!</v>
      </c>
      <c r="AB26" t="s">
        <v>989</v>
      </c>
      <c r="AP26" s="162"/>
      <c r="AQ26" s="130" t="s">
        <v>942</v>
      </c>
      <c r="AR26" s="5" t="s">
        <v>929</v>
      </c>
      <c r="AS26" s="99">
        <f>SUMIFS(Table3236[CLM $ Collected ],Table3236[Energy Burdened?],"No")</f>
        <v>10595663.166799996</v>
      </c>
      <c r="AT26" s="99">
        <f>SUMIFS(Table3236[Incentives],Table3236[Energy Burdened?],"No")</f>
        <v>3450146.3015100756</v>
      </c>
      <c r="AU26">
        <f>SUMIFS(Table3236[Total Units],Table3236[Energy Burdened?],"No")</f>
        <v>2789</v>
      </c>
      <c r="AZ26" t="s">
        <v>939</v>
      </c>
      <c r="BA26" s="99">
        <f>(BA25/77814)*100</f>
        <v>4.6302721875240964</v>
      </c>
      <c r="BB26" s="154">
        <f>(BB25/52682522.8472697)*100</f>
        <v>4.8757177828993097</v>
      </c>
      <c r="BC26" s="154">
        <f>(BC25/36999853.3169)*100</f>
        <v>2.9993132050961839</v>
      </c>
      <c r="BD26">
        <f>BC26/BB26</f>
        <v>0.61515316075424376</v>
      </c>
    </row>
    <row r="27" spans="2:57" x14ac:dyDescent="0.2">
      <c r="B27" s="5" t="s">
        <v>947</v>
      </c>
      <c r="C27" s="5" t="s">
        <v>948</v>
      </c>
      <c r="E27" s="99">
        <f>SUM(E19,E21,E23,E25)</f>
        <v>64759579.7464929</v>
      </c>
      <c r="F27" s="99">
        <f>SUM(F19,F21,F23,F25)</f>
        <v>45494397.606900007</v>
      </c>
      <c r="G27" s="121">
        <f t="shared" si="16"/>
        <v>70.251224274449982</v>
      </c>
      <c r="J27" s="5" t="s">
        <v>947</v>
      </c>
      <c r="K27" s="5" t="s">
        <v>948</v>
      </c>
      <c r="L27" s="5"/>
      <c r="M27" s="99">
        <f>SUM(M19,M21,M23,M25)</f>
        <v>208022.19593056</v>
      </c>
      <c r="N27" s="99">
        <f>SUM(N19,N21,N23,N25)</f>
        <v>800</v>
      </c>
      <c r="O27" s="99">
        <f t="shared" si="17"/>
        <v>0.3845743462236349</v>
      </c>
      <c r="AB27" t="s">
        <v>990</v>
      </c>
      <c r="AP27" s="162"/>
      <c r="AQ27" s="130"/>
      <c r="AR27" s="5" t="s">
        <v>937</v>
      </c>
      <c r="AS27" s="99">
        <f>(AS26/(AS26+AS24))*100</f>
        <v>87.352382906785763</v>
      </c>
      <c r="AT27" s="99">
        <f>(AT26/(AT26+AT24))*100</f>
        <v>96.857446094785232</v>
      </c>
      <c r="AU27" s="99">
        <f>(AU26/(AU26+AU24))*100</f>
        <v>95.285275025623505</v>
      </c>
      <c r="AY27" t="s">
        <v>991</v>
      </c>
      <c r="AZ27" t="s">
        <v>935</v>
      </c>
      <c r="BA27">
        <v>3174</v>
      </c>
      <c r="BB27" s="51">
        <f>SUMIFS(Table323[CLM $ Collected ],Table323[Town],"Meriden")</f>
        <v>946505.26191456011</v>
      </c>
      <c r="BC27" s="51">
        <f>SUMIFS(Table323[Incentive Disbursements],Table323[Town],"Meriden")</f>
        <v>1020667.3622999999</v>
      </c>
      <c r="BD27">
        <f t="shared" si="19"/>
        <v>107.83536060173897</v>
      </c>
      <c r="BE27" t="s">
        <v>936</v>
      </c>
    </row>
    <row r="28" spans="2:57" x14ac:dyDescent="0.2">
      <c r="B28" t="s">
        <v>957</v>
      </c>
      <c r="G28" s="99">
        <f>G27-(G27*0.05)</f>
        <v>66.738663060727475</v>
      </c>
      <c r="J28" t="s">
        <v>957</v>
      </c>
      <c r="O28" s="99">
        <f>O27-(O27*0.05)</f>
        <v>0.36534562891245315</v>
      </c>
      <c r="R28" s="10" t="s">
        <v>986</v>
      </c>
      <c r="S28" s="10" t="s">
        <v>987</v>
      </c>
      <c r="AC28" s="12" t="s">
        <v>992</v>
      </c>
      <c r="AP28" s="266" t="s">
        <v>946</v>
      </c>
      <c r="AQ28" s="130" t="s">
        <v>933</v>
      </c>
      <c r="AR28" s="5" t="s">
        <v>929</v>
      </c>
      <c r="AS28" s="99">
        <f>SUMIFS(Table323[CLM $ Collected ],Table323[Energy Burdened?],"Yes")</f>
        <v>2477337.5044512013</v>
      </c>
      <c r="AT28" s="99">
        <f>SUMIFS(Table323[Incentives],Table323[Energy Burdened?],"Yes")</f>
        <v>255158.18729999996</v>
      </c>
      <c r="AU28" s="99">
        <f>SUMIFS(Table323[Total Units],Table323[Energy Burdened?],"Yes")</f>
        <v>599</v>
      </c>
      <c r="AZ28" t="s">
        <v>939</v>
      </c>
      <c r="BA28" s="99">
        <f>(BA27/77814)*100</f>
        <v>4.0789575140720178</v>
      </c>
      <c r="BB28" s="154">
        <f>(BB27/52682522.8472697)*100</f>
        <v>1.7966209869230156</v>
      </c>
      <c r="BC28" s="154">
        <f>(BC27/36999853.3169)*100</f>
        <v>2.7585713747513734</v>
      </c>
      <c r="BD28">
        <f>BC28/BB28</f>
        <v>1.5354219920784977</v>
      </c>
    </row>
    <row r="29" spans="2:57" x14ac:dyDescent="0.2">
      <c r="L29" s="5"/>
      <c r="R29" s="141" t="s">
        <v>908</v>
      </c>
      <c r="S29" s="141" t="s">
        <v>909</v>
      </c>
      <c r="T29" s="141" t="s">
        <v>910</v>
      </c>
      <c r="U29" s="141" t="s">
        <v>911</v>
      </c>
      <c r="V29" s="141" t="s">
        <v>912</v>
      </c>
      <c r="W29" s="141" t="s">
        <v>913</v>
      </c>
      <c r="AC29" s="12" t="s">
        <v>993</v>
      </c>
      <c r="AP29" s="266"/>
      <c r="AQ29" s="130"/>
      <c r="AR29" s="5" t="s">
        <v>937</v>
      </c>
      <c r="AS29" s="99">
        <f>(AS28/(AS28+AS30))*100</f>
        <v>4.7324806011597431</v>
      </c>
      <c r="AT29" s="99">
        <f>(AT28/(AT28+AT30))*100</f>
        <v>2.6437276305069632</v>
      </c>
      <c r="AU29" s="99">
        <f>(AU28/(AU28+AU30))*100</f>
        <v>3.3866681743653531</v>
      </c>
    </row>
    <row r="30" spans="2:57" x14ac:dyDescent="0.2">
      <c r="B30" s="10" t="s">
        <v>994</v>
      </c>
      <c r="C30" s="10" t="s">
        <v>995</v>
      </c>
      <c r="J30" s="10" t="s">
        <v>996</v>
      </c>
      <c r="K30" s="10" t="s">
        <v>997</v>
      </c>
      <c r="L30" s="5"/>
      <c r="R30" s="264" t="s">
        <v>930</v>
      </c>
      <c r="S30" s="5" t="s">
        <v>931</v>
      </c>
      <c r="T30" s="5">
        <f>SUMIFS(Table3236[Total Units2],Table3236[Distressed Tract1],"Yes")</f>
        <v>605</v>
      </c>
      <c r="U30" s="5">
        <f>SUMIFS(Table3236[[Single Family ]],Table3236[Distressed Tract1],"Yes")</f>
        <v>208</v>
      </c>
      <c r="V30" s="5">
        <f>SUMIFS(Table3236[2-4 Units2],Table3236[Distressed Tract1],"Yes")</f>
        <v>384</v>
      </c>
      <c r="W30" s="5">
        <f>SUMIFS(Table3236[&gt;4 Units ],Table3236[Distressed Tract1],"Yes")</f>
        <v>13</v>
      </c>
      <c r="AC30" s="12" t="s">
        <v>998</v>
      </c>
      <c r="AP30" s="266"/>
      <c r="AQ30" s="130" t="s">
        <v>942</v>
      </c>
      <c r="AR30" s="5" t="s">
        <v>929</v>
      </c>
      <c r="AS30" s="99">
        <f>SUMIFS(Table323[CLM $ Collected ],Table323[Energy Burdened?],"No")</f>
        <v>49870209.442579165</v>
      </c>
      <c r="AT30" s="99">
        <f>SUMIFS(Table323[Incentives],Table323[Energy Burdened?],"No")</f>
        <v>9396296.9912000112</v>
      </c>
      <c r="AU30" s="99">
        <f>SUMIFS(Table323[Total Units],Table323[Energy Burdened?],"No")</f>
        <v>17088</v>
      </c>
    </row>
    <row r="31" spans="2:57" ht="32" x14ac:dyDescent="0.2">
      <c r="B31" s="263" t="s">
        <v>999</v>
      </c>
      <c r="C31" s="263"/>
      <c r="D31" s="263"/>
      <c r="E31" s="131" t="s">
        <v>902</v>
      </c>
      <c r="F31" s="134" t="s">
        <v>903</v>
      </c>
      <c r="G31" s="133" t="s">
        <v>907</v>
      </c>
      <c r="H31" s="141" t="s">
        <v>905</v>
      </c>
      <c r="J31" s="263" t="s">
        <v>1000</v>
      </c>
      <c r="K31" s="263"/>
      <c r="L31" s="263"/>
      <c r="M31" s="131" t="s">
        <v>902</v>
      </c>
      <c r="N31" s="134" t="s">
        <v>903</v>
      </c>
      <c r="O31" s="133" t="s">
        <v>907</v>
      </c>
      <c r="P31" s="141" t="s">
        <v>905</v>
      </c>
      <c r="R31" s="264"/>
      <c r="S31" s="5" t="s">
        <v>938</v>
      </c>
      <c r="T31" s="5">
        <f>SUMIFS(Table3236[Total Units2],Table3236[Distressed Tract1],"No")</f>
        <v>899</v>
      </c>
      <c r="U31" s="5">
        <f>SUMIFS(Table3236[[Single Family ]],Table3236[Distressed Tract1],"No")</f>
        <v>652</v>
      </c>
      <c r="V31" s="5">
        <f>SUMIFS(Table3236[2-4 Units2],Table3236[Distressed Tract1],"No")</f>
        <v>237</v>
      </c>
      <c r="W31" s="5">
        <f>SUMIFS(Table3236[&gt;4 Units ],Table3236[Distressed Tract1],"No")</f>
        <v>10</v>
      </c>
      <c r="AC31" s="12" t="s">
        <v>1001</v>
      </c>
      <c r="AP31" s="266"/>
      <c r="AQ31" s="130"/>
      <c r="AR31" s="5" t="s">
        <v>937</v>
      </c>
      <c r="AS31" s="99">
        <f>(AS30/(AS30+AS28))*100</f>
        <v>95.267519398840264</v>
      </c>
      <c r="AT31" s="99">
        <f>(AT30/(AT30+AT28))*100</f>
        <v>97.356272369493041</v>
      </c>
      <c r="AU31" s="99">
        <f>(AU30/(AU30+AU28))*100</f>
        <v>96.613331825634646</v>
      </c>
      <c r="AY31" t="s">
        <v>1002</v>
      </c>
      <c r="BB31" s="153"/>
      <c r="BC31" s="152"/>
    </row>
    <row r="32" spans="2:57" x14ac:dyDescent="0.2">
      <c r="B32" s="264" t="s">
        <v>927</v>
      </c>
      <c r="C32" s="265" t="s">
        <v>928</v>
      </c>
      <c r="D32" s="5" t="s">
        <v>929</v>
      </c>
      <c r="E32" s="99">
        <f>SUMIFS(Table8[C&amp;I CLM $ Collected],Table8[Distressed Tract1],"Yes")</f>
        <v>1457254.0755000005</v>
      </c>
      <c r="F32" s="99">
        <f>SUMIFS(Table8[C&amp;I Incentive Disbursements],Table8[Distressed Tract1],"Yes")</f>
        <v>1200743.8386175281</v>
      </c>
      <c r="G32" s="99">
        <f>(F32/E32)*100</f>
        <v>82.397699811238425</v>
      </c>
      <c r="H32" t="str">
        <f>IF($G$41&lt;=G32, "Yes","No")</f>
        <v>Yes</v>
      </c>
      <c r="J32" s="264" t="s">
        <v>927</v>
      </c>
      <c r="K32" s="265" t="s">
        <v>928</v>
      </c>
      <c r="L32" s="5" t="s">
        <v>929</v>
      </c>
      <c r="M32" s="99">
        <f>SUMIFS(Table325[C&amp;I CLM $ Collected],Table325[Distressed Tract1],"Yes")</f>
        <v>3535212.9545999998</v>
      </c>
      <c r="N32" s="99">
        <f>SUMIFS(Table325[C&amp;I Incentive Disbursements],Table325[Distressed Tract1],"Yes")</f>
        <v>1520761.09</v>
      </c>
      <c r="O32" s="99">
        <f>(N32/M32)*100</f>
        <v>43.017524249032697</v>
      </c>
      <c r="P32" t="str">
        <f>IF($O$41&lt;=O32, "Yes","No")</f>
        <v>No</v>
      </c>
      <c r="R32" s="266" t="s">
        <v>941</v>
      </c>
      <c r="S32" s="5" t="s">
        <v>931</v>
      </c>
      <c r="T32" s="5">
        <f>SUMIFS(Table323[Total Units2],Table323[Distressed Tract1],"Yes")</f>
        <v>0</v>
      </c>
      <c r="U32" s="5">
        <f>SUMIFS(Table323[[Single Family ]],Table323[Distressed Tract1],"Yes")</f>
        <v>0</v>
      </c>
      <c r="V32" s="5" t="e">
        <f>SUMIFS(Table323 #REF!,Table323[Distressed Tract1],"Yes")</f>
        <v>#NAME?</v>
      </c>
      <c r="W32" s="5">
        <f>SUMIFS(Table323[&gt;4 Units ],Table323[Distressed Tract1],"Yes")</f>
        <v>0</v>
      </c>
      <c r="AP32" s="265" t="s">
        <v>948</v>
      </c>
      <c r="AQ32" s="265" t="s">
        <v>933</v>
      </c>
      <c r="AR32" s="5" t="s">
        <v>929</v>
      </c>
      <c r="AS32" s="99">
        <f>AS24+AS28</f>
        <v>4011467.2685512006</v>
      </c>
      <c r="AT32" s="99">
        <f>AT24+AT28</f>
        <v>367098.68511947</v>
      </c>
      <c r="AU32" s="99">
        <f>AU24+AU28</f>
        <v>737</v>
      </c>
      <c r="BB32" t="s">
        <v>1003</v>
      </c>
      <c r="BC32" t="s">
        <v>959</v>
      </c>
      <c r="BD32" t="s">
        <v>907</v>
      </c>
    </row>
    <row r="33" spans="2:56" x14ac:dyDescent="0.2">
      <c r="B33" s="264"/>
      <c r="C33" s="265"/>
      <c r="D33" s="5" t="s">
        <v>937</v>
      </c>
      <c r="E33" s="99">
        <f>E32/(E32+E34)*100</f>
        <v>26.895906108378465</v>
      </c>
      <c r="F33" s="99">
        <f>F32/(F32+F34)*100</f>
        <v>38.047391529618494</v>
      </c>
      <c r="J33" s="264"/>
      <c r="K33" s="265"/>
      <c r="L33" s="5" t="s">
        <v>937</v>
      </c>
      <c r="M33" s="99">
        <f>M32/(M32+M34)*100</f>
        <v>31.017693867330493</v>
      </c>
      <c r="N33" s="99">
        <f>N32/(N32+N34)*100</f>
        <v>29.530904913770033</v>
      </c>
      <c r="R33" s="266"/>
      <c r="S33" s="5" t="s">
        <v>938</v>
      </c>
      <c r="T33" s="5">
        <f>SUMIFS(Table323[Total Units2],Table323[Distressed Tract1],"No")</f>
        <v>12528</v>
      </c>
      <c r="U33" s="5">
        <f>SUMIFS(Table323[[Single Family ]],Table323[Distressed Tract1],"No")</f>
        <v>4976</v>
      </c>
      <c r="V33" s="5" t="e">
        <f>SUMIFS(Table323 #REF!,Table323[Distressed Tract1],"No")</f>
        <v>#NAME?</v>
      </c>
      <c r="W33" s="5">
        <f>SUMIFS(Table323[&gt;4 Units ],Table323[Distressed Tract1],"No")</f>
        <v>7465</v>
      </c>
      <c r="AP33" s="265"/>
      <c r="AQ33" s="265"/>
      <c r="AR33" s="5" t="s">
        <v>937</v>
      </c>
      <c r="AS33" s="99">
        <f>(AS32/AS36)*100</f>
        <v>6.2215148393928494</v>
      </c>
      <c r="AT33" s="99">
        <f>(AT32/AT36)*100</f>
        <v>2.7782004683937838</v>
      </c>
      <c r="AU33" s="99">
        <f>(AU32/AU36)*100</f>
        <v>3.575240128068303</v>
      </c>
      <c r="BA33" t="s">
        <v>1004</v>
      </c>
      <c r="BB33">
        <v>52682522.847269721</v>
      </c>
      <c r="BC33">
        <v>36999853.3169</v>
      </c>
    </row>
    <row r="34" spans="2:56" ht="30" customHeight="1" x14ac:dyDescent="0.2">
      <c r="B34" s="264"/>
      <c r="C34" s="265" t="s">
        <v>940</v>
      </c>
      <c r="D34" s="5" t="s">
        <v>929</v>
      </c>
      <c r="E34" s="99">
        <f>SUMIFS(Table8[C&amp;I CLM $ Collected],Table8[Distressed Tract1],"No")</f>
        <v>3960871.9011000022</v>
      </c>
      <c r="F34" s="99">
        <f>SUMIFS(Table8[C&amp;I Incentive Disbursements],Table8[Distressed Tract1],"No")</f>
        <v>1955172.4813824727</v>
      </c>
      <c r="G34" s="99">
        <f t="shared" ref="G34:G40" si="22">(F34/E34)*100</f>
        <v>49.362174041515651</v>
      </c>
      <c r="H34" t="str">
        <f>IF($G$41&lt;=G34, "Yes","No")</f>
        <v>Yes</v>
      </c>
      <c r="J34" s="264"/>
      <c r="K34" s="265" t="s">
        <v>940</v>
      </c>
      <c r="L34" s="5" t="s">
        <v>929</v>
      </c>
      <c r="M34" s="99">
        <f>SUMIFS(Table325[C&amp;I CLM $ Collected],Table325[Distressed Tract1],"No")</f>
        <v>7862194.5048999991</v>
      </c>
      <c r="N34" s="99">
        <f>SUMIFS(Table325[C&amp;I Incentive Disbursements],Table325[Distressed Tract1],"No")</f>
        <v>3628966.27</v>
      </c>
      <c r="O34" s="99">
        <f t="shared" ref="O34:O40" si="23">(N34/M34)*100</f>
        <v>46.157167286287553</v>
      </c>
      <c r="P34" t="str">
        <f t="shared" ref="P34:P38" si="24">IF($O$41&lt;=O34, "Yes","No")</f>
        <v>No</v>
      </c>
      <c r="R34" s="5" t="s">
        <v>947</v>
      </c>
      <c r="S34" s="5" t="s">
        <v>948</v>
      </c>
      <c r="T34" s="5">
        <f>SUM(T30:T33)</f>
        <v>14032</v>
      </c>
      <c r="U34" s="5">
        <f t="shared" ref="U34:W34" si="25">SUM(U30:U33)</f>
        <v>5836</v>
      </c>
      <c r="V34" s="5" t="e">
        <f t="shared" si="25"/>
        <v>#NAME?</v>
      </c>
      <c r="W34" s="5">
        <f t="shared" si="25"/>
        <v>7488</v>
      </c>
      <c r="AP34" s="265"/>
      <c r="AQ34" s="268" t="s">
        <v>942</v>
      </c>
      <c r="AR34" s="5" t="s">
        <v>929</v>
      </c>
      <c r="AS34" s="99">
        <f>AS26+AS30</f>
        <v>60465872.609379157</v>
      </c>
      <c r="AT34" s="99">
        <f>AT26+AT30</f>
        <v>12846443.292710086</v>
      </c>
      <c r="AU34" s="99">
        <f>AU26+AU30</f>
        <v>19877</v>
      </c>
      <c r="BA34" t="s">
        <v>927</v>
      </c>
      <c r="BB34">
        <v>12129792.9309</v>
      </c>
      <c r="BC34">
        <v>8494544.290000001</v>
      </c>
    </row>
    <row r="35" spans="2:56" ht="15" customHeight="1" x14ac:dyDescent="0.2">
      <c r="B35" s="264"/>
      <c r="C35" s="265"/>
      <c r="D35" s="5" t="s">
        <v>937</v>
      </c>
      <c r="E35" s="99">
        <f>E34/(E34+E32)*100</f>
        <v>73.104093891621531</v>
      </c>
      <c r="F35" s="99">
        <f>F34/(F34+F32)*100</f>
        <v>61.952608470381499</v>
      </c>
      <c r="J35" s="264"/>
      <c r="K35" s="265"/>
      <c r="L35" s="5" t="s">
        <v>937</v>
      </c>
      <c r="M35" s="99">
        <f>M34/(M34+M32)*100</f>
        <v>68.982306132669507</v>
      </c>
      <c r="N35" s="99">
        <f>N34/(N34+N32)*100</f>
        <v>70.469095086229956</v>
      </c>
      <c r="AP35" s="265"/>
      <c r="AQ35" s="268"/>
      <c r="AR35" s="5" t="s">
        <v>937</v>
      </c>
      <c r="AS35" s="99">
        <f>(AS34/AS36)*100</f>
        <v>93.778485160607147</v>
      </c>
      <c r="AT35" s="99">
        <f>(AT34/AT36)*100</f>
        <v>97.221799531606209</v>
      </c>
      <c r="AU35" s="99">
        <f>(AU34/AU36)*100</f>
        <v>96.424759871931698</v>
      </c>
      <c r="BA35" t="s">
        <v>1007</v>
      </c>
      <c r="BB35">
        <f>SUM(BB33:BB34)</f>
        <v>64812315.778169721</v>
      </c>
      <c r="BC35">
        <f>SUM(BC33:BC34)</f>
        <v>45494397.606899999</v>
      </c>
      <c r="BD35">
        <f>(BC35/BB35)*100</f>
        <v>70.194062749758373</v>
      </c>
    </row>
    <row r="36" spans="2:56" x14ac:dyDescent="0.2">
      <c r="B36" s="266" t="s">
        <v>946</v>
      </c>
      <c r="C36" s="265" t="s">
        <v>928</v>
      </c>
      <c r="D36" s="5" t="s">
        <v>929</v>
      </c>
      <c r="E36" s="99">
        <f>SUMIFS(Table3[C&amp;I CLM $ Collected],Table3[Distressed Tract1],"Yes")</f>
        <v>35.951342400000001</v>
      </c>
      <c r="F36" s="99">
        <f>SUMIFS(Table3[C&amp;I Incentive Disbursements],Table3[Distressed Tract1],"Yes")</f>
        <v>0</v>
      </c>
      <c r="G36" s="99">
        <f t="shared" si="22"/>
        <v>0</v>
      </c>
      <c r="H36" t="str">
        <f>IF($G$41&lt;=G36, "Yes","No")</f>
        <v>No</v>
      </c>
      <c r="J36" s="266" t="s">
        <v>946</v>
      </c>
      <c r="K36" s="265" t="s">
        <v>928</v>
      </c>
      <c r="L36" s="5" t="s">
        <v>929</v>
      </c>
      <c r="M36" s="99">
        <f>SUMIFS(Table32[C&amp;I CLM $ Collected],Table32[Distressed Tract1],"Yes")</f>
        <v>94.36843872</v>
      </c>
      <c r="N36" s="99">
        <f>SUMIFS(Table32[C&amp;I Incentive Disbursements],Table32[Distressed Tract1],"Yes")</f>
        <v>0</v>
      </c>
      <c r="O36" s="99">
        <f t="shared" si="23"/>
        <v>0</v>
      </c>
      <c r="P36" t="str">
        <f t="shared" si="24"/>
        <v>No</v>
      </c>
      <c r="AP36" s="5" t="s">
        <v>947</v>
      </c>
      <c r="AQ36" s="5" t="s">
        <v>977</v>
      </c>
      <c r="AR36" s="5" t="s">
        <v>929</v>
      </c>
      <c r="AS36" s="99">
        <f>AS32+AS34</f>
        <v>64477339.877930358</v>
      </c>
      <c r="AT36" s="99">
        <f>AT32+AT34</f>
        <v>13213541.977829557</v>
      </c>
      <c r="AU36" s="99">
        <f>AU32+AU34</f>
        <v>20614</v>
      </c>
    </row>
    <row r="37" spans="2:56" x14ac:dyDescent="0.2">
      <c r="B37" s="266"/>
      <c r="C37" s="265"/>
      <c r="D37" s="5" t="s">
        <v>937</v>
      </c>
      <c r="E37" s="99">
        <f>E36/(E36+E38)*100</f>
        <v>1.9940440587200249E-4</v>
      </c>
      <c r="F37" s="99">
        <f>F36/(F36+F38)*100</f>
        <v>0</v>
      </c>
      <c r="J37" s="266"/>
      <c r="K37" s="265"/>
      <c r="L37" s="5" t="s">
        <v>937</v>
      </c>
      <c r="M37" s="99">
        <f>M36/(M36+M38)*100</f>
        <v>2.2465024911944942E-4</v>
      </c>
      <c r="N37" s="99">
        <f>N36/(N36+N38)*100</f>
        <v>0</v>
      </c>
      <c r="AT37" s="99"/>
    </row>
    <row r="38" spans="2:56" x14ac:dyDescent="0.2">
      <c r="B38" s="266"/>
      <c r="C38" s="265" t="s">
        <v>940</v>
      </c>
      <c r="D38" s="5" t="s">
        <v>929</v>
      </c>
      <c r="E38" s="99">
        <f>SUMIFS(Table3[C&amp;I CLM $ Collected],Table3[Distressed Tract1],"No")</f>
        <v>18029326.159681935</v>
      </c>
      <c r="F38" s="99">
        <f>SUMIFS(Table3[C&amp;I Incentive Disbursements],Table3[Distressed Tract1],"No")</f>
        <v>7405447.7646000003</v>
      </c>
      <c r="G38" s="99">
        <f t="shared" si="22"/>
        <v>41.074456688017698</v>
      </c>
      <c r="H38" t="str">
        <f>IF($G$41&lt;=G38, "Yes","No")</f>
        <v>No</v>
      </c>
      <c r="J38" s="266"/>
      <c r="K38" s="265" t="s">
        <v>940</v>
      </c>
      <c r="L38" s="5" t="s">
        <v>929</v>
      </c>
      <c r="M38" s="99">
        <f>SUMIFS(Table32[C&amp;I CLM $ Collected],Table32[Distressed Tract1],"No")</f>
        <v>42006731.392890878</v>
      </c>
      <c r="N38" s="99">
        <f>SUMIFS(Table32[C&amp;I Incentive Disbursements],Table32[Distressed Tract1],"No")</f>
        <v>37329757.104799993</v>
      </c>
      <c r="O38" s="99">
        <f t="shared" si="23"/>
        <v>88.866131372262856</v>
      </c>
      <c r="P38" t="str">
        <f t="shared" si="24"/>
        <v>Yes</v>
      </c>
      <c r="R38" s="10" t="s">
        <v>1005</v>
      </c>
      <c r="S38" s="10" t="s">
        <v>1006</v>
      </c>
    </row>
    <row r="39" spans="2:56" ht="48" x14ac:dyDescent="0.2">
      <c r="B39" s="266"/>
      <c r="C39" s="265"/>
      <c r="D39" s="5" t="s">
        <v>937</v>
      </c>
      <c r="E39" s="99">
        <f>E38/(E36+E38)*100</f>
        <v>99.999800595594124</v>
      </c>
      <c r="F39" s="99">
        <f>F38/(F36+F38)*100</f>
        <v>100</v>
      </c>
      <c r="J39" s="266"/>
      <c r="K39" s="265"/>
      <c r="L39" s="5" t="s">
        <v>937</v>
      </c>
      <c r="M39" s="99">
        <f>M38/(M36+M38)*100</f>
        <v>99.999775349750877</v>
      </c>
      <c r="N39" s="99">
        <f>N38/(N36+N38)*100</f>
        <v>100</v>
      </c>
      <c r="R39" s="141" t="s">
        <v>908</v>
      </c>
      <c r="S39" s="141" t="s">
        <v>909</v>
      </c>
      <c r="T39" s="141" t="s">
        <v>958</v>
      </c>
      <c r="U39" s="141" t="s">
        <v>959</v>
      </c>
      <c r="V39" s="141" t="s">
        <v>907</v>
      </c>
      <c r="W39" s="141" t="s">
        <v>905</v>
      </c>
      <c r="AP39" s="139" t="s">
        <v>1008</v>
      </c>
      <c r="AQ39" s="137"/>
      <c r="AR39" s="137"/>
      <c r="AS39" s="131" t="s">
        <v>902</v>
      </c>
      <c r="AT39" s="132" t="s">
        <v>903</v>
      </c>
      <c r="AU39" s="138" t="s">
        <v>984</v>
      </c>
    </row>
    <row r="40" spans="2:56" x14ac:dyDescent="0.2">
      <c r="B40" s="5" t="s">
        <v>947</v>
      </c>
      <c r="C40" s="5" t="s">
        <v>948</v>
      </c>
      <c r="E40" s="99">
        <f>SUM(E32,E34,E36,E38)</f>
        <v>23447488.087624338</v>
      </c>
      <c r="F40" s="99">
        <f>SUM(F32,F34,F36,F38)</f>
        <v>10561364.084600002</v>
      </c>
      <c r="G40" s="99">
        <f t="shared" si="22"/>
        <v>45.042624801137329</v>
      </c>
      <c r="J40" s="5" t="s">
        <v>947</v>
      </c>
      <c r="K40" s="5" t="s">
        <v>948</v>
      </c>
      <c r="M40" s="99">
        <f>SUM(M32,M34,M36,M38)</f>
        <v>53404233.220829599</v>
      </c>
      <c r="N40" s="99">
        <f>SUM(N32,N34,N36,N38)</f>
        <v>42479484.464799993</v>
      </c>
      <c r="O40" s="99">
        <f t="shared" si="23"/>
        <v>79.543290677248123</v>
      </c>
      <c r="R40" s="264" t="s">
        <v>930</v>
      </c>
      <c r="S40" s="5" t="s">
        <v>931</v>
      </c>
      <c r="T40" s="5">
        <f>SUMIFS(Table3236[CLM $ Collected ],Table3236[Distressed Tract1],"Yes")</f>
        <v>2142093.8968999996</v>
      </c>
      <c r="U40" s="5">
        <f>SUMIFS(Table3236[[Incentives ]],Table3236[Distressed Tract1],"Yes")</f>
        <v>1421451.3519715439</v>
      </c>
      <c r="V40" s="99">
        <f>(U40/T40)*100</f>
        <v>66.35803192514777</v>
      </c>
      <c r="W40" t="str">
        <f>IF($V$49&lt;=V40, "Yes","No")</f>
        <v>Yes</v>
      </c>
      <c r="AP40" s="264" t="s">
        <v>927</v>
      </c>
      <c r="AQ40" s="130" t="s">
        <v>933</v>
      </c>
      <c r="AR40" s="5" t="s">
        <v>929</v>
      </c>
      <c r="AS40" s="99">
        <f>SUMIFS(Table3236[CLM $ Collected ],Table3236[Energy Burdened?],"Yes")</f>
        <v>1534129.7640999996</v>
      </c>
      <c r="AT40" s="99">
        <f>SUMIFS(Table3236[[Incentives ]],Table3236[Energy Burdened?],"Yes")</f>
        <v>1190428.7218231917</v>
      </c>
      <c r="AU40">
        <f>SUMIFS(Table3236[Total Units2],Table3236[Energy Burdened?],"Yes")</f>
        <v>535</v>
      </c>
    </row>
    <row r="41" spans="2:56" x14ac:dyDescent="0.2">
      <c r="B41" t="s">
        <v>957</v>
      </c>
      <c r="G41" s="99">
        <f>G40-(G40*0.05)</f>
        <v>42.79049356108046</v>
      </c>
      <c r="J41" t="s">
        <v>957</v>
      </c>
      <c r="O41" s="99">
        <f>O40-(O40*0.05)</f>
        <v>75.566126143385716</v>
      </c>
      <c r="R41" s="264"/>
      <c r="S41" s="5" t="s">
        <v>3887</v>
      </c>
      <c r="T41" s="5">
        <f>T40/(T40+T42)*100</f>
        <v>17.65977299944775</v>
      </c>
      <c r="U41" s="5">
        <f>U40/(U40+U42)*100</f>
        <v>28.818319360281595</v>
      </c>
      <c r="V41" s="99"/>
      <c r="AP41" s="264"/>
      <c r="AQ41" s="130"/>
      <c r="AR41" s="5" t="s">
        <v>937</v>
      </c>
      <c r="AS41" s="99">
        <f>(AS40/(AS40+AS42))*100</f>
        <v>12.647617093214233</v>
      </c>
      <c r="AT41" s="99">
        <f t="shared" ref="AT41:AU41" si="26">(AT40/(AT40+AT42))*100</f>
        <v>24.134596680758825</v>
      </c>
      <c r="AU41" s="99">
        <f t="shared" si="26"/>
        <v>35.571808510638299</v>
      </c>
    </row>
    <row r="42" spans="2:56" x14ac:dyDescent="0.2">
      <c r="R42" s="264"/>
      <c r="S42" s="5" t="s">
        <v>938</v>
      </c>
      <c r="T42" s="5">
        <f>SUMIFS(Table3236[CLM $ Collected ],Table3236[Distressed Tract1],"No")</f>
        <v>9987699.0339999981</v>
      </c>
      <c r="U42" s="5">
        <f>SUMIFS(Table3236[[Incentives ]],Table3236[Distressed Tract1],"No")</f>
        <v>3511006.1386989113</v>
      </c>
      <c r="V42" s="99">
        <f t="shared" ref="V42:V48" si="27">(U42/T42)*100</f>
        <v>35.153303345913692</v>
      </c>
      <c r="W42" t="str">
        <f>IF($V$49&lt;=V42, "Yes","No")</f>
        <v>Yes</v>
      </c>
      <c r="AP42" s="264"/>
      <c r="AQ42" s="130" t="s">
        <v>942</v>
      </c>
      <c r="AR42" s="5" t="s">
        <v>929</v>
      </c>
      <c r="AS42" s="99">
        <f>SUMIFS(Table3236[CLM $ Collected ],Table3236[Energy Burdened?],"No")</f>
        <v>10595663.166799996</v>
      </c>
      <c r="AT42" s="99">
        <f>SUMIFS(Table3236[[Incentives ]],Table3236[Energy Burdened?],"No")</f>
        <v>3742028.768847263</v>
      </c>
      <c r="AU42">
        <f>SUMIFS(Table3236[Total Units2],Table3236[Energy Burdened?],"No")</f>
        <v>969</v>
      </c>
    </row>
    <row r="43" spans="2:56" x14ac:dyDescent="0.2">
      <c r="R43" s="264"/>
      <c r="S43" s="5" t="s">
        <v>3887</v>
      </c>
      <c r="T43" s="5">
        <f>T42/(T42+T40)*100</f>
        <v>82.340227000552247</v>
      </c>
      <c r="U43" s="5">
        <f>U42/(U42+U40)*100</f>
        <v>71.181680639718394</v>
      </c>
      <c r="V43" s="99"/>
      <c r="AP43" s="264"/>
      <c r="AQ43" s="130"/>
      <c r="AR43" s="5" t="s">
        <v>937</v>
      </c>
      <c r="AS43" s="99">
        <f>(AS42/(AS42+AS40))*100</f>
        <v>87.352382906785763</v>
      </c>
      <c r="AT43" s="99">
        <f t="shared" ref="AT43:AU43" si="28">(AT42/(AT42+AT40))*100</f>
        <v>75.865403319241182</v>
      </c>
      <c r="AU43" s="99">
        <f t="shared" si="28"/>
        <v>64.428191489361694</v>
      </c>
    </row>
    <row r="44" spans="2:56" x14ac:dyDescent="0.2">
      <c r="R44" s="266" t="s">
        <v>941</v>
      </c>
      <c r="S44" s="5" t="s">
        <v>931</v>
      </c>
      <c r="T44" s="5">
        <f>SUMIFS(Table323[CLM $ Collected ],Table323[Distressed Tract1],"Yes")</f>
        <v>384701.87284992012</v>
      </c>
      <c r="U44" s="5">
        <f>SUMIFS(Table323[[Incentives ]],Table323[Distressed Tract1],"Yes")</f>
        <v>0</v>
      </c>
      <c r="V44" s="99">
        <f t="shared" si="27"/>
        <v>0</v>
      </c>
      <c r="W44" t="str">
        <f>IF($V$49&lt;=V44, "Yes","No")</f>
        <v>No</v>
      </c>
      <c r="AP44" s="266" t="s">
        <v>946</v>
      </c>
      <c r="AQ44" s="130" t="s">
        <v>933</v>
      </c>
      <c r="AR44" s="5" t="s">
        <v>929</v>
      </c>
      <c r="AS44" s="99">
        <f>SUMIFS(Table323[CLM $ Collected ],Table323[Energy Burdened?],"Yes")</f>
        <v>2477337.5044512013</v>
      </c>
      <c r="AT44" s="99">
        <f>SUMIFS(Table323[[Incentives ]],Table323[Energy Burdened?],"Yes")</f>
        <v>1052315</v>
      </c>
      <c r="AU44" s="99">
        <f>SUMIFS(Table323[Total Units2],Table323[Energy Burdened?],"Yes")</f>
        <v>1538</v>
      </c>
    </row>
    <row r="45" spans="2:56" x14ac:dyDescent="0.2">
      <c r="R45" s="266"/>
      <c r="S45" s="5" t="s">
        <v>3887</v>
      </c>
      <c r="T45" s="5">
        <f>T44/(T44+T46)*100</f>
        <v>0.73022674704701873</v>
      </c>
      <c r="U45" s="5">
        <f>U44/(U44+U46)*100</f>
        <v>0</v>
      </c>
      <c r="V45" s="99"/>
      <c r="AP45" s="266"/>
      <c r="AQ45" s="130"/>
      <c r="AR45" s="5" t="s">
        <v>937</v>
      </c>
      <c r="AS45" s="99">
        <f>(AS44/(AS44+AS46))*100</f>
        <v>4.7324806011597431</v>
      </c>
      <c r="AT45" s="99">
        <f t="shared" ref="AT45:AU45" si="29">(AT44/(AT44+AT46))*100</f>
        <v>8.3882035894566904</v>
      </c>
      <c r="AU45" s="99">
        <f t="shared" si="29"/>
        <v>12.283363948566409</v>
      </c>
    </row>
    <row r="46" spans="2:56" x14ac:dyDescent="0.2">
      <c r="R46" s="266"/>
      <c r="S46" s="5" t="s">
        <v>938</v>
      </c>
      <c r="T46" s="5">
        <f>SUMIFS(Table323[CLM $ Collected ],Table323[Distressed Tract1],"No")</f>
        <v>52297820.974419802</v>
      </c>
      <c r="U46" s="5">
        <f>SUMIFS(Table323[[Incentives ]],Table323[Distressed Tract1],"No")</f>
        <v>12564514.349999992</v>
      </c>
      <c r="V46" s="99">
        <f t="shared" si="27"/>
        <v>24.024928985369424</v>
      </c>
      <c r="W46" t="str">
        <f>IF($V$49&lt;=V46, "Yes","No")</f>
        <v>No</v>
      </c>
      <c r="AP46" s="266"/>
      <c r="AQ46" s="130" t="s">
        <v>942</v>
      </c>
      <c r="AR46" s="5" t="s">
        <v>929</v>
      </c>
      <c r="AS46" s="99">
        <f>SUMIFS(Table323[CLM $ Collected ],Table323[Energy Burdened?],"No")</f>
        <v>49870209.442579165</v>
      </c>
      <c r="AT46" s="99">
        <f>SUMIFS(Table323[[Incentives ]],Table323[Energy Burdened?],"No")</f>
        <v>11492862.149999995</v>
      </c>
      <c r="AU46" s="99">
        <f>SUMIFS(Table323[Total Units2],Table323[Energy Burdened?],"No")</f>
        <v>10983</v>
      </c>
    </row>
    <row r="47" spans="2:56" x14ac:dyDescent="0.2">
      <c r="R47" s="266"/>
      <c r="S47" s="5" t="s">
        <v>3887</v>
      </c>
      <c r="T47" s="5">
        <f>T46/(T44+T46)*100</f>
        <v>99.269773252952987</v>
      </c>
      <c r="U47" s="5">
        <f>U46/(U44+U46)*100</f>
        <v>100</v>
      </c>
      <c r="V47" s="99"/>
      <c r="AP47" s="266"/>
      <c r="AQ47" s="130"/>
      <c r="AR47" s="5" t="s">
        <v>937</v>
      </c>
      <c r="AS47" s="99">
        <f>(AS46/(AS46+AS44))*100</f>
        <v>95.267519398840264</v>
      </c>
      <c r="AT47" s="99">
        <f t="shared" ref="AT47:AU47" si="30">(AT46/(AT46+AT44))*100</f>
        <v>91.611796410543306</v>
      </c>
      <c r="AU47" s="99">
        <f t="shared" si="30"/>
        <v>87.716636051433596</v>
      </c>
    </row>
    <row r="48" spans="2:56" x14ac:dyDescent="0.2">
      <c r="R48" t="s">
        <v>947</v>
      </c>
      <c r="S48" s="5" t="s">
        <v>948</v>
      </c>
      <c r="T48">
        <f>SUM(T40:T46)</f>
        <v>64812416.508396469</v>
      </c>
      <c r="U48">
        <f>SUM(U40:U46)</f>
        <v>17497071.840670448</v>
      </c>
      <c r="V48" s="99">
        <f t="shared" si="27"/>
        <v>26.996481204189781</v>
      </c>
      <c r="AP48" s="265" t="s">
        <v>948</v>
      </c>
      <c r="AQ48" s="265" t="s">
        <v>933</v>
      </c>
      <c r="AR48" s="5" t="s">
        <v>929</v>
      </c>
      <c r="AS48" s="99">
        <f>AS40+AS44</f>
        <v>4011467.2685512006</v>
      </c>
      <c r="AT48" s="99">
        <f t="shared" ref="AT48:AU48" si="31">AT40+AT44</f>
        <v>2242743.7218231917</v>
      </c>
      <c r="AU48" s="99">
        <f t="shared" si="31"/>
        <v>2073</v>
      </c>
    </row>
    <row r="49" spans="18:47" x14ac:dyDescent="0.2">
      <c r="R49" t="s">
        <v>981</v>
      </c>
      <c r="V49" s="99">
        <f>V48-(V48*0.05)</f>
        <v>25.646657143980292</v>
      </c>
      <c r="AP49" s="265"/>
      <c r="AQ49" s="265"/>
      <c r="AR49" s="5" t="s">
        <v>937</v>
      </c>
      <c r="AS49" s="99">
        <f>(AS48/AS52)*100</f>
        <v>6.2215148393928494</v>
      </c>
      <c r="AT49" s="99">
        <f>(AT48/AT52)*100</f>
        <v>12.832078069673845</v>
      </c>
      <c r="AU49" s="99">
        <f>(AU48/AU52)*100</f>
        <v>14.780748663101603</v>
      </c>
    </row>
    <row r="50" spans="18:47" ht="30" customHeight="1" x14ac:dyDescent="0.2">
      <c r="AP50" s="265"/>
      <c r="AQ50" s="268" t="s">
        <v>942</v>
      </c>
      <c r="AR50" s="5" t="s">
        <v>929</v>
      </c>
      <c r="AS50" s="99">
        <f>AS42+AS46</f>
        <v>60465872.609379157</v>
      </c>
      <c r="AT50" s="99">
        <f t="shared" ref="AT50:AU50" si="32">AT42+AT46</f>
        <v>15234890.918847257</v>
      </c>
      <c r="AU50" s="99">
        <f t="shared" si="32"/>
        <v>11952</v>
      </c>
    </row>
    <row r="51" spans="18:47" ht="15" customHeight="1" x14ac:dyDescent="0.2">
      <c r="AP51" s="265"/>
      <c r="AQ51" s="268"/>
      <c r="AR51" s="5" t="s">
        <v>937</v>
      </c>
      <c r="AS51" s="99">
        <f>(AS50/AS52)*100</f>
        <v>93.778485160607147</v>
      </c>
      <c r="AT51" s="99">
        <f t="shared" ref="AT51:AU51" si="33">(AT50/AT52)*100</f>
        <v>87.167921930326159</v>
      </c>
      <c r="AU51" s="99">
        <f t="shared" si="33"/>
        <v>85.219251336898395</v>
      </c>
    </row>
    <row r="52" spans="18:47" x14ac:dyDescent="0.2">
      <c r="AP52" s="5" t="s">
        <v>947</v>
      </c>
      <c r="AQ52" s="5" t="s">
        <v>977</v>
      </c>
      <c r="AR52" s="5" t="s">
        <v>929</v>
      </c>
      <c r="AS52" s="99">
        <f>AS48+AS50</f>
        <v>64477339.877930358</v>
      </c>
      <c r="AT52" s="99">
        <f>AT48+AT50</f>
        <v>17477634.640670449</v>
      </c>
      <c r="AU52" s="99">
        <f>AU48+AU50</f>
        <v>14025</v>
      </c>
    </row>
    <row r="56" spans="18:47" x14ac:dyDescent="0.2">
      <c r="AP56" t="s">
        <v>1009</v>
      </c>
    </row>
    <row r="58" spans="18:47" x14ac:dyDescent="0.2">
      <c r="AP58" t="s">
        <v>1010</v>
      </c>
    </row>
  </sheetData>
  <mergeCells count="76">
    <mergeCell ref="AQ48:AQ49"/>
    <mergeCell ref="AQ50:AQ51"/>
    <mergeCell ref="AP48:AP51"/>
    <mergeCell ref="AP44:AP47"/>
    <mergeCell ref="AP40:AP43"/>
    <mergeCell ref="R1:W1"/>
    <mergeCell ref="R30:R31"/>
    <mergeCell ref="R16:R17"/>
    <mergeCell ref="R20:R21"/>
    <mergeCell ref="R32:R33"/>
    <mergeCell ref="R44:R47"/>
    <mergeCell ref="R40:R43"/>
    <mergeCell ref="C1:E1"/>
    <mergeCell ref="K1:M1"/>
    <mergeCell ref="R6:R7"/>
    <mergeCell ref="R8:R9"/>
    <mergeCell ref="B5:D5"/>
    <mergeCell ref="B6:B9"/>
    <mergeCell ref="J5:L5"/>
    <mergeCell ref="J6:J9"/>
    <mergeCell ref="K6:K7"/>
    <mergeCell ref="K8:K9"/>
    <mergeCell ref="B11:B14"/>
    <mergeCell ref="C6:C7"/>
    <mergeCell ref="C8:C9"/>
    <mergeCell ref="C11:C12"/>
    <mergeCell ref="C13:C14"/>
    <mergeCell ref="B18:D18"/>
    <mergeCell ref="B19:B22"/>
    <mergeCell ref="C19:C20"/>
    <mergeCell ref="C21:C22"/>
    <mergeCell ref="B23:B26"/>
    <mergeCell ref="C23:C24"/>
    <mergeCell ref="C25:C26"/>
    <mergeCell ref="B31:D31"/>
    <mergeCell ref="B32:B35"/>
    <mergeCell ref="C32:C33"/>
    <mergeCell ref="C34:C35"/>
    <mergeCell ref="B36:B39"/>
    <mergeCell ref="C36:C37"/>
    <mergeCell ref="C38:C39"/>
    <mergeCell ref="J10:J13"/>
    <mergeCell ref="K10:K11"/>
    <mergeCell ref="K12:K13"/>
    <mergeCell ref="J18:L18"/>
    <mergeCell ref="J19:J22"/>
    <mergeCell ref="K19:K20"/>
    <mergeCell ref="K21:K22"/>
    <mergeCell ref="J36:J39"/>
    <mergeCell ref="K36:K37"/>
    <mergeCell ref="K38:K39"/>
    <mergeCell ref="J23:J26"/>
    <mergeCell ref="K23:K24"/>
    <mergeCell ref="K25:K26"/>
    <mergeCell ref="J31:L31"/>
    <mergeCell ref="J32:J35"/>
    <mergeCell ref="K32:K33"/>
    <mergeCell ref="K34:K35"/>
    <mergeCell ref="AY18:AZ18"/>
    <mergeCell ref="AQ34:AQ35"/>
    <mergeCell ref="AP32:AP35"/>
    <mergeCell ref="AP28:AP31"/>
    <mergeCell ref="AQ32:AQ33"/>
    <mergeCell ref="AA1:AI1"/>
    <mergeCell ref="AB17:AE17"/>
    <mergeCell ref="AF17:AG17"/>
    <mergeCell ref="AH17:AI17"/>
    <mergeCell ref="AZ5:BA5"/>
    <mergeCell ref="AJ17:AK17"/>
    <mergeCell ref="AP1:AU1"/>
    <mergeCell ref="AQ5:AS5"/>
    <mergeCell ref="AQ6:AQ9"/>
    <mergeCell ref="AR6:AR7"/>
    <mergeCell ref="AR8:AR9"/>
    <mergeCell ref="AR10:AR11"/>
    <mergeCell ref="AQ14:AQ1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417E-BAED-4CA4-80AE-577C5FAFF1A2}">
  <sheetPr>
    <tabColor theme="9" tint="0.79998168889431442"/>
  </sheetPr>
  <dimension ref="A1"/>
  <sheetViews>
    <sheetView workbookViewId="0"/>
  </sheetViews>
  <sheetFormatPr baseColWidth="10" defaultColWidth="8.83203125" defaultRowHeight="15"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A2FE-968B-4E0F-944C-DA98E80379D0}">
  <sheetPr>
    <tabColor theme="9" tint="0.79998168889431442"/>
  </sheetPr>
  <dimension ref="A1:I836"/>
  <sheetViews>
    <sheetView workbookViewId="0">
      <selection activeCell="I3" sqref="I3"/>
    </sheetView>
  </sheetViews>
  <sheetFormatPr baseColWidth="10" defaultColWidth="8.83203125" defaultRowHeight="15" x14ac:dyDescent="0.2"/>
  <cols>
    <col min="1" max="1" width="50.83203125" bestFit="1" customWidth="1"/>
    <col min="2" max="2" width="34" bestFit="1" customWidth="1"/>
    <col min="3" max="3" width="33.83203125" bestFit="1" customWidth="1"/>
    <col min="5" max="5" width="33.5" bestFit="1" customWidth="1"/>
    <col min="6" max="6" width="15.6640625" customWidth="1"/>
    <col min="7" max="7" width="33.5" bestFit="1" customWidth="1"/>
    <col min="8" max="8" width="22.5" bestFit="1" customWidth="1"/>
    <col min="9" max="9" width="40.5" bestFit="1" customWidth="1"/>
  </cols>
  <sheetData>
    <row r="1" spans="1:9" x14ac:dyDescent="0.2">
      <c r="A1" s="10" t="s">
        <v>3014</v>
      </c>
      <c r="F1" s="10" t="s">
        <v>3015</v>
      </c>
    </row>
    <row r="2" spans="1:9" ht="16" x14ac:dyDescent="0.2">
      <c r="A2" t="s">
        <v>3016</v>
      </c>
      <c r="B2" t="s">
        <v>3017</v>
      </c>
      <c r="C2" t="s">
        <v>3018</v>
      </c>
      <c r="F2" s="140" t="s">
        <v>2712</v>
      </c>
      <c r="G2" t="s">
        <v>3019</v>
      </c>
      <c r="H2" t="s">
        <v>3020</v>
      </c>
      <c r="I2" t="s">
        <v>3021</v>
      </c>
    </row>
    <row r="3" spans="1:9" ht="64" x14ac:dyDescent="0.2">
      <c r="A3" s="12" t="s">
        <v>1013</v>
      </c>
      <c r="B3" s="12" t="s">
        <v>3022</v>
      </c>
      <c r="C3" s="12" t="s">
        <v>3023</v>
      </c>
      <c r="E3" s="12" t="s">
        <v>3024</v>
      </c>
      <c r="F3" s="4" t="s">
        <v>3025</v>
      </c>
      <c r="G3">
        <v>0.21624393504164685</v>
      </c>
      <c r="H3">
        <f>_xlfn.RANK.EQ(G3,$G$3:$G$825,1)/COUNT($G$3:$G$825)</f>
        <v>1.215066828675577E-3</v>
      </c>
      <c r="I3">
        <f t="shared" ref="I3:I66" si="0">IF(H3&lt;0.2,1,IF(H3&lt;0.4,2,IF(H3&lt;0.6,3,IF(H3&lt;0.8,4,5))))</f>
        <v>1</v>
      </c>
    </row>
    <row r="4" spans="1:9" ht="48" x14ac:dyDescent="0.2">
      <c r="A4" t="s">
        <v>3026</v>
      </c>
      <c r="B4">
        <v>9958</v>
      </c>
      <c r="C4">
        <v>433</v>
      </c>
      <c r="E4" t="s">
        <v>3027</v>
      </c>
      <c r="F4" s="4" t="s">
        <v>3028</v>
      </c>
      <c r="G4">
        <v>0.22600414044173112</v>
      </c>
      <c r="H4">
        <f t="shared" ref="H4:H67" si="1">_xlfn.RANK.EQ(G4,$G$3:$G$825,1)/COUNT($G$3:$G$825)</f>
        <v>2.4301336573511541E-3</v>
      </c>
      <c r="I4">
        <f t="shared" si="0"/>
        <v>1</v>
      </c>
    </row>
    <row r="5" spans="1:9" ht="48" x14ac:dyDescent="0.2">
      <c r="A5" t="s">
        <v>3029</v>
      </c>
      <c r="B5">
        <v>13410</v>
      </c>
      <c r="C5">
        <v>461</v>
      </c>
      <c r="E5" t="s">
        <v>3030</v>
      </c>
      <c r="F5" s="4" t="s">
        <v>3031</v>
      </c>
      <c r="G5">
        <v>0.22933890862992509</v>
      </c>
      <c r="H5">
        <f t="shared" si="1"/>
        <v>3.6452004860267314E-3</v>
      </c>
      <c r="I5">
        <f t="shared" si="0"/>
        <v>1</v>
      </c>
    </row>
    <row r="6" spans="1:9" ht="48" x14ac:dyDescent="0.2">
      <c r="A6" t="s">
        <v>3032</v>
      </c>
      <c r="B6">
        <v>15000</v>
      </c>
      <c r="C6">
        <v>440</v>
      </c>
      <c r="E6" t="s">
        <v>3033</v>
      </c>
      <c r="F6" s="4" t="s">
        <v>3034</v>
      </c>
      <c r="G6">
        <v>0.23717195751179948</v>
      </c>
      <c r="H6">
        <f t="shared" si="1"/>
        <v>4.8602673147023082E-3</v>
      </c>
      <c r="I6">
        <f t="shared" si="0"/>
        <v>1</v>
      </c>
    </row>
    <row r="7" spans="1:9" ht="48" x14ac:dyDescent="0.2">
      <c r="A7" t="s">
        <v>3035</v>
      </c>
      <c r="B7">
        <v>18304</v>
      </c>
      <c r="C7">
        <v>783</v>
      </c>
      <c r="F7" s="4" t="s">
        <v>3036</v>
      </c>
      <c r="G7">
        <v>0.23895081911537219</v>
      </c>
      <c r="H7">
        <f t="shared" si="1"/>
        <v>6.0753341433778859E-3</v>
      </c>
      <c r="I7">
        <f t="shared" si="0"/>
        <v>1</v>
      </c>
    </row>
    <row r="8" spans="1:9" ht="48" x14ac:dyDescent="0.2">
      <c r="A8" t="s">
        <v>3037</v>
      </c>
      <c r="B8">
        <v>19593</v>
      </c>
      <c r="C8">
        <v>715</v>
      </c>
      <c r="F8" s="4" t="s">
        <v>3038</v>
      </c>
      <c r="G8">
        <v>0.23973667228137396</v>
      </c>
      <c r="H8">
        <f t="shared" si="1"/>
        <v>7.2904009720534627E-3</v>
      </c>
      <c r="I8">
        <f t="shared" si="0"/>
        <v>1</v>
      </c>
    </row>
    <row r="9" spans="1:9" ht="64" x14ac:dyDescent="0.2">
      <c r="A9" t="s">
        <v>3039</v>
      </c>
      <c r="B9">
        <v>21633</v>
      </c>
      <c r="C9">
        <v>596</v>
      </c>
      <c r="F9" s="4" t="s">
        <v>3040</v>
      </c>
      <c r="G9">
        <v>0.24470854055047511</v>
      </c>
      <c r="H9">
        <f t="shared" si="1"/>
        <v>8.5054678007290396E-3</v>
      </c>
      <c r="I9">
        <f t="shared" si="0"/>
        <v>1</v>
      </c>
    </row>
    <row r="10" spans="1:9" ht="48" x14ac:dyDescent="0.2">
      <c r="A10" t="s">
        <v>3041</v>
      </c>
      <c r="B10">
        <v>21851</v>
      </c>
      <c r="C10">
        <v>1109</v>
      </c>
      <c r="F10" s="4" t="s">
        <v>3042</v>
      </c>
      <c r="G10">
        <v>0.24661990670556816</v>
      </c>
      <c r="H10">
        <f t="shared" si="1"/>
        <v>9.7205346294046164E-3</v>
      </c>
      <c r="I10">
        <f t="shared" si="0"/>
        <v>1</v>
      </c>
    </row>
    <row r="11" spans="1:9" ht="48" x14ac:dyDescent="0.2">
      <c r="A11" t="s">
        <v>3043</v>
      </c>
      <c r="B11">
        <v>21895</v>
      </c>
      <c r="C11">
        <v>1032</v>
      </c>
      <c r="F11" s="4" t="s">
        <v>3044</v>
      </c>
      <c r="G11">
        <v>0.24720569623716801</v>
      </c>
      <c r="H11">
        <f t="shared" si="1"/>
        <v>1.0935601458080195E-2</v>
      </c>
      <c r="I11">
        <f t="shared" si="0"/>
        <v>1</v>
      </c>
    </row>
    <row r="12" spans="1:9" ht="48" x14ac:dyDescent="0.2">
      <c r="A12" t="s">
        <v>3045</v>
      </c>
      <c r="B12">
        <v>22449</v>
      </c>
      <c r="C12">
        <v>937</v>
      </c>
      <c r="F12" s="4" t="s">
        <v>3046</v>
      </c>
      <c r="G12">
        <v>0.2491749834564127</v>
      </c>
      <c r="H12">
        <f t="shared" si="1"/>
        <v>1.2150668286755772E-2</v>
      </c>
      <c r="I12">
        <f t="shared" si="0"/>
        <v>1</v>
      </c>
    </row>
    <row r="13" spans="1:9" ht="48" x14ac:dyDescent="0.2">
      <c r="A13" t="s">
        <v>3047</v>
      </c>
      <c r="B13">
        <v>22454</v>
      </c>
      <c r="C13">
        <v>1004</v>
      </c>
      <c r="F13" s="4" t="s">
        <v>3048</v>
      </c>
      <c r="G13">
        <v>0.2492005231133782</v>
      </c>
      <c r="H13">
        <f t="shared" si="1"/>
        <v>1.3365735115431349E-2</v>
      </c>
      <c r="I13">
        <f t="shared" si="0"/>
        <v>1</v>
      </c>
    </row>
    <row r="14" spans="1:9" ht="48" x14ac:dyDescent="0.2">
      <c r="A14" t="s">
        <v>3049</v>
      </c>
      <c r="B14">
        <v>22778</v>
      </c>
      <c r="C14">
        <v>924</v>
      </c>
      <c r="F14" s="4" t="s">
        <v>3050</v>
      </c>
      <c r="G14">
        <v>0.25060377368293624</v>
      </c>
      <c r="H14">
        <f t="shared" si="1"/>
        <v>1.4580801944106925E-2</v>
      </c>
      <c r="I14">
        <f t="shared" si="0"/>
        <v>1</v>
      </c>
    </row>
    <row r="15" spans="1:9" ht="64" x14ac:dyDescent="0.2">
      <c r="A15" t="s">
        <v>3051</v>
      </c>
      <c r="B15">
        <v>23480</v>
      </c>
      <c r="C15">
        <v>859</v>
      </c>
      <c r="F15" s="4" t="s">
        <v>3052</v>
      </c>
      <c r="G15">
        <v>0.25095287837791619</v>
      </c>
      <c r="H15">
        <f t="shared" si="1"/>
        <v>1.5795868772782502E-2</v>
      </c>
      <c r="I15">
        <f t="shared" si="0"/>
        <v>1</v>
      </c>
    </row>
    <row r="16" spans="1:9" ht="64" x14ac:dyDescent="0.2">
      <c r="A16" t="s">
        <v>3053</v>
      </c>
      <c r="B16">
        <v>23500</v>
      </c>
      <c r="C16">
        <v>842</v>
      </c>
      <c r="F16" s="4" t="s">
        <v>3054</v>
      </c>
      <c r="G16">
        <v>0.25154601116626218</v>
      </c>
      <c r="H16">
        <f t="shared" si="1"/>
        <v>1.7010935601458079E-2</v>
      </c>
      <c r="I16">
        <f t="shared" si="0"/>
        <v>1</v>
      </c>
    </row>
    <row r="17" spans="1:9" ht="48" x14ac:dyDescent="0.2">
      <c r="A17" t="s">
        <v>3055</v>
      </c>
      <c r="B17">
        <v>23598</v>
      </c>
      <c r="C17">
        <v>974</v>
      </c>
      <c r="F17" s="4" t="s">
        <v>3056</v>
      </c>
      <c r="G17">
        <v>0.25168846074220735</v>
      </c>
      <c r="H17">
        <f t="shared" si="1"/>
        <v>1.8226002430133656E-2</v>
      </c>
      <c r="I17">
        <f t="shared" si="0"/>
        <v>1</v>
      </c>
    </row>
    <row r="18" spans="1:9" ht="48" x14ac:dyDescent="0.2">
      <c r="A18" t="s">
        <v>3057</v>
      </c>
      <c r="B18">
        <v>23608</v>
      </c>
      <c r="C18">
        <v>914</v>
      </c>
      <c r="F18" s="4" t="s">
        <v>3058</v>
      </c>
      <c r="G18">
        <v>0.25184078989251402</v>
      </c>
      <c r="H18">
        <f t="shared" si="1"/>
        <v>1.9441069258809233E-2</v>
      </c>
      <c r="I18">
        <f t="shared" si="0"/>
        <v>1</v>
      </c>
    </row>
    <row r="19" spans="1:9" ht="48" x14ac:dyDescent="0.2">
      <c r="A19" t="s">
        <v>3059</v>
      </c>
      <c r="B19">
        <v>24271</v>
      </c>
      <c r="C19">
        <v>1107</v>
      </c>
      <c r="F19" s="4" t="s">
        <v>3060</v>
      </c>
      <c r="G19">
        <v>0.25246258791089699</v>
      </c>
      <c r="H19">
        <f t="shared" si="1"/>
        <v>2.0656136087484813E-2</v>
      </c>
      <c r="I19">
        <f t="shared" si="0"/>
        <v>1</v>
      </c>
    </row>
    <row r="20" spans="1:9" ht="48" x14ac:dyDescent="0.2">
      <c r="A20" t="s">
        <v>3061</v>
      </c>
      <c r="B20">
        <v>24325</v>
      </c>
      <c r="C20">
        <v>879</v>
      </c>
      <c r="F20" s="4" t="s">
        <v>3062</v>
      </c>
      <c r="G20">
        <v>0.25483811717142513</v>
      </c>
      <c r="H20">
        <f t="shared" si="1"/>
        <v>2.187120291616039E-2</v>
      </c>
      <c r="I20">
        <f t="shared" si="0"/>
        <v>1</v>
      </c>
    </row>
    <row r="21" spans="1:9" ht="64" x14ac:dyDescent="0.2">
      <c r="A21" t="s">
        <v>3063</v>
      </c>
      <c r="B21">
        <v>24342</v>
      </c>
      <c r="C21">
        <v>1275</v>
      </c>
      <c r="F21" s="4" t="s">
        <v>3064</v>
      </c>
      <c r="G21">
        <v>0.25540551013338214</v>
      </c>
      <c r="H21">
        <f t="shared" si="1"/>
        <v>2.3086269744835967E-2</v>
      </c>
      <c r="I21">
        <f t="shared" si="0"/>
        <v>1</v>
      </c>
    </row>
    <row r="22" spans="1:9" ht="64" x14ac:dyDescent="0.2">
      <c r="A22" t="s">
        <v>3065</v>
      </c>
      <c r="B22">
        <v>24805</v>
      </c>
      <c r="C22">
        <v>1001</v>
      </c>
      <c r="F22" s="4" t="s">
        <v>3066</v>
      </c>
      <c r="G22">
        <v>0.25552108146033237</v>
      </c>
      <c r="H22">
        <f t="shared" si="1"/>
        <v>2.4301336573511544E-2</v>
      </c>
      <c r="I22">
        <f t="shared" si="0"/>
        <v>1</v>
      </c>
    </row>
    <row r="23" spans="1:9" ht="48" x14ac:dyDescent="0.2">
      <c r="A23" t="s">
        <v>3067</v>
      </c>
      <c r="B23">
        <v>24943</v>
      </c>
      <c r="C23">
        <v>996</v>
      </c>
      <c r="F23" s="4" t="s">
        <v>3068</v>
      </c>
      <c r="G23">
        <v>0.25584760480347701</v>
      </c>
      <c r="H23">
        <f t="shared" si="1"/>
        <v>2.551640340218712E-2</v>
      </c>
      <c r="I23">
        <f t="shared" si="0"/>
        <v>1</v>
      </c>
    </row>
    <row r="24" spans="1:9" ht="64" x14ac:dyDescent="0.2">
      <c r="A24" t="s">
        <v>3069</v>
      </c>
      <c r="B24">
        <v>25156</v>
      </c>
      <c r="C24">
        <v>869</v>
      </c>
      <c r="F24" s="4" t="s">
        <v>3070</v>
      </c>
      <c r="G24">
        <v>0.25730635543918445</v>
      </c>
      <c r="H24">
        <f t="shared" si="1"/>
        <v>2.6731470230862697E-2</v>
      </c>
      <c r="I24">
        <f t="shared" si="0"/>
        <v>1</v>
      </c>
    </row>
    <row r="25" spans="1:9" ht="48" x14ac:dyDescent="0.2">
      <c r="A25" t="s">
        <v>3071</v>
      </c>
      <c r="B25">
        <v>25648</v>
      </c>
      <c r="C25">
        <v>969</v>
      </c>
      <c r="F25" s="4" t="s">
        <v>3072</v>
      </c>
      <c r="G25">
        <v>0.25877993751706363</v>
      </c>
      <c r="H25">
        <f t="shared" si="1"/>
        <v>2.7946537059538274E-2</v>
      </c>
      <c r="I25">
        <f t="shared" si="0"/>
        <v>1</v>
      </c>
    </row>
    <row r="26" spans="1:9" ht="48" x14ac:dyDescent="0.2">
      <c r="A26" t="s">
        <v>3073</v>
      </c>
      <c r="B26">
        <v>25958</v>
      </c>
      <c r="C26">
        <v>976</v>
      </c>
      <c r="F26" s="4" t="s">
        <v>3074</v>
      </c>
      <c r="G26">
        <v>0.25878885165183613</v>
      </c>
      <c r="H26">
        <f t="shared" si="1"/>
        <v>2.9161603888213851E-2</v>
      </c>
      <c r="I26">
        <f t="shared" si="0"/>
        <v>1</v>
      </c>
    </row>
    <row r="27" spans="1:9" ht="64" x14ac:dyDescent="0.2">
      <c r="A27" t="s">
        <v>3075</v>
      </c>
      <c r="B27">
        <v>26250</v>
      </c>
      <c r="C27">
        <v>648</v>
      </c>
      <c r="F27" s="4" t="s">
        <v>3076</v>
      </c>
      <c r="G27">
        <v>0.25908674911061486</v>
      </c>
      <c r="H27">
        <f t="shared" si="1"/>
        <v>3.0376670716889428E-2</v>
      </c>
      <c r="I27">
        <f t="shared" si="0"/>
        <v>1</v>
      </c>
    </row>
    <row r="28" spans="1:9" ht="48" x14ac:dyDescent="0.2">
      <c r="A28" t="s">
        <v>3077</v>
      </c>
      <c r="B28">
        <v>26324</v>
      </c>
      <c r="C28">
        <v>1082</v>
      </c>
      <c r="F28" s="4" t="s">
        <v>3078</v>
      </c>
      <c r="G28">
        <v>0.2591016995931047</v>
      </c>
      <c r="H28">
        <f t="shared" si="1"/>
        <v>3.1591737545565005E-2</v>
      </c>
      <c r="I28">
        <f t="shared" si="0"/>
        <v>1</v>
      </c>
    </row>
    <row r="29" spans="1:9" ht="48" x14ac:dyDescent="0.2">
      <c r="A29" t="s">
        <v>3079</v>
      </c>
      <c r="B29">
        <v>26765</v>
      </c>
      <c r="C29">
        <v>946</v>
      </c>
      <c r="F29" s="4" t="s">
        <v>3080</v>
      </c>
      <c r="G29">
        <v>0.25911845835633757</v>
      </c>
      <c r="H29">
        <f t="shared" si="1"/>
        <v>3.2806804374240585E-2</v>
      </c>
      <c r="I29">
        <f t="shared" si="0"/>
        <v>1</v>
      </c>
    </row>
    <row r="30" spans="1:9" ht="48" x14ac:dyDescent="0.2">
      <c r="A30" t="s">
        <v>3081</v>
      </c>
      <c r="B30">
        <v>26840</v>
      </c>
      <c r="C30">
        <v>710</v>
      </c>
      <c r="F30" s="4" t="s">
        <v>3082</v>
      </c>
      <c r="G30">
        <v>0.25956366779442835</v>
      </c>
      <c r="H30">
        <f t="shared" si="1"/>
        <v>3.4021871202916158E-2</v>
      </c>
      <c r="I30">
        <f t="shared" si="0"/>
        <v>1</v>
      </c>
    </row>
    <row r="31" spans="1:9" ht="48" x14ac:dyDescent="0.2">
      <c r="A31" t="s">
        <v>3083</v>
      </c>
      <c r="B31">
        <v>27072</v>
      </c>
      <c r="C31">
        <v>1078</v>
      </c>
      <c r="F31" s="4" t="s">
        <v>3084</v>
      </c>
      <c r="G31">
        <v>0.25975982410793741</v>
      </c>
      <c r="H31">
        <f t="shared" si="1"/>
        <v>3.5236938031591739E-2</v>
      </c>
      <c r="I31">
        <f t="shared" si="0"/>
        <v>1</v>
      </c>
    </row>
    <row r="32" spans="1:9" ht="48" x14ac:dyDescent="0.2">
      <c r="A32" t="s">
        <v>3085</v>
      </c>
      <c r="B32">
        <v>27964</v>
      </c>
      <c r="C32">
        <v>1195</v>
      </c>
      <c r="F32" s="4" t="s">
        <v>3086</v>
      </c>
      <c r="G32">
        <v>0.25978991267138596</v>
      </c>
      <c r="H32">
        <f t="shared" si="1"/>
        <v>3.6452004860267312E-2</v>
      </c>
      <c r="I32">
        <f t="shared" si="0"/>
        <v>1</v>
      </c>
    </row>
    <row r="33" spans="1:9" ht="64" x14ac:dyDescent="0.2">
      <c r="A33" t="s">
        <v>3087</v>
      </c>
      <c r="B33">
        <v>28029</v>
      </c>
      <c r="C33">
        <v>986</v>
      </c>
      <c r="F33" s="4" t="s">
        <v>3088</v>
      </c>
      <c r="G33">
        <v>0.25981068042022387</v>
      </c>
      <c r="H33">
        <f t="shared" si="1"/>
        <v>3.7667071688942892E-2</v>
      </c>
      <c r="I33">
        <f t="shared" si="0"/>
        <v>1</v>
      </c>
    </row>
    <row r="34" spans="1:9" ht="48" x14ac:dyDescent="0.2">
      <c r="A34" t="s">
        <v>3089</v>
      </c>
      <c r="B34">
        <v>28032</v>
      </c>
      <c r="C34">
        <v>910</v>
      </c>
      <c r="F34" s="4" t="s">
        <v>3090</v>
      </c>
      <c r="G34">
        <v>0.261213047819704</v>
      </c>
      <c r="H34">
        <f t="shared" si="1"/>
        <v>3.8882138517618466E-2</v>
      </c>
      <c r="I34">
        <f t="shared" si="0"/>
        <v>1</v>
      </c>
    </row>
    <row r="35" spans="1:9" ht="48" x14ac:dyDescent="0.2">
      <c r="A35" t="s">
        <v>3091</v>
      </c>
      <c r="B35">
        <v>28438</v>
      </c>
      <c r="C35">
        <v>999</v>
      </c>
      <c r="F35" s="4" t="s">
        <v>3092</v>
      </c>
      <c r="G35">
        <v>0.26123049306854657</v>
      </c>
      <c r="H35">
        <f t="shared" si="1"/>
        <v>4.0097205346294046E-2</v>
      </c>
      <c r="I35">
        <f t="shared" si="0"/>
        <v>1</v>
      </c>
    </row>
    <row r="36" spans="1:9" ht="48" x14ac:dyDescent="0.2">
      <c r="A36" t="s">
        <v>3093</v>
      </c>
      <c r="B36">
        <v>28636</v>
      </c>
      <c r="C36">
        <v>887</v>
      </c>
      <c r="F36" s="4" t="s">
        <v>3094</v>
      </c>
      <c r="G36">
        <v>0.26148730312617408</v>
      </c>
      <c r="H36">
        <f t="shared" si="1"/>
        <v>4.1312272174969626E-2</v>
      </c>
      <c r="I36">
        <f t="shared" si="0"/>
        <v>1</v>
      </c>
    </row>
    <row r="37" spans="1:9" ht="48" x14ac:dyDescent="0.2">
      <c r="A37" t="s">
        <v>3095</v>
      </c>
      <c r="B37">
        <v>28782</v>
      </c>
      <c r="C37">
        <v>793</v>
      </c>
      <c r="F37" s="4" t="s">
        <v>3096</v>
      </c>
      <c r="G37">
        <v>0.26167719888565338</v>
      </c>
      <c r="H37">
        <f t="shared" si="1"/>
        <v>4.25273390036452E-2</v>
      </c>
      <c r="I37">
        <f t="shared" si="0"/>
        <v>1</v>
      </c>
    </row>
    <row r="38" spans="1:9" ht="64" x14ac:dyDescent="0.2">
      <c r="A38" t="s">
        <v>3097</v>
      </c>
      <c r="B38">
        <v>29167</v>
      </c>
      <c r="C38">
        <v>1084</v>
      </c>
      <c r="F38" s="4" t="s">
        <v>3098</v>
      </c>
      <c r="G38">
        <v>0.26315689993963531</v>
      </c>
      <c r="H38">
        <f t="shared" si="1"/>
        <v>4.374240583232078E-2</v>
      </c>
      <c r="I38">
        <f t="shared" si="0"/>
        <v>1</v>
      </c>
    </row>
    <row r="39" spans="1:9" ht="48" x14ac:dyDescent="0.2">
      <c r="A39" t="s">
        <v>3099</v>
      </c>
      <c r="B39">
        <v>29281</v>
      </c>
      <c r="C39">
        <v>1166</v>
      </c>
      <c r="F39" s="4" t="s">
        <v>3100</v>
      </c>
      <c r="G39">
        <v>0.26354237295946542</v>
      </c>
      <c r="H39">
        <f t="shared" si="1"/>
        <v>4.4957472660996353E-2</v>
      </c>
      <c r="I39">
        <f t="shared" si="0"/>
        <v>1</v>
      </c>
    </row>
    <row r="40" spans="1:9" ht="48" x14ac:dyDescent="0.2">
      <c r="A40" t="s">
        <v>3101</v>
      </c>
      <c r="B40">
        <v>29755</v>
      </c>
      <c r="C40">
        <v>803</v>
      </c>
      <c r="F40" s="4" t="s">
        <v>3102</v>
      </c>
      <c r="G40">
        <v>0.26395760072685076</v>
      </c>
      <c r="H40">
        <f t="shared" si="1"/>
        <v>4.6172539489671933E-2</v>
      </c>
      <c r="I40">
        <f t="shared" si="0"/>
        <v>1</v>
      </c>
    </row>
    <row r="41" spans="1:9" ht="48" x14ac:dyDescent="0.2">
      <c r="A41" t="s">
        <v>3103</v>
      </c>
      <c r="B41">
        <v>30034</v>
      </c>
      <c r="C41">
        <v>902</v>
      </c>
      <c r="F41" s="4" t="s">
        <v>3104</v>
      </c>
      <c r="G41">
        <v>0.26501380717953893</v>
      </c>
      <c r="H41">
        <f t="shared" si="1"/>
        <v>4.7387606318347507E-2</v>
      </c>
      <c r="I41">
        <f t="shared" si="0"/>
        <v>1</v>
      </c>
    </row>
    <row r="42" spans="1:9" ht="48" x14ac:dyDescent="0.2">
      <c r="A42" t="s">
        <v>3105</v>
      </c>
      <c r="B42">
        <v>30125</v>
      </c>
      <c r="C42">
        <v>1975</v>
      </c>
      <c r="F42" s="4" t="s">
        <v>3106</v>
      </c>
      <c r="G42">
        <v>0.26507407227969793</v>
      </c>
      <c r="H42">
        <f t="shared" si="1"/>
        <v>4.8602673147023087E-2</v>
      </c>
      <c r="I42">
        <f t="shared" si="0"/>
        <v>1</v>
      </c>
    </row>
    <row r="43" spans="1:9" ht="64" x14ac:dyDescent="0.2">
      <c r="A43" t="s">
        <v>3107</v>
      </c>
      <c r="B43">
        <v>30206</v>
      </c>
      <c r="C43">
        <v>843</v>
      </c>
      <c r="F43" s="4" t="s">
        <v>3108</v>
      </c>
      <c r="G43">
        <v>0.26521200509430248</v>
      </c>
      <c r="H43">
        <f t="shared" si="1"/>
        <v>4.9817739975698661E-2</v>
      </c>
      <c r="I43">
        <f t="shared" si="0"/>
        <v>1</v>
      </c>
    </row>
    <row r="44" spans="1:9" ht="64" x14ac:dyDescent="0.2">
      <c r="A44" t="s">
        <v>3109</v>
      </c>
      <c r="B44">
        <v>30293</v>
      </c>
      <c r="C44">
        <v>1025</v>
      </c>
      <c r="F44" s="4" t="s">
        <v>3110</v>
      </c>
      <c r="G44">
        <v>0.26528146991630858</v>
      </c>
      <c r="H44">
        <f t="shared" si="1"/>
        <v>5.1032806804374241E-2</v>
      </c>
      <c r="I44">
        <f t="shared" si="0"/>
        <v>1</v>
      </c>
    </row>
    <row r="45" spans="1:9" ht="48" x14ac:dyDescent="0.2">
      <c r="A45" t="s">
        <v>3111</v>
      </c>
      <c r="B45">
        <v>30383</v>
      </c>
      <c r="C45">
        <v>1040</v>
      </c>
      <c r="F45" s="4" t="s">
        <v>3112</v>
      </c>
      <c r="G45">
        <v>0.26540599892972838</v>
      </c>
      <c r="H45">
        <f t="shared" si="1"/>
        <v>5.2247873633049821E-2</v>
      </c>
      <c r="I45">
        <f t="shared" si="0"/>
        <v>1</v>
      </c>
    </row>
    <row r="46" spans="1:9" ht="48" x14ac:dyDescent="0.2">
      <c r="A46" t="s">
        <v>3113</v>
      </c>
      <c r="B46">
        <v>30417</v>
      </c>
      <c r="C46">
        <v>874</v>
      </c>
      <c r="F46" s="4" t="s">
        <v>3114</v>
      </c>
      <c r="G46">
        <v>0.26570555899536247</v>
      </c>
      <c r="H46">
        <f t="shared" si="1"/>
        <v>5.3462940461725394E-2</v>
      </c>
      <c r="I46">
        <f t="shared" si="0"/>
        <v>1</v>
      </c>
    </row>
    <row r="47" spans="1:9" ht="48" x14ac:dyDescent="0.2">
      <c r="A47" t="s">
        <v>3115</v>
      </c>
      <c r="B47">
        <v>30563</v>
      </c>
      <c r="C47">
        <v>947</v>
      </c>
      <c r="F47" s="4" t="s">
        <v>3116</v>
      </c>
      <c r="G47">
        <v>0.26574396626976327</v>
      </c>
      <c r="H47">
        <f t="shared" si="1"/>
        <v>5.4678007290400975E-2</v>
      </c>
      <c r="I47">
        <f t="shared" si="0"/>
        <v>1</v>
      </c>
    </row>
    <row r="48" spans="1:9" ht="48" x14ac:dyDescent="0.2">
      <c r="A48" t="s">
        <v>3117</v>
      </c>
      <c r="B48">
        <v>30855</v>
      </c>
      <c r="C48">
        <v>710</v>
      </c>
      <c r="F48" s="4" t="s">
        <v>3118</v>
      </c>
      <c r="G48">
        <v>0.26611780339498742</v>
      </c>
      <c r="H48">
        <f t="shared" si="1"/>
        <v>5.5893074119076548E-2</v>
      </c>
      <c r="I48">
        <f t="shared" si="0"/>
        <v>1</v>
      </c>
    </row>
    <row r="49" spans="1:9" ht="48" x14ac:dyDescent="0.2">
      <c r="A49" t="s">
        <v>3119</v>
      </c>
      <c r="B49">
        <v>30987</v>
      </c>
      <c r="C49">
        <v>1018</v>
      </c>
      <c r="F49" s="4" t="s">
        <v>3120</v>
      </c>
      <c r="G49">
        <v>0.26646727701344997</v>
      </c>
      <c r="H49">
        <f t="shared" si="1"/>
        <v>5.7108140947752128E-2</v>
      </c>
      <c r="I49">
        <f t="shared" si="0"/>
        <v>1</v>
      </c>
    </row>
    <row r="50" spans="1:9" ht="64" x14ac:dyDescent="0.2">
      <c r="A50" t="s">
        <v>3121</v>
      </c>
      <c r="B50">
        <v>30995</v>
      </c>
      <c r="C50">
        <v>1050</v>
      </c>
      <c r="F50" s="4" t="s">
        <v>3122</v>
      </c>
      <c r="G50">
        <v>0.26690338715535256</v>
      </c>
      <c r="H50">
        <f t="shared" si="1"/>
        <v>5.8323207776427702E-2</v>
      </c>
      <c r="I50">
        <f t="shared" si="0"/>
        <v>1</v>
      </c>
    </row>
    <row r="51" spans="1:9" ht="64" x14ac:dyDescent="0.2">
      <c r="A51" t="s">
        <v>3123</v>
      </c>
      <c r="B51">
        <v>31179</v>
      </c>
      <c r="C51">
        <v>1114</v>
      </c>
      <c r="F51" s="4" t="s">
        <v>3124</v>
      </c>
      <c r="G51">
        <v>0.26820023893743117</v>
      </c>
      <c r="H51">
        <f t="shared" si="1"/>
        <v>5.9538274605103282E-2</v>
      </c>
      <c r="I51">
        <f t="shared" si="0"/>
        <v>1</v>
      </c>
    </row>
    <row r="52" spans="1:9" ht="48" x14ac:dyDescent="0.2">
      <c r="A52" t="s">
        <v>3125</v>
      </c>
      <c r="B52">
        <v>31309</v>
      </c>
      <c r="C52">
        <v>1024</v>
      </c>
      <c r="F52" s="4" t="s">
        <v>3126</v>
      </c>
      <c r="G52">
        <v>0.2687601053826687</v>
      </c>
      <c r="H52">
        <f t="shared" si="1"/>
        <v>6.0753341433778855E-2</v>
      </c>
      <c r="I52">
        <f t="shared" si="0"/>
        <v>1</v>
      </c>
    </row>
    <row r="53" spans="1:9" ht="48" x14ac:dyDescent="0.2">
      <c r="A53" t="s">
        <v>3127</v>
      </c>
      <c r="B53">
        <v>31618</v>
      </c>
      <c r="C53">
        <v>927</v>
      </c>
      <c r="F53" s="4" t="s">
        <v>3128</v>
      </c>
      <c r="G53">
        <v>0.26907153890270991</v>
      </c>
      <c r="H53">
        <f t="shared" si="1"/>
        <v>6.1968408262454436E-2</v>
      </c>
      <c r="I53">
        <f t="shared" si="0"/>
        <v>1</v>
      </c>
    </row>
    <row r="54" spans="1:9" ht="48" x14ac:dyDescent="0.2">
      <c r="A54" t="s">
        <v>3129</v>
      </c>
      <c r="B54">
        <v>31838</v>
      </c>
      <c r="C54">
        <v>1313</v>
      </c>
      <c r="F54" s="4" t="s">
        <v>3130</v>
      </c>
      <c r="G54">
        <v>0.26926439587687379</v>
      </c>
      <c r="H54">
        <f t="shared" si="1"/>
        <v>6.3183475091130009E-2</v>
      </c>
      <c r="I54">
        <f t="shared" si="0"/>
        <v>1</v>
      </c>
    </row>
    <row r="55" spans="1:9" ht="64" x14ac:dyDescent="0.2">
      <c r="A55" t="s">
        <v>3131</v>
      </c>
      <c r="B55">
        <v>31972</v>
      </c>
      <c r="C55">
        <v>998</v>
      </c>
      <c r="F55" s="4" t="s">
        <v>3132</v>
      </c>
      <c r="G55">
        <v>0.269987849112237</v>
      </c>
      <c r="H55">
        <f t="shared" si="1"/>
        <v>6.4398541919805583E-2</v>
      </c>
      <c r="I55">
        <f t="shared" si="0"/>
        <v>1</v>
      </c>
    </row>
    <row r="56" spans="1:9" ht="48" x14ac:dyDescent="0.2">
      <c r="A56" t="s">
        <v>3133</v>
      </c>
      <c r="B56">
        <v>32052</v>
      </c>
      <c r="C56">
        <v>903</v>
      </c>
      <c r="F56" s="4" t="s">
        <v>3134</v>
      </c>
      <c r="G56">
        <v>0.26999295057570299</v>
      </c>
      <c r="H56">
        <f t="shared" si="1"/>
        <v>6.561360874848117E-2</v>
      </c>
      <c r="I56">
        <f t="shared" si="0"/>
        <v>1</v>
      </c>
    </row>
    <row r="57" spans="1:9" ht="64" x14ac:dyDescent="0.2">
      <c r="A57" t="s">
        <v>3135</v>
      </c>
      <c r="B57">
        <v>32110</v>
      </c>
      <c r="C57">
        <v>1067</v>
      </c>
      <c r="F57" s="4" t="s">
        <v>3136</v>
      </c>
      <c r="G57">
        <v>0.27136483937065708</v>
      </c>
      <c r="H57">
        <f t="shared" si="1"/>
        <v>6.6828675577156743E-2</v>
      </c>
      <c r="I57">
        <f t="shared" si="0"/>
        <v>1</v>
      </c>
    </row>
    <row r="58" spans="1:9" ht="48" x14ac:dyDescent="0.2">
      <c r="A58" t="s">
        <v>3137</v>
      </c>
      <c r="B58">
        <v>32378</v>
      </c>
      <c r="C58">
        <v>1254</v>
      </c>
      <c r="F58" s="4" t="s">
        <v>3138</v>
      </c>
      <c r="G58">
        <v>0.27182426107393926</v>
      </c>
      <c r="H58">
        <f t="shared" si="1"/>
        <v>6.8043742405832316E-2</v>
      </c>
      <c r="I58">
        <f t="shared" si="0"/>
        <v>1</v>
      </c>
    </row>
    <row r="59" spans="1:9" ht="64" x14ac:dyDescent="0.2">
      <c r="A59" t="s">
        <v>3139</v>
      </c>
      <c r="B59">
        <v>32444</v>
      </c>
      <c r="C59">
        <v>1213</v>
      </c>
      <c r="F59" s="4" t="s">
        <v>3140</v>
      </c>
      <c r="G59">
        <v>0.27248203786018471</v>
      </c>
      <c r="H59">
        <f t="shared" si="1"/>
        <v>6.9258809234507904E-2</v>
      </c>
      <c r="I59">
        <f t="shared" si="0"/>
        <v>1</v>
      </c>
    </row>
    <row r="60" spans="1:9" ht="64" x14ac:dyDescent="0.2">
      <c r="A60" t="s">
        <v>3141</v>
      </c>
      <c r="B60">
        <v>33049</v>
      </c>
      <c r="C60">
        <v>1054</v>
      </c>
      <c r="F60" s="4" t="s">
        <v>3142</v>
      </c>
      <c r="G60">
        <v>0.27311825299948678</v>
      </c>
      <c r="H60">
        <f t="shared" si="1"/>
        <v>7.0473876063183477E-2</v>
      </c>
      <c r="I60">
        <f t="shared" si="0"/>
        <v>1</v>
      </c>
    </row>
    <row r="61" spans="1:9" ht="64" x14ac:dyDescent="0.2">
      <c r="A61" t="s">
        <v>3143</v>
      </c>
      <c r="B61">
        <v>33056</v>
      </c>
      <c r="C61">
        <v>1190</v>
      </c>
      <c r="F61" s="4" t="s">
        <v>3144</v>
      </c>
      <c r="G61">
        <v>0.27458913393235673</v>
      </c>
      <c r="H61">
        <f t="shared" si="1"/>
        <v>7.168894289185905E-2</v>
      </c>
      <c r="I61">
        <f t="shared" si="0"/>
        <v>1</v>
      </c>
    </row>
    <row r="62" spans="1:9" ht="48" x14ac:dyDescent="0.2">
      <c r="A62" t="s">
        <v>3145</v>
      </c>
      <c r="B62">
        <v>33221</v>
      </c>
      <c r="C62">
        <v>1213</v>
      </c>
      <c r="F62" s="4" t="s">
        <v>3146</v>
      </c>
      <c r="G62">
        <v>0.2747427564034331</v>
      </c>
      <c r="H62">
        <f t="shared" si="1"/>
        <v>7.2904009720534624E-2</v>
      </c>
      <c r="I62">
        <f t="shared" si="0"/>
        <v>1</v>
      </c>
    </row>
    <row r="63" spans="1:9" ht="48" x14ac:dyDescent="0.2">
      <c r="A63" t="s">
        <v>3147</v>
      </c>
      <c r="B63">
        <v>33750</v>
      </c>
      <c r="C63">
        <v>1069</v>
      </c>
      <c r="F63" s="4" t="s">
        <v>3148</v>
      </c>
      <c r="G63">
        <v>0.27559516193865163</v>
      </c>
      <c r="H63">
        <f t="shared" si="1"/>
        <v>7.4119076549210211E-2</v>
      </c>
      <c r="I63">
        <f t="shared" si="0"/>
        <v>1</v>
      </c>
    </row>
    <row r="64" spans="1:9" ht="48" x14ac:dyDescent="0.2">
      <c r="A64" t="s">
        <v>3149</v>
      </c>
      <c r="B64">
        <v>33942</v>
      </c>
      <c r="C64">
        <v>1146</v>
      </c>
      <c r="F64" s="4" t="s">
        <v>3150</v>
      </c>
      <c r="G64">
        <v>0.27575696739340916</v>
      </c>
      <c r="H64">
        <f t="shared" si="1"/>
        <v>7.5334143377885784E-2</v>
      </c>
      <c r="I64">
        <f t="shared" si="0"/>
        <v>1</v>
      </c>
    </row>
    <row r="65" spans="1:9" ht="48" x14ac:dyDescent="0.2">
      <c r="A65" t="s">
        <v>3151</v>
      </c>
      <c r="B65">
        <v>33958</v>
      </c>
      <c r="C65">
        <v>896</v>
      </c>
      <c r="F65" s="4" t="s">
        <v>3152</v>
      </c>
      <c r="G65">
        <v>0.27602744201794238</v>
      </c>
      <c r="H65">
        <f t="shared" si="1"/>
        <v>7.6549210206561358E-2</v>
      </c>
      <c r="I65">
        <f t="shared" si="0"/>
        <v>1</v>
      </c>
    </row>
    <row r="66" spans="1:9" ht="48" x14ac:dyDescent="0.2">
      <c r="A66" t="s">
        <v>3153</v>
      </c>
      <c r="B66">
        <v>34172</v>
      </c>
      <c r="C66">
        <v>1125</v>
      </c>
      <c r="F66" s="4" t="s">
        <v>3154</v>
      </c>
      <c r="G66">
        <v>0.27641758456435234</v>
      </c>
      <c r="H66">
        <f t="shared" si="1"/>
        <v>7.7764277035236931E-2</v>
      </c>
      <c r="I66">
        <f t="shared" si="0"/>
        <v>1</v>
      </c>
    </row>
    <row r="67" spans="1:9" ht="48" x14ac:dyDescent="0.2">
      <c r="A67" t="s">
        <v>3155</v>
      </c>
      <c r="B67">
        <v>34450</v>
      </c>
      <c r="C67">
        <v>1202</v>
      </c>
      <c r="F67" s="4" t="s">
        <v>3156</v>
      </c>
      <c r="G67">
        <v>0.27666386566212431</v>
      </c>
      <c r="H67">
        <f t="shared" si="1"/>
        <v>7.8979343863912518E-2</v>
      </c>
      <c r="I67">
        <f t="shared" ref="I67:I130" si="2">IF(H67&lt;0.2,1,IF(H67&lt;0.4,2,IF(H67&lt;0.6,3,IF(H67&lt;0.8,4,5))))</f>
        <v>1</v>
      </c>
    </row>
    <row r="68" spans="1:9" ht="64" x14ac:dyDescent="0.2">
      <c r="A68" t="s">
        <v>3157</v>
      </c>
      <c r="B68">
        <v>34507</v>
      </c>
      <c r="C68">
        <v>965</v>
      </c>
      <c r="F68" s="4" t="s">
        <v>3158</v>
      </c>
      <c r="G68">
        <v>0.27902813555377048</v>
      </c>
      <c r="H68">
        <f t="shared" ref="H68:H131" si="3">_xlfn.RANK.EQ(G68,$G$3:$G$825,1)/COUNT($G$3:$G$825)</f>
        <v>8.0194410692588092E-2</v>
      </c>
      <c r="I68">
        <f t="shared" si="2"/>
        <v>1</v>
      </c>
    </row>
    <row r="69" spans="1:9" ht="48" x14ac:dyDescent="0.2">
      <c r="A69" t="s">
        <v>3159</v>
      </c>
      <c r="B69">
        <v>34788</v>
      </c>
      <c r="C69">
        <v>1092</v>
      </c>
      <c r="F69" s="4" t="s">
        <v>3160</v>
      </c>
      <c r="G69">
        <v>0.28044039568323587</v>
      </c>
      <c r="H69">
        <f t="shared" si="3"/>
        <v>8.1409477521263665E-2</v>
      </c>
      <c r="I69">
        <f t="shared" si="2"/>
        <v>1</v>
      </c>
    </row>
    <row r="70" spans="1:9" ht="64" x14ac:dyDescent="0.2">
      <c r="A70" t="s">
        <v>3161</v>
      </c>
      <c r="B70">
        <v>35030</v>
      </c>
      <c r="C70">
        <v>1127</v>
      </c>
      <c r="F70" s="4" t="s">
        <v>3162</v>
      </c>
      <c r="G70">
        <v>0.28162994318540802</v>
      </c>
      <c r="H70">
        <f t="shared" si="3"/>
        <v>8.2624544349939252E-2</v>
      </c>
      <c r="I70">
        <f t="shared" si="2"/>
        <v>1</v>
      </c>
    </row>
    <row r="71" spans="1:9" ht="64" x14ac:dyDescent="0.2">
      <c r="A71" t="s">
        <v>3163</v>
      </c>
      <c r="B71">
        <v>35163</v>
      </c>
      <c r="C71">
        <v>1256</v>
      </c>
      <c r="F71" s="4" t="s">
        <v>3164</v>
      </c>
      <c r="G71">
        <v>0.28202178694760693</v>
      </c>
      <c r="H71">
        <f t="shared" si="3"/>
        <v>8.3839611178614826E-2</v>
      </c>
      <c r="I71">
        <f t="shared" si="2"/>
        <v>1</v>
      </c>
    </row>
    <row r="72" spans="1:9" ht="64" x14ac:dyDescent="0.2">
      <c r="A72" t="s">
        <v>3165</v>
      </c>
      <c r="B72">
        <v>35234</v>
      </c>
      <c r="C72">
        <v>1033</v>
      </c>
      <c r="F72" s="4" t="s">
        <v>3166</v>
      </c>
      <c r="G72">
        <v>0.28235574391302404</v>
      </c>
      <c r="H72">
        <f t="shared" si="3"/>
        <v>8.5054678007290399E-2</v>
      </c>
      <c r="I72">
        <f t="shared" si="2"/>
        <v>1</v>
      </c>
    </row>
    <row r="73" spans="1:9" ht="64" x14ac:dyDescent="0.2">
      <c r="A73" t="s">
        <v>3167</v>
      </c>
      <c r="B73">
        <v>35313</v>
      </c>
      <c r="C73">
        <v>912</v>
      </c>
      <c r="F73" s="4" t="s">
        <v>3168</v>
      </c>
      <c r="G73">
        <v>0.28270133566461475</v>
      </c>
      <c r="H73">
        <f t="shared" si="3"/>
        <v>8.6269744835965972E-2</v>
      </c>
      <c r="I73">
        <f t="shared" si="2"/>
        <v>1</v>
      </c>
    </row>
    <row r="74" spans="1:9" ht="64" x14ac:dyDescent="0.2">
      <c r="A74" t="s">
        <v>3169</v>
      </c>
      <c r="B74">
        <v>35460</v>
      </c>
      <c r="C74">
        <v>859</v>
      </c>
      <c r="F74" s="4" t="s">
        <v>3170</v>
      </c>
      <c r="G74">
        <v>0.28283723074183525</v>
      </c>
      <c r="H74">
        <f t="shared" si="3"/>
        <v>8.748481166464156E-2</v>
      </c>
      <c r="I74">
        <f t="shared" si="2"/>
        <v>1</v>
      </c>
    </row>
    <row r="75" spans="1:9" ht="64" x14ac:dyDescent="0.2">
      <c r="A75" t="s">
        <v>3171</v>
      </c>
      <c r="B75">
        <v>35463</v>
      </c>
      <c r="C75">
        <v>998</v>
      </c>
      <c r="F75" s="4" t="s">
        <v>3172</v>
      </c>
      <c r="G75">
        <v>0.28304750326493533</v>
      </c>
      <c r="H75">
        <f t="shared" si="3"/>
        <v>8.8699878493317133E-2</v>
      </c>
      <c r="I75">
        <f t="shared" si="2"/>
        <v>1</v>
      </c>
    </row>
    <row r="76" spans="1:9" ht="48" x14ac:dyDescent="0.2">
      <c r="A76" t="s">
        <v>3173</v>
      </c>
      <c r="B76">
        <v>35492</v>
      </c>
      <c r="C76">
        <v>1228</v>
      </c>
      <c r="F76" s="4" t="s">
        <v>3174</v>
      </c>
      <c r="G76">
        <v>0.28310806380765913</v>
      </c>
      <c r="H76">
        <f t="shared" si="3"/>
        <v>8.9914945321992706E-2</v>
      </c>
      <c r="I76">
        <f t="shared" si="2"/>
        <v>1</v>
      </c>
    </row>
    <row r="77" spans="1:9" ht="64" x14ac:dyDescent="0.2">
      <c r="A77" t="s">
        <v>3175</v>
      </c>
      <c r="B77">
        <v>35799</v>
      </c>
      <c r="C77">
        <v>963</v>
      </c>
      <c r="F77" s="4" t="s">
        <v>3176</v>
      </c>
      <c r="G77">
        <v>0.28312886534334947</v>
      </c>
      <c r="H77">
        <f t="shared" si="3"/>
        <v>9.1130012150668294E-2</v>
      </c>
      <c r="I77">
        <f t="shared" si="2"/>
        <v>1</v>
      </c>
    </row>
    <row r="78" spans="1:9" ht="48" x14ac:dyDescent="0.2">
      <c r="A78" t="s">
        <v>3177</v>
      </c>
      <c r="B78">
        <v>36058</v>
      </c>
      <c r="C78">
        <v>1247</v>
      </c>
      <c r="F78" s="4" t="s">
        <v>3178</v>
      </c>
      <c r="G78">
        <v>0.28315219635447619</v>
      </c>
      <c r="H78">
        <f t="shared" si="3"/>
        <v>9.2345078979343867E-2</v>
      </c>
      <c r="I78">
        <f t="shared" si="2"/>
        <v>1</v>
      </c>
    </row>
    <row r="79" spans="1:9" ht="64" x14ac:dyDescent="0.2">
      <c r="A79" t="s">
        <v>3179</v>
      </c>
      <c r="B79">
        <v>36120</v>
      </c>
      <c r="C79">
        <v>1020</v>
      </c>
      <c r="F79" s="4" t="s">
        <v>3180</v>
      </c>
      <c r="G79">
        <v>0.28327930519918321</v>
      </c>
      <c r="H79">
        <f t="shared" si="3"/>
        <v>9.356014580801944E-2</v>
      </c>
      <c r="I79">
        <f t="shared" si="2"/>
        <v>1</v>
      </c>
    </row>
    <row r="80" spans="1:9" ht="48" x14ac:dyDescent="0.2">
      <c r="A80" t="s">
        <v>3181</v>
      </c>
      <c r="B80">
        <v>36304</v>
      </c>
      <c r="C80">
        <v>1165</v>
      </c>
      <c r="F80" s="4" t="s">
        <v>3182</v>
      </c>
      <c r="G80">
        <v>0.28330410573503295</v>
      </c>
      <c r="H80">
        <f t="shared" si="3"/>
        <v>9.4775212636695014E-2</v>
      </c>
      <c r="I80">
        <f t="shared" si="2"/>
        <v>1</v>
      </c>
    </row>
    <row r="81" spans="1:9" ht="48" x14ac:dyDescent="0.2">
      <c r="A81" t="s">
        <v>3183</v>
      </c>
      <c r="B81">
        <v>36495</v>
      </c>
      <c r="C81">
        <v>1081</v>
      </c>
      <c r="F81" s="4" t="s">
        <v>3184</v>
      </c>
      <c r="G81">
        <v>0.28350983409654734</v>
      </c>
      <c r="H81">
        <f t="shared" si="3"/>
        <v>9.5990279465370601E-2</v>
      </c>
      <c r="I81">
        <f t="shared" si="2"/>
        <v>1</v>
      </c>
    </row>
    <row r="82" spans="1:9" ht="64" x14ac:dyDescent="0.2">
      <c r="A82" t="s">
        <v>3185</v>
      </c>
      <c r="B82">
        <v>36540</v>
      </c>
      <c r="C82">
        <v>1129</v>
      </c>
      <c r="F82" s="4" t="s">
        <v>3186</v>
      </c>
      <c r="G82">
        <v>0.2843667206804098</v>
      </c>
      <c r="H82">
        <f t="shared" si="3"/>
        <v>9.7205346294046174E-2</v>
      </c>
      <c r="I82">
        <f t="shared" si="2"/>
        <v>1</v>
      </c>
    </row>
    <row r="83" spans="1:9" ht="64" x14ac:dyDescent="0.2">
      <c r="A83" t="s">
        <v>3187</v>
      </c>
      <c r="B83">
        <v>36743</v>
      </c>
      <c r="C83">
        <v>1060</v>
      </c>
      <c r="F83" s="4" t="s">
        <v>3188</v>
      </c>
      <c r="G83">
        <v>0.28436681519564577</v>
      </c>
      <c r="H83">
        <f t="shared" si="3"/>
        <v>9.8420413122721748E-2</v>
      </c>
      <c r="I83">
        <f t="shared" si="2"/>
        <v>1</v>
      </c>
    </row>
    <row r="84" spans="1:9" ht="64" x14ac:dyDescent="0.2">
      <c r="A84" t="s">
        <v>3189</v>
      </c>
      <c r="B84">
        <v>37353</v>
      </c>
      <c r="C84">
        <v>1097</v>
      </c>
      <c r="F84" s="4" t="s">
        <v>3190</v>
      </c>
      <c r="G84">
        <v>0.28468205929741891</v>
      </c>
      <c r="H84">
        <f t="shared" si="3"/>
        <v>9.9635479951397321E-2</v>
      </c>
      <c r="I84">
        <f t="shared" si="2"/>
        <v>1</v>
      </c>
    </row>
    <row r="85" spans="1:9" ht="48" x14ac:dyDescent="0.2">
      <c r="A85" t="s">
        <v>3191</v>
      </c>
      <c r="B85">
        <v>37403</v>
      </c>
      <c r="C85">
        <v>1017</v>
      </c>
      <c r="F85" s="4" t="s">
        <v>3192</v>
      </c>
      <c r="G85">
        <v>0.28490943189667983</v>
      </c>
      <c r="H85">
        <f t="shared" si="3"/>
        <v>0.10085054678007291</v>
      </c>
      <c r="I85">
        <f t="shared" si="2"/>
        <v>1</v>
      </c>
    </row>
    <row r="86" spans="1:9" ht="48" x14ac:dyDescent="0.2">
      <c r="A86" t="s">
        <v>3193</v>
      </c>
      <c r="B86">
        <v>37463</v>
      </c>
      <c r="C86">
        <v>946</v>
      </c>
      <c r="F86" s="4" t="s">
        <v>3194</v>
      </c>
      <c r="G86">
        <v>0.28513017385227096</v>
      </c>
      <c r="H86">
        <f t="shared" si="3"/>
        <v>0.10206561360874848</v>
      </c>
      <c r="I86">
        <f t="shared" si="2"/>
        <v>1</v>
      </c>
    </row>
    <row r="87" spans="1:9" ht="48" x14ac:dyDescent="0.2">
      <c r="A87" t="s">
        <v>3195</v>
      </c>
      <c r="B87">
        <v>37481</v>
      </c>
      <c r="C87">
        <v>1269</v>
      </c>
      <c r="F87" s="4" t="s">
        <v>3196</v>
      </c>
      <c r="G87">
        <v>0.28581149186523569</v>
      </c>
      <c r="H87">
        <f t="shared" si="3"/>
        <v>0.10328068043742406</v>
      </c>
      <c r="I87">
        <f t="shared" si="2"/>
        <v>1</v>
      </c>
    </row>
    <row r="88" spans="1:9" ht="48" x14ac:dyDescent="0.2">
      <c r="A88" t="s">
        <v>3197</v>
      </c>
      <c r="B88">
        <v>37688</v>
      </c>
      <c r="C88">
        <v>970</v>
      </c>
      <c r="F88" s="4" t="s">
        <v>3198</v>
      </c>
      <c r="G88">
        <v>0.28648356730362845</v>
      </c>
      <c r="H88">
        <f t="shared" si="3"/>
        <v>0.10449574726609964</v>
      </c>
      <c r="I88">
        <f t="shared" si="2"/>
        <v>1</v>
      </c>
    </row>
    <row r="89" spans="1:9" ht="48" x14ac:dyDescent="0.2">
      <c r="A89" t="s">
        <v>3199</v>
      </c>
      <c r="B89">
        <v>37802</v>
      </c>
      <c r="C89">
        <v>1162</v>
      </c>
      <c r="F89" s="4" t="s">
        <v>3200</v>
      </c>
      <c r="G89">
        <v>0.28742175784443358</v>
      </c>
      <c r="H89">
        <f t="shared" si="3"/>
        <v>0.10571081409477522</v>
      </c>
      <c r="I89">
        <f t="shared" si="2"/>
        <v>1</v>
      </c>
    </row>
    <row r="90" spans="1:9" ht="48" x14ac:dyDescent="0.2">
      <c r="A90" t="s">
        <v>3201</v>
      </c>
      <c r="B90">
        <v>38560</v>
      </c>
      <c r="C90">
        <v>1230</v>
      </c>
      <c r="F90" s="4" t="s">
        <v>3202</v>
      </c>
      <c r="G90">
        <v>0.28743560748271829</v>
      </c>
      <c r="H90">
        <f t="shared" si="3"/>
        <v>0.10692588092345079</v>
      </c>
      <c r="I90">
        <f t="shared" si="2"/>
        <v>1</v>
      </c>
    </row>
    <row r="91" spans="1:9" ht="64" x14ac:dyDescent="0.2">
      <c r="A91" t="s">
        <v>3203</v>
      </c>
      <c r="B91">
        <v>39167</v>
      </c>
      <c r="C91">
        <v>1130</v>
      </c>
      <c r="F91" s="4" t="s">
        <v>3204</v>
      </c>
      <c r="G91">
        <v>0.28783845139375291</v>
      </c>
      <c r="H91">
        <f t="shared" si="3"/>
        <v>0.10814094775212636</v>
      </c>
      <c r="I91">
        <f t="shared" si="2"/>
        <v>1</v>
      </c>
    </row>
    <row r="92" spans="1:9" ht="64" x14ac:dyDescent="0.2">
      <c r="A92" t="s">
        <v>3205</v>
      </c>
      <c r="B92">
        <v>39196</v>
      </c>
      <c r="C92">
        <v>1097</v>
      </c>
      <c r="F92" s="4" t="s">
        <v>3206</v>
      </c>
      <c r="G92">
        <v>0.28786256020181056</v>
      </c>
      <c r="H92">
        <f t="shared" si="3"/>
        <v>0.10935601458080195</v>
      </c>
      <c r="I92">
        <f t="shared" si="2"/>
        <v>1</v>
      </c>
    </row>
    <row r="93" spans="1:9" ht="64" x14ac:dyDescent="0.2">
      <c r="A93" t="s">
        <v>3207</v>
      </c>
      <c r="B93">
        <v>39545</v>
      </c>
      <c r="C93">
        <v>1034</v>
      </c>
      <c r="F93" s="4" t="s">
        <v>3208</v>
      </c>
      <c r="G93">
        <v>0.28881289613941058</v>
      </c>
      <c r="H93">
        <f t="shared" si="3"/>
        <v>0.11057108140947752</v>
      </c>
      <c r="I93">
        <f t="shared" si="2"/>
        <v>1</v>
      </c>
    </row>
    <row r="94" spans="1:9" ht="48" x14ac:dyDescent="0.2">
      <c r="A94" t="s">
        <v>3209</v>
      </c>
      <c r="B94">
        <v>39737</v>
      </c>
      <c r="C94">
        <v>1228</v>
      </c>
      <c r="F94" s="4" t="s">
        <v>3210</v>
      </c>
      <c r="G94">
        <v>0.2891563083263064</v>
      </c>
      <c r="H94">
        <f t="shared" si="3"/>
        <v>0.1117861482381531</v>
      </c>
      <c r="I94">
        <f t="shared" si="2"/>
        <v>1</v>
      </c>
    </row>
    <row r="95" spans="1:9" ht="64" x14ac:dyDescent="0.2">
      <c r="A95" t="s">
        <v>3211</v>
      </c>
      <c r="B95">
        <v>40066</v>
      </c>
      <c r="C95">
        <v>1014</v>
      </c>
      <c r="F95" s="4" t="s">
        <v>3212</v>
      </c>
      <c r="G95">
        <v>0.28916231012420829</v>
      </c>
      <c r="H95">
        <f t="shared" si="3"/>
        <v>0.11300121506682867</v>
      </c>
      <c r="I95">
        <f t="shared" si="2"/>
        <v>1</v>
      </c>
    </row>
    <row r="96" spans="1:9" ht="48" x14ac:dyDescent="0.2">
      <c r="A96" t="s">
        <v>3213</v>
      </c>
      <c r="B96">
        <v>40075</v>
      </c>
      <c r="C96">
        <v>1314</v>
      </c>
      <c r="F96" s="4" t="s">
        <v>3214</v>
      </c>
      <c r="G96">
        <v>0.28944071649941455</v>
      </c>
      <c r="H96">
        <f t="shared" si="3"/>
        <v>0.11421628189550426</v>
      </c>
      <c r="I96">
        <f t="shared" si="2"/>
        <v>1</v>
      </c>
    </row>
    <row r="97" spans="1:9" ht="64" x14ac:dyDescent="0.2">
      <c r="A97" t="s">
        <v>3215</v>
      </c>
      <c r="B97">
        <v>40169</v>
      </c>
      <c r="C97">
        <v>1058</v>
      </c>
      <c r="F97" s="4" t="s">
        <v>3216</v>
      </c>
      <c r="G97">
        <v>0.28960118187146189</v>
      </c>
      <c r="H97">
        <f t="shared" si="3"/>
        <v>0.11543134872417983</v>
      </c>
      <c r="I97">
        <f t="shared" si="2"/>
        <v>1</v>
      </c>
    </row>
    <row r="98" spans="1:9" ht="64" x14ac:dyDescent="0.2">
      <c r="A98" t="s">
        <v>3217</v>
      </c>
      <c r="B98">
        <v>40245</v>
      </c>
      <c r="C98">
        <v>1131</v>
      </c>
      <c r="F98" s="4" t="s">
        <v>3218</v>
      </c>
      <c r="G98">
        <v>0.28971250432975404</v>
      </c>
      <c r="H98">
        <f t="shared" si="3"/>
        <v>0.1166464155528554</v>
      </c>
      <c r="I98">
        <f t="shared" si="2"/>
        <v>1</v>
      </c>
    </row>
    <row r="99" spans="1:9" ht="48" x14ac:dyDescent="0.2">
      <c r="A99" t="s">
        <v>3219</v>
      </c>
      <c r="B99">
        <v>40625</v>
      </c>
      <c r="C99">
        <v>1226</v>
      </c>
      <c r="F99" s="4" t="s">
        <v>3220</v>
      </c>
      <c r="G99">
        <v>0.28975975094672807</v>
      </c>
      <c r="H99">
        <f t="shared" si="3"/>
        <v>0.11786148238153099</v>
      </c>
      <c r="I99">
        <f t="shared" si="2"/>
        <v>1</v>
      </c>
    </row>
    <row r="100" spans="1:9" ht="48" x14ac:dyDescent="0.2">
      <c r="A100" t="s">
        <v>3221</v>
      </c>
      <c r="B100">
        <v>40637</v>
      </c>
      <c r="C100">
        <v>1182</v>
      </c>
      <c r="F100" s="4" t="s">
        <v>3222</v>
      </c>
      <c r="G100">
        <v>0.29014657414887463</v>
      </c>
      <c r="H100">
        <f t="shared" si="3"/>
        <v>0.11907654921020656</v>
      </c>
      <c r="I100">
        <f t="shared" si="2"/>
        <v>1</v>
      </c>
    </row>
    <row r="101" spans="1:9" ht="64" x14ac:dyDescent="0.2">
      <c r="A101" t="s">
        <v>3223</v>
      </c>
      <c r="B101">
        <v>40913</v>
      </c>
      <c r="C101">
        <v>1104</v>
      </c>
      <c r="F101" s="4" t="s">
        <v>3224</v>
      </c>
      <c r="G101">
        <v>0.29043440817806582</v>
      </c>
      <c r="H101">
        <f t="shared" si="3"/>
        <v>0.12029161603888214</v>
      </c>
      <c r="I101">
        <f t="shared" si="2"/>
        <v>1</v>
      </c>
    </row>
    <row r="102" spans="1:9" ht="48" x14ac:dyDescent="0.2">
      <c r="A102" t="s">
        <v>3225</v>
      </c>
      <c r="B102">
        <v>41218</v>
      </c>
      <c r="C102">
        <v>1185</v>
      </c>
      <c r="F102" s="4" t="s">
        <v>3226</v>
      </c>
      <c r="G102">
        <v>0.29107585173369593</v>
      </c>
      <c r="H102">
        <f t="shared" si="3"/>
        <v>0.12150668286755771</v>
      </c>
      <c r="I102">
        <f t="shared" si="2"/>
        <v>1</v>
      </c>
    </row>
    <row r="103" spans="1:9" ht="48" x14ac:dyDescent="0.2">
      <c r="A103" t="s">
        <v>3227</v>
      </c>
      <c r="B103">
        <v>41467</v>
      </c>
      <c r="C103">
        <v>1077</v>
      </c>
      <c r="F103" s="4" t="s">
        <v>3228</v>
      </c>
      <c r="G103">
        <v>0.29115080313101643</v>
      </c>
      <c r="H103">
        <f t="shared" si="3"/>
        <v>0.1227217496962333</v>
      </c>
      <c r="I103">
        <f t="shared" si="2"/>
        <v>1</v>
      </c>
    </row>
    <row r="104" spans="1:9" ht="48" x14ac:dyDescent="0.2">
      <c r="A104" t="s">
        <v>3229</v>
      </c>
      <c r="B104">
        <v>41477</v>
      </c>
      <c r="C104">
        <v>1263</v>
      </c>
      <c r="F104" s="4" t="s">
        <v>3230</v>
      </c>
      <c r="G104">
        <v>0.29121531903903208</v>
      </c>
      <c r="H104">
        <f t="shared" si="3"/>
        <v>0.12393681652490887</v>
      </c>
      <c r="I104">
        <f t="shared" si="2"/>
        <v>1</v>
      </c>
    </row>
    <row r="105" spans="1:9" ht="48" x14ac:dyDescent="0.2">
      <c r="A105" t="s">
        <v>3231</v>
      </c>
      <c r="B105">
        <v>41616</v>
      </c>
      <c r="C105">
        <v>886</v>
      </c>
      <c r="F105" s="4" t="s">
        <v>3232</v>
      </c>
      <c r="G105">
        <v>0.29135966901424698</v>
      </c>
      <c r="H105">
        <f t="shared" si="3"/>
        <v>0.12515188335358446</v>
      </c>
      <c r="I105">
        <f t="shared" si="2"/>
        <v>1</v>
      </c>
    </row>
    <row r="106" spans="1:9" ht="64" x14ac:dyDescent="0.2">
      <c r="A106" t="s">
        <v>3233</v>
      </c>
      <c r="B106">
        <v>41881</v>
      </c>
      <c r="C106">
        <v>1365</v>
      </c>
      <c r="F106" s="4" t="s">
        <v>3234</v>
      </c>
      <c r="G106">
        <v>0.29186377763903926</v>
      </c>
      <c r="H106">
        <f t="shared" si="3"/>
        <v>0.12636695018226002</v>
      </c>
      <c r="I106">
        <f t="shared" si="2"/>
        <v>1</v>
      </c>
    </row>
    <row r="107" spans="1:9" ht="48" x14ac:dyDescent="0.2">
      <c r="A107" t="s">
        <v>3235</v>
      </c>
      <c r="B107">
        <v>42021</v>
      </c>
      <c r="C107">
        <v>1142</v>
      </c>
      <c r="F107" s="4" t="s">
        <v>3236</v>
      </c>
      <c r="G107">
        <v>0.29187064657520939</v>
      </c>
      <c r="H107">
        <f t="shared" si="3"/>
        <v>0.12758201701093561</v>
      </c>
      <c r="I107">
        <f t="shared" si="2"/>
        <v>1</v>
      </c>
    </row>
    <row r="108" spans="1:9" ht="64" x14ac:dyDescent="0.2">
      <c r="A108" t="s">
        <v>3237</v>
      </c>
      <c r="B108">
        <v>42095</v>
      </c>
      <c r="C108">
        <v>1195</v>
      </c>
      <c r="F108" s="4" t="s">
        <v>3238</v>
      </c>
      <c r="G108">
        <v>0.29205594022133119</v>
      </c>
      <c r="H108">
        <f t="shared" si="3"/>
        <v>0.12879708383961117</v>
      </c>
      <c r="I108">
        <f t="shared" si="2"/>
        <v>1</v>
      </c>
    </row>
    <row r="109" spans="1:9" ht="48" x14ac:dyDescent="0.2">
      <c r="A109" t="s">
        <v>3239</v>
      </c>
      <c r="B109">
        <v>42188</v>
      </c>
      <c r="C109">
        <v>882</v>
      </c>
      <c r="F109" s="4" t="s">
        <v>3240</v>
      </c>
      <c r="G109">
        <v>0.29224151485056427</v>
      </c>
      <c r="H109">
        <f t="shared" si="3"/>
        <v>0.13001215066828675</v>
      </c>
      <c r="I109">
        <f t="shared" si="2"/>
        <v>1</v>
      </c>
    </row>
    <row r="110" spans="1:9" ht="64" x14ac:dyDescent="0.2">
      <c r="A110" t="s">
        <v>3241</v>
      </c>
      <c r="B110">
        <v>42476</v>
      </c>
      <c r="C110">
        <v>1025</v>
      </c>
      <c r="F110" s="4" t="s">
        <v>3242</v>
      </c>
      <c r="G110">
        <v>0.29241913580413886</v>
      </c>
      <c r="H110">
        <f t="shared" si="3"/>
        <v>0.13122721749696234</v>
      </c>
      <c r="I110">
        <f t="shared" si="2"/>
        <v>1</v>
      </c>
    </row>
    <row r="111" spans="1:9" ht="64" x14ac:dyDescent="0.2">
      <c r="A111" t="s">
        <v>3243</v>
      </c>
      <c r="B111">
        <v>42688</v>
      </c>
      <c r="C111">
        <v>1292</v>
      </c>
      <c r="F111" s="4" t="s">
        <v>3244</v>
      </c>
      <c r="G111">
        <v>0.29246739877959177</v>
      </c>
      <c r="H111">
        <f t="shared" si="3"/>
        <v>0.1324422843256379</v>
      </c>
      <c r="I111">
        <f t="shared" si="2"/>
        <v>1</v>
      </c>
    </row>
    <row r="112" spans="1:9" ht="64" x14ac:dyDescent="0.2">
      <c r="A112" t="s">
        <v>3245</v>
      </c>
      <c r="B112">
        <v>42826</v>
      </c>
      <c r="C112">
        <v>1318</v>
      </c>
      <c r="F112" s="4" t="s">
        <v>3246</v>
      </c>
      <c r="G112">
        <v>0.29253999403542535</v>
      </c>
      <c r="H112">
        <f t="shared" si="3"/>
        <v>0.13365735115431349</v>
      </c>
      <c r="I112">
        <f t="shared" si="2"/>
        <v>1</v>
      </c>
    </row>
    <row r="113" spans="1:9" ht="48" x14ac:dyDescent="0.2">
      <c r="A113" t="s">
        <v>3247</v>
      </c>
      <c r="B113">
        <v>42969</v>
      </c>
      <c r="C113">
        <v>1287</v>
      </c>
      <c r="F113" s="4" t="s">
        <v>3248</v>
      </c>
      <c r="G113">
        <v>0.29277080566342351</v>
      </c>
      <c r="H113">
        <f t="shared" si="3"/>
        <v>0.13487241798298907</v>
      </c>
      <c r="I113">
        <f t="shared" si="2"/>
        <v>1</v>
      </c>
    </row>
    <row r="114" spans="1:9" ht="64" x14ac:dyDescent="0.2">
      <c r="A114" t="s">
        <v>3249</v>
      </c>
      <c r="B114">
        <v>43175</v>
      </c>
      <c r="C114">
        <v>1238</v>
      </c>
      <c r="F114" s="4" t="s">
        <v>3250</v>
      </c>
      <c r="G114">
        <v>0.29281309437028569</v>
      </c>
      <c r="H114">
        <f t="shared" si="3"/>
        <v>0.13608748481166463</v>
      </c>
      <c r="I114">
        <f t="shared" si="2"/>
        <v>1</v>
      </c>
    </row>
    <row r="115" spans="1:9" ht="48" x14ac:dyDescent="0.2">
      <c r="A115" t="s">
        <v>3251</v>
      </c>
      <c r="B115">
        <v>43357</v>
      </c>
      <c r="C115">
        <v>1564</v>
      </c>
      <c r="F115" s="4" t="s">
        <v>3252</v>
      </c>
      <c r="G115">
        <v>0.29305264239059736</v>
      </c>
      <c r="H115">
        <f t="shared" si="3"/>
        <v>0.13730255164034022</v>
      </c>
      <c r="I115">
        <f t="shared" si="2"/>
        <v>1</v>
      </c>
    </row>
    <row r="116" spans="1:9" ht="64" x14ac:dyDescent="0.2">
      <c r="A116" t="s">
        <v>3253</v>
      </c>
      <c r="B116">
        <v>43393</v>
      </c>
      <c r="C116">
        <v>1098</v>
      </c>
      <c r="F116" s="4" t="s">
        <v>3254</v>
      </c>
      <c r="G116">
        <v>0.29321319762575693</v>
      </c>
      <c r="H116">
        <f t="shared" si="3"/>
        <v>0.13851761846901581</v>
      </c>
      <c r="I116">
        <f t="shared" si="2"/>
        <v>1</v>
      </c>
    </row>
    <row r="117" spans="1:9" ht="48" x14ac:dyDescent="0.2">
      <c r="A117" t="s">
        <v>3255</v>
      </c>
      <c r="B117">
        <v>43600</v>
      </c>
      <c r="C117">
        <v>1171</v>
      </c>
      <c r="F117" s="4" t="s">
        <v>3256</v>
      </c>
      <c r="G117">
        <v>0.29352712752878851</v>
      </c>
      <c r="H117">
        <f t="shared" si="3"/>
        <v>0.13973268529769137</v>
      </c>
      <c r="I117">
        <f t="shared" si="2"/>
        <v>1</v>
      </c>
    </row>
    <row r="118" spans="1:9" ht="48" x14ac:dyDescent="0.2">
      <c r="A118" t="s">
        <v>3257</v>
      </c>
      <c r="B118">
        <v>43716</v>
      </c>
      <c r="C118">
        <v>977</v>
      </c>
      <c r="F118" s="4" t="s">
        <v>3258</v>
      </c>
      <c r="G118">
        <v>0.29418294039993387</v>
      </c>
      <c r="H118">
        <f t="shared" si="3"/>
        <v>0.14094775212636695</v>
      </c>
      <c r="I118">
        <f t="shared" si="2"/>
        <v>1</v>
      </c>
    </row>
    <row r="119" spans="1:9" ht="64" x14ac:dyDescent="0.2">
      <c r="A119" t="s">
        <v>3259</v>
      </c>
      <c r="B119">
        <v>43750</v>
      </c>
      <c r="C119">
        <v>958</v>
      </c>
      <c r="F119" s="4" t="s">
        <v>3260</v>
      </c>
      <c r="G119">
        <v>0.29459374271905336</v>
      </c>
      <c r="H119">
        <f t="shared" si="3"/>
        <v>0.14216281895504251</v>
      </c>
      <c r="I119">
        <f t="shared" si="2"/>
        <v>1</v>
      </c>
    </row>
    <row r="120" spans="1:9" ht="64" x14ac:dyDescent="0.2">
      <c r="A120" t="s">
        <v>3261</v>
      </c>
      <c r="B120">
        <v>44015</v>
      </c>
      <c r="C120">
        <v>1189</v>
      </c>
      <c r="F120" s="4" t="s">
        <v>3262</v>
      </c>
      <c r="G120">
        <v>0.29487611761559834</v>
      </c>
      <c r="H120">
        <f t="shared" si="3"/>
        <v>0.1433778857837181</v>
      </c>
      <c r="I120">
        <f t="shared" si="2"/>
        <v>1</v>
      </c>
    </row>
    <row r="121" spans="1:9" ht="64" x14ac:dyDescent="0.2">
      <c r="A121" t="s">
        <v>3263</v>
      </c>
      <c r="B121">
        <v>44352</v>
      </c>
      <c r="C121">
        <v>1015</v>
      </c>
      <c r="F121" s="4" t="s">
        <v>3264</v>
      </c>
      <c r="G121">
        <v>0.29551044493366496</v>
      </c>
      <c r="H121">
        <f t="shared" si="3"/>
        <v>0.14459295261239369</v>
      </c>
      <c r="I121">
        <f t="shared" si="2"/>
        <v>1</v>
      </c>
    </row>
    <row r="122" spans="1:9" ht="64" x14ac:dyDescent="0.2">
      <c r="A122" t="s">
        <v>3265</v>
      </c>
      <c r="B122">
        <v>44473</v>
      </c>
      <c r="C122">
        <v>1045</v>
      </c>
      <c r="F122" s="4" t="s">
        <v>3266</v>
      </c>
      <c r="G122">
        <v>0.29582489196913447</v>
      </c>
      <c r="H122">
        <f t="shared" si="3"/>
        <v>0.14580801944106925</v>
      </c>
      <c r="I122">
        <f t="shared" si="2"/>
        <v>1</v>
      </c>
    </row>
    <row r="123" spans="1:9" ht="64" x14ac:dyDescent="0.2">
      <c r="A123" t="s">
        <v>3267</v>
      </c>
      <c r="B123">
        <v>44635</v>
      </c>
      <c r="C123">
        <v>1345</v>
      </c>
      <c r="F123" s="4" t="s">
        <v>3268</v>
      </c>
      <c r="G123">
        <v>0.29586223477685852</v>
      </c>
      <c r="H123">
        <f t="shared" si="3"/>
        <v>0.14702308626974483</v>
      </c>
      <c r="I123">
        <f t="shared" si="2"/>
        <v>1</v>
      </c>
    </row>
    <row r="124" spans="1:9" ht="64" x14ac:dyDescent="0.2">
      <c r="A124" t="s">
        <v>3269</v>
      </c>
      <c r="B124">
        <v>44815</v>
      </c>
      <c r="C124">
        <v>1308</v>
      </c>
      <c r="F124" s="4" t="s">
        <v>3270</v>
      </c>
      <c r="G124">
        <v>0.29602642846588534</v>
      </c>
      <c r="H124">
        <f t="shared" si="3"/>
        <v>0.14823815309842042</v>
      </c>
      <c r="I124">
        <f t="shared" si="2"/>
        <v>1</v>
      </c>
    </row>
    <row r="125" spans="1:9" ht="48" x14ac:dyDescent="0.2">
      <c r="A125" t="s">
        <v>3271</v>
      </c>
      <c r="B125">
        <v>44915</v>
      </c>
      <c r="C125">
        <v>1226</v>
      </c>
      <c r="F125" s="4" t="s">
        <v>3272</v>
      </c>
      <c r="G125">
        <v>0.29614466494649394</v>
      </c>
      <c r="H125">
        <f t="shared" si="3"/>
        <v>0.14945321992709598</v>
      </c>
      <c r="I125">
        <f t="shared" si="2"/>
        <v>1</v>
      </c>
    </row>
    <row r="126" spans="1:9" ht="48" x14ac:dyDescent="0.2">
      <c r="A126" t="s">
        <v>3273</v>
      </c>
      <c r="B126">
        <v>45278</v>
      </c>
      <c r="C126">
        <v>1049</v>
      </c>
      <c r="F126" s="4" t="s">
        <v>3274</v>
      </c>
      <c r="G126">
        <v>0.29630470645609686</v>
      </c>
      <c r="H126">
        <f t="shared" si="3"/>
        <v>0.15066828675577157</v>
      </c>
      <c r="I126">
        <f t="shared" si="2"/>
        <v>1</v>
      </c>
    </row>
    <row r="127" spans="1:9" ht="48" x14ac:dyDescent="0.2">
      <c r="A127" t="s">
        <v>3275</v>
      </c>
      <c r="B127">
        <v>45481</v>
      </c>
      <c r="C127">
        <v>1051</v>
      </c>
      <c r="F127" s="4" t="s">
        <v>3276</v>
      </c>
      <c r="G127">
        <v>0.29659216019747014</v>
      </c>
      <c r="H127">
        <f t="shared" si="3"/>
        <v>0.15188335358444716</v>
      </c>
      <c r="I127">
        <f t="shared" si="2"/>
        <v>1</v>
      </c>
    </row>
    <row r="128" spans="1:9" ht="64" x14ac:dyDescent="0.2">
      <c r="A128" t="s">
        <v>3277</v>
      </c>
      <c r="B128">
        <v>45828</v>
      </c>
      <c r="C128">
        <v>1129</v>
      </c>
      <c r="F128" s="4" t="s">
        <v>3278</v>
      </c>
      <c r="G128">
        <v>0.29675591711481142</v>
      </c>
      <c r="H128">
        <f t="shared" si="3"/>
        <v>0.15309842041312272</v>
      </c>
      <c r="I128">
        <f t="shared" si="2"/>
        <v>1</v>
      </c>
    </row>
    <row r="129" spans="1:9" ht="48" x14ac:dyDescent="0.2">
      <c r="A129" t="s">
        <v>3279</v>
      </c>
      <c r="B129">
        <v>45875</v>
      </c>
      <c r="C129">
        <v>1230</v>
      </c>
      <c r="F129" s="4" t="s">
        <v>3280</v>
      </c>
      <c r="G129">
        <v>0.2970529111581644</v>
      </c>
      <c r="H129">
        <f t="shared" si="3"/>
        <v>0.1543134872417983</v>
      </c>
      <c r="I129">
        <f t="shared" si="2"/>
        <v>1</v>
      </c>
    </row>
    <row r="130" spans="1:9" ht="64" x14ac:dyDescent="0.2">
      <c r="A130" t="s">
        <v>3281</v>
      </c>
      <c r="B130">
        <v>45903</v>
      </c>
      <c r="C130">
        <v>993</v>
      </c>
      <c r="F130" s="4" t="s">
        <v>3282</v>
      </c>
      <c r="G130">
        <v>0.29746571029271401</v>
      </c>
      <c r="H130">
        <f t="shared" si="3"/>
        <v>0.15552855407047386</v>
      </c>
      <c r="I130">
        <f t="shared" si="2"/>
        <v>1</v>
      </c>
    </row>
    <row r="131" spans="1:9" ht="64" x14ac:dyDescent="0.2">
      <c r="A131" t="s">
        <v>3283</v>
      </c>
      <c r="B131">
        <v>46155</v>
      </c>
      <c r="C131">
        <v>1123</v>
      </c>
      <c r="F131" s="4" t="s">
        <v>3284</v>
      </c>
      <c r="G131">
        <v>0.29775239942048765</v>
      </c>
      <c r="H131">
        <f t="shared" si="3"/>
        <v>0.15674362089914945</v>
      </c>
      <c r="I131">
        <f t="shared" ref="I131:I194" si="4">IF(H131&lt;0.2,1,IF(H131&lt;0.4,2,IF(H131&lt;0.6,3,IF(H131&lt;0.8,4,5))))</f>
        <v>1</v>
      </c>
    </row>
    <row r="132" spans="1:9" ht="64" x14ac:dyDescent="0.2">
      <c r="A132" t="s">
        <v>3285</v>
      </c>
      <c r="B132">
        <v>46176</v>
      </c>
      <c r="C132">
        <v>1108</v>
      </c>
      <c r="F132" s="4" t="s">
        <v>3286</v>
      </c>
      <c r="G132">
        <v>0.29796791814594797</v>
      </c>
      <c r="H132">
        <f t="shared" ref="H132:H195" si="5">_xlfn.RANK.EQ(G132,$G$3:$G$825,1)/COUNT($G$3:$G$825)</f>
        <v>0.15795868772782504</v>
      </c>
      <c r="I132">
        <f t="shared" si="4"/>
        <v>1</v>
      </c>
    </row>
    <row r="133" spans="1:9" ht="48" x14ac:dyDescent="0.2">
      <c r="A133" t="s">
        <v>3287</v>
      </c>
      <c r="B133">
        <v>46184</v>
      </c>
      <c r="C133">
        <v>1164</v>
      </c>
      <c r="F133" s="4" t="s">
        <v>3288</v>
      </c>
      <c r="G133">
        <v>0.29827913799228423</v>
      </c>
      <c r="H133">
        <f t="shared" si="5"/>
        <v>0.1591737545565006</v>
      </c>
      <c r="I133">
        <f t="shared" si="4"/>
        <v>1</v>
      </c>
    </row>
    <row r="134" spans="1:9" ht="48" x14ac:dyDescent="0.2">
      <c r="A134" t="s">
        <v>3289</v>
      </c>
      <c r="B134">
        <v>46326</v>
      </c>
      <c r="C134">
        <v>1198</v>
      </c>
      <c r="F134" s="4" t="s">
        <v>3290</v>
      </c>
      <c r="G134">
        <v>0.29831394513828041</v>
      </c>
      <c r="H134">
        <f t="shared" si="5"/>
        <v>0.16038882138517618</v>
      </c>
      <c r="I134">
        <f t="shared" si="4"/>
        <v>1</v>
      </c>
    </row>
    <row r="135" spans="1:9" ht="48" x14ac:dyDescent="0.2">
      <c r="A135" t="s">
        <v>3291</v>
      </c>
      <c r="B135">
        <v>46326</v>
      </c>
      <c r="C135">
        <v>1172</v>
      </c>
      <c r="F135" s="4" t="s">
        <v>3292</v>
      </c>
      <c r="G135">
        <v>0.29834345933845213</v>
      </c>
      <c r="H135">
        <f t="shared" si="5"/>
        <v>0.16160388821385177</v>
      </c>
      <c r="I135">
        <f t="shared" si="4"/>
        <v>1</v>
      </c>
    </row>
    <row r="136" spans="1:9" ht="48" x14ac:dyDescent="0.2">
      <c r="A136" t="s">
        <v>3293</v>
      </c>
      <c r="B136">
        <v>46429</v>
      </c>
      <c r="C136">
        <v>1233</v>
      </c>
      <c r="F136" s="4" t="s">
        <v>3294</v>
      </c>
      <c r="G136">
        <v>0.29847933262812232</v>
      </c>
      <c r="H136">
        <f t="shared" si="5"/>
        <v>0.16281895504252733</v>
      </c>
      <c r="I136">
        <f t="shared" si="4"/>
        <v>1</v>
      </c>
    </row>
    <row r="137" spans="1:9" ht="48" x14ac:dyDescent="0.2">
      <c r="A137" t="s">
        <v>3295</v>
      </c>
      <c r="B137">
        <v>46566</v>
      </c>
      <c r="C137">
        <v>1793</v>
      </c>
      <c r="F137" s="4" t="s">
        <v>3296</v>
      </c>
      <c r="G137">
        <v>0.29854865729513141</v>
      </c>
      <c r="H137">
        <f t="shared" si="5"/>
        <v>0.16403402187120292</v>
      </c>
      <c r="I137">
        <f t="shared" si="4"/>
        <v>1</v>
      </c>
    </row>
    <row r="138" spans="1:9" ht="64" x14ac:dyDescent="0.2">
      <c r="A138" t="s">
        <v>3297</v>
      </c>
      <c r="B138">
        <v>46646</v>
      </c>
      <c r="C138">
        <v>1166</v>
      </c>
      <c r="F138" s="4" t="s">
        <v>3298</v>
      </c>
      <c r="G138">
        <v>0.29855194210171798</v>
      </c>
      <c r="H138">
        <f t="shared" si="5"/>
        <v>0.1652490886998785</v>
      </c>
      <c r="I138">
        <f t="shared" si="4"/>
        <v>1</v>
      </c>
    </row>
    <row r="139" spans="1:9" ht="64" x14ac:dyDescent="0.2">
      <c r="A139" t="s">
        <v>3299</v>
      </c>
      <c r="B139">
        <v>46716</v>
      </c>
      <c r="C139">
        <v>1203</v>
      </c>
      <c r="F139" s="4" t="s">
        <v>3300</v>
      </c>
      <c r="G139">
        <v>0.29902240924936702</v>
      </c>
      <c r="H139">
        <f t="shared" si="5"/>
        <v>0.16646415552855406</v>
      </c>
      <c r="I139">
        <f t="shared" si="4"/>
        <v>1</v>
      </c>
    </row>
    <row r="140" spans="1:9" ht="48" x14ac:dyDescent="0.2">
      <c r="A140" t="s">
        <v>3301</v>
      </c>
      <c r="B140">
        <v>46801</v>
      </c>
      <c r="C140">
        <v>1073</v>
      </c>
      <c r="F140" s="4" t="s">
        <v>3302</v>
      </c>
      <c r="G140">
        <v>0.29953201810500024</v>
      </c>
      <c r="H140">
        <f t="shared" si="5"/>
        <v>0.16767922235722965</v>
      </c>
      <c r="I140">
        <f t="shared" si="4"/>
        <v>1</v>
      </c>
    </row>
    <row r="141" spans="1:9" ht="48" x14ac:dyDescent="0.2">
      <c r="A141" t="s">
        <v>3303</v>
      </c>
      <c r="B141">
        <v>47036</v>
      </c>
      <c r="C141">
        <v>1102</v>
      </c>
      <c r="F141" s="4" t="s">
        <v>3304</v>
      </c>
      <c r="G141">
        <v>0.29960705892642281</v>
      </c>
      <c r="H141">
        <f t="shared" si="5"/>
        <v>0.16889428918590524</v>
      </c>
      <c r="I141">
        <f t="shared" si="4"/>
        <v>1</v>
      </c>
    </row>
    <row r="142" spans="1:9" ht="48" x14ac:dyDescent="0.2">
      <c r="A142" t="s">
        <v>3305</v>
      </c>
      <c r="B142">
        <v>47183</v>
      </c>
      <c r="C142">
        <v>1210</v>
      </c>
      <c r="F142" s="4" t="s">
        <v>3306</v>
      </c>
      <c r="G142">
        <v>0.30017721976643613</v>
      </c>
      <c r="H142">
        <f t="shared" si="5"/>
        <v>0.1701093560145808</v>
      </c>
      <c r="I142">
        <f t="shared" si="4"/>
        <v>1</v>
      </c>
    </row>
    <row r="143" spans="1:9" ht="48" x14ac:dyDescent="0.2">
      <c r="A143" t="s">
        <v>3307</v>
      </c>
      <c r="B143">
        <v>47578</v>
      </c>
      <c r="C143">
        <v>992</v>
      </c>
      <c r="F143" s="4" t="s">
        <v>3308</v>
      </c>
      <c r="G143">
        <v>0.30019047532537879</v>
      </c>
      <c r="H143">
        <f t="shared" si="5"/>
        <v>0.17132442284325639</v>
      </c>
      <c r="I143">
        <f t="shared" si="4"/>
        <v>1</v>
      </c>
    </row>
    <row r="144" spans="1:9" ht="48" x14ac:dyDescent="0.2">
      <c r="A144" t="s">
        <v>3309</v>
      </c>
      <c r="B144">
        <v>48022</v>
      </c>
      <c r="C144">
        <v>1005</v>
      </c>
      <c r="F144" s="4" t="s">
        <v>3310</v>
      </c>
      <c r="G144">
        <v>0.30025538398003881</v>
      </c>
      <c r="H144">
        <f t="shared" si="5"/>
        <v>0.17253948967193194</v>
      </c>
      <c r="I144">
        <f t="shared" si="4"/>
        <v>1</v>
      </c>
    </row>
    <row r="145" spans="1:9" ht="48" x14ac:dyDescent="0.2">
      <c r="A145" t="s">
        <v>3311</v>
      </c>
      <c r="B145">
        <v>48148</v>
      </c>
      <c r="C145">
        <v>1323</v>
      </c>
      <c r="F145" s="4" t="s">
        <v>3312</v>
      </c>
      <c r="G145">
        <v>0.30060524455510484</v>
      </c>
      <c r="H145">
        <f t="shared" si="5"/>
        <v>0.17375455650060753</v>
      </c>
      <c r="I145">
        <f t="shared" si="4"/>
        <v>1</v>
      </c>
    </row>
    <row r="146" spans="1:9" ht="64" x14ac:dyDescent="0.2">
      <c r="A146" t="s">
        <v>3313</v>
      </c>
      <c r="B146">
        <v>48477</v>
      </c>
      <c r="C146">
        <v>1350</v>
      </c>
      <c r="F146" s="4" t="s">
        <v>3314</v>
      </c>
      <c r="G146">
        <v>0.30060584574914706</v>
      </c>
      <c r="H146">
        <f t="shared" si="5"/>
        <v>0.17496962332928312</v>
      </c>
      <c r="I146">
        <f t="shared" si="4"/>
        <v>1</v>
      </c>
    </row>
    <row r="147" spans="1:9" ht="48" x14ac:dyDescent="0.2">
      <c r="A147" t="s">
        <v>3315</v>
      </c>
      <c r="B147">
        <v>48500</v>
      </c>
      <c r="C147">
        <v>1271</v>
      </c>
      <c r="F147" s="4" t="s">
        <v>3316</v>
      </c>
      <c r="G147">
        <v>0.30061503451799521</v>
      </c>
      <c r="H147">
        <f t="shared" si="5"/>
        <v>0.17618469015795868</v>
      </c>
      <c r="I147">
        <f t="shared" si="4"/>
        <v>1</v>
      </c>
    </row>
    <row r="148" spans="1:9" ht="48" x14ac:dyDescent="0.2">
      <c r="A148" t="s">
        <v>3317</v>
      </c>
      <c r="B148">
        <v>48519</v>
      </c>
      <c r="C148">
        <v>1124</v>
      </c>
      <c r="F148" s="4" t="s">
        <v>3318</v>
      </c>
      <c r="G148">
        <v>0.30082122679850148</v>
      </c>
      <c r="H148">
        <f t="shared" si="5"/>
        <v>0.17739975698663427</v>
      </c>
      <c r="I148">
        <f t="shared" si="4"/>
        <v>1</v>
      </c>
    </row>
    <row r="149" spans="1:9" ht="64" x14ac:dyDescent="0.2">
      <c r="A149" t="s">
        <v>3319</v>
      </c>
      <c r="B149">
        <v>48750</v>
      </c>
      <c r="C149">
        <v>1284</v>
      </c>
      <c r="F149" s="4" t="s">
        <v>3320</v>
      </c>
      <c r="G149">
        <v>0.30092148924521572</v>
      </c>
      <c r="H149">
        <f t="shared" si="5"/>
        <v>0.17861482381530985</v>
      </c>
      <c r="I149">
        <f t="shared" si="4"/>
        <v>1</v>
      </c>
    </row>
    <row r="150" spans="1:9" ht="48" x14ac:dyDescent="0.2">
      <c r="A150" t="s">
        <v>3321</v>
      </c>
      <c r="B150">
        <v>48824</v>
      </c>
      <c r="C150">
        <v>1157</v>
      </c>
      <c r="F150" s="4" t="s">
        <v>3322</v>
      </c>
      <c r="G150">
        <v>0.30123517581394188</v>
      </c>
      <c r="H150">
        <f t="shared" si="5"/>
        <v>0.17982989064398541</v>
      </c>
      <c r="I150">
        <f t="shared" si="4"/>
        <v>1</v>
      </c>
    </row>
    <row r="151" spans="1:9" ht="48" x14ac:dyDescent="0.2">
      <c r="A151" t="s">
        <v>3323</v>
      </c>
      <c r="B151">
        <v>48981</v>
      </c>
      <c r="C151">
        <v>1052</v>
      </c>
      <c r="F151" s="4" t="s">
        <v>3324</v>
      </c>
      <c r="G151">
        <v>0.30182204678350133</v>
      </c>
      <c r="H151">
        <f t="shared" si="5"/>
        <v>0.181044957472661</v>
      </c>
      <c r="I151">
        <f t="shared" si="4"/>
        <v>1</v>
      </c>
    </row>
    <row r="152" spans="1:9" ht="64" x14ac:dyDescent="0.2">
      <c r="A152" t="s">
        <v>3325</v>
      </c>
      <c r="B152">
        <v>49074</v>
      </c>
      <c r="C152">
        <v>1170</v>
      </c>
      <c r="F152" s="4" t="s">
        <v>3326</v>
      </c>
      <c r="G152">
        <v>0.30192435035313608</v>
      </c>
      <c r="H152">
        <f t="shared" si="5"/>
        <v>0.18226002430133659</v>
      </c>
      <c r="I152">
        <f t="shared" si="4"/>
        <v>1</v>
      </c>
    </row>
    <row r="153" spans="1:9" ht="64" x14ac:dyDescent="0.2">
      <c r="A153" t="s">
        <v>3327</v>
      </c>
      <c r="B153">
        <v>49125</v>
      </c>
      <c r="C153">
        <v>1072</v>
      </c>
      <c r="F153" s="4" t="s">
        <v>3328</v>
      </c>
      <c r="G153">
        <v>0.30197716300130456</v>
      </c>
      <c r="H153">
        <f t="shared" si="5"/>
        <v>0.18347509113001215</v>
      </c>
      <c r="I153">
        <f t="shared" si="4"/>
        <v>1</v>
      </c>
    </row>
    <row r="154" spans="1:9" ht="64" x14ac:dyDescent="0.2">
      <c r="A154" t="s">
        <v>3329</v>
      </c>
      <c r="B154">
        <v>49183</v>
      </c>
      <c r="C154">
        <v>1165</v>
      </c>
      <c r="F154" s="4" t="s">
        <v>3330</v>
      </c>
      <c r="G154">
        <v>0.30199312080309443</v>
      </c>
      <c r="H154">
        <f t="shared" si="5"/>
        <v>0.18469015795868773</v>
      </c>
      <c r="I154">
        <f t="shared" si="4"/>
        <v>1</v>
      </c>
    </row>
    <row r="155" spans="1:9" ht="64" x14ac:dyDescent="0.2">
      <c r="A155" t="s">
        <v>3331</v>
      </c>
      <c r="B155">
        <v>49309</v>
      </c>
      <c r="C155">
        <v>1259</v>
      </c>
      <c r="F155" s="4" t="s">
        <v>3332</v>
      </c>
      <c r="G155">
        <v>0.30203061401843023</v>
      </c>
      <c r="H155">
        <f t="shared" si="5"/>
        <v>0.18590522478736329</v>
      </c>
      <c r="I155">
        <f t="shared" si="4"/>
        <v>1</v>
      </c>
    </row>
    <row r="156" spans="1:9" ht="48" x14ac:dyDescent="0.2">
      <c r="A156" t="s">
        <v>3333</v>
      </c>
      <c r="B156">
        <v>49375</v>
      </c>
      <c r="C156">
        <v>1510</v>
      </c>
      <c r="F156" s="4" t="s">
        <v>3334</v>
      </c>
      <c r="G156">
        <v>0.30218678408854244</v>
      </c>
      <c r="H156">
        <f t="shared" si="5"/>
        <v>0.18712029161603888</v>
      </c>
      <c r="I156">
        <f t="shared" si="4"/>
        <v>1</v>
      </c>
    </row>
    <row r="157" spans="1:9" ht="48" x14ac:dyDescent="0.2">
      <c r="A157" t="s">
        <v>3335</v>
      </c>
      <c r="B157">
        <v>49402</v>
      </c>
      <c r="C157">
        <v>1641</v>
      </c>
      <c r="F157" s="4" t="s">
        <v>3336</v>
      </c>
      <c r="G157">
        <v>0.30221312543716788</v>
      </c>
      <c r="H157">
        <f t="shared" si="5"/>
        <v>0.18833535844471447</v>
      </c>
      <c r="I157">
        <f t="shared" si="4"/>
        <v>1</v>
      </c>
    </row>
    <row r="158" spans="1:9" ht="64" x14ac:dyDescent="0.2">
      <c r="A158" t="s">
        <v>3130</v>
      </c>
      <c r="B158">
        <v>49446</v>
      </c>
      <c r="C158">
        <v>730</v>
      </c>
      <c r="F158" s="4" t="s">
        <v>3337</v>
      </c>
      <c r="G158">
        <v>0.30275930730877793</v>
      </c>
      <c r="H158">
        <f t="shared" si="5"/>
        <v>0.18955042527339003</v>
      </c>
      <c r="I158">
        <f t="shared" si="4"/>
        <v>1</v>
      </c>
    </row>
    <row r="159" spans="1:9" ht="64" x14ac:dyDescent="0.2">
      <c r="A159" t="s">
        <v>3338</v>
      </c>
      <c r="B159">
        <v>49583</v>
      </c>
      <c r="C159">
        <v>1087</v>
      </c>
      <c r="F159" s="4" t="s">
        <v>3339</v>
      </c>
      <c r="G159">
        <v>0.30286198100144779</v>
      </c>
      <c r="H159">
        <f t="shared" si="5"/>
        <v>0.19076549210206561</v>
      </c>
      <c r="I159">
        <f t="shared" si="4"/>
        <v>1</v>
      </c>
    </row>
    <row r="160" spans="1:9" ht="48" x14ac:dyDescent="0.2">
      <c r="A160" t="s">
        <v>3340</v>
      </c>
      <c r="B160">
        <v>49643</v>
      </c>
      <c r="C160">
        <v>1218</v>
      </c>
      <c r="F160" s="4" t="s">
        <v>3341</v>
      </c>
      <c r="G160">
        <v>0.30289827688144183</v>
      </c>
      <c r="H160">
        <f t="shared" si="5"/>
        <v>0.1919805589307412</v>
      </c>
      <c r="I160">
        <f t="shared" si="4"/>
        <v>1</v>
      </c>
    </row>
    <row r="161" spans="1:9" ht="64" x14ac:dyDescent="0.2">
      <c r="A161" t="s">
        <v>3342</v>
      </c>
      <c r="B161">
        <v>49783</v>
      </c>
      <c r="C161">
        <v>999</v>
      </c>
      <c r="F161" s="4" t="s">
        <v>3343</v>
      </c>
      <c r="G161">
        <v>0.30304567336148824</v>
      </c>
      <c r="H161">
        <f t="shared" si="5"/>
        <v>0.19319562575941676</v>
      </c>
      <c r="I161">
        <f t="shared" si="4"/>
        <v>1</v>
      </c>
    </row>
    <row r="162" spans="1:9" ht="64" x14ac:dyDescent="0.2">
      <c r="A162" t="s">
        <v>3344</v>
      </c>
      <c r="B162">
        <v>50000</v>
      </c>
      <c r="C162">
        <v>1359</v>
      </c>
      <c r="F162" s="4" t="s">
        <v>3345</v>
      </c>
      <c r="G162">
        <v>0.30314518075628494</v>
      </c>
      <c r="H162">
        <f t="shared" si="5"/>
        <v>0.19441069258809235</v>
      </c>
      <c r="I162">
        <f t="shared" si="4"/>
        <v>1</v>
      </c>
    </row>
    <row r="163" spans="1:9" ht="48" x14ac:dyDescent="0.2">
      <c r="A163" t="s">
        <v>3346</v>
      </c>
      <c r="B163">
        <v>50000</v>
      </c>
      <c r="C163">
        <v>1248</v>
      </c>
      <c r="F163" s="4" t="s">
        <v>3347</v>
      </c>
      <c r="G163">
        <v>0.30365394918759459</v>
      </c>
      <c r="H163">
        <f t="shared" si="5"/>
        <v>0.19562575941676794</v>
      </c>
      <c r="I163">
        <f t="shared" si="4"/>
        <v>1</v>
      </c>
    </row>
    <row r="164" spans="1:9" ht="48" x14ac:dyDescent="0.2">
      <c r="A164" t="s">
        <v>3348</v>
      </c>
      <c r="B164">
        <v>50561</v>
      </c>
      <c r="C164">
        <v>1058</v>
      </c>
      <c r="F164" s="4" t="s">
        <v>3349</v>
      </c>
      <c r="G164">
        <v>0.3040535188530426</v>
      </c>
      <c r="H164">
        <f t="shared" si="5"/>
        <v>0.1968408262454435</v>
      </c>
      <c r="I164">
        <f t="shared" si="4"/>
        <v>1</v>
      </c>
    </row>
    <row r="165" spans="1:9" ht="48" x14ac:dyDescent="0.2">
      <c r="A165" t="s">
        <v>3350</v>
      </c>
      <c r="B165">
        <v>50583</v>
      </c>
      <c r="C165">
        <v>1038</v>
      </c>
      <c r="F165" s="4" t="s">
        <v>3351</v>
      </c>
      <c r="G165">
        <v>0.30418956573820871</v>
      </c>
      <c r="H165">
        <f t="shared" si="5"/>
        <v>0.19805589307411908</v>
      </c>
      <c r="I165">
        <f t="shared" si="4"/>
        <v>1</v>
      </c>
    </row>
    <row r="166" spans="1:9" ht="64" x14ac:dyDescent="0.2">
      <c r="A166" t="s">
        <v>3352</v>
      </c>
      <c r="B166">
        <v>50729</v>
      </c>
      <c r="C166">
        <v>1422</v>
      </c>
      <c r="F166" s="4" t="s">
        <v>3353</v>
      </c>
      <c r="G166">
        <v>0.30431279329179572</v>
      </c>
      <c r="H166">
        <f t="shared" si="5"/>
        <v>0.19927095990279464</v>
      </c>
      <c r="I166">
        <f t="shared" si="4"/>
        <v>1</v>
      </c>
    </row>
    <row r="167" spans="1:9" ht="48" x14ac:dyDescent="0.2">
      <c r="A167" t="s">
        <v>3354</v>
      </c>
      <c r="B167">
        <v>50799</v>
      </c>
      <c r="C167">
        <v>1107</v>
      </c>
      <c r="F167" s="4" t="s">
        <v>3355</v>
      </c>
      <c r="G167">
        <v>0.30459222706594302</v>
      </c>
      <c r="H167">
        <f t="shared" si="5"/>
        <v>0.20048602673147023</v>
      </c>
      <c r="I167">
        <f t="shared" si="4"/>
        <v>2</v>
      </c>
    </row>
    <row r="168" spans="1:9" ht="48" x14ac:dyDescent="0.2">
      <c r="A168" t="s">
        <v>3356</v>
      </c>
      <c r="B168">
        <v>50915</v>
      </c>
      <c r="C168">
        <v>1269</v>
      </c>
      <c r="F168" s="4" t="s">
        <v>3357</v>
      </c>
      <c r="G168">
        <v>0.30494473290806384</v>
      </c>
      <c r="H168">
        <f t="shared" si="5"/>
        <v>0.20170109356014582</v>
      </c>
      <c r="I168">
        <f t="shared" si="4"/>
        <v>2</v>
      </c>
    </row>
    <row r="169" spans="1:9" ht="64" x14ac:dyDescent="0.2">
      <c r="A169" t="s">
        <v>3358</v>
      </c>
      <c r="B169">
        <v>51094</v>
      </c>
      <c r="C169">
        <v>1131</v>
      </c>
      <c r="F169" s="4" t="s">
        <v>3359</v>
      </c>
      <c r="G169">
        <v>0.30556608955907844</v>
      </c>
      <c r="H169">
        <f t="shared" si="5"/>
        <v>0.20291616038882138</v>
      </c>
      <c r="I169">
        <f t="shared" si="4"/>
        <v>2</v>
      </c>
    </row>
    <row r="170" spans="1:9" ht="48" x14ac:dyDescent="0.2">
      <c r="A170" t="s">
        <v>3360</v>
      </c>
      <c r="B170">
        <v>51138</v>
      </c>
      <c r="C170">
        <v>1446</v>
      </c>
      <c r="F170" s="4" t="s">
        <v>3361</v>
      </c>
      <c r="G170">
        <v>0.30564684704364414</v>
      </c>
      <c r="H170">
        <f t="shared" si="5"/>
        <v>0.20413122721749696</v>
      </c>
      <c r="I170">
        <f t="shared" si="4"/>
        <v>2</v>
      </c>
    </row>
    <row r="171" spans="1:9" ht="64" x14ac:dyDescent="0.2">
      <c r="A171" t="s">
        <v>3362</v>
      </c>
      <c r="B171">
        <v>51426</v>
      </c>
      <c r="C171">
        <v>1264</v>
      </c>
      <c r="F171" s="4" t="s">
        <v>3363</v>
      </c>
      <c r="G171">
        <v>0.30573256529870491</v>
      </c>
      <c r="H171">
        <f t="shared" si="5"/>
        <v>0.20534629404617255</v>
      </c>
      <c r="I171">
        <f t="shared" si="4"/>
        <v>2</v>
      </c>
    </row>
    <row r="172" spans="1:9" ht="48" x14ac:dyDescent="0.2">
      <c r="A172" t="s">
        <v>3364</v>
      </c>
      <c r="B172">
        <v>51489</v>
      </c>
      <c r="C172">
        <v>1400</v>
      </c>
      <c r="F172" s="4" t="s">
        <v>3365</v>
      </c>
      <c r="G172">
        <v>0.30582479823753517</v>
      </c>
      <c r="H172">
        <f t="shared" si="5"/>
        <v>0.20656136087484811</v>
      </c>
      <c r="I172">
        <f t="shared" si="4"/>
        <v>2</v>
      </c>
    </row>
    <row r="173" spans="1:9" ht="48" x14ac:dyDescent="0.2">
      <c r="A173" t="s">
        <v>3366</v>
      </c>
      <c r="B173">
        <v>51875</v>
      </c>
      <c r="C173">
        <v>1494</v>
      </c>
      <c r="F173" s="4" t="s">
        <v>3367</v>
      </c>
      <c r="G173">
        <v>0.30591747327275765</v>
      </c>
      <c r="H173">
        <f t="shared" si="5"/>
        <v>0.2077764277035237</v>
      </c>
      <c r="I173">
        <f t="shared" si="4"/>
        <v>2</v>
      </c>
    </row>
    <row r="174" spans="1:9" ht="48" x14ac:dyDescent="0.2">
      <c r="A174" t="s">
        <v>3368</v>
      </c>
      <c r="B174">
        <v>52352</v>
      </c>
      <c r="C174">
        <v>1418</v>
      </c>
      <c r="F174" s="4" t="s">
        <v>3369</v>
      </c>
      <c r="G174">
        <v>0.30643642155300177</v>
      </c>
      <c r="H174">
        <f t="shared" si="5"/>
        <v>0.20899149453219928</v>
      </c>
      <c r="I174">
        <f t="shared" si="4"/>
        <v>2</v>
      </c>
    </row>
    <row r="175" spans="1:9" ht="48" x14ac:dyDescent="0.2">
      <c r="A175" t="s">
        <v>3370</v>
      </c>
      <c r="B175">
        <v>52377</v>
      </c>
      <c r="C175">
        <v>1109</v>
      </c>
      <c r="F175" s="4" t="s">
        <v>3371</v>
      </c>
      <c r="G175">
        <v>0.30701979758126979</v>
      </c>
      <c r="H175">
        <f t="shared" si="5"/>
        <v>0.21020656136087484</v>
      </c>
      <c r="I175">
        <f t="shared" si="4"/>
        <v>2</v>
      </c>
    </row>
    <row r="176" spans="1:9" ht="64" x14ac:dyDescent="0.2">
      <c r="A176" t="s">
        <v>3372</v>
      </c>
      <c r="B176">
        <v>52586</v>
      </c>
      <c r="C176">
        <v>1151</v>
      </c>
      <c r="F176" s="4" t="s">
        <v>3373</v>
      </c>
      <c r="G176">
        <v>0.30723978778984917</v>
      </c>
      <c r="H176">
        <f t="shared" si="5"/>
        <v>0.21142162818955043</v>
      </c>
      <c r="I176">
        <f t="shared" si="4"/>
        <v>2</v>
      </c>
    </row>
    <row r="177" spans="1:9" ht="48" x14ac:dyDescent="0.2">
      <c r="A177" t="s">
        <v>3374</v>
      </c>
      <c r="B177">
        <v>52607</v>
      </c>
      <c r="C177">
        <v>1137</v>
      </c>
      <c r="F177" s="4" t="s">
        <v>3375</v>
      </c>
      <c r="G177">
        <v>0.30745703229405136</v>
      </c>
      <c r="H177">
        <f t="shared" si="5"/>
        <v>0.21263669501822599</v>
      </c>
      <c r="I177">
        <f t="shared" si="4"/>
        <v>2</v>
      </c>
    </row>
    <row r="178" spans="1:9" ht="48" x14ac:dyDescent="0.2">
      <c r="A178" t="s">
        <v>3376</v>
      </c>
      <c r="B178">
        <v>52860</v>
      </c>
      <c r="C178">
        <v>1123</v>
      </c>
      <c r="F178" s="4" t="s">
        <v>3377</v>
      </c>
      <c r="G178">
        <v>0.30752059511423957</v>
      </c>
      <c r="H178">
        <f t="shared" si="5"/>
        <v>0.21385176184690158</v>
      </c>
      <c r="I178">
        <f t="shared" si="4"/>
        <v>2</v>
      </c>
    </row>
    <row r="179" spans="1:9" ht="48" x14ac:dyDescent="0.2">
      <c r="A179" t="s">
        <v>3378</v>
      </c>
      <c r="B179">
        <v>52909</v>
      </c>
      <c r="C179">
        <v>1386</v>
      </c>
      <c r="F179" s="4" t="s">
        <v>3379</v>
      </c>
      <c r="G179">
        <v>0.30756328363369084</v>
      </c>
      <c r="H179">
        <f t="shared" si="5"/>
        <v>0.21506682867557717</v>
      </c>
      <c r="I179">
        <f t="shared" si="4"/>
        <v>2</v>
      </c>
    </row>
    <row r="180" spans="1:9" ht="48" x14ac:dyDescent="0.2">
      <c r="A180" t="s">
        <v>3380</v>
      </c>
      <c r="B180">
        <v>52917</v>
      </c>
      <c r="C180">
        <v>1497</v>
      </c>
      <c r="F180" s="4" t="s">
        <v>3381</v>
      </c>
      <c r="G180">
        <v>0.30799983735642056</v>
      </c>
      <c r="H180">
        <f t="shared" si="5"/>
        <v>0.21628189550425272</v>
      </c>
      <c r="I180">
        <f t="shared" si="4"/>
        <v>2</v>
      </c>
    </row>
    <row r="181" spans="1:9" ht="48" x14ac:dyDescent="0.2">
      <c r="A181" t="s">
        <v>3382</v>
      </c>
      <c r="B181">
        <v>52932</v>
      </c>
      <c r="C181">
        <v>1268</v>
      </c>
      <c r="F181" s="4" t="s">
        <v>3383</v>
      </c>
      <c r="G181">
        <v>0.30854853069382188</v>
      </c>
      <c r="H181">
        <f t="shared" si="5"/>
        <v>0.21749696233292831</v>
      </c>
      <c r="I181">
        <f t="shared" si="4"/>
        <v>2</v>
      </c>
    </row>
    <row r="182" spans="1:9" ht="64" x14ac:dyDescent="0.2">
      <c r="A182" t="s">
        <v>3384</v>
      </c>
      <c r="B182">
        <v>53083</v>
      </c>
      <c r="C182">
        <v>1192</v>
      </c>
      <c r="F182" s="4" t="s">
        <v>3385</v>
      </c>
      <c r="G182">
        <v>0.30861567735258855</v>
      </c>
      <c r="H182">
        <f t="shared" si="5"/>
        <v>0.2187120291616039</v>
      </c>
      <c r="I182">
        <f t="shared" si="4"/>
        <v>2</v>
      </c>
    </row>
    <row r="183" spans="1:9" ht="64" x14ac:dyDescent="0.2">
      <c r="A183" t="s">
        <v>3386</v>
      </c>
      <c r="B183">
        <v>53138</v>
      </c>
      <c r="C183">
        <v>1128</v>
      </c>
      <c r="F183" s="4" t="s">
        <v>3387</v>
      </c>
      <c r="G183">
        <v>0.30903607969291419</v>
      </c>
      <c r="H183">
        <f t="shared" si="5"/>
        <v>0.21992709599027946</v>
      </c>
      <c r="I183">
        <f t="shared" si="4"/>
        <v>2</v>
      </c>
    </row>
    <row r="184" spans="1:9" ht="48" x14ac:dyDescent="0.2">
      <c r="A184" t="s">
        <v>3388</v>
      </c>
      <c r="B184">
        <v>53147</v>
      </c>
      <c r="C184">
        <v>1138</v>
      </c>
      <c r="F184" s="4" t="s">
        <v>3389</v>
      </c>
      <c r="G184">
        <v>0.30906500705865797</v>
      </c>
      <c r="H184">
        <f t="shared" si="5"/>
        <v>0.22114216281895505</v>
      </c>
      <c r="I184">
        <f t="shared" si="4"/>
        <v>2</v>
      </c>
    </row>
    <row r="185" spans="1:9" ht="48" x14ac:dyDescent="0.2">
      <c r="A185" t="s">
        <v>3390</v>
      </c>
      <c r="B185">
        <v>53162</v>
      </c>
      <c r="C185">
        <v>1289</v>
      </c>
      <c r="F185" s="4" t="s">
        <v>3391</v>
      </c>
      <c r="G185">
        <v>0.30908807446306108</v>
      </c>
      <c r="H185">
        <f t="shared" si="5"/>
        <v>0.22235722964763063</v>
      </c>
      <c r="I185">
        <f t="shared" si="4"/>
        <v>2</v>
      </c>
    </row>
    <row r="186" spans="1:9" ht="48" x14ac:dyDescent="0.2">
      <c r="A186" t="s">
        <v>3392</v>
      </c>
      <c r="B186">
        <v>53237</v>
      </c>
      <c r="C186">
        <v>1201</v>
      </c>
      <c r="F186" s="4" t="s">
        <v>3393</v>
      </c>
      <c r="G186">
        <v>0.30909415495628606</v>
      </c>
      <c r="H186">
        <f t="shared" si="5"/>
        <v>0.22357229647630619</v>
      </c>
      <c r="I186">
        <f t="shared" si="4"/>
        <v>2</v>
      </c>
    </row>
    <row r="187" spans="1:9" ht="48" x14ac:dyDescent="0.2">
      <c r="A187" t="s">
        <v>3394</v>
      </c>
      <c r="B187">
        <v>53333</v>
      </c>
      <c r="C187">
        <v>1127</v>
      </c>
      <c r="F187" s="4" t="s">
        <v>3395</v>
      </c>
      <c r="G187">
        <v>0.30929620762458643</v>
      </c>
      <c r="H187">
        <f t="shared" si="5"/>
        <v>0.22478736330498178</v>
      </c>
      <c r="I187">
        <f t="shared" si="4"/>
        <v>2</v>
      </c>
    </row>
    <row r="188" spans="1:9" ht="48" x14ac:dyDescent="0.2">
      <c r="A188" t="s">
        <v>3396</v>
      </c>
      <c r="B188">
        <v>53607</v>
      </c>
      <c r="C188">
        <v>1342</v>
      </c>
      <c r="F188" s="4" t="s">
        <v>3397</v>
      </c>
      <c r="G188">
        <v>0.30987761424459503</v>
      </c>
      <c r="H188">
        <f t="shared" si="5"/>
        <v>0.22600243013365734</v>
      </c>
      <c r="I188">
        <f t="shared" si="4"/>
        <v>2</v>
      </c>
    </row>
    <row r="189" spans="1:9" ht="48" x14ac:dyDescent="0.2">
      <c r="A189" t="s">
        <v>3398</v>
      </c>
      <c r="B189">
        <v>53617</v>
      </c>
      <c r="C189">
        <v>1244</v>
      </c>
      <c r="F189" s="4" t="s">
        <v>3399</v>
      </c>
      <c r="G189">
        <v>0.30998904804152194</v>
      </c>
      <c r="H189">
        <f t="shared" si="5"/>
        <v>0.22721749696233293</v>
      </c>
      <c r="I189">
        <f t="shared" si="4"/>
        <v>2</v>
      </c>
    </row>
    <row r="190" spans="1:9" ht="48" x14ac:dyDescent="0.2">
      <c r="A190" t="s">
        <v>3400</v>
      </c>
      <c r="B190">
        <v>53648</v>
      </c>
      <c r="C190">
        <v>1119</v>
      </c>
      <c r="F190" s="4" t="s">
        <v>3401</v>
      </c>
      <c r="G190">
        <v>0.31075408344342553</v>
      </c>
      <c r="H190">
        <f t="shared" si="5"/>
        <v>0.22843256379100851</v>
      </c>
      <c r="I190">
        <f t="shared" si="4"/>
        <v>2</v>
      </c>
    </row>
    <row r="191" spans="1:9" ht="48" x14ac:dyDescent="0.2">
      <c r="A191" t="s">
        <v>3402</v>
      </c>
      <c r="B191">
        <v>53857</v>
      </c>
      <c r="C191">
        <v>1156</v>
      </c>
      <c r="F191" s="4" t="s">
        <v>3403</v>
      </c>
      <c r="G191">
        <v>0.31115834655761238</v>
      </c>
      <c r="H191">
        <f t="shared" si="5"/>
        <v>0.22964763061968407</v>
      </c>
      <c r="I191">
        <f t="shared" si="4"/>
        <v>2</v>
      </c>
    </row>
    <row r="192" spans="1:9" ht="48" x14ac:dyDescent="0.2">
      <c r="A192" t="s">
        <v>3404</v>
      </c>
      <c r="B192">
        <v>53904</v>
      </c>
      <c r="C192">
        <v>1120</v>
      </c>
      <c r="F192" s="4" t="s">
        <v>3405</v>
      </c>
      <c r="G192">
        <v>0.31117553075929433</v>
      </c>
      <c r="H192">
        <f t="shared" si="5"/>
        <v>0.23086269744835966</v>
      </c>
      <c r="I192">
        <f t="shared" si="4"/>
        <v>2</v>
      </c>
    </row>
    <row r="193" spans="1:9" ht="64" x14ac:dyDescent="0.2">
      <c r="A193" t="s">
        <v>3406</v>
      </c>
      <c r="B193">
        <v>54038</v>
      </c>
      <c r="C193">
        <v>1575</v>
      </c>
      <c r="F193" s="4" t="s">
        <v>3407</v>
      </c>
      <c r="G193">
        <v>0.31121080060412054</v>
      </c>
      <c r="H193">
        <f t="shared" si="5"/>
        <v>0.23207776427703525</v>
      </c>
      <c r="I193">
        <f t="shared" si="4"/>
        <v>2</v>
      </c>
    </row>
    <row r="194" spans="1:9" ht="64" x14ac:dyDescent="0.2">
      <c r="A194" t="s">
        <v>3408</v>
      </c>
      <c r="B194">
        <v>54167</v>
      </c>
      <c r="C194">
        <v>1373</v>
      </c>
      <c r="F194" s="4" t="s">
        <v>3409</v>
      </c>
      <c r="G194">
        <v>0.31143212370189016</v>
      </c>
      <c r="H194">
        <f t="shared" si="5"/>
        <v>0.23329283110571081</v>
      </c>
      <c r="I194">
        <f t="shared" si="4"/>
        <v>2</v>
      </c>
    </row>
    <row r="195" spans="1:9" ht="48" x14ac:dyDescent="0.2">
      <c r="A195" t="s">
        <v>3410</v>
      </c>
      <c r="B195">
        <v>54216</v>
      </c>
      <c r="C195">
        <v>1492</v>
      </c>
      <c r="F195" s="4" t="s">
        <v>3411</v>
      </c>
      <c r="G195">
        <v>0.31168644944665713</v>
      </c>
      <c r="H195">
        <f t="shared" si="5"/>
        <v>0.23450789793438639</v>
      </c>
      <c r="I195">
        <f t="shared" ref="I195:I258" si="6">IF(H195&lt;0.2,1,IF(H195&lt;0.4,2,IF(H195&lt;0.6,3,IF(H195&lt;0.8,4,5))))</f>
        <v>2</v>
      </c>
    </row>
    <row r="196" spans="1:9" ht="64" x14ac:dyDescent="0.2">
      <c r="A196" t="s">
        <v>3412</v>
      </c>
      <c r="B196">
        <v>54280</v>
      </c>
      <c r="C196">
        <v>1185</v>
      </c>
      <c r="F196" s="4" t="s">
        <v>3413</v>
      </c>
      <c r="G196">
        <v>0.31182562348544129</v>
      </c>
      <c r="H196">
        <f t="shared" ref="H196:H259" si="7">_xlfn.RANK.EQ(G196,$G$3:$G$825,1)/COUNT($G$3:$G$825)</f>
        <v>0.23572296476306198</v>
      </c>
      <c r="I196">
        <f t="shared" si="6"/>
        <v>2</v>
      </c>
    </row>
    <row r="197" spans="1:9" ht="64" x14ac:dyDescent="0.2">
      <c r="A197" t="s">
        <v>3414</v>
      </c>
      <c r="B197">
        <v>54482</v>
      </c>
      <c r="C197">
        <v>1230</v>
      </c>
      <c r="F197" s="4" t="s">
        <v>3415</v>
      </c>
      <c r="G197">
        <v>0.31183811914416371</v>
      </c>
      <c r="H197">
        <f t="shared" si="7"/>
        <v>0.23693803159173754</v>
      </c>
      <c r="I197">
        <f t="shared" si="6"/>
        <v>2</v>
      </c>
    </row>
    <row r="198" spans="1:9" ht="64" x14ac:dyDescent="0.2">
      <c r="A198" t="s">
        <v>3416</v>
      </c>
      <c r="B198">
        <v>54908</v>
      </c>
      <c r="C198">
        <v>1182</v>
      </c>
      <c r="F198" s="4" t="s">
        <v>3417</v>
      </c>
      <c r="G198">
        <v>0.31203439244681813</v>
      </c>
      <c r="H198">
        <f t="shared" si="7"/>
        <v>0.23815309842041313</v>
      </c>
      <c r="I198">
        <f t="shared" si="6"/>
        <v>2</v>
      </c>
    </row>
    <row r="199" spans="1:9" ht="64" x14ac:dyDescent="0.2">
      <c r="A199" t="s">
        <v>3418</v>
      </c>
      <c r="B199">
        <v>55399</v>
      </c>
      <c r="C199">
        <v>1198</v>
      </c>
      <c r="F199" s="4" t="s">
        <v>3419</v>
      </c>
      <c r="G199">
        <v>0.31216076501635287</v>
      </c>
      <c r="H199">
        <f t="shared" si="7"/>
        <v>0.23936816524908869</v>
      </c>
      <c r="I199">
        <f t="shared" si="6"/>
        <v>2</v>
      </c>
    </row>
    <row r="200" spans="1:9" ht="48" x14ac:dyDescent="0.2">
      <c r="A200" t="s">
        <v>3420</v>
      </c>
      <c r="B200">
        <v>55565</v>
      </c>
      <c r="C200">
        <v>1268</v>
      </c>
      <c r="F200" s="4" t="s">
        <v>3421</v>
      </c>
      <c r="G200">
        <v>0.31247712461866167</v>
      </c>
      <c r="H200">
        <f t="shared" si="7"/>
        <v>0.24058323207776428</v>
      </c>
      <c r="I200">
        <f t="shared" si="6"/>
        <v>2</v>
      </c>
    </row>
    <row r="201" spans="1:9" ht="48" x14ac:dyDescent="0.2">
      <c r="A201" t="s">
        <v>3422</v>
      </c>
      <c r="B201">
        <v>55982</v>
      </c>
      <c r="C201">
        <v>1617</v>
      </c>
      <c r="F201" s="4" t="s">
        <v>3423</v>
      </c>
      <c r="G201">
        <v>0.31279617201043897</v>
      </c>
      <c r="H201">
        <f t="shared" si="7"/>
        <v>0.24179829890643986</v>
      </c>
      <c r="I201">
        <f t="shared" si="6"/>
        <v>2</v>
      </c>
    </row>
    <row r="202" spans="1:9" ht="48" x14ac:dyDescent="0.2">
      <c r="A202" t="s">
        <v>3424</v>
      </c>
      <c r="B202">
        <v>56009</v>
      </c>
      <c r="C202">
        <v>1463</v>
      </c>
      <c r="F202" s="4" t="s">
        <v>3425</v>
      </c>
      <c r="G202">
        <v>0.31285165271968907</v>
      </c>
      <c r="H202">
        <f t="shared" si="7"/>
        <v>0.24301336573511542</v>
      </c>
      <c r="I202">
        <f t="shared" si="6"/>
        <v>2</v>
      </c>
    </row>
    <row r="203" spans="1:9" ht="48" x14ac:dyDescent="0.2">
      <c r="A203" t="s">
        <v>3426</v>
      </c>
      <c r="B203">
        <v>56020</v>
      </c>
      <c r="C203">
        <v>1254</v>
      </c>
      <c r="F203" s="4" t="s">
        <v>3427</v>
      </c>
      <c r="G203">
        <v>0.31329719239344112</v>
      </c>
      <c r="H203">
        <f t="shared" si="7"/>
        <v>0.24422843256379101</v>
      </c>
      <c r="I203">
        <f t="shared" si="6"/>
        <v>2</v>
      </c>
    </row>
    <row r="204" spans="1:9" ht="48" x14ac:dyDescent="0.2">
      <c r="A204" t="s">
        <v>3428</v>
      </c>
      <c r="B204">
        <v>56292</v>
      </c>
      <c r="C204">
        <v>1185</v>
      </c>
      <c r="F204" s="4" t="s">
        <v>3429</v>
      </c>
      <c r="G204">
        <v>0.31338685061735111</v>
      </c>
      <c r="H204">
        <f t="shared" si="7"/>
        <v>0.2454434993924666</v>
      </c>
      <c r="I204">
        <f t="shared" si="6"/>
        <v>2</v>
      </c>
    </row>
    <row r="205" spans="1:9" ht="48" x14ac:dyDescent="0.2">
      <c r="A205" t="s">
        <v>3430</v>
      </c>
      <c r="B205">
        <v>56438</v>
      </c>
      <c r="C205">
        <v>1270</v>
      </c>
      <c r="F205" s="4" t="s">
        <v>3431</v>
      </c>
      <c r="G205">
        <v>0.31359155894245139</v>
      </c>
      <c r="H205">
        <f t="shared" si="7"/>
        <v>0.24665856622114216</v>
      </c>
      <c r="I205">
        <f t="shared" si="6"/>
        <v>2</v>
      </c>
    </row>
    <row r="206" spans="1:9" ht="48" x14ac:dyDescent="0.2">
      <c r="A206" t="s">
        <v>3432</v>
      </c>
      <c r="B206">
        <v>56714</v>
      </c>
      <c r="C206">
        <v>1007</v>
      </c>
      <c r="F206" s="4" t="s">
        <v>3433</v>
      </c>
      <c r="G206">
        <v>0.31372149532666094</v>
      </c>
      <c r="H206">
        <f t="shared" si="7"/>
        <v>0.24787363304981774</v>
      </c>
      <c r="I206">
        <f t="shared" si="6"/>
        <v>2</v>
      </c>
    </row>
    <row r="207" spans="1:9" ht="48" x14ac:dyDescent="0.2">
      <c r="A207" t="s">
        <v>3434</v>
      </c>
      <c r="B207">
        <v>56932</v>
      </c>
      <c r="C207">
        <v>1483</v>
      </c>
      <c r="F207" s="4" t="s">
        <v>3435</v>
      </c>
      <c r="G207">
        <v>0.31376620303183339</v>
      </c>
      <c r="H207">
        <f t="shared" si="7"/>
        <v>0.24908869987849333</v>
      </c>
      <c r="I207">
        <f t="shared" si="6"/>
        <v>2</v>
      </c>
    </row>
    <row r="208" spans="1:9" ht="64" x14ac:dyDescent="0.2">
      <c r="A208" t="s">
        <v>3436</v>
      </c>
      <c r="B208">
        <v>57072</v>
      </c>
      <c r="C208">
        <v>1136</v>
      </c>
      <c r="F208" s="4" t="s">
        <v>3437</v>
      </c>
      <c r="G208">
        <v>0.31391185590461124</v>
      </c>
      <c r="H208">
        <f t="shared" si="7"/>
        <v>0.25030376670716892</v>
      </c>
      <c r="I208">
        <f t="shared" si="6"/>
        <v>2</v>
      </c>
    </row>
    <row r="209" spans="1:9" ht="48" x14ac:dyDescent="0.2">
      <c r="A209" t="s">
        <v>3438</v>
      </c>
      <c r="B209">
        <v>57218</v>
      </c>
      <c r="C209">
        <v>1035</v>
      </c>
      <c r="F209" s="4" t="s">
        <v>3439</v>
      </c>
      <c r="G209">
        <v>0.31402858162950398</v>
      </c>
      <c r="H209">
        <f t="shared" si="7"/>
        <v>0.25151883353584448</v>
      </c>
      <c r="I209">
        <f t="shared" si="6"/>
        <v>2</v>
      </c>
    </row>
    <row r="210" spans="1:9" ht="48" x14ac:dyDescent="0.2">
      <c r="A210" t="s">
        <v>3440</v>
      </c>
      <c r="B210">
        <v>57286</v>
      </c>
      <c r="C210">
        <v>1094</v>
      </c>
      <c r="F210" s="4" t="s">
        <v>3441</v>
      </c>
      <c r="G210">
        <v>0.3141311101041438</v>
      </c>
      <c r="H210">
        <f t="shared" si="7"/>
        <v>0.25273390036452004</v>
      </c>
      <c r="I210">
        <f t="shared" si="6"/>
        <v>2</v>
      </c>
    </row>
    <row r="211" spans="1:9" ht="64" x14ac:dyDescent="0.2">
      <c r="A211" t="s">
        <v>3442</v>
      </c>
      <c r="B211">
        <v>57358</v>
      </c>
      <c r="C211">
        <v>1120</v>
      </c>
      <c r="F211" s="4" t="s">
        <v>3443</v>
      </c>
      <c r="G211">
        <v>0.31414167129815956</v>
      </c>
      <c r="H211">
        <f t="shared" si="7"/>
        <v>0.25394896719319565</v>
      </c>
      <c r="I211">
        <f t="shared" si="6"/>
        <v>2</v>
      </c>
    </row>
    <row r="212" spans="1:9" ht="48" x14ac:dyDescent="0.2">
      <c r="A212" t="s">
        <v>3444</v>
      </c>
      <c r="B212">
        <v>57587</v>
      </c>
      <c r="C212">
        <v>1181</v>
      </c>
      <c r="F212" s="4" t="s">
        <v>3445</v>
      </c>
      <c r="G212">
        <v>0.31490846611871581</v>
      </c>
      <c r="H212">
        <f t="shared" si="7"/>
        <v>0.25516403402187121</v>
      </c>
      <c r="I212">
        <f t="shared" si="6"/>
        <v>2</v>
      </c>
    </row>
    <row r="213" spans="1:9" ht="48" x14ac:dyDescent="0.2">
      <c r="A213" t="s">
        <v>3446</v>
      </c>
      <c r="B213">
        <v>57778</v>
      </c>
      <c r="C213">
        <v>1109</v>
      </c>
      <c r="F213" s="4" t="s">
        <v>3447</v>
      </c>
      <c r="G213">
        <v>0.31534137192204353</v>
      </c>
      <c r="H213">
        <f t="shared" si="7"/>
        <v>0.25637910085054677</v>
      </c>
      <c r="I213">
        <f t="shared" si="6"/>
        <v>2</v>
      </c>
    </row>
    <row r="214" spans="1:9" ht="48" x14ac:dyDescent="0.2">
      <c r="A214" t="s">
        <v>3448</v>
      </c>
      <c r="B214">
        <v>57917</v>
      </c>
      <c r="C214">
        <v>1032</v>
      </c>
      <c r="F214" s="4" t="s">
        <v>3449</v>
      </c>
      <c r="G214">
        <v>0.31548150879109338</v>
      </c>
      <c r="H214">
        <f t="shared" si="7"/>
        <v>0.25759416767922233</v>
      </c>
      <c r="I214">
        <f t="shared" si="6"/>
        <v>2</v>
      </c>
    </row>
    <row r="215" spans="1:9" ht="48" x14ac:dyDescent="0.2">
      <c r="A215" t="s">
        <v>3450</v>
      </c>
      <c r="B215">
        <v>57917</v>
      </c>
      <c r="C215">
        <v>1077</v>
      </c>
      <c r="F215" s="4" t="s">
        <v>3451</v>
      </c>
      <c r="G215">
        <v>0.31548756124033872</v>
      </c>
      <c r="H215">
        <f t="shared" si="7"/>
        <v>0.25880923450789795</v>
      </c>
      <c r="I215">
        <f t="shared" si="6"/>
        <v>2</v>
      </c>
    </row>
    <row r="216" spans="1:9" ht="48" x14ac:dyDescent="0.2">
      <c r="A216" t="s">
        <v>3452</v>
      </c>
      <c r="B216">
        <v>57955</v>
      </c>
      <c r="C216">
        <v>1260</v>
      </c>
      <c r="F216" s="4" t="s">
        <v>3453</v>
      </c>
      <c r="G216">
        <v>0.31620976342906537</v>
      </c>
      <c r="H216">
        <f t="shared" si="7"/>
        <v>0.2600243013365735</v>
      </c>
      <c r="I216">
        <f t="shared" si="6"/>
        <v>2</v>
      </c>
    </row>
    <row r="217" spans="1:9" ht="48" x14ac:dyDescent="0.2">
      <c r="A217" t="s">
        <v>3454</v>
      </c>
      <c r="B217">
        <v>58000</v>
      </c>
      <c r="C217">
        <v>964</v>
      </c>
      <c r="F217" s="4" t="s">
        <v>3455</v>
      </c>
      <c r="G217">
        <v>0.31636725932255766</v>
      </c>
      <c r="H217">
        <f t="shared" si="7"/>
        <v>0.26123936816524906</v>
      </c>
      <c r="I217">
        <f t="shared" si="6"/>
        <v>2</v>
      </c>
    </row>
    <row r="218" spans="1:9" ht="64" x14ac:dyDescent="0.2">
      <c r="A218" t="s">
        <v>3456</v>
      </c>
      <c r="B218">
        <v>58029</v>
      </c>
      <c r="C218">
        <v>1201</v>
      </c>
      <c r="F218" s="4" t="s">
        <v>3457</v>
      </c>
      <c r="G218">
        <v>0.31664786938082579</v>
      </c>
      <c r="H218">
        <f t="shared" si="7"/>
        <v>0.26245443499392468</v>
      </c>
      <c r="I218">
        <f t="shared" si="6"/>
        <v>2</v>
      </c>
    </row>
    <row r="219" spans="1:9" ht="64" x14ac:dyDescent="0.2">
      <c r="A219" t="s">
        <v>3458</v>
      </c>
      <c r="B219">
        <v>58229</v>
      </c>
      <c r="C219">
        <v>1130</v>
      </c>
      <c r="F219" s="4" t="s">
        <v>3446</v>
      </c>
      <c r="G219">
        <v>0.31665123757384633</v>
      </c>
      <c r="H219">
        <f t="shared" si="7"/>
        <v>0.26366950182260024</v>
      </c>
      <c r="I219">
        <f t="shared" si="6"/>
        <v>2</v>
      </c>
    </row>
    <row r="220" spans="1:9" ht="48" x14ac:dyDescent="0.2">
      <c r="A220" t="s">
        <v>3459</v>
      </c>
      <c r="B220">
        <v>58273</v>
      </c>
      <c r="C220">
        <v>1834</v>
      </c>
      <c r="F220" s="4" t="s">
        <v>3460</v>
      </c>
      <c r="G220">
        <v>0.31699323812396291</v>
      </c>
      <c r="H220">
        <f t="shared" si="7"/>
        <v>0.2648845686512758</v>
      </c>
      <c r="I220">
        <f t="shared" si="6"/>
        <v>2</v>
      </c>
    </row>
    <row r="221" spans="1:9" ht="48" x14ac:dyDescent="0.2">
      <c r="A221" t="s">
        <v>3461</v>
      </c>
      <c r="B221">
        <v>58278</v>
      </c>
      <c r="C221">
        <v>1191</v>
      </c>
      <c r="F221" s="4" t="s">
        <v>3462</v>
      </c>
      <c r="G221">
        <v>0.31712037237468016</v>
      </c>
      <c r="H221">
        <f t="shared" si="7"/>
        <v>0.26609963547995141</v>
      </c>
      <c r="I221">
        <f t="shared" si="6"/>
        <v>2</v>
      </c>
    </row>
    <row r="222" spans="1:9" ht="48" x14ac:dyDescent="0.2">
      <c r="A222" t="s">
        <v>3463</v>
      </c>
      <c r="B222">
        <v>58516</v>
      </c>
      <c r="C222">
        <v>1264</v>
      </c>
      <c r="F222" s="4" t="s">
        <v>3464</v>
      </c>
      <c r="G222">
        <v>0.31717379361897913</v>
      </c>
      <c r="H222">
        <f t="shared" si="7"/>
        <v>0.26731470230862697</v>
      </c>
      <c r="I222">
        <f t="shared" si="6"/>
        <v>2</v>
      </c>
    </row>
    <row r="223" spans="1:9" ht="48" x14ac:dyDescent="0.2">
      <c r="A223" t="s">
        <v>3465</v>
      </c>
      <c r="B223">
        <v>58875</v>
      </c>
      <c r="C223">
        <v>1410</v>
      </c>
      <c r="F223" s="4" t="s">
        <v>3466</v>
      </c>
      <c r="G223">
        <v>0.31743041650885312</v>
      </c>
      <c r="H223">
        <f t="shared" si="7"/>
        <v>0.26852976913730253</v>
      </c>
      <c r="I223">
        <f t="shared" si="6"/>
        <v>2</v>
      </c>
    </row>
    <row r="224" spans="1:9" ht="48" x14ac:dyDescent="0.2">
      <c r="A224" t="s">
        <v>3467</v>
      </c>
      <c r="B224">
        <v>58889</v>
      </c>
      <c r="C224">
        <v>1280</v>
      </c>
      <c r="F224" s="4" t="s">
        <v>3468</v>
      </c>
      <c r="G224">
        <v>0.3174711306376079</v>
      </c>
      <c r="H224">
        <f t="shared" si="7"/>
        <v>0.26974483596597815</v>
      </c>
      <c r="I224">
        <f t="shared" si="6"/>
        <v>2</v>
      </c>
    </row>
    <row r="225" spans="1:9" ht="48" x14ac:dyDescent="0.2">
      <c r="A225" t="s">
        <v>3469</v>
      </c>
      <c r="B225">
        <v>59014</v>
      </c>
      <c r="C225">
        <v>1532</v>
      </c>
      <c r="F225" s="4" t="s">
        <v>3470</v>
      </c>
      <c r="G225">
        <v>0.31771023477661559</v>
      </c>
      <c r="H225">
        <f t="shared" si="7"/>
        <v>0.27095990279465371</v>
      </c>
      <c r="I225">
        <f t="shared" si="6"/>
        <v>2</v>
      </c>
    </row>
    <row r="226" spans="1:9" ht="64" x14ac:dyDescent="0.2">
      <c r="A226" t="s">
        <v>3471</v>
      </c>
      <c r="B226">
        <v>59018</v>
      </c>
      <c r="C226">
        <v>1070</v>
      </c>
      <c r="F226" s="4" t="s">
        <v>3472</v>
      </c>
      <c r="G226">
        <v>0.3177152575730845</v>
      </c>
      <c r="H226">
        <f t="shared" si="7"/>
        <v>0.27217496962332927</v>
      </c>
      <c r="I226">
        <f t="shared" si="6"/>
        <v>2</v>
      </c>
    </row>
    <row r="227" spans="1:9" ht="48" x14ac:dyDescent="0.2">
      <c r="A227" t="s">
        <v>3473</v>
      </c>
      <c r="B227">
        <v>59266</v>
      </c>
      <c r="C227">
        <v>1446</v>
      </c>
      <c r="F227" s="4" t="s">
        <v>3474</v>
      </c>
      <c r="G227">
        <v>0.31779434682333413</v>
      </c>
      <c r="H227">
        <f t="shared" si="7"/>
        <v>0.27339003645200488</v>
      </c>
      <c r="I227">
        <f t="shared" si="6"/>
        <v>2</v>
      </c>
    </row>
    <row r="228" spans="1:9" ht="48" x14ac:dyDescent="0.2">
      <c r="A228" t="s">
        <v>3475</v>
      </c>
      <c r="B228">
        <v>59402</v>
      </c>
      <c r="C228">
        <v>1195</v>
      </c>
      <c r="F228" s="4" t="s">
        <v>3476</v>
      </c>
      <c r="G228">
        <v>0.31804038177043781</v>
      </c>
      <c r="H228">
        <f t="shared" si="7"/>
        <v>0.27460510328068044</v>
      </c>
      <c r="I228">
        <f t="shared" si="6"/>
        <v>2</v>
      </c>
    </row>
    <row r="229" spans="1:9" ht="48" x14ac:dyDescent="0.2">
      <c r="A229" t="s">
        <v>3477</v>
      </c>
      <c r="B229">
        <v>59552</v>
      </c>
      <c r="C229">
        <v>1164</v>
      </c>
      <c r="F229" s="4" t="s">
        <v>3478</v>
      </c>
      <c r="G229">
        <v>0.31818401514086436</v>
      </c>
      <c r="H229">
        <f t="shared" si="7"/>
        <v>0.275820170109356</v>
      </c>
      <c r="I229">
        <f t="shared" si="6"/>
        <v>2</v>
      </c>
    </row>
    <row r="230" spans="1:9" ht="48" x14ac:dyDescent="0.2">
      <c r="A230" t="s">
        <v>3479</v>
      </c>
      <c r="B230">
        <v>59771</v>
      </c>
      <c r="C230">
        <v>1209</v>
      </c>
      <c r="F230" s="4" t="s">
        <v>3480</v>
      </c>
      <c r="G230">
        <v>0.31825468473660468</v>
      </c>
      <c r="H230">
        <f t="shared" si="7"/>
        <v>0.27703523693803161</v>
      </c>
      <c r="I230">
        <f t="shared" si="6"/>
        <v>2</v>
      </c>
    </row>
    <row r="231" spans="1:9" ht="64" x14ac:dyDescent="0.2">
      <c r="A231" t="s">
        <v>3481</v>
      </c>
      <c r="B231">
        <v>59914</v>
      </c>
      <c r="C231">
        <v>1260</v>
      </c>
      <c r="F231" s="4" t="s">
        <v>3482</v>
      </c>
      <c r="G231">
        <v>0.31836749748170623</v>
      </c>
      <c r="H231">
        <f t="shared" si="7"/>
        <v>0.27825030376670717</v>
      </c>
      <c r="I231">
        <f t="shared" si="6"/>
        <v>2</v>
      </c>
    </row>
    <row r="232" spans="1:9" ht="48" x14ac:dyDescent="0.2">
      <c r="A232" t="s">
        <v>3393</v>
      </c>
      <c r="B232">
        <v>60160</v>
      </c>
      <c r="C232">
        <v>1013</v>
      </c>
      <c r="F232" s="4" t="s">
        <v>3483</v>
      </c>
      <c r="G232">
        <v>0.31863009474291487</v>
      </c>
      <c r="H232">
        <f t="shared" si="7"/>
        <v>0.27946537059538273</v>
      </c>
      <c r="I232">
        <f t="shared" si="6"/>
        <v>2</v>
      </c>
    </row>
    <row r="233" spans="1:9" ht="48" x14ac:dyDescent="0.2">
      <c r="A233" t="s">
        <v>3439</v>
      </c>
      <c r="B233">
        <v>60694</v>
      </c>
      <c r="C233">
        <v>1066</v>
      </c>
      <c r="F233" s="4" t="s">
        <v>3484</v>
      </c>
      <c r="G233">
        <v>0.318704750267298</v>
      </c>
      <c r="H233">
        <f t="shared" si="7"/>
        <v>0.28068043742405835</v>
      </c>
      <c r="I233">
        <f t="shared" si="6"/>
        <v>2</v>
      </c>
    </row>
    <row r="234" spans="1:9" ht="64" x14ac:dyDescent="0.2">
      <c r="A234" t="s">
        <v>3485</v>
      </c>
      <c r="B234">
        <v>60725</v>
      </c>
      <c r="C234">
        <v>1634</v>
      </c>
      <c r="F234" s="4" t="s">
        <v>3486</v>
      </c>
      <c r="G234">
        <v>0.31897544066576522</v>
      </c>
      <c r="H234">
        <f t="shared" si="7"/>
        <v>0.28189550425273391</v>
      </c>
      <c r="I234">
        <f t="shared" si="6"/>
        <v>2</v>
      </c>
    </row>
    <row r="235" spans="1:9" ht="64" x14ac:dyDescent="0.2">
      <c r="A235" t="s">
        <v>3365</v>
      </c>
      <c r="B235">
        <v>61048</v>
      </c>
      <c r="C235">
        <v>1084</v>
      </c>
      <c r="F235" s="4" t="s">
        <v>3487</v>
      </c>
      <c r="G235">
        <v>0.3190856938076071</v>
      </c>
      <c r="H235">
        <f t="shared" si="7"/>
        <v>0.28311057108140947</v>
      </c>
      <c r="I235">
        <f t="shared" si="6"/>
        <v>2</v>
      </c>
    </row>
    <row r="236" spans="1:9" ht="48" x14ac:dyDescent="0.2">
      <c r="A236" t="s">
        <v>3488</v>
      </c>
      <c r="B236">
        <v>61071</v>
      </c>
      <c r="C236">
        <v>1124</v>
      </c>
      <c r="F236" s="4" t="s">
        <v>3489</v>
      </c>
      <c r="G236">
        <v>0.31921750327950382</v>
      </c>
      <c r="H236">
        <f t="shared" si="7"/>
        <v>0.28432563791008503</v>
      </c>
      <c r="I236">
        <f t="shared" si="6"/>
        <v>2</v>
      </c>
    </row>
    <row r="237" spans="1:9" ht="64" x14ac:dyDescent="0.2">
      <c r="A237" t="s">
        <v>3490</v>
      </c>
      <c r="B237">
        <v>61196</v>
      </c>
      <c r="C237">
        <v>1454</v>
      </c>
      <c r="F237" s="4" t="s">
        <v>3491</v>
      </c>
      <c r="G237">
        <v>0.3192307689925763</v>
      </c>
      <c r="H237">
        <f t="shared" si="7"/>
        <v>0.28554070473876064</v>
      </c>
      <c r="I237">
        <f t="shared" si="6"/>
        <v>2</v>
      </c>
    </row>
    <row r="238" spans="1:9" ht="64" x14ac:dyDescent="0.2">
      <c r="A238" t="s">
        <v>3492</v>
      </c>
      <c r="B238">
        <v>61667</v>
      </c>
      <c r="C238">
        <v>1586</v>
      </c>
      <c r="F238" s="4" t="s">
        <v>3493</v>
      </c>
      <c r="G238">
        <v>0.3197974746963656</v>
      </c>
      <c r="H238">
        <f t="shared" si="7"/>
        <v>0.2867557715674362</v>
      </c>
      <c r="I238">
        <f t="shared" si="6"/>
        <v>2</v>
      </c>
    </row>
    <row r="239" spans="1:9" ht="48" x14ac:dyDescent="0.2">
      <c r="A239" t="s">
        <v>3494</v>
      </c>
      <c r="B239">
        <v>61675</v>
      </c>
      <c r="C239">
        <v>1167</v>
      </c>
      <c r="F239" s="4" t="s">
        <v>3495</v>
      </c>
      <c r="G239">
        <v>0.31984167261235935</v>
      </c>
      <c r="H239">
        <f t="shared" si="7"/>
        <v>0.28797083839611176</v>
      </c>
      <c r="I239">
        <f t="shared" si="6"/>
        <v>2</v>
      </c>
    </row>
    <row r="240" spans="1:9" ht="48" x14ac:dyDescent="0.2">
      <c r="A240" t="s">
        <v>3496</v>
      </c>
      <c r="B240">
        <v>61755</v>
      </c>
      <c r="C240">
        <v>1320</v>
      </c>
      <c r="F240" s="4" t="s">
        <v>3497</v>
      </c>
      <c r="G240">
        <v>0.32017063404654872</v>
      </c>
      <c r="H240">
        <f t="shared" si="7"/>
        <v>0.28918590522478738</v>
      </c>
      <c r="I240">
        <f t="shared" si="6"/>
        <v>2</v>
      </c>
    </row>
    <row r="241" spans="1:9" ht="64" x14ac:dyDescent="0.2">
      <c r="A241" t="s">
        <v>3498</v>
      </c>
      <c r="B241">
        <v>61844</v>
      </c>
      <c r="C241">
        <v>1541</v>
      </c>
      <c r="F241" s="4" t="s">
        <v>3499</v>
      </c>
      <c r="G241">
        <v>0.32027777488112796</v>
      </c>
      <c r="H241">
        <f t="shared" si="7"/>
        <v>0.29040097205346294</v>
      </c>
      <c r="I241">
        <f t="shared" si="6"/>
        <v>2</v>
      </c>
    </row>
    <row r="242" spans="1:9" ht="48" x14ac:dyDescent="0.2">
      <c r="A242" t="s">
        <v>3500</v>
      </c>
      <c r="B242">
        <v>62054</v>
      </c>
      <c r="C242">
        <v>1097</v>
      </c>
      <c r="F242" s="4" t="s">
        <v>3501</v>
      </c>
      <c r="G242">
        <v>0.32038307943963668</v>
      </c>
      <c r="H242">
        <f t="shared" si="7"/>
        <v>0.2916160388821385</v>
      </c>
      <c r="I242">
        <f t="shared" si="6"/>
        <v>2</v>
      </c>
    </row>
    <row r="243" spans="1:9" ht="48" x14ac:dyDescent="0.2">
      <c r="A243" t="s">
        <v>3502</v>
      </c>
      <c r="B243">
        <v>62060</v>
      </c>
      <c r="C243">
        <v>1181</v>
      </c>
      <c r="F243" s="4" t="s">
        <v>3503</v>
      </c>
      <c r="G243">
        <v>0.32040617197411492</v>
      </c>
      <c r="H243">
        <f t="shared" si="7"/>
        <v>0.29283110571081411</v>
      </c>
      <c r="I243">
        <f t="shared" si="6"/>
        <v>2</v>
      </c>
    </row>
    <row r="244" spans="1:9" ht="48" x14ac:dyDescent="0.2">
      <c r="A244" t="s">
        <v>3504</v>
      </c>
      <c r="B244">
        <v>62120</v>
      </c>
      <c r="C244">
        <v>1268</v>
      </c>
      <c r="F244" s="4" t="s">
        <v>3505</v>
      </c>
      <c r="G244">
        <v>0.32041465096277705</v>
      </c>
      <c r="H244">
        <f t="shared" si="7"/>
        <v>0.29404617253948967</v>
      </c>
      <c r="I244">
        <f t="shared" si="6"/>
        <v>2</v>
      </c>
    </row>
    <row r="245" spans="1:9" ht="64" x14ac:dyDescent="0.2">
      <c r="A245" t="s">
        <v>3190</v>
      </c>
      <c r="B245">
        <v>62212</v>
      </c>
      <c r="C245">
        <v>1094</v>
      </c>
      <c r="F245" s="4" t="s">
        <v>3506</v>
      </c>
      <c r="G245">
        <v>0.32064523625587471</v>
      </c>
      <c r="H245">
        <f t="shared" si="7"/>
        <v>0.29526123936816523</v>
      </c>
      <c r="I245">
        <f t="shared" si="6"/>
        <v>2</v>
      </c>
    </row>
    <row r="246" spans="1:9" ht="48" x14ac:dyDescent="0.2">
      <c r="A246" t="s">
        <v>3507</v>
      </c>
      <c r="B246">
        <v>62432</v>
      </c>
      <c r="C246">
        <v>1290</v>
      </c>
      <c r="F246" s="4" t="s">
        <v>3508</v>
      </c>
      <c r="G246">
        <v>0.32067216425926154</v>
      </c>
      <c r="H246">
        <f t="shared" si="7"/>
        <v>0.29647630619684084</v>
      </c>
      <c r="I246">
        <f t="shared" si="6"/>
        <v>2</v>
      </c>
    </row>
    <row r="247" spans="1:9" ht="48" x14ac:dyDescent="0.2">
      <c r="A247" t="s">
        <v>3509</v>
      </c>
      <c r="B247">
        <v>62462</v>
      </c>
      <c r="C247">
        <v>1116</v>
      </c>
      <c r="F247" s="4" t="s">
        <v>3510</v>
      </c>
      <c r="G247">
        <v>0.32068486542400704</v>
      </c>
      <c r="H247">
        <f t="shared" si="7"/>
        <v>0.2976913730255164</v>
      </c>
      <c r="I247">
        <f t="shared" si="6"/>
        <v>2</v>
      </c>
    </row>
    <row r="248" spans="1:9" ht="48" x14ac:dyDescent="0.2">
      <c r="A248" t="s">
        <v>3511</v>
      </c>
      <c r="B248">
        <v>62700</v>
      </c>
      <c r="C248">
        <v>1198</v>
      </c>
      <c r="F248" s="4" t="s">
        <v>3512</v>
      </c>
      <c r="G248">
        <v>0.32071269487750553</v>
      </c>
      <c r="H248">
        <f t="shared" si="7"/>
        <v>0.29890643985419196</v>
      </c>
      <c r="I248">
        <f t="shared" si="6"/>
        <v>2</v>
      </c>
    </row>
    <row r="249" spans="1:9" ht="48" x14ac:dyDescent="0.2">
      <c r="A249" t="s">
        <v>3513</v>
      </c>
      <c r="B249">
        <v>62788</v>
      </c>
      <c r="C249">
        <v>1102</v>
      </c>
      <c r="F249" s="4" t="s">
        <v>3514</v>
      </c>
      <c r="G249">
        <v>0.32089017014005938</v>
      </c>
      <c r="H249">
        <f t="shared" si="7"/>
        <v>0.30012150668286758</v>
      </c>
      <c r="I249">
        <f t="shared" si="6"/>
        <v>2</v>
      </c>
    </row>
    <row r="250" spans="1:9" ht="48" x14ac:dyDescent="0.2">
      <c r="A250" t="s">
        <v>3515</v>
      </c>
      <c r="B250">
        <v>62843</v>
      </c>
      <c r="C250">
        <v>1099</v>
      </c>
      <c r="F250" s="4" t="s">
        <v>3454</v>
      </c>
      <c r="G250">
        <v>0.32098162281954956</v>
      </c>
      <c r="H250">
        <f t="shared" si="7"/>
        <v>0.30133657351154314</v>
      </c>
      <c r="I250">
        <f t="shared" si="6"/>
        <v>2</v>
      </c>
    </row>
    <row r="251" spans="1:9" ht="64" x14ac:dyDescent="0.2">
      <c r="A251" t="s">
        <v>3516</v>
      </c>
      <c r="B251">
        <v>62927</v>
      </c>
      <c r="C251">
        <v>1377</v>
      </c>
      <c r="F251" s="4" t="s">
        <v>3517</v>
      </c>
      <c r="G251">
        <v>0.32101152019284146</v>
      </c>
      <c r="H251">
        <f t="shared" si="7"/>
        <v>0.3025516403402187</v>
      </c>
      <c r="I251">
        <f t="shared" si="6"/>
        <v>2</v>
      </c>
    </row>
    <row r="252" spans="1:9" ht="48" x14ac:dyDescent="0.2">
      <c r="A252" t="s">
        <v>3518</v>
      </c>
      <c r="B252">
        <v>63036</v>
      </c>
      <c r="C252">
        <v>1161</v>
      </c>
      <c r="F252" s="4" t="s">
        <v>3519</v>
      </c>
      <c r="G252">
        <v>0.32102685228198663</v>
      </c>
      <c r="H252">
        <f t="shared" si="7"/>
        <v>0.30376670716889431</v>
      </c>
      <c r="I252">
        <f t="shared" si="6"/>
        <v>2</v>
      </c>
    </row>
    <row r="253" spans="1:9" ht="48" x14ac:dyDescent="0.2">
      <c r="A253" t="s">
        <v>3520</v>
      </c>
      <c r="B253">
        <v>63044</v>
      </c>
      <c r="C253">
        <v>1285</v>
      </c>
      <c r="F253" s="4" t="s">
        <v>3521</v>
      </c>
      <c r="G253">
        <v>0.32122370635701036</v>
      </c>
      <c r="H253">
        <f t="shared" si="7"/>
        <v>0.30498177399756987</v>
      </c>
      <c r="I253">
        <f t="shared" si="6"/>
        <v>2</v>
      </c>
    </row>
    <row r="254" spans="1:9" ht="48" x14ac:dyDescent="0.2">
      <c r="A254" t="s">
        <v>3522</v>
      </c>
      <c r="B254">
        <v>63141</v>
      </c>
      <c r="C254">
        <v>1526</v>
      </c>
      <c r="F254" s="4" t="s">
        <v>3523</v>
      </c>
      <c r="G254">
        <v>0.32140664359481436</v>
      </c>
      <c r="H254">
        <f t="shared" si="7"/>
        <v>0.30619684082624543</v>
      </c>
      <c r="I254">
        <f t="shared" si="6"/>
        <v>2</v>
      </c>
    </row>
    <row r="255" spans="1:9" ht="48" x14ac:dyDescent="0.2">
      <c r="A255" t="s">
        <v>3524</v>
      </c>
      <c r="B255">
        <v>63167</v>
      </c>
      <c r="C255">
        <v>1345</v>
      </c>
      <c r="F255" s="4" t="s">
        <v>3525</v>
      </c>
      <c r="G255">
        <v>0.32145842057829394</v>
      </c>
      <c r="H255">
        <f t="shared" si="7"/>
        <v>0.30741190765492105</v>
      </c>
      <c r="I255">
        <f t="shared" si="6"/>
        <v>2</v>
      </c>
    </row>
    <row r="256" spans="1:9" ht="48" x14ac:dyDescent="0.2">
      <c r="A256" t="s">
        <v>3526</v>
      </c>
      <c r="B256">
        <v>63190</v>
      </c>
      <c r="C256">
        <v>1310</v>
      </c>
      <c r="F256" s="4" t="s">
        <v>3527</v>
      </c>
      <c r="G256">
        <v>0.32146216282121254</v>
      </c>
      <c r="H256">
        <f t="shared" si="7"/>
        <v>0.30862697448359661</v>
      </c>
      <c r="I256">
        <f t="shared" si="6"/>
        <v>2</v>
      </c>
    </row>
    <row r="257" spans="1:9" ht="48" x14ac:dyDescent="0.2">
      <c r="A257" t="s">
        <v>3528</v>
      </c>
      <c r="B257">
        <v>63295</v>
      </c>
      <c r="C257">
        <v>1187</v>
      </c>
      <c r="F257" s="4" t="s">
        <v>3529</v>
      </c>
      <c r="G257">
        <v>0.32148073543521377</v>
      </c>
      <c r="H257">
        <f t="shared" si="7"/>
        <v>0.30984204131227217</v>
      </c>
      <c r="I257">
        <f t="shared" si="6"/>
        <v>2</v>
      </c>
    </row>
    <row r="258" spans="1:9" ht="48" x14ac:dyDescent="0.2">
      <c r="A258" t="s">
        <v>3530</v>
      </c>
      <c r="B258">
        <v>63468</v>
      </c>
      <c r="C258">
        <v>1283</v>
      </c>
      <c r="F258" s="4" t="s">
        <v>3531</v>
      </c>
      <c r="G258">
        <v>0.32151724269753468</v>
      </c>
      <c r="H258">
        <f t="shared" si="7"/>
        <v>0.31105710814094772</v>
      </c>
      <c r="I258">
        <f t="shared" si="6"/>
        <v>2</v>
      </c>
    </row>
    <row r="259" spans="1:9" ht="48" x14ac:dyDescent="0.2">
      <c r="A259" t="s">
        <v>3532</v>
      </c>
      <c r="B259">
        <v>63514</v>
      </c>
      <c r="C259">
        <v>1542</v>
      </c>
      <c r="F259" s="4" t="s">
        <v>3533</v>
      </c>
      <c r="G259">
        <v>0.32163276740310731</v>
      </c>
      <c r="H259">
        <f t="shared" si="7"/>
        <v>0.31227217496962334</v>
      </c>
      <c r="I259">
        <f t="shared" ref="I259:I322" si="8">IF(H259&lt;0.2,1,IF(H259&lt;0.4,2,IF(H259&lt;0.6,3,IF(H259&lt;0.8,4,5))))</f>
        <v>2</v>
      </c>
    </row>
    <row r="260" spans="1:9" ht="64" x14ac:dyDescent="0.2">
      <c r="A260" t="s">
        <v>3534</v>
      </c>
      <c r="B260">
        <v>63536</v>
      </c>
      <c r="C260">
        <v>1379</v>
      </c>
      <c r="F260" s="4" t="s">
        <v>3535</v>
      </c>
      <c r="G260">
        <v>0.32178779459516366</v>
      </c>
      <c r="H260">
        <f t="shared" ref="H260:H323" si="9">_xlfn.RANK.EQ(G260,$G$3:$G$825,1)/COUNT($G$3:$G$825)</f>
        <v>0.3134872417982989</v>
      </c>
      <c r="I260">
        <f t="shared" si="8"/>
        <v>2</v>
      </c>
    </row>
    <row r="261" spans="1:9" ht="48" x14ac:dyDescent="0.2">
      <c r="A261" t="s">
        <v>3536</v>
      </c>
      <c r="B261">
        <v>63618</v>
      </c>
      <c r="C261">
        <v>1641</v>
      </c>
      <c r="F261" s="4" t="s">
        <v>3537</v>
      </c>
      <c r="G261">
        <v>0.32184869772173991</v>
      </c>
      <c r="H261">
        <f t="shared" si="9"/>
        <v>0.31470230862697446</v>
      </c>
      <c r="I261">
        <f t="shared" si="8"/>
        <v>2</v>
      </c>
    </row>
    <row r="262" spans="1:9" ht="64" x14ac:dyDescent="0.2">
      <c r="A262" t="s">
        <v>3538</v>
      </c>
      <c r="B262">
        <v>63667</v>
      </c>
      <c r="C262">
        <v>1214</v>
      </c>
      <c r="F262" s="4" t="s">
        <v>3539</v>
      </c>
      <c r="G262">
        <v>0.32196262793610025</v>
      </c>
      <c r="H262">
        <f t="shared" si="9"/>
        <v>0.31591737545565007</v>
      </c>
      <c r="I262">
        <f t="shared" si="8"/>
        <v>2</v>
      </c>
    </row>
    <row r="263" spans="1:9" ht="64" x14ac:dyDescent="0.2">
      <c r="A263" t="s">
        <v>3540</v>
      </c>
      <c r="B263">
        <v>63715</v>
      </c>
      <c r="C263">
        <v>1457</v>
      </c>
      <c r="F263" s="4" t="s">
        <v>3541</v>
      </c>
      <c r="G263">
        <v>0.32246795764977293</v>
      </c>
      <c r="H263">
        <f t="shared" si="9"/>
        <v>0.31713244228432563</v>
      </c>
      <c r="I263">
        <f t="shared" si="8"/>
        <v>2</v>
      </c>
    </row>
    <row r="264" spans="1:9" ht="48" x14ac:dyDescent="0.2">
      <c r="A264" t="s">
        <v>3542</v>
      </c>
      <c r="B264">
        <v>63821</v>
      </c>
      <c r="C264">
        <v>1337</v>
      </c>
      <c r="F264" s="4" t="s">
        <v>3438</v>
      </c>
      <c r="G264">
        <v>0.32268966731045451</v>
      </c>
      <c r="H264">
        <f t="shared" si="9"/>
        <v>0.31834750911300119</v>
      </c>
      <c r="I264">
        <f t="shared" si="8"/>
        <v>2</v>
      </c>
    </row>
    <row r="265" spans="1:9" ht="48" x14ac:dyDescent="0.2">
      <c r="A265" t="s">
        <v>3543</v>
      </c>
      <c r="B265">
        <v>64044</v>
      </c>
      <c r="C265">
        <v>1852</v>
      </c>
      <c r="F265" s="4" t="s">
        <v>3544</v>
      </c>
      <c r="G265">
        <v>0.32271046190340169</v>
      </c>
      <c r="H265">
        <f t="shared" si="9"/>
        <v>0.31956257594167681</v>
      </c>
      <c r="I265">
        <f t="shared" si="8"/>
        <v>2</v>
      </c>
    </row>
    <row r="266" spans="1:9" ht="48" x14ac:dyDescent="0.2">
      <c r="A266" t="s">
        <v>3545</v>
      </c>
      <c r="B266">
        <v>64241</v>
      </c>
      <c r="C266">
        <v>1235</v>
      </c>
      <c r="F266" s="4" t="s">
        <v>3509</v>
      </c>
      <c r="G266">
        <v>0.32302972170134309</v>
      </c>
      <c r="H266">
        <f t="shared" si="9"/>
        <v>0.32077764277035237</v>
      </c>
      <c r="I266">
        <f t="shared" si="8"/>
        <v>2</v>
      </c>
    </row>
    <row r="267" spans="1:9" ht="48" x14ac:dyDescent="0.2">
      <c r="A267" t="s">
        <v>3379</v>
      </c>
      <c r="B267">
        <v>64341</v>
      </c>
      <c r="C267">
        <v>1169</v>
      </c>
      <c r="F267" s="4" t="s">
        <v>3546</v>
      </c>
      <c r="G267">
        <v>0.32328728997613376</v>
      </c>
      <c r="H267">
        <f t="shared" si="9"/>
        <v>0.32199270959902793</v>
      </c>
      <c r="I267">
        <f t="shared" si="8"/>
        <v>2</v>
      </c>
    </row>
    <row r="268" spans="1:9" ht="48" x14ac:dyDescent="0.2">
      <c r="A268" t="s">
        <v>3547</v>
      </c>
      <c r="B268">
        <v>64375</v>
      </c>
      <c r="C268">
        <v>1592</v>
      </c>
      <c r="F268" s="4" t="s">
        <v>3548</v>
      </c>
      <c r="G268">
        <v>0.32347169873939019</v>
      </c>
      <c r="H268">
        <f t="shared" si="9"/>
        <v>0.32320777642770354</v>
      </c>
      <c r="I268">
        <f t="shared" si="8"/>
        <v>2</v>
      </c>
    </row>
    <row r="269" spans="1:9" ht="48" x14ac:dyDescent="0.2">
      <c r="A269" t="s">
        <v>3525</v>
      </c>
      <c r="B269">
        <v>64405</v>
      </c>
      <c r="C269">
        <v>1116</v>
      </c>
      <c r="F269" s="4" t="s">
        <v>3549</v>
      </c>
      <c r="G269">
        <v>0.32350231167006321</v>
      </c>
      <c r="H269">
        <f t="shared" si="9"/>
        <v>0.3244228432563791</v>
      </c>
      <c r="I269">
        <f t="shared" si="8"/>
        <v>2</v>
      </c>
    </row>
    <row r="270" spans="1:9" ht="48" x14ac:dyDescent="0.2">
      <c r="A270" t="s">
        <v>3550</v>
      </c>
      <c r="B270">
        <v>64406</v>
      </c>
      <c r="C270">
        <v>1319</v>
      </c>
      <c r="F270" s="4" t="s">
        <v>3551</v>
      </c>
      <c r="G270">
        <v>0.32361607073616744</v>
      </c>
      <c r="H270">
        <f t="shared" si="9"/>
        <v>0.32563791008505466</v>
      </c>
      <c r="I270">
        <f t="shared" si="8"/>
        <v>2</v>
      </c>
    </row>
    <row r="271" spans="1:9" ht="64" x14ac:dyDescent="0.2">
      <c r="A271" t="s">
        <v>3552</v>
      </c>
      <c r="B271">
        <v>64550</v>
      </c>
      <c r="C271">
        <v>1181</v>
      </c>
      <c r="F271" s="4" t="s">
        <v>3553</v>
      </c>
      <c r="G271">
        <v>0.32389652989663958</v>
      </c>
      <c r="H271">
        <f t="shared" si="9"/>
        <v>0.32685297691373028</v>
      </c>
      <c r="I271">
        <f t="shared" si="8"/>
        <v>2</v>
      </c>
    </row>
    <row r="272" spans="1:9" ht="64" x14ac:dyDescent="0.2">
      <c r="A272" t="s">
        <v>3554</v>
      </c>
      <c r="B272">
        <v>64662</v>
      </c>
      <c r="C272">
        <v>1594</v>
      </c>
      <c r="F272" s="4" t="s">
        <v>3555</v>
      </c>
      <c r="G272">
        <v>0.32392302897843028</v>
      </c>
      <c r="H272">
        <f t="shared" si="9"/>
        <v>0.32806804374240583</v>
      </c>
      <c r="I272">
        <f t="shared" si="8"/>
        <v>2</v>
      </c>
    </row>
    <row r="273" spans="1:9" ht="48" x14ac:dyDescent="0.2">
      <c r="A273" t="s">
        <v>3556</v>
      </c>
      <c r="B273">
        <v>65113</v>
      </c>
      <c r="C273">
        <v>1492</v>
      </c>
      <c r="F273" s="4" t="s">
        <v>3557</v>
      </c>
      <c r="G273">
        <v>0.32485166529424536</v>
      </c>
      <c r="H273">
        <f t="shared" si="9"/>
        <v>0.32928311057108139</v>
      </c>
      <c r="I273">
        <f t="shared" si="8"/>
        <v>2</v>
      </c>
    </row>
    <row r="274" spans="1:9" ht="48" x14ac:dyDescent="0.2">
      <c r="A274" t="s">
        <v>3558</v>
      </c>
      <c r="B274">
        <v>65192</v>
      </c>
      <c r="C274">
        <v>1124</v>
      </c>
      <c r="F274" s="4" t="s">
        <v>3552</v>
      </c>
      <c r="G274">
        <v>0.32490541870524797</v>
      </c>
      <c r="H274">
        <f t="shared" si="9"/>
        <v>0.33049817739975701</v>
      </c>
      <c r="I274">
        <f t="shared" si="8"/>
        <v>2</v>
      </c>
    </row>
    <row r="275" spans="1:9" ht="48" x14ac:dyDescent="0.2">
      <c r="A275" t="s">
        <v>3559</v>
      </c>
      <c r="B275">
        <v>65218</v>
      </c>
      <c r="C275">
        <v>1515</v>
      </c>
      <c r="F275" s="4" t="s">
        <v>3560</v>
      </c>
      <c r="G275">
        <v>0.32506111112614633</v>
      </c>
      <c r="H275">
        <f t="shared" si="9"/>
        <v>0.33171324422843257</v>
      </c>
      <c r="I275">
        <f t="shared" si="8"/>
        <v>2</v>
      </c>
    </row>
    <row r="276" spans="1:9" ht="48" x14ac:dyDescent="0.2">
      <c r="A276" t="s">
        <v>3484</v>
      </c>
      <c r="B276">
        <v>65470</v>
      </c>
      <c r="C276">
        <v>1242</v>
      </c>
      <c r="F276" s="4" t="s">
        <v>3561</v>
      </c>
      <c r="G276">
        <v>0.32535431777031937</v>
      </c>
      <c r="H276">
        <f t="shared" si="9"/>
        <v>0.33292831105710813</v>
      </c>
      <c r="I276">
        <f t="shared" si="8"/>
        <v>2</v>
      </c>
    </row>
    <row r="277" spans="1:9" ht="48" x14ac:dyDescent="0.2">
      <c r="A277" t="s">
        <v>3453</v>
      </c>
      <c r="B277">
        <v>65521</v>
      </c>
      <c r="C277">
        <v>1183</v>
      </c>
      <c r="F277" s="4" t="s">
        <v>3562</v>
      </c>
      <c r="G277">
        <v>0.32541857414820569</v>
      </c>
      <c r="H277">
        <f t="shared" si="9"/>
        <v>0.33414337788578374</v>
      </c>
      <c r="I277">
        <f t="shared" si="8"/>
        <v>2</v>
      </c>
    </row>
    <row r="278" spans="1:9" ht="48" x14ac:dyDescent="0.2">
      <c r="A278" t="s">
        <v>3563</v>
      </c>
      <c r="B278">
        <v>65550</v>
      </c>
      <c r="C278">
        <v>1379</v>
      </c>
      <c r="F278" s="4" t="s">
        <v>3564</v>
      </c>
      <c r="G278">
        <v>0.32639640959183125</v>
      </c>
      <c r="H278">
        <f t="shared" si="9"/>
        <v>0.3353584447144593</v>
      </c>
      <c r="I278">
        <f t="shared" si="8"/>
        <v>2</v>
      </c>
    </row>
    <row r="279" spans="1:9" ht="64" x14ac:dyDescent="0.2">
      <c r="A279" t="s">
        <v>3565</v>
      </c>
      <c r="B279">
        <v>65781</v>
      </c>
      <c r="C279">
        <v>1454</v>
      </c>
      <c r="F279" s="4" t="s">
        <v>3566</v>
      </c>
      <c r="G279">
        <v>0.32653377692139007</v>
      </c>
      <c r="H279">
        <f t="shared" si="9"/>
        <v>0.33657351154313486</v>
      </c>
      <c r="I279">
        <f t="shared" si="8"/>
        <v>2</v>
      </c>
    </row>
    <row r="280" spans="1:9" ht="48" x14ac:dyDescent="0.2">
      <c r="A280" t="s">
        <v>3567</v>
      </c>
      <c r="B280">
        <v>65927</v>
      </c>
      <c r="C280">
        <v>1319</v>
      </c>
      <c r="F280" s="4" t="s">
        <v>3568</v>
      </c>
      <c r="G280">
        <v>0.32703935046131022</v>
      </c>
      <c r="H280">
        <f t="shared" si="9"/>
        <v>0.33778857837181048</v>
      </c>
      <c r="I280">
        <f t="shared" si="8"/>
        <v>2</v>
      </c>
    </row>
    <row r="281" spans="1:9" ht="48" x14ac:dyDescent="0.2">
      <c r="A281" t="s">
        <v>3569</v>
      </c>
      <c r="B281">
        <v>65967</v>
      </c>
      <c r="C281">
        <v>1534</v>
      </c>
      <c r="F281" s="4" t="s">
        <v>3570</v>
      </c>
      <c r="G281">
        <v>0.32732138612768419</v>
      </c>
      <c r="H281">
        <f t="shared" si="9"/>
        <v>0.33900364520048604</v>
      </c>
      <c r="I281">
        <f t="shared" si="8"/>
        <v>2</v>
      </c>
    </row>
    <row r="282" spans="1:9" ht="64" x14ac:dyDescent="0.2">
      <c r="A282" t="s">
        <v>3571</v>
      </c>
      <c r="B282">
        <v>66250</v>
      </c>
      <c r="C282">
        <v>2096</v>
      </c>
      <c r="F282" s="4" t="s">
        <v>3572</v>
      </c>
      <c r="G282">
        <v>0.32752840464388355</v>
      </c>
      <c r="H282">
        <f t="shared" si="9"/>
        <v>0.3402187120291616</v>
      </c>
      <c r="I282">
        <f t="shared" si="8"/>
        <v>2</v>
      </c>
    </row>
    <row r="283" spans="1:9" ht="48" x14ac:dyDescent="0.2">
      <c r="A283" t="s">
        <v>3120</v>
      </c>
      <c r="B283">
        <v>66331</v>
      </c>
      <c r="C283">
        <v>1014</v>
      </c>
      <c r="F283" s="4" t="s">
        <v>3573</v>
      </c>
      <c r="G283">
        <v>0.32756337006174308</v>
      </c>
      <c r="H283">
        <f t="shared" si="9"/>
        <v>0.34143377885783716</v>
      </c>
      <c r="I283">
        <f t="shared" si="8"/>
        <v>2</v>
      </c>
    </row>
    <row r="284" spans="1:9" ht="48" x14ac:dyDescent="0.2">
      <c r="A284" t="s">
        <v>3574</v>
      </c>
      <c r="B284">
        <v>66615</v>
      </c>
      <c r="C284">
        <v>1302</v>
      </c>
      <c r="F284" s="4" t="s">
        <v>3575</v>
      </c>
      <c r="G284">
        <v>0.32767361616536322</v>
      </c>
      <c r="H284">
        <f t="shared" si="9"/>
        <v>0.34264884568651277</v>
      </c>
      <c r="I284">
        <f t="shared" si="8"/>
        <v>2</v>
      </c>
    </row>
    <row r="285" spans="1:9" ht="64" x14ac:dyDescent="0.2">
      <c r="A285" t="s">
        <v>3576</v>
      </c>
      <c r="B285">
        <v>66964</v>
      </c>
      <c r="C285">
        <v>1172</v>
      </c>
      <c r="F285" s="4" t="s">
        <v>3577</v>
      </c>
      <c r="G285">
        <v>0.32787331116383334</v>
      </c>
      <c r="H285">
        <f t="shared" si="9"/>
        <v>0.34386391251518833</v>
      </c>
      <c r="I285">
        <f t="shared" si="8"/>
        <v>2</v>
      </c>
    </row>
    <row r="286" spans="1:9" ht="48" x14ac:dyDescent="0.2">
      <c r="A286" t="s">
        <v>3546</v>
      </c>
      <c r="B286">
        <v>66989</v>
      </c>
      <c r="C286">
        <v>1190</v>
      </c>
      <c r="F286" s="4" t="s">
        <v>3578</v>
      </c>
      <c r="G286">
        <v>0.32841203440672728</v>
      </c>
      <c r="H286">
        <f t="shared" si="9"/>
        <v>0.34507897934386389</v>
      </c>
      <c r="I286">
        <f t="shared" si="8"/>
        <v>2</v>
      </c>
    </row>
    <row r="287" spans="1:9" ht="48" x14ac:dyDescent="0.2">
      <c r="A287" t="s">
        <v>3579</v>
      </c>
      <c r="B287">
        <v>67097</v>
      </c>
      <c r="C287">
        <v>1754</v>
      </c>
      <c r="F287" s="4" t="s">
        <v>3580</v>
      </c>
      <c r="G287">
        <v>0.32853248960314985</v>
      </c>
      <c r="H287">
        <f t="shared" si="9"/>
        <v>0.3462940461725395</v>
      </c>
      <c r="I287">
        <f t="shared" si="8"/>
        <v>2</v>
      </c>
    </row>
    <row r="288" spans="1:9" ht="48" x14ac:dyDescent="0.2">
      <c r="A288" t="s">
        <v>3367</v>
      </c>
      <c r="B288">
        <v>67108</v>
      </c>
      <c r="C288">
        <v>1133</v>
      </c>
      <c r="F288" s="4" t="s">
        <v>3513</v>
      </c>
      <c r="G288">
        <v>0.328988793126679</v>
      </c>
      <c r="H288">
        <f t="shared" si="9"/>
        <v>0.34750911300121506</v>
      </c>
      <c r="I288">
        <f t="shared" si="8"/>
        <v>2</v>
      </c>
    </row>
    <row r="289" spans="1:9" ht="48" x14ac:dyDescent="0.2">
      <c r="A289" t="s">
        <v>3581</v>
      </c>
      <c r="B289">
        <v>67262</v>
      </c>
      <c r="C289">
        <v>1245</v>
      </c>
      <c r="F289" s="4" t="s">
        <v>3582</v>
      </c>
      <c r="G289">
        <v>0.32910215055424441</v>
      </c>
      <c r="H289">
        <f t="shared" si="9"/>
        <v>0.34872417982989062</v>
      </c>
      <c r="I289">
        <f t="shared" si="8"/>
        <v>2</v>
      </c>
    </row>
    <row r="290" spans="1:9" ht="48" x14ac:dyDescent="0.2">
      <c r="A290" t="s">
        <v>3583</v>
      </c>
      <c r="B290">
        <v>67314</v>
      </c>
      <c r="C290">
        <v>1320</v>
      </c>
      <c r="F290" s="4" t="s">
        <v>3584</v>
      </c>
      <c r="G290">
        <v>0.32913288482730452</v>
      </c>
      <c r="H290">
        <f t="shared" si="9"/>
        <v>0.34993924665856624</v>
      </c>
      <c r="I290">
        <f t="shared" si="8"/>
        <v>2</v>
      </c>
    </row>
    <row r="291" spans="1:9" ht="48" x14ac:dyDescent="0.2">
      <c r="A291" t="s">
        <v>3585</v>
      </c>
      <c r="B291">
        <v>67917</v>
      </c>
      <c r="C291">
        <v>1487</v>
      </c>
      <c r="F291" s="4" t="s">
        <v>3586</v>
      </c>
      <c r="G291">
        <v>0.32951175313930453</v>
      </c>
      <c r="H291">
        <f t="shared" si="9"/>
        <v>0.3511543134872418</v>
      </c>
      <c r="I291">
        <f t="shared" si="8"/>
        <v>2</v>
      </c>
    </row>
    <row r="292" spans="1:9" ht="64" x14ac:dyDescent="0.2">
      <c r="A292" t="s">
        <v>3587</v>
      </c>
      <c r="B292">
        <v>67917</v>
      </c>
      <c r="C292">
        <v>1286</v>
      </c>
      <c r="F292" s="4" t="s">
        <v>3588</v>
      </c>
      <c r="G292">
        <v>0.329702056226443</v>
      </c>
      <c r="H292">
        <f t="shared" si="9"/>
        <v>0.35236938031591736</v>
      </c>
      <c r="I292">
        <f t="shared" si="8"/>
        <v>2</v>
      </c>
    </row>
    <row r="293" spans="1:9" ht="48" x14ac:dyDescent="0.2">
      <c r="A293" t="s">
        <v>3589</v>
      </c>
      <c r="B293">
        <v>68087</v>
      </c>
      <c r="C293">
        <v>1536</v>
      </c>
      <c r="F293" s="4" t="s">
        <v>3590</v>
      </c>
      <c r="G293">
        <v>0.32974722257128369</v>
      </c>
      <c r="H293">
        <f t="shared" si="9"/>
        <v>0.35358444714459297</v>
      </c>
      <c r="I293">
        <f t="shared" si="8"/>
        <v>2</v>
      </c>
    </row>
    <row r="294" spans="1:9" ht="48" x14ac:dyDescent="0.2">
      <c r="A294" t="s">
        <v>3591</v>
      </c>
      <c r="B294">
        <v>68125</v>
      </c>
      <c r="C294">
        <v>1456</v>
      </c>
      <c r="F294" s="4" t="s">
        <v>3592</v>
      </c>
      <c r="G294">
        <v>0.32978705565679139</v>
      </c>
      <c r="H294">
        <f t="shared" si="9"/>
        <v>0.35479951397326853</v>
      </c>
      <c r="I294">
        <f t="shared" si="8"/>
        <v>2</v>
      </c>
    </row>
    <row r="295" spans="1:9" ht="48" x14ac:dyDescent="0.2">
      <c r="A295" t="s">
        <v>3593</v>
      </c>
      <c r="B295">
        <v>68125</v>
      </c>
      <c r="C295">
        <v>1408</v>
      </c>
      <c r="F295" s="4" t="s">
        <v>3594</v>
      </c>
      <c r="G295">
        <v>0.32985108479615793</v>
      </c>
      <c r="H295">
        <f t="shared" si="9"/>
        <v>0.35601458080194409</v>
      </c>
      <c r="I295">
        <f t="shared" si="8"/>
        <v>2</v>
      </c>
    </row>
    <row r="296" spans="1:9" ht="48" x14ac:dyDescent="0.2">
      <c r="A296" t="s">
        <v>3595</v>
      </c>
      <c r="B296">
        <v>68301</v>
      </c>
      <c r="C296">
        <v>1214</v>
      </c>
      <c r="F296" s="4" t="s">
        <v>3596</v>
      </c>
      <c r="G296">
        <v>0.32987876480979239</v>
      </c>
      <c r="H296">
        <f t="shared" si="9"/>
        <v>0.35722964763061971</v>
      </c>
      <c r="I296">
        <f t="shared" si="8"/>
        <v>2</v>
      </c>
    </row>
    <row r="297" spans="1:9" ht="48" x14ac:dyDescent="0.2">
      <c r="A297" t="s">
        <v>3597</v>
      </c>
      <c r="B297">
        <v>68322</v>
      </c>
      <c r="C297">
        <v>1254</v>
      </c>
      <c r="F297" s="4" t="s">
        <v>3471</v>
      </c>
      <c r="G297">
        <v>0.32994720492602903</v>
      </c>
      <c r="H297">
        <f t="shared" si="9"/>
        <v>0.35844471445929527</v>
      </c>
      <c r="I297">
        <f t="shared" si="8"/>
        <v>2</v>
      </c>
    </row>
    <row r="298" spans="1:9" ht="48" x14ac:dyDescent="0.2">
      <c r="A298" t="s">
        <v>3174</v>
      </c>
      <c r="B298">
        <v>68365</v>
      </c>
      <c r="C298">
        <v>1113</v>
      </c>
      <c r="F298" s="4" t="s">
        <v>3598</v>
      </c>
      <c r="G298">
        <v>0.3299846784383213</v>
      </c>
      <c r="H298">
        <f t="shared" si="9"/>
        <v>0.35965978128797083</v>
      </c>
      <c r="I298">
        <f t="shared" si="8"/>
        <v>2</v>
      </c>
    </row>
    <row r="299" spans="1:9" ht="48" x14ac:dyDescent="0.2">
      <c r="A299" t="s">
        <v>3510</v>
      </c>
      <c r="B299">
        <v>68482</v>
      </c>
      <c r="C299">
        <v>1120</v>
      </c>
      <c r="F299" s="4" t="s">
        <v>3599</v>
      </c>
      <c r="G299">
        <v>0.33005803624844487</v>
      </c>
      <c r="H299">
        <f t="shared" si="9"/>
        <v>0.36087484811664644</v>
      </c>
      <c r="I299">
        <f t="shared" si="8"/>
        <v>2</v>
      </c>
    </row>
    <row r="300" spans="1:9" ht="48" x14ac:dyDescent="0.2">
      <c r="A300" t="s">
        <v>3600</v>
      </c>
      <c r="B300">
        <v>68523</v>
      </c>
      <c r="C300">
        <v>1206</v>
      </c>
      <c r="F300" s="4" t="s">
        <v>3601</v>
      </c>
      <c r="G300">
        <v>0.33043237069195874</v>
      </c>
      <c r="H300">
        <f t="shared" si="9"/>
        <v>0.362089914945322</v>
      </c>
      <c r="I300">
        <f t="shared" si="8"/>
        <v>2</v>
      </c>
    </row>
    <row r="301" spans="1:9" ht="48" x14ac:dyDescent="0.2">
      <c r="A301" t="s">
        <v>3602</v>
      </c>
      <c r="B301">
        <v>68599</v>
      </c>
      <c r="C301">
        <v>1630</v>
      </c>
      <c r="F301" s="4" t="s">
        <v>3603</v>
      </c>
      <c r="G301">
        <v>0.33045480422243945</v>
      </c>
      <c r="H301">
        <f t="shared" si="9"/>
        <v>0.36330498177399756</v>
      </c>
      <c r="I301">
        <f t="shared" si="8"/>
        <v>2</v>
      </c>
    </row>
    <row r="302" spans="1:9" ht="64" x14ac:dyDescent="0.2">
      <c r="A302" t="s">
        <v>3604</v>
      </c>
      <c r="B302">
        <v>68832</v>
      </c>
      <c r="C302">
        <v>1506</v>
      </c>
      <c r="F302" s="4" t="s">
        <v>3605</v>
      </c>
      <c r="G302">
        <v>0.33053813752842892</v>
      </c>
      <c r="H302">
        <f t="shared" si="9"/>
        <v>0.36452004860267317</v>
      </c>
      <c r="I302">
        <f t="shared" si="8"/>
        <v>2</v>
      </c>
    </row>
    <row r="303" spans="1:9" ht="48" x14ac:dyDescent="0.2">
      <c r="A303" t="s">
        <v>3606</v>
      </c>
      <c r="B303">
        <v>69118</v>
      </c>
      <c r="C303">
        <v>1310</v>
      </c>
      <c r="F303" s="4" t="s">
        <v>3600</v>
      </c>
      <c r="G303">
        <v>0.33057897405635872</v>
      </c>
      <c r="H303">
        <f t="shared" si="9"/>
        <v>0.36573511543134873</v>
      </c>
      <c r="I303">
        <f t="shared" si="8"/>
        <v>2</v>
      </c>
    </row>
    <row r="304" spans="1:9" ht="48" x14ac:dyDescent="0.2">
      <c r="A304" t="s">
        <v>3607</v>
      </c>
      <c r="B304">
        <v>69135</v>
      </c>
      <c r="C304">
        <v>1450</v>
      </c>
      <c r="F304" s="4" t="s">
        <v>3500</v>
      </c>
      <c r="G304">
        <v>0.3306901271111134</v>
      </c>
      <c r="H304">
        <f t="shared" si="9"/>
        <v>0.36695018226002429</v>
      </c>
      <c r="I304">
        <f t="shared" si="8"/>
        <v>2</v>
      </c>
    </row>
    <row r="305" spans="1:9" ht="48" x14ac:dyDescent="0.2">
      <c r="A305" t="s">
        <v>3423</v>
      </c>
      <c r="B305">
        <v>69167</v>
      </c>
      <c r="C305">
        <v>1138</v>
      </c>
      <c r="F305" s="4" t="s">
        <v>3608</v>
      </c>
      <c r="G305">
        <v>0.33084031553232907</v>
      </c>
      <c r="H305">
        <f t="shared" si="9"/>
        <v>0.36816524908869985</v>
      </c>
      <c r="I305">
        <f t="shared" si="8"/>
        <v>2</v>
      </c>
    </row>
    <row r="306" spans="1:9" ht="48" x14ac:dyDescent="0.2">
      <c r="A306" t="s">
        <v>3609</v>
      </c>
      <c r="B306">
        <v>69390</v>
      </c>
      <c r="C306">
        <v>1430</v>
      </c>
      <c r="F306" s="4" t="s">
        <v>3610</v>
      </c>
      <c r="G306">
        <v>0.33116464300577503</v>
      </c>
      <c r="H306">
        <f t="shared" si="9"/>
        <v>0.36938031591737547</v>
      </c>
      <c r="I306">
        <f t="shared" si="8"/>
        <v>2</v>
      </c>
    </row>
    <row r="307" spans="1:9" ht="48" x14ac:dyDescent="0.2">
      <c r="A307" t="s">
        <v>3611</v>
      </c>
      <c r="B307">
        <v>69433</v>
      </c>
      <c r="C307">
        <v>1211</v>
      </c>
      <c r="F307" s="4" t="s">
        <v>3576</v>
      </c>
      <c r="G307">
        <v>0.33141117122404401</v>
      </c>
      <c r="H307">
        <f t="shared" si="9"/>
        <v>0.37059538274605103</v>
      </c>
      <c r="I307">
        <f t="shared" si="8"/>
        <v>2</v>
      </c>
    </row>
    <row r="308" spans="1:9" ht="64" x14ac:dyDescent="0.2">
      <c r="A308" t="s">
        <v>3612</v>
      </c>
      <c r="B308">
        <v>69837</v>
      </c>
      <c r="C308">
        <v>1843</v>
      </c>
      <c r="F308" s="4" t="s">
        <v>3432</v>
      </c>
      <c r="G308">
        <v>0.33145770632450772</v>
      </c>
      <c r="H308">
        <f t="shared" si="9"/>
        <v>0.37181044957472659</v>
      </c>
      <c r="I308">
        <f t="shared" si="8"/>
        <v>2</v>
      </c>
    </row>
    <row r="309" spans="1:9" ht="48" x14ac:dyDescent="0.2">
      <c r="A309" t="s">
        <v>3613</v>
      </c>
      <c r="B309">
        <v>70217</v>
      </c>
      <c r="C309">
        <v>1254</v>
      </c>
      <c r="F309" s="4" t="s">
        <v>3614</v>
      </c>
      <c r="G309">
        <v>0.3319371396884791</v>
      </c>
      <c r="H309">
        <f t="shared" si="9"/>
        <v>0.3730255164034022</v>
      </c>
      <c r="I309">
        <f t="shared" si="8"/>
        <v>2</v>
      </c>
    </row>
    <row r="310" spans="1:9" ht="48" x14ac:dyDescent="0.2">
      <c r="A310" t="s">
        <v>3586</v>
      </c>
      <c r="B310">
        <v>70341</v>
      </c>
      <c r="C310">
        <v>1234</v>
      </c>
      <c r="F310" s="4" t="s">
        <v>3615</v>
      </c>
      <c r="G310">
        <v>0.33211104634887723</v>
      </c>
      <c r="H310">
        <f t="shared" si="9"/>
        <v>0.37424058323207776</v>
      </c>
      <c r="I310">
        <f t="shared" si="8"/>
        <v>2</v>
      </c>
    </row>
    <row r="311" spans="1:9" ht="48" x14ac:dyDescent="0.2">
      <c r="A311" t="s">
        <v>3616</v>
      </c>
      <c r="B311">
        <v>70350</v>
      </c>
      <c r="C311">
        <v>1296</v>
      </c>
      <c r="F311" s="4" t="s">
        <v>3617</v>
      </c>
      <c r="G311">
        <v>0.33222731806042011</v>
      </c>
      <c r="H311">
        <f t="shared" si="9"/>
        <v>0.37545565006075332</v>
      </c>
      <c r="I311">
        <f t="shared" si="8"/>
        <v>2</v>
      </c>
    </row>
    <row r="312" spans="1:9" ht="64" x14ac:dyDescent="0.2">
      <c r="A312" t="s">
        <v>3531</v>
      </c>
      <c r="B312">
        <v>70396</v>
      </c>
      <c r="C312">
        <v>1233</v>
      </c>
      <c r="F312" s="4" t="s">
        <v>3528</v>
      </c>
      <c r="G312">
        <v>0.3322697522236584</v>
      </c>
      <c r="H312">
        <f t="shared" si="9"/>
        <v>0.37667071688942894</v>
      </c>
      <c r="I312">
        <f t="shared" si="8"/>
        <v>2</v>
      </c>
    </row>
    <row r="313" spans="1:9" ht="48" x14ac:dyDescent="0.2">
      <c r="A313" t="s">
        <v>3618</v>
      </c>
      <c r="B313">
        <v>70469</v>
      </c>
      <c r="C313">
        <v>1660</v>
      </c>
      <c r="F313" s="4" t="s">
        <v>3619</v>
      </c>
      <c r="G313">
        <v>0.33228888855501365</v>
      </c>
      <c r="H313">
        <f t="shared" si="9"/>
        <v>0.3778857837181045</v>
      </c>
      <c r="I313">
        <f t="shared" si="8"/>
        <v>2</v>
      </c>
    </row>
    <row r="314" spans="1:9" ht="48" x14ac:dyDescent="0.2">
      <c r="A314" t="s">
        <v>3620</v>
      </c>
      <c r="B314">
        <v>70500</v>
      </c>
      <c r="C314">
        <v>1272</v>
      </c>
      <c r="F314" s="4" t="s">
        <v>3621</v>
      </c>
      <c r="G314">
        <v>0.33229752159322223</v>
      </c>
      <c r="H314">
        <f t="shared" si="9"/>
        <v>0.37910085054678005</v>
      </c>
      <c r="I314">
        <f t="shared" si="8"/>
        <v>2</v>
      </c>
    </row>
    <row r="315" spans="1:9" ht="48" x14ac:dyDescent="0.2">
      <c r="A315" t="s">
        <v>3622</v>
      </c>
      <c r="B315">
        <v>70642</v>
      </c>
      <c r="C315">
        <v>1573</v>
      </c>
      <c r="F315" s="4" t="s">
        <v>3585</v>
      </c>
      <c r="G315">
        <v>0.33233318649554344</v>
      </c>
      <c r="H315">
        <f t="shared" si="9"/>
        <v>0.38031591737545567</v>
      </c>
      <c r="I315">
        <f t="shared" si="8"/>
        <v>2</v>
      </c>
    </row>
    <row r="316" spans="1:9" ht="48" x14ac:dyDescent="0.2">
      <c r="A316" t="s">
        <v>3623</v>
      </c>
      <c r="B316">
        <v>70689</v>
      </c>
      <c r="C316">
        <v>1333</v>
      </c>
      <c r="F316" s="4" t="s">
        <v>3624</v>
      </c>
      <c r="G316">
        <v>0.33262245693303</v>
      </c>
      <c r="H316">
        <f t="shared" si="9"/>
        <v>0.38153098420413123</v>
      </c>
      <c r="I316">
        <f t="shared" si="8"/>
        <v>2</v>
      </c>
    </row>
    <row r="317" spans="1:9" ht="48" x14ac:dyDescent="0.2">
      <c r="A317" t="s">
        <v>3625</v>
      </c>
      <c r="B317">
        <v>70787</v>
      </c>
      <c r="C317">
        <v>1616</v>
      </c>
      <c r="F317" s="4" t="s">
        <v>3626</v>
      </c>
      <c r="G317">
        <v>0.33307087180616191</v>
      </c>
      <c r="H317">
        <f t="shared" si="9"/>
        <v>0.38274605103280679</v>
      </c>
      <c r="I317">
        <f t="shared" si="8"/>
        <v>2</v>
      </c>
    </row>
    <row r="318" spans="1:9" ht="64" x14ac:dyDescent="0.2">
      <c r="A318" t="s">
        <v>3306</v>
      </c>
      <c r="B318">
        <v>70857</v>
      </c>
      <c r="C318">
        <v>1195</v>
      </c>
      <c r="F318" s="4" t="s">
        <v>3587</v>
      </c>
      <c r="G318">
        <v>0.33316774578416225</v>
      </c>
      <c r="H318">
        <f t="shared" si="9"/>
        <v>0.3839611178614824</v>
      </c>
      <c r="I318">
        <f t="shared" si="8"/>
        <v>2</v>
      </c>
    </row>
    <row r="319" spans="1:9" ht="48" x14ac:dyDescent="0.2">
      <c r="A319" t="s">
        <v>3627</v>
      </c>
      <c r="B319">
        <v>70875</v>
      </c>
      <c r="C319">
        <v>1332</v>
      </c>
      <c r="F319" s="4" t="s">
        <v>3450</v>
      </c>
      <c r="G319">
        <v>0.33322940894060787</v>
      </c>
      <c r="H319">
        <f t="shared" si="9"/>
        <v>0.38517618469015796</v>
      </c>
      <c r="I319">
        <f t="shared" si="8"/>
        <v>2</v>
      </c>
    </row>
    <row r="320" spans="1:9" ht="48" x14ac:dyDescent="0.2">
      <c r="A320" t="s">
        <v>3401</v>
      </c>
      <c r="B320">
        <v>70952</v>
      </c>
      <c r="C320">
        <v>1191</v>
      </c>
      <c r="F320" s="4" t="s">
        <v>3628</v>
      </c>
      <c r="G320">
        <v>0.33340692258921995</v>
      </c>
      <c r="H320">
        <f t="shared" si="9"/>
        <v>0.38639125151883352</v>
      </c>
      <c r="I320">
        <f t="shared" si="8"/>
        <v>2</v>
      </c>
    </row>
    <row r="321" spans="1:9" ht="64" x14ac:dyDescent="0.2">
      <c r="A321" t="s">
        <v>3228</v>
      </c>
      <c r="B321">
        <v>71159</v>
      </c>
      <c r="C321">
        <v>1151</v>
      </c>
      <c r="F321" s="4" t="s">
        <v>3629</v>
      </c>
      <c r="G321">
        <v>0.33358907177049085</v>
      </c>
      <c r="H321">
        <f t="shared" si="9"/>
        <v>0.38760631834750914</v>
      </c>
      <c r="I321">
        <f t="shared" si="8"/>
        <v>2</v>
      </c>
    </row>
    <row r="322" spans="1:9" ht="48" x14ac:dyDescent="0.2">
      <c r="A322" t="s">
        <v>3630</v>
      </c>
      <c r="B322">
        <v>71178</v>
      </c>
      <c r="C322">
        <v>1867</v>
      </c>
      <c r="F322" s="4" t="s">
        <v>3502</v>
      </c>
      <c r="G322">
        <v>0.33406137095839755</v>
      </c>
      <c r="H322">
        <f t="shared" si="9"/>
        <v>0.3888213851761847</v>
      </c>
      <c r="I322">
        <f t="shared" si="8"/>
        <v>2</v>
      </c>
    </row>
    <row r="323" spans="1:9" ht="48" x14ac:dyDescent="0.2">
      <c r="A323" t="s">
        <v>3631</v>
      </c>
      <c r="B323">
        <v>71225</v>
      </c>
      <c r="C323">
        <v>1380</v>
      </c>
      <c r="F323" s="4" t="s">
        <v>3632</v>
      </c>
      <c r="G323">
        <v>0.33421182360046348</v>
      </c>
      <c r="H323">
        <f t="shared" si="9"/>
        <v>0.39003645200486026</v>
      </c>
      <c r="I323">
        <f t="shared" ref="I323:I386" si="10">IF(H323&lt;0.2,1,IF(H323&lt;0.4,2,IF(H323&lt;0.6,3,IF(H323&lt;0.8,4,5))))</f>
        <v>2</v>
      </c>
    </row>
    <row r="324" spans="1:9" ht="64" x14ac:dyDescent="0.2">
      <c r="A324" t="s">
        <v>3633</v>
      </c>
      <c r="B324">
        <v>71295</v>
      </c>
      <c r="C324">
        <v>1571</v>
      </c>
      <c r="F324" s="4" t="s">
        <v>3634</v>
      </c>
      <c r="G324">
        <v>0.33424504230104168</v>
      </c>
      <c r="H324">
        <f t="shared" ref="H324:H387" si="11">_xlfn.RANK.EQ(G324,$G$3:$G$825,1)/COUNT($G$3:$G$825)</f>
        <v>0.39125151883353587</v>
      </c>
      <c r="I324">
        <f t="shared" si="10"/>
        <v>2</v>
      </c>
    </row>
    <row r="325" spans="1:9" ht="48" x14ac:dyDescent="0.2">
      <c r="A325" t="s">
        <v>3429</v>
      </c>
      <c r="B325">
        <v>71316</v>
      </c>
      <c r="C325">
        <v>1250</v>
      </c>
      <c r="F325" s="4" t="s">
        <v>3635</v>
      </c>
      <c r="G325">
        <v>0.33448885548125251</v>
      </c>
      <c r="H325">
        <f t="shared" si="11"/>
        <v>0.39246658566221143</v>
      </c>
      <c r="I325">
        <f t="shared" si="10"/>
        <v>2</v>
      </c>
    </row>
    <row r="326" spans="1:9" ht="64" x14ac:dyDescent="0.2">
      <c r="A326" t="s">
        <v>3276</v>
      </c>
      <c r="B326">
        <v>71399</v>
      </c>
      <c r="C326">
        <v>1212</v>
      </c>
      <c r="F326" s="4" t="s">
        <v>3611</v>
      </c>
      <c r="G326">
        <v>0.33487246698255874</v>
      </c>
      <c r="H326">
        <f t="shared" si="11"/>
        <v>0.39368165249088699</v>
      </c>
      <c r="I326">
        <f t="shared" si="10"/>
        <v>2</v>
      </c>
    </row>
    <row r="327" spans="1:9" ht="48" x14ac:dyDescent="0.2">
      <c r="A327" t="s">
        <v>3636</v>
      </c>
      <c r="B327">
        <v>71660</v>
      </c>
      <c r="C327">
        <v>1859</v>
      </c>
      <c r="F327" s="4" t="s">
        <v>3488</v>
      </c>
      <c r="G327">
        <v>0.3349472711741</v>
      </c>
      <c r="H327">
        <f t="shared" si="11"/>
        <v>0.39489671931956255</v>
      </c>
      <c r="I327">
        <f t="shared" si="10"/>
        <v>2</v>
      </c>
    </row>
    <row r="328" spans="1:9" ht="64" x14ac:dyDescent="0.2">
      <c r="A328" t="s">
        <v>3637</v>
      </c>
      <c r="B328">
        <v>71683</v>
      </c>
      <c r="C328">
        <v>1286</v>
      </c>
      <c r="F328" s="4" t="s">
        <v>3638</v>
      </c>
      <c r="G328">
        <v>0.33508682179278243</v>
      </c>
      <c r="H328">
        <f t="shared" si="11"/>
        <v>0.39611178614823817</v>
      </c>
      <c r="I328">
        <f t="shared" si="10"/>
        <v>2</v>
      </c>
    </row>
    <row r="329" spans="1:9" ht="48" x14ac:dyDescent="0.2">
      <c r="A329" t="s">
        <v>3639</v>
      </c>
      <c r="B329">
        <v>71734</v>
      </c>
      <c r="C329">
        <v>1409</v>
      </c>
      <c r="F329" s="4" t="s">
        <v>3518</v>
      </c>
      <c r="G329">
        <v>0.33518821208999999</v>
      </c>
      <c r="H329">
        <f t="shared" si="11"/>
        <v>0.39732685297691372</v>
      </c>
      <c r="I329">
        <f t="shared" si="10"/>
        <v>2</v>
      </c>
    </row>
    <row r="330" spans="1:9" ht="48" x14ac:dyDescent="0.2">
      <c r="A330" t="s">
        <v>3640</v>
      </c>
      <c r="B330">
        <v>71810</v>
      </c>
      <c r="C330">
        <v>1716</v>
      </c>
      <c r="F330" s="4" t="s">
        <v>3641</v>
      </c>
      <c r="G330">
        <v>0.33519298802183639</v>
      </c>
      <c r="H330">
        <f t="shared" si="11"/>
        <v>0.39854191980558928</v>
      </c>
      <c r="I330">
        <f t="shared" si="10"/>
        <v>2</v>
      </c>
    </row>
    <row r="331" spans="1:9" ht="48" x14ac:dyDescent="0.2">
      <c r="A331" t="s">
        <v>3537</v>
      </c>
      <c r="B331">
        <v>71825</v>
      </c>
      <c r="C331">
        <v>1273</v>
      </c>
      <c r="F331" s="4" t="s">
        <v>3642</v>
      </c>
      <c r="G331">
        <v>0.33530428225487913</v>
      </c>
      <c r="H331">
        <f t="shared" si="11"/>
        <v>0.3997569866342649</v>
      </c>
      <c r="I331">
        <f t="shared" si="10"/>
        <v>2</v>
      </c>
    </row>
    <row r="332" spans="1:9" ht="48" x14ac:dyDescent="0.2">
      <c r="A332" t="s">
        <v>3184</v>
      </c>
      <c r="B332">
        <v>72150</v>
      </c>
      <c r="C332">
        <v>1227</v>
      </c>
      <c r="F332" s="4" t="s">
        <v>3643</v>
      </c>
      <c r="G332">
        <v>0.33531358457420124</v>
      </c>
      <c r="H332">
        <f t="shared" si="11"/>
        <v>0.40097205346294046</v>
      </c>
      <c r="I332">
        <f t="shared" si="10"/>
        <v>3</v>
      </c>
    </row>
    <row r="333" spans="1:9" ht="64" x14ac:dyDescent="0.2">
      <c r="A333" t="s">
        <v>3644</v>
      </c>
      <c r="B333">
        <v>72188</v>
      </c>
      <c r="C333">
        <v>1715</v>
      </c>
      <c r="F333" s="4" t="s">
        <v>3645</v>
      </c>
      <c r="G333">
        <v>0.33535643686684247</v>
      </c>
      <c r="H333">
        <f t="shared" si="11"/>
        <v>0.40218712029161602</v>
      </c>
      <c r="I333">
        <f t="shared" si="10"/>
        <v>3</v>
      </c>
    </row>
    <row r="334" spans="1:9" ht="48" x14ac:dyDescent="0.2">
      <c r="A334" t="s">
        <v>3561</v>
      </c>
      <c r="B334">
        <v>72198</v>
      </c>
      <c r="C334">
        <v>1335</v>
      </c>
      <c r="F334" s="4" t="s">
        <v>3646</v>
      </c>
      <c r="G334">
        <v>0.33585179920489366</v>
      </c>
      <c r="H334">
        <f t="shared" si="11"/>
        <v>0.40340218712029163</v>
      </c>
      <c r="I334">
        <f t="shared" si="10"/>
        <v>3</v>
      </c>
    </row>
    <row r="335" spans="1:9" ht="48" x14ac:dyDescent="0.2">
      <c r="A335" t="s">
        <v>3647</v>
      </c>
      <c r="B335">
        <v>72219</v>
      </c>
      <c r="C335">
        <v>1542</v>
      </c>
      <c r="F335" s="4" t="s">
        <v>3648</v>
      </c>
      <c r="G335">
        <v>0.33650671734157106</v>
      </c>
      <c r="H335">
        <f t="shared" si="11"/>
        <v>0.40461725394896719</v>
      </c>
      <c r="I335">
        <f t="shared" si="10"/>
        <v>3</v>
      </c>
    </row>
    <row r="336" spans="1:9" ht="48" x14ac:dyDescent="0.2">
      <c r="A336" t="s">
        <v>3649</v>
      </c>
      <c r="B336">
        <v>72344</v>
      </c>
      <c r="C336">
        <v>1719</v>
      </c>
      <c r="F336" s="4" t="s">
        <v>3650</v>
      </c>
      <c r="G336">
        <v>0.33674714393794736</v>
      </c>
      <c r="H336">
        <f t="shared" si="11"/>
        <v>0.40583232077764275</v>
      </c>
      <c r="I336">
        <f t="shared" si="10"/>
        <v>3</v>
      </c>
    </row>
    <row r="337" spans="1:9" ht="48" x14ac:dyDescent="0.2">
      <c r="A337" t="s">
        <v>3651</v>
      </c>
      <c r="B337">
        <v>72455</v>
      </c>
      <c r="C337">
        <v>1365</v>
      </c>
      <c r="F337" s="4" t="s">
        <v>3652</v>
      </c>
      <c r="G337">
        <v>0.33693050851014422</v>
      </c>
      <c r="H337">
        <f t="shared" si="11"/>
        <v>0.40704738760631837</v>
      </c>
      <c r="I337">
        <f t="shared" si="10"/>
        <v>3</v>
      </c>
    </row>
    <row r="338" spans="1:9" ht="48" x14ac:dyDescent="0.2">
      <c r="A338" t="s">
        <v>3653</v>
      </c>
      <c r="B338">
        <v>72464</v>
      </c>
      <c r="C338">
        <v>1368</v>
      </c>
      <c r="F338" s="4" t="s">
        <v>3654</v>
      </c>
      <c r="G338">
        <v>0.33730675210457056</v>
      </c>
      <c r="H338">
        <f t="shared" si="11"/>
        <v>0.40826245443499393</v>
      </c>
      <c r="I338">
        <f t="shared" si="10"/>
        <v>3</v>
      </c>
    </row>
    <row r="339" spans="1:9" ht="64" x14ac:dyDescent="0.2">
      <c r="A339" t="s">
        <v>3655</v>
      </c>
      <c r="B339">
        <v>72606</v>
      </c>
      <c r="C339">
        <v>1283</v>
      </c>
      <c r="F339" s="4" t="s">
        <v>3440</v>
      </c>
      <c r="G339">
        <v>0.33758250874027002</v>
      </c>
      <c r="H339">
        <f t="shared" si="11"/>
        <v>0.40947752126366949</v>
      </c>
      <c r="I339">
        <f t="shared" si="10"/>
        <v>3</v>
      </c>
    </row>
    <row r="340" spans="1:9" ht="48" x14ac:dyDescent="0.2">
      <c r="A340" t="s">
        <v>3568</v>
      </c>
      <c r="B340">
        <v>72658</v>
      </c>
      <c r="C340">
        <v>1373</v>
      </c>
      <c r="F340" s="4" t="s">
        <v>3656</v>
      </c>
      <c r="G340">
        <v>0.3379871726610863</v>
      </c>
      <c r="H340">
        <f t="shared" si="11"/>
        <v>0.4106925880923451</v>
      </c>
      <c r="I340">
        <f t="shared" si="10"/>
        <v>3</v>
      </c>
    </row>
    <row r="341" spans="1:9" ht="48" x14ac:dyDescent="0.2">
      <c r="A341" t="s">
        <v>3657</v>
      </c>
      <c r="B341">
        <v>72667</v>
      </c>
      <c r="C341">
        <v>1446</v>
      </c>
      <c r="F341" s="4" t="s">
        <v>3658</v>
      </c>
      <c r="G341">
        <v>0.338050883743853</v>
      </c>
      <c r="H341">
        <f t="shared" si="11"/>
        <v>0.41190765492102066</v>
      </c>
      <c r="I341">
        <f t="shared" si="10"/>
        <v>3</v>
      </c>
    </row>
    <row r="342" spans="1:9" ht="48" x14ac:dyDescent="0.2">
      <c r="A342" t="s">
        <v>3659</v>
      </c>
      <c r="B342">
        <v>72674</v>
      </c>
      <c r="C342">
        <v>1335</v>
      </c>
      <c r="F342" s="4" t="s">
        <v>3660</v>
      </c>
      <c r="G342">
        <v>0.33817343347640627</v>
      </c>
      <c r="H342">
        <f t="shared" si="11"/>
        <v>0.41312272174969622</v>
      </c>
      <c r="I342">
        <f t="shared" si="10"/>
        <v>3</v>
      </c>
    </row>
    <row r="343" spans="1:9" ht="48" x14ac:dyDescent="0.2">
      <c r="A343" t="s">
        <v>3363</v>
      </c>
      <c r="B343">
        <v>72813</v>
      </c>
      <c r="C343">
        <v>1234</v>
      </c>
      <c r="F343" s="4" t="s">
        <v>3661</v>
      </c>
      <c r="G343">
        <v>0.33823451366817103</v>
      </c>
      <c r="H343">
        <f t="shared" si="11"/>
        <v>0.41433778857837184</v>
      </c>
      <c r="I343">
        <f t="shared" si="10"/>
        <v>3</v>
      </c>
    </row>
    <row r="344" spans="1:9" ht="48" x14ac:dyDescent="0.2">
      <c r="A344" t="s">
        <v>3662</v>
      </c>
      <c r="B344">
        <v>72900</v>
      </c>
      <c r="C344">
        <v>1414</v>
      </c>
      <c r="F344" s="4" t="s">
        <v>3663</v>
      </c>
      <c r="G344">
        <v>0.33899512831283168</v>
      </c>
      <c r="H344">
        <f t="shared" si="11"/>
        <v>0.41555285540704739</v>
      </c>
      <c r="I344">
        <f t="shared" si="10"/>
        <v>3</v>
      </c>
    </row>
    <row r="345" spans="1:9" ht="64" x14ac:dyDescent="0.2">
      <c r="A345" t="s">
        <v>3664</v>
      </c>
      <c r="B345">
        <v>73365</v>
      </c>
      <c r="C345">
        <v>1400</v>
      </c>
      <c r="F345" s="4" t="s">
        <v>3595</v>
      </c>
      <c r="G345">
        <v>0.33926036977717672</v>
      </c>
      <c r="H345">
        <f t="shared" si="11"/>
        <v>0.41676792223572295</v>
      </c>
      <c r="I345">
        <f t="shared" si="10"/>
        <v>3</v>
      </c>
    </row>
    <row r="346" spans="1:9" ht="48" x14ac:dyDescent="0.2">
      <c r="A346" t="s">
        <v>3665</v>
      </c>
      <c r="B346">
        <v>73411</v>
      </c>
      <c r="C346">
        <v>1442</v>
      </c>
      <c r="F346" s="4" t="s">
        <v>3666</v>
      </c>
      <c r="G346">
        <v>0.33963543855101525</v>
      </c>
      <c r="H346">
        <f t="shared" si="11"/>
        <v>0.41798298906439857</v>
      </c>
      <c r="I346">
        <f t="shared" si="10"/>
        <v>3</v>
      </c>
    </row>
    <row r="347" spans="1:9" ht="64" x14ac:dyDescent="0.2">
      <c r="A347" t="s">
        <v>3667</v>
      </c>
      <c r="B347">
        <v>73426</v>
      </c>
      <c r="C347">
        <v>1549</v>
      </c>
      <c r="F347" s="4" t="s">
        <v>3668</v>
      </c>
      <c r="G347">
        <v>0.34043253472690976</v>
      </c>
      <c r="H347">
        <f t="shared" si="11"/>
        <v>0.41919805589307413</v>
      </c>
      <c r="I347">
        <f t="shared" si="10"/>
        <v>3</v>
      </c>
    </row>
    <row r="348" spans="1:9" ht="48" x14ac:dyDescent="0.2">
      <c r="A348" t="s">
        <v>3250</v>
      </c>
      <c r="B348">
        <v>73594</v>
      </c>
      <c r="C348">
        <v>1118</v>
      </c>
      <c r="F348" s="4" t="s">
        <v>3669</v>
      </c>
      <c r="G348">
        <v>0.3406472976005524</v>
      </c>
      <c r="H348">
        <f t="shared" si="11"/>
        <v>0.42041312272174969</v>
      </c>
      <c r="I348">
        <f t="shared" si="10"/>
        <v>3</v>
      </c>
    </row>
    <row r="349" spans="1:9" ht="48" x14ac:dyDescent="0.2">
      <c r="A349" t="s">
        <v>3094</v>
      </c>
      <c r="B349">
        <v>73828</v>
      </c>
      <c r="C349">
        <v>1045</v>
      </c>
      <c r="F349" s="4" t="s">
        <v>3670</v>
      </c>
      <c r="G349">
        <v>0.3407478475129731</v>
      </c>
      <c r="H349">
        <f t="shared" si="11"/>
        <v>0.42162818955042525</v>
      </c>
      <c r="I349">
        <f t="shared" si="10"/>
        <v>3</v>
      </c>
    </row>
    <row r="350" spans="1:9" ht="64" x14ac:dyDescent="0.2">
      <c r="A350" t="s">
        <v>3584</v>
      </c>
      <c r="B350">
        <v>73903</v>
      </c>
      <c r="C350">
        <v>1303</v>
      </c>
      <c r="F350" s="4" t="s">
        <v>3659</v>
      </c>
      <c r="G350">
        <v>0.34078651214536104</v>
      </c>
      <c r="H350">
        <f t="shared" si="11"/>
        <v>0.42284325637910086</v>
      </c>
      <c r="I350">
        <f t="shared" si="10"/>
        <v>3</v>
      </c>
    </row>
    <row r="351" spans="1:9" ht="48" x14ac:dyDescent="0.2">
      <c r="A351" t="s">
        <v>3548</v>
      </c>
      <c r="B351">
        <v>74044</v>
      </c>
      <c r="C351">
        <v>1302</v>
      </c>
      <c r="F351" s="4" t="s">
        <v>3671</v>
      </c>
      <c r="G351">
        <v>0.34078961523166079</v>
      </c>
      <c r="H351">
        <f t="shared" si="11"/>
        <v>0.42405832320777642</v>
      </c>
      <c r="I351">
        <f t="shared" si="10"/>
        <v>3</v>
      </c>
    </row>
    <row r="352" spans="1:9" ht="48" x14ac:dyDescent="0.2">
      <c r="A352" t="s">
        <v>3080</v>
      </c>
      <c r="B352">
        <v>74132</v>
      </c>
      <c r="C352">
        <v>1102</v>
      </c>
      <c r="F352" s="4" t="s">
        <v>3672</v>
      </c>
      <c r="G352">
        <v>0.34113637602232322</v>
      </c>
      <c r="H352">
        <f t="shared" si="11"/>
        <v>0.42527339003645198</v>
      </c>
      <c r="I352">
        <f t="shared" si="10"/>
        <v>3</v>
      </c>
    </row>
    <row r="353" spans="1:9" ht="64" x14ac:dyDescent="0.2">
      <c r="A353" t="s">
        <v>3136</v>
      </c>
      <c r="B353">
        <v>74157</v>
      </c>
      <c r="C353">
        <v>1177</v>
      </c>
      <c r="F353" s="4" t="s">
        <v>3673</v>
      </c>
      <c r="G353">
        <v>0.34115826328575655</v>
      </c>
      <c r="H353">
        <f t="shared" si="11"/>
        <v>0.4264884568651276</v>
      </c>
      <c r="I353">
        <f t="shared" si="10"/>
        <v>3</v>
      </c>
    </row>
    <row r="354" spans="1:9" ht="64" x14ac:dyDescent="0.2">
      <c r="A354" t="s">
        <v>3674</v>
      </c>
      <c r="B354">
        <v>74202</v>
      </c>
      <c r="C354">
        <v>1498</v>
      </c>
      <c r="F354" s="4" t="s">
        <v>3675</v>
      </c>
      <c r="G354">
        <v>0.34130666562491857</v>
      </c>
      <c r="H354">
        <f t="shared" si="11"/>
        <v>0.42770352369380316</v>
      </c>
      <c r="I354">
        <f t="shared" si="10"/>
        <v>3</v>
      </c>
    </row>
    <row r="355" spans="1:9" ht="64" x14ac:dyDescent="0.2">
      <c r="A355" t="s">
        <v>3676</v>
      </c>
      <c r="B355">
        <v>74397</v>
      </c>
      <c r="C355">
        <v>1726</v>
      </c>
      <c r="F355" s="4" t="s">
        <v>3677</v>
      </c>
      <c r="G355">
        <v>0.34148585227171868</v>
      </c>
      <c r="H355">
        <f t="shared" si="11"/>
        <v>0.42891859052247872</v>
      </c>
      <c r="I355">
        <f t="shared" si="10"/>
        <v>3</v>
      </c>
    </row>
    <row r="356" spans="1:9" ht="48" x14ac:dyDescent="0.2">
      <c r="A356" t="s">
        <v>3678</v>
      </c>
      <c r="B356">
        <v>74444</v>
      </c>
      <c r="C356">
        <v>1626</v>
      </c>
      <c r="F356" s="4" t="s">
        <v>3679</v>
      </c>
      <c r="G356">
        <v>0.34177387040400581</v>
      </c>
      <c r="H356">
        <f t="shared" si="11"/>
        <v>0.43013365735115433</v>
      </c>
      <c r="I356">
        <f t="shared" si="10"/>
        <v>3</v>
      </c>
    </row>
    <row r="357" spans="1:9" ht="64" x14ac:dyDescent="0.2">
      <c r="A357" t="s">
        <v>3680</v>
      </c>
      <c r="B357">
        <v>74519</v>
      </c>
      <c r="C357">
        <v>1553</v>
      </c>
      <c r="F357" s="4" t="s">
        <v>3681</v>
      </c>
      <c r="G357">
        <v>0.3418006369285656</v>
      </c>
      <c r="H357">
        <f t="shared" si="11"/>
        <v>0.43134872417982989</v>
      </c>
      <c r="I357">
        <f t="shared" si="10"/>
        <v>3</v>
      </c>
    </row>
    <row r="358" spans="1:9" ht="48" x14ac:dyDescent="0.2">
      <c r="A358" t="s">
        <v>3503</v>
      </c>
      <c r="B358">
        <v>74602</v>
      </c>
      <c r="C358">
        <v>1325</v>
      </c>
      <c r="F358" s="4" t="s">
        <v>3682</v>
      </c>
      <c r="G358">
        <v>0.34198431932069651</v>
      </c>
      <c r="H358">
        <f t="shared" si="11"/>
        <v>0.43256379100850545</v>
      </c>
      <c r="I358">
        <f t="shared" si="10"/>
        <v>3</v>
      </c>
    </row>
    <row r="359" spans="1:9" ht="48" x14ac:dyDescent="0.2">
      <c r="A359" t="s">
        <v>3272</v>
      </c>
      <c r="B359">
        <v>74634</v>
      </c>
      <c r="C359">
        <v>1184</v>
      </c>
      <c r="F359" s="4" t="s">
        <v>3683</v>
      </c>
      <c r="G359">
        <v>0.34202795905388872</v>
      </c>
      <c r="H359">
        <f t="shared" si="11"/>
        <v>0.43377885783718106</v>
      </c>
      <c r="I359">
        <f t="shared" si="10"/>
        <v>3</v>
      </c>
    </row>
    <row r="360" spans="1:9" ht="64" x14ac:dyDescent="0.2">
      <c r="A360" t="s">
        <v>3391</v>
      </c>
      <c r="B360">
        <v>74659</v>
      </c>
      <c r="C360">
        <v>1268</v>
      </c>
      <c r="F360" s="4" t="s">
        <v>3448</v>
      </c>
      <c r="G360">
        <v>0.34211716767097744</v>
      </c>
      <c r="H360">
        <f t="shared" si="11"/>
        <v>0.43499392466585662</v>
      </c>
      <c r="I360">
        <f t="shared" si="10"/>
        <v>3</v>
      </c>
    </row>
    <row r="361" spans="1:9" ht="48" x14ac:dyDescent="0.2">
      <c r="A361" t="s">
        <v>3555</v>
      </c>
      <c r="B361">
        <v>74675</v>
      </c>
      <c r="C361">
        <v>1280</v>
      </c>
      <c r="F361" s="4" t="s">
        <v>3684</v>
      </c>
      <c r="G361">
        <v>0.34247090451925549</v>
      </c>
      <c r="H361">
        <f t="shared" si="11"/>
        <v>0.43620899149453218</v>
      </c>
      <c r="I361">
        <f t="shared" si="10"/>
        <v>3</v>
      </c>
    </row>
    <row r="362" spans="1:9" ht="64" x14ac:dyDescent="0.2">
      <c r="A362" t="s">
        <v>3685</v>
      </c>
      <c r="B362">
        <v>74722</v>
      </c>
      <c r="C362">
        <v>1691</v>
      </c>
      <c r="F362" s="4" t="s">
        <v>3400</v>
      </c>
      <c r="G362">
        <v>0.34319165662908302</v>
      </c>
      <c r="H362">
        <f t="shared" si="11"/>
        <v>0.4374240583232078</v>
      </c>
      <c r="I362">
        <f t="shared" si="10"/>
        <v>3</v>
      </c>
    </row>
    <row r="363" spans="1:9" ht="64" x14ac:dyDescent="0.2">
      <c r="A363" t="s">
        <v>3399</v>
      </c>
      <c r="B363">
        <v>74732</v>
      </c>
      <c r="C363">
        <v>1254</v>
      </c>
      <c r="F363" s="4" t="s">
        <v>3686</v>
      </c>
      <c r="G363">
        <v>0.34321748377342332</v>
      </c>
      <c r="H363">
        <f t="shared" si="11"/>
        <v>0.43863912515188336</v>
      </c>
      <c r="I363">
        <f t="shared" si="10"/>
        <v>3</v>
      </c>
    </row>
    <row r="364" spans="1:9" ht="48" x14ac:dyDescent="0.2">
      <c r="A364" t="s">
        <v>3381</v>
      </c>
      <c r="B364">
        <v>74735</v>
      </c>
      <c r="C364">
        <v>1228</v>
      </c>
      <c r="F364" s="4" t="s">
        <v>3687</v>
      </c>
      <c r="G364">
        <v>0.34346004134396774</v>
      </c>
      <c r="H364">
        <f t="shared" si="11"/>
        <v>0.43985419198055892</v>
      </c>
      <c r="I364">
        <f t="shared" si="10"/>
        <v>3</v>
      </c>
    </row>
    <row r="365" spans="1:9" ht="64" x14ac:dyDescent="0.2">
      <c r="A365" t="s">
        <v>3688</v>
      </c>
      <c r="B365">
        <v>75074</v>
      </c>
      <c r="C365">
        <v>1495</v>
      </c>
      <c r="F365" s="4" t="s">
        <v>3689</v>
      </c>
      <c r="G365">
        <v>0.34352707751689243</v>
      </c>
      <c r="H365">
        <f t="shared" si="11"/>
        <v>0.44106925880923453</v>
      </c>
      <c r="I365">
        <f t="shared" si="10"/>
        <v>3</v>
      </c>
    </row>
    <row r="366" spans="1:9" ht="48" x14ac:dyDescent="0.2">
      <c r="A366" t="s">
        <v>3690</v>
      </c>
      <c r="B366">
        <v>75110</v>
      </c>
      <c r="C366">
        <v>1319</v>
      </c>
      <c r="F366" s="4" t="s">
        <v>3620</v>
      </c>
      <c r="G366">
        <v>0.34369998308161626</v>
      </c>
      <c r="H366">
        <f t="shared" si="11"/>
        <v>0.44228432563791009</v>
      </c>
      <c r="I366">
        <f t="shared" si="10"/>
        <v>3</v>
      </c>
    </row>
    <row r="367" spans="1:9" ht="48" x14ac:dyDescent="0.2">
      <c r="A367" t="s">
        <v>3114</v>
      </c>
      <c r="B367">
        <v>75114</v>
      </c>
      <c r="C367">
        <v>1054</v>
      </c>
      <c r="F367" s="4" t="s">
        <v>3691</v>
      </c>
      <c r="G367">
        <v>0.34393260354297606</v>
      </c>
      <c r="H367">
        <f t="shared" si="11"/>
        <v>0.44349939246658565</v>
      </c>
      <c r="I367">
        <f t="shared" si="10"/>
        <v>3</v>
      </c>
    </row>
    <row r="368" spans="1:9" ht="48" x14ac:dyDescent="0.2">
      <c r="A368" t="s">
        <v>3590</v>
      </c>
      <c r="B368">
        <v>75135</v>
      </c>
      <c r="C368">
        <v>1442</v>
      </c>
      <c r="F368" s="4" t="s">
        <v>3692</v>
      </c>
      <c r="G368">
        <v>0.34402003762792105</v>
      </c>
      <c r="H368">
        <f t="shared" si="11"/>
        <v>0.44471445929526127</v>
      </c>
      <c r="I368">
        <f t="shared" si="10"/>
        <v>3</v>
      </c>
    </row>
    <row r="369" spans="1:9" ht="48" x14ac:dyDescent="0.2">
      <c r="A369" t="s">
        <v>3693</v>
      </c>
      <c r="B369">
        <v>75293</v>
      </c>
      <c r="C369">
        <v>1323</v>
      </c>
      <c r="F369" s="4" t="s">
        <v>3558</v>
      </c>
      <c r="G369">
        <v>0.34434448918123944</v>
      </c>
      <c r="H369">
        <f t="shared" si="11"/>
        <v>0.44592952612393683</v>
      </c>
      <c r="I369">
        <f t="shared" si="10"/>
        <v>3</v>
      </c>
    </row>
    <row r="370" spans="1:9" ht="64" x14ac:dyDescent="0.2">
      <c r="A370" t="s">
        <v>3694</v>
      </c>
      <c r="B370">
        <v>75417</v>
      </c>
      <c r="C370">
        <v>1640</v>
      </c>
      <c r="F370" s="4" t="s">
        <v>3695</v>
      </c>
      <c r="G370">
        <v>0.34434963135073376</v>
      </c>
      <c r="H370">
        <f t="shared" si="11"/>
        <v>0.44714459295261239</v>
      </c>
      <c r="I370">
        <f t="shared" si="10"/>
        <v>3</v>
      </c>
    </row>
    <row r="371" spans="1:9" ht="48" x14ac:dyDescent="0.2">
      <c r="A371" t="s">
        <v>3417</v>
      </c>
      <c r="B371">
        <v>75536</v>
      </c>
      <c r="C371">
        <v>1230</v>
      </c>
      <c r="F371" s="4" t="s">
        <v>3696</v>
      </c>
      <c r="G371">
        <v>0.34445241174257452</v>
      </c>
      <c r="H371">
        <f t="shared" si="11"/>
        <v>0.44835965978128794</v>
      </c>
      <c r="I371">
        <f t="shared" si="10"/>
        <v>3</v>
      </c>
    </row>
    <row r="372" spans="1:9" ht="48" x14ac:dyDescent="0.2">
      <c r="A372" t="s">
        <v>3421</v>
      </c>
      <c r="B372">
        <v>75673</v>
      </c>
      <c r="C372">
        <v>1305</v>
      </c>
      <c r="F372" s="4" t="s">
        <v>3697</v>
      </c>
      <c r="G372">
        <v>0.34452406692965948</v>
      </c>
      <c r="H372">
        <f t="shared" si="11"/>
        <v>0.44957472660996356</v>
      </c>
      <c r="I372">
        <f t="shared" si="10"/>
        <v>3</v>
      </c>
    </row>
    <row r="373" spans="1:9" ht="64" x14ac:dyDescent="0.2">
      <c r="A373" t="s">
        <v>3570</v>
      </c>
      <c r="B373">
        <v>75685</v>
      </c>
      <c r="C373">
        <v>1341</v>
      </c>
      <c r="F373" s="4" t="s">
        <v>3698</v>
      </c>
      <c r="G373">
        <v>0.34458625700618395</v>
      </c>
      <c r="H373">
        <f t="shared" si="11"/>
        <v>0.45078979343863912</v>
      </c>
      <c r="I373">
        <f t="shared" si="10"/>
        <v>3</v>
      </c>
    </row>
    <row r="374" spans="1:9" ht="48" x14ac:dyDescent="0.2">
      <c r="A374" t="s">
        <v>3699</v>
      </c>
      <c r="B374">
        <v>75799</v>
      </c>
      <c r="C374">
        <v>1914</v>
      </c>
      <c r="F374" s="4" t="s">
        <v>3700</v>
      </c>
      <c r="G374">
        <v>0.34478782379707673</v>
      </c>
      <c r="H374">
        <f t="shared" si="11"/>
        <v>0.45200486026731468</v>
      </c>
      <c r="I374">
        <f t="shared" si="10"/>
        <v>3</v>
      </c>
    </row>
    <row r="375" spans="1:9" ht="64" x14ac:dyDescent="0.2">
      <c r="A375" t="s">
        <v>3701</v>
      </c>
      <c r="B375">
        <v>75833</v>
      </c>
      <c r="C375">
        <v>1401</v>
      </c>
      <c r="F375" s="4" t="s">
        <v>3702</v>
      </c>
      <c r="G375">
        <v>0.34497984739710569</v>
      </c>
      <c r="H375">
        <f t="shared" si="11"/>
        <v>0.45321992709599029</v>
      </c>
      <c r="I375">
        <f t="shared" si="10"/>
        <v>3</v>
      </c>
    </row>
    <row r="376" spans="1:9" ht="48" x14ac:dyDescent="0.2">
      <c r="A376" t="s">
        <v>3512</v>
      </c>
      <c r="B376">
        <v>75881</v>
      </c>
      <c r="C376">
        <v>1690</v>
      </c>
      <c r="F376" s="4" t="s">
        <v>3703</v>
      </c>
      <c r="G376">
        <v>0.34502795917347323</v>
      </c>
      <c r="H376">
        <f t="shared" si="11"/>
        <v>0.45443499392466585</v>
      </c>
      <c r="I376">
        <f t="shared" si="10"/>
        <v>3</v>
      </c>
    </row>
    <row r="377" spans="1:9" ht="48" x14ac:dyDescent="0.2">
      <c r="A377" t="s">
        <v>3514</v>
      </c>
      <c r="B377">
        <v>75938</v>
      </c>
      <c r="C377">
        <v>1408</v>
      </c>
      <c r="F377" s="4" t="s">
        <v>3651</v>
      </c>
      <c r="G377">
        <v>0.34508294612948726</v>
      </c>
      <c r="H377">
        <f t="shared" si="11"/>
        <v>0.45565006075334141</v>
      </c>
      <c r="I377">
        <f t="shared" si="10"/>
        <v>3</v>
      </c>
    </row>
    <row r="378" spans="1:9" ht="48" x14ac:dyDescent="0.2">
      <c r="A378" t="s">
        <v>3661</v>
      </c>
      <c r="B378">
        <v>75980</v>
      </c>
      <c r="C378">
        <v>1400</v>
      </c>
      <c r="F378" s="4" t="s">
        <v>3704</v>
      </c>
      <c r="G378">
        <v>0.34515781148896396</v>
      </c>
      <c r="H378">
        <f t="shared" si="11"/>
        <v>0.45686512758201703</v>
      </c>
      <c r="I378">
        <f t="shared" si="10"/>
        <v>3</v>
      </c>
    </row>
    <row r="379" spans="1:9" ht="48" x14ac:dyDescent="0.2">
      <c r="A379" t="s">
        <v>3705</v>
      </c>
      <c r="B379">
        <v>75991</v>
      </c>
      <c r="C379">
        <v>1458</v>
      </c>
      <c r="F379" s="4" t="s">
        <v>3706</v>
      </c>
      <c r="G379">
        <v>0.34560805912736703</v>
      </c>
      <c r="H379">
        <f t="shared" si="11"/>
        <v>0.45808019441069259</v>
      </c>
      <c r="I379">
        <f t="shared" si="10"/>
        <v>3</v>
      </c>
    </row>
    <row r="380" spans="1:9" ht="48" x14ac:dyDescent="0.2">
      <c r="A380" t="s">
        <v>3621</v>
      </c>
      <c r="B380">
        <v>76047</v>
      </c>
      <c r="C380">
        <v>1301</v>
      </c>
      <c r="F380" s="4" t="s">
        <v>3707</v>
      </c>
      <c r="G380">
        <v>0.34613185538262858</v>
      </c>
      <c r="H380">
        <f t="shared" si="11"/>
        <v>0.45929526123936815</v>
      </c>
      <c r="I380">
        <f t="shared" si="10"/>
        <v>3</v>
      </c>
    </row>
    <row r="381" spans="1:9" ht="48" x14ac:dyDescent="0.2">
      <c r="A381" t="s">
        <v>3431</v>
      </c>
      <c r="B381">
        <v>76318</v>
      </c>
      <c r="C381">
        <v>1269</v>
      </c>
      <c r="F381" s="4" t="s">
        <v>3708</v>
      </c>
      <c r="G381">
        <v>0.3463857385284822</v>
      </c>
      <c r="H381">
        <f t="shared" si="11"/>
        <v>0.46051032806804376</v>
      </c>
      <c r="I381">
        <f t="shared" si="10"/>
        <v>3</v>
      </c>
    </row>
    <row r="382" spans="1:9" ht="48" x14ac:dyDescent="0.2">
      <c r="A382" t="s">
        <v>3134</v>
      </c>
      <c r="B382">
        <v>76602</v>
      </c>
      <c r="C382">
        <v>1149</v>
      </c>
      <c r="F382" s="4" t="s">
        <v>3606</v>
      </c>
      <c r="G382">
        <v>0.34642192547290324</v>
      </c>
      <c r="H382">
        <f t="shared" si="11"/>
        <v>0.46172539489671932</v>
      </c>
      <c r="I382">
        <f t="shared" si="10"/>
        <v>3</v>
      </c>
    </row>
    <row r="383" spans="1:9" ht="48" x14ac:dyDescent="0.2">
      <c r="A383" t="s">
        <v>3236</v>
      </c>
      <c r="B383">
        <v>76724</v>
      </c>
      <c r="C383">
        <v>1313</v>
      </c>
      <c r="F383" s="4" t="s">
        <v>3709</v>
      </c>
      <c r="G383">
        <v>0.34680745333781993</v>
      </c>
      <c r="H383">
        <f t="shared" si="11"/>
        <v>0.46294046172539488</v>
      </c>
      <c r="I383">
        <f t="shared" si="10"/>
        <v>3</v>
      </c>
    </row>
    <row r="384" spans="1:9" ht="48" x14ac:dyDescent="0.2">
      <c r="A384" t="s">
        <v>3707</v>
      </c>
      <c r="B384">
        <v>76739</v>
      </c>
      <c r="C384">
        <v>1447</v>
      </c>
      <c r="F384" s="4" t="s">
        <v>3710</v>
      </c>
      <c r="G384">
        <v>0.34682331523724103</v>
      </c>
      <c r="H384">
        <f t="shared" si="11"/>
        <v>0.4641555285540705</v>
      </c>
      <c r="I384">
        <f t="shared" si="10"/>
        <v>3</v>
      </c>
    </row>
    <row r="385" spans="1:9" ht="48" x14ac:dyDescent="0.2">
      <c r="A385" t="s">
        <v>3578</v>
      </c>
      <c r="B385">
        <v>76908</v>
      </c>
      <c r="C385">
        <v>1397</v>
      </c>
      <c r="F385" s="4" t="s">
        <v>3711</v>
      </c>
      <c r="G385">
        <v>0.34712970837330059</v>
      </c>
      <c r="H385">
        <f t="shared" si="11"/>
        <v>0.46537059538274606</v>
      </c>
      <c r="I385">
        <f t="shared" si="10"/>
        <v>3</v>
      </c>
    </row>
    <row r="386" spans="1:9" ht="64" x14ac:dyDescent="0.2">
      <c r="A386" t="s">
        <v>3712</v>
      </c>
      <c r="B386">
        <v>76921</v>
      </c>
      <c r="C386">
        <v>1755</v>
      </c>
      <c r="F386" s="4" t="s">
        <v>3713</v>
      </c>
      <c r="G386">
        <v>0.34782738233662525</v>
      </c>
      <c r="H386">
        <f t="shared" si="11"/>
        <v>0.46658566221142161</v>
      </c>
      <c r="I386">
        <f t="shared" si="10"/>
        <v>3</v>
      </c>
    </row>
    <row r="387" spans="1:9" ht="48" x14ac:dyDescent="0.2">
      <c r="A387" t="s">
        <v>3425</v>
      </c>
      <c r="B387">
        <v>77083</v>
      </c>
      <c r="C387">
        <v>1328</v>
      </c>
      <c r="F387" s="4" t="s">
        <v>3714</v>
      </c>
      <c r="G387">
        <v>0.34786883951750336</v>
      </c>
      <c r="H387">
        <f t="shared" si="11"/>
        <v>0.46780072904009723</v>
      </c>
      <c r="I387">
        <f t="shared" ref="I387:I450" si="12">IF(H387&lt;0.2,1,IF(H387&lt;0.4,2,IF(H387&lt;0.6,3,IF(H387&lt;0.8,4,5))))</f>
        <v>3</v>
      </c>
    </row>
    <row r="388" spans="1:9" ht="48" x14ac:dyDescent="0.2">
      <c r="A388" t="s">
        <v>3715</v>
      </c>
      <c r="B388">
        <v>77273</v>
      </c>
      <c r="C388">
        <v>1466</v>
      </c>
      <c r="F388" s="4" t="s">
        <v>3716</v>
      </c>
      <c r="G388">
        <v>0.34788711369574221</v>
      </c>
      <c r="H388">
        <f t="shared" ref="H388:H451" si="13">_xlfn.RANK.EQ(G388,$G$3:$G$825,1)/COUNT($G$3:$G$825)</f>
        <v>0.46901579586877279</v>
      </c>
      <c r="I388">
        <f t="shared" si="12"/>
        <v>3</v>
      </c>
    </row>
    <row r="389" spans="1:9" ht="48" x14ac:dyDescent="0.2">
      <c r="A389" t="s">
        <v>3717</v>
      </c>
      <c r="B389">
        <v>77434</v>
      </c>
      <c r="C389">
        <v>1574</v>
      </c>
      <c r="F389" s="4" t="s">
        <v>3718</v>
      </c>
      <c r="G389">
        <v>0.34789828044827292</v>
      </c>
      <c r="H389">
        <f t="shared" si="13"/>
        <v>0.47023086269744835</v>
      </c>
      <c r="I389">
        <f t="shared" si="12"/>
        <v>3</v>
      </c>
    </row>
    <row r="390" spans="1:9" ht="64" x14ac:dyDescent="0.2">
      <c r="A390" t="s">
        <v>3719</v>
      </c>
      <c r="B390">
        <v>77778</v>
      </c>
      <c r="C390">
        <v>1704</v>
      </c>
      <c r="F390" s="4" t="s">
        <v>3563</v>
      </c>
      <c r="G390">
        <v>0.34797626048754993</v>
      </c>
      <c r="H390">
        <f t="shared" si="13"/>
        <v>0.47144592952612396</v>
      </c>
      <c r="I390">
        <f t="shared" si="12"/>
        <v>3</v>
      </c>
    </row>
    <row r="391" spans="1:9" ht="48" x14ac:dyDescent="0.2">
      <c r="A391" t="s">
        <v>3220</v>
      </c>
      <c r="B391">
        <v>77903</v>
      </c>
      <c r="C391">
        <v>1295</v>
      </c>
      <c r="F391" s="4" t="s">
        <v>3720</v>
      </c>
      <c r="G391">
        <v>0.34878532079203106</v>
      </c>
      <c r="H391">
        <f t="shared" si="13"/>
        <v>0.47266099635479952</v>
      </c>
      <c r="I391">
        <f t="shared" si="12"/>
        <v>3</v>
      </c>
    </row>
    <row r="392" spans="1:9" ht="64" x14ac:dyDescent="0.2">
      <c r="A392" t="s">
        <v>3721</v>
      </c>
      <c r="B392">
        <v>77917</v>
      </c>
      <c r="C392">
        <v>1672</v>
      </c>
      <c r="F392" s="4" t="s">
        <v>3597</v>
      </c>
      <c r="G392">
        <v>0.34963788292702164</v>
      </c>
      <c r="H392">
        <f t="shared" si="13"/>
        <v>0.47387606318347508</v>
      </c>
      <c r="I392">
        <f t="shared" si="12"/>
        <v>3</v>
      </c>
    </row>
    <row r="393" spans="1:9" ht="64" x14ac:dyDescent="0.2">
      <c r="A393" t="s">
        <v>3722</v>
      </c>
      <c r="B393">
        <v>77939</v>
      </c>
      <c r="C393">
        <v>1424</v>
      </c>
      <c r="F393" s="4" t="s">
        <v>3723</v>
      </c>
      <c r="G393">
        <v>0.34965945742623422</v>
      </c>
      <c r="H393">
        <f t="shared" si="13"/>
        <v>0.47509113001215064</v>
      </c>
      <c r="I393">
        <f t="shared" si="12"/>
        <v>3</v>
      </c>
    </row>
    <row r="394" spans="1:9" ht="48" x14ac:dyDescent="0.2">
      <c r="A394" t="s">
        <v>3706</v>
      </c>
      <c r="B394">
        <v>78125</v>
      </c>
      <c r="C394">
        <v>1549</v>
      </c>
      <c r="F394" s="4" t="s">
        <v>3724</v>
      </c>
      <c r="G394">
        <v>0.34968782234975115</v>
      </c>
      <c r="H394">
        <f t="shared" si="13"/>
        <v>0.47630619684082626</v>
      </c>
      <c r="I394">
        <f t="shared" si="12"/>
        <v>3</v>
      </c>
    </row>
    <row r="395" spans="1:9" ht="48" x14ac:dyDescent="0.2">
      <c r="A395" t="s">
        <v>3725</v>
      </c>
      <c r="B395">
        <v>78134</v>
      </c>
      <c r="C395">
        <v>1673</v>
      </c>
      <c r="F395" s="4" t="s">
        <v>3655</v>
      </c>
      <c r="G395">
        <v>0.34971949542467295</v>
      </c>
      <c r="H395">
        <f t="shared" si="13"/>
        <v>0.47752126366950182</v>
      </c>
      <c r="I395">
        <f t="shared" si="12"/>
        <v>3</v>
      </c>
    </row>
    <row r="396" spans="1:9" ht="48" x14ac:dyDescent="0.2">
      <c r="A396" t="s">
        <v>3076</v>
      </c>
      <c r="B396">
        <v>78209</v>
      </c>
      <c r="C396">
        <v>1197</v>
      </c>
      <c r="F396" s="4" t="s">
        <v>3726</v>
      </c>
      <c r="G396">
        <v>0.34984064943914112</v>
      </c>
      <c r="H396">
        <f t="shared" si="13"/>
        <v>0.47873633049817738</v>
      </c>
      <c r="I396">
        <f t="shared" si="12"/>
        <v>3</v>
      </c>
    </row>
    <row r="397" spans="1:9" ht="48" x14ac:dyDescent="0.2">
      <c r="A397" t="s">
        <v>3713</v>
      </c>
      <c r="B397">
        <v>78239</v>
      </c>
      <c r="C397">
        <v>1470</v>
      </c>
      <c r="F397" s="4" t="s">
        <v>3727</v>
      </c>
      <c r="G397">
        <v>0.35023907591043785</v>
      </c>
      <c r="H397">
        <f t="shared" si="13"/>
        <v>0.47995139732685299</v>
      </c>
      <c r="I397">
        <f t="shared" si="12"/>
        <v>3</v>
      </c>
    </row>
    <row r="398" spans="1:9" ht="48" x14ac:dyDescent="0.2">
      <c r="A398" t="s">
        <v>3457</v>
      </c>
      <c r="B398">
        <v>78254</v>
      </c>
      <c r="C398">
        <v>1259</v>
      </c>
      <c r="F398" s="4" t="s">
        <v>3728</v>
      </c>
      <c r="G398">
        <v>0.35040726901571795</v>
      </c>
      <c r="H398">
        <f t="shared" si="13"/>
        <v>0.48116646415552855</v>
      </c>
      <c r="I398">
        <f t="shared" si="12"/>
        <v>3</v>
      </c>
    </row>
    <row r="399" spans="1:9" ht="48" x14ac:dyDescent="0.2">
      <c r="A399" t="s">
        <v>3729</v>
      </c>
      <c r="B399">
        <v>78684</v>
      </c>
      <c r="C399">
        <v>1671</v>
      </c>
      <c r="F399" s="4" t="s">
        <v>3730</v>
      </c>
      <c r="G399">
        <v>0.35055547333580411</v>
      </c>
      <c r="H399">
        <f t="shared" si="13"/>
        <v>0.48238153098420411</v>
      </c>
      <c r="I399">
        <f t="shared" si="12"/>
        <v>3</v>
      </c>
    </row>
    <row r="400" spans="1:9" ht="64" x14ac:dyDescent="0.2">
      <c r="A400" t="s">
        <v>3731</v>
      </c>
      <c r="B400">
        <v>78713</v>
      </c>
      <c r="C400">
        <v>1620</v>
      </c>
      <c r="F400" s="4" t="s">
        <v>3732</v>
      </c>
      <c r="G400">
        <v>0.35079725949042767</v>
      </c>
      <c r="H400">
        <f t="shared" si="13"/>
        <v>0.48359659781287972</v>
      </c>
      <c r="I400">
        <f t="shared" si="12"/>
        <v>3</v>
      </c>
    </row>
    <row r="401" spans="1:9" ht="48" x14ac:dyDescent="0.2">
      <c r="A401" t="s">
        <v>3733</v>
      </c>
      <c r="B401">
        <v>78844</v>
      </c>
      <c r="C401">
        <v>1741</v>
      </c>
      <c r="F401" s="4" t="s">
        <v>3734</v>
      </c>
      <c r="G401">
        <v>0.35087958838132699</v>
      </c>
      <c r="H401">
        <f t="shared" si="13"/>
        <v>0.48481166464155528</v>
      </c>
      <c r="I401">
        <f t="shared" si="12"/>
        <v>3</v>
      </c>
    </row>
    <row r="402" spans="1:9" ht="48" x14ac:dyDescent="0.2">
      <c r="A402" t="s">
        <v>3695</v>
      </c>
      <c r="B402">
        <v>78958</v>
      </c>
      <c r="C402">
        <v>1494</v>
      </c>
      <c r="F402" s="4" t="s">
        <v>3735</v>
      </c>
      <c r="G402">
        <v>0.35093513265509613</v>
      </c>
      <c r="H402">
        <f t="shared" si="13"/>
        <v>0.48602673147023084</v>
      </c>
      <c r="I402">
        <f t="shared" si="12"/>
        <v>3</v>
      </c>
    </row>
    <row r="403" spans="1:9" ht="48" x14ac:dyDescent="0.2">
      <c r="A403" t="s">
        <v>3373</v>
      </c>
      <c r="B403">
        <v>79082</v>
      </c>
      <c r="C403">
        <v>1338</v>
      </c>
      <c r="F403" s="4" t="s">
        <v>3736</v>
      </c>
      <c r="G403">
        <v>0.35118145075109319</v>
      </c>
      <c r="H403">
        <f t="shared" si="13"/>
        <v>0.48724179829890646</v>
      </c>
      <c r="I403">
        <f t="shared" si="12"/>
        <v>3</v>
      </c>
    </row>
    <row r="404" spans="1:9" ht="48" x14ac:dyDescent="0.2">
      <c r="A404" t="s">
        <v>3689</v>
      </c>
      <c r="B404">
        <v>79444</v>
      </c>
      <c r="C404">
        <v>1427</v>
      </c>
      <c r="F404" s="4" t="s">
        <v>3538</v>
      </c>
      <c r="G404">
        <v>0.35151312691017289</v>
      </c>
      <c r="H404">
        <f t="shared" si="13"/>
        <v>0.48845686512758202</v>
      </c>
      <c r="I404">
        <f t="shared" si="12"/>
        <v>3</v>
      </c>
    </row>
    <row r="405" spans="1:9" ht="48" x14ac:dyDescent="0.2">
      <c r="A405" t="s">
        <v>3737</v>
      </c>
      <c r="B405">
        <v>79475</v>
      </c>
      <c r="C405">
        <v>1461</v>
      </c>
      <c r="F405" s="4" t="s">
        <v>3738</v>
      </c>
      <c r="G405">
        <v>0.35194827140255969</v>
      </c>
      <c r="H405">
        <f t="shared" si="13"/>
        <v>0.48967193195625758</v>
      </c>
      <c r="I405">
        <f t="shared" si="12"/>
        <v>3</v>
      </c>
    </row>
    <row r="406" spans="1:9" ht="64" x14ac:dyDescent="0.2">
      <c r="A406" t="s">
        <v>3140</v>
      </c>
      <c r="B406">
        <v>79611</v>
      </c>
      <c r="C406">
        <v>1216</v>
      </c>
      <c r="F406" s="4" t="s">
        <v>3739</v>
      </c>
      <c r="G406">
        <v>0.35218740405307702</v>
      </c>
      <c r="H406">
        <f t="shared" si="13"/>
        <v>0.49088699878493319</v>
      </c>
      <c r="I406">
        <f t="shared" si="12"/>
        <v>3</v>
      </c>
    </row>
    <row r="407" spans="1:9" ht="48" x14ac:dyDescent="0.2">
      <c r="A407" t="s">
        <v>3740</v>
      </c>
      <c r="B407">
        <v>79707</v>
      </c>
      <c r="C407">
        <v>1654</v>
      </c>
      <c r="F407" s="4" t="s">
        <v>3442</v>
      </c>
      <c r="G407">
        <v>0.35225688365237956</v>
      </c>
      <c r="H407">
        <f t="shared" si="13"/>
        <v>0.49210206561360875</v>
      </c>
      <c r="I407">
        <f t="shared" si="12"/>
        <v>3</v>
      </c>
    </row>
    <row r="408" spans="1:9" ht="48" x14ac:dyDescent="0.2">
      <c r="A408" t="s">
        <v>3650</v>
      </c>
      <c r="B408">
        <v>79864</v>
      </c>
      <c r="C408">
        <v>1398</v>
      </c>
      <c r="F408" s="4" t="s">
        <v>3741</v>
      </c>
      <c r="G408">
        <v>0.35231727784764838</v>
      </c>
      <c r="H408">
        <f t="shared" si="13"/>
        <v>0.49331713244228431</v>
      </c>
      <c r="I408">
        <f t="shared" si="12"/>
        <v>3</v>
      </c>
    </row>
    <row r="409" spans="1:9" ht="48" x14ac:dyDescent="0.2">
      <c r="A409" t="s">
        <v>3742</v>
      </c>
      <c r="B409">
        <v>79954</v>
      </c>
      <c r="C409">
        <v>1591</v>
      </c>
      <c r="F409" s="4" t="s">
        <v>3743</v>
      </c>
      <c r="G409">
        <v>0.35237268816670281</v>
      </c>
      <c r="H409">
        <f t="shared" si="13"/>
        <v>0.49453219927095993</v>
      </c>
      <c r="I409">
        <f t="shared" si="12"/>
        <v>3</v>
      </c>
    </row>
    <row r="410" spans="1:9" ht="48" x14ac:dyDescent="0.2">
      <c r="A410" t="s">
        <v>3489</v>
      </c>
      <c r="B410">
        <v>80000</v>
      </c>
      <c r="C410">
        <v>1448</v>
      </c>
      <c r="F410" s="4" t="s">
        <v>3744</v>
      </c>
      <c r="G410">
        <v>0.35274884624457015</v>
      </c>
      <c r="H410">
        <f t="shared" si="13"/>
        <v>0.49574726609963549</v>
      </c>
      <c r="I410">
        <f t="shared" si="12"/>
        <v>3</v>
      </c>
    </row>
    <row r="411" spans="1:9" ht="64" x14ac:dyDescent="0.2">
      <c r="A411" t="s">
        <v>3122</v>
      </c>
      <c r="B411">
        <v>80000</v>
      </c>
      <c r="C411">
        <v>1181</v>
      </c>
      <c r="F411" s="4" t="s">
        <v>3542</v>
      </c>
      <c r="G411">
        <v>0.35284353267919083</v>
      </c>
      <c r="H411">
        <f t="shared" si="13"/>
        <v>0.49696233292831105</v>
      </c>
      <c r="I411">
        <f t="shared" si="12"/>
        <v>3</v>
      </c>
    </row>
    <row r="412" spans="1:9" ht="48" x14ac:dyDescent="0.2">
      <c r="A412" t="s">
        <v>3736</v>
      </c>
      <c r="B412">
        <v>80298</v>
      </c>
      <c r="C412">
        <v>1359</v>
      </c>
      <c r="F412" s="4" t="s">
        <v>3745</v>
      </c>
      <c r="G412">
        <v>0.35338205867010986</v>
      </c>
      <c r="H412">
        <f t="shared" si="13"/>
        <v>0.49817739975698666</v>
      </c>
      <c r="I412">
        <f t="shared" si="12"/>
        <v>3</v>
      </c>
    </row>
    <row r="413" spans="1:9" ht="48" x14ac:dyDescent="0.2">
      <c r="A413" t="s">
        <v>3389</v>
      </c>
      <c r="B413">
        <v>80725</v>
      </c>
      <c r="C413">
        <v>1365</v>
      </c>
      <c r="F413" s="4" t="s">
        <v>3746</v>
      </c>
      <c r="G413">
        <v>0.35350949067882181</v>
      </c>
      <c r="H413">
        <f t="shared" si="13"/>
        <v>0.49939246658566222</v>
      </c>
      <c r="I413">
        <f t="shared" si="12"/>
        <v>3</v>
      </c>
    </row>
    <row r="414" spans="1:9" ht="64" x14ac:dyDescent="0.2">
      <c r="A414" t="s">
        <v>3437</v>
      </c>
      <c r="B414">
        <v>80753</v>
      </c>
      <c r="C414">
        <v>1399</v>
      </c>
      <c r="F414" s="4" t="s">
        <v>3662</v>
      </c>
      <c r="G414">
        <v>0.35376031922878876</v>
      </c>
      <c r="H414">
        <f t="shared" si="13"/>
        <v>0.50060753341433784</v>
      </c>
      <c r="I414">
        <f t="shared" si="12"/>
        <v>3</v>
      </c>
    </row>
    <row r="415" spans="1:9" ht="48" x14ac:dyDescent="0.2">
      <c r="A415" t="s">
        <v>3747</v>
      </c>
      <c r="B415">
        <v>80759</v>
      </c>
      <c r="C415">
        <v>1705</v>
      </c>
      <c r="F415" s="4" t="s">
        <v>3748</v>
      </c>
      <c r="G415">
        <v>0.35390734931734102</v>
      </c>
      <c r="H415">
        <f t="shared" si="13"/>
        <v>0.50182260024301339</v>
      </c>
      <c r="I415">
        <f t="shared" si="12"/>
        <v>3</v>
      </c>
    </row>
    <row r="416" spans="1:9" ht="48" x14ac:dyDescent="0.2">
      <c r="A416" t="s">
        <v>3749</v>
      </c>
      <c r="B416">
        <v>80816</v>
      </c>
      <c r="C416">
        <v>2170</v>
      </c>
      <c r="F416" s="4" t="s">
        <v>3613</v>
      </c>
      <c r="G416">
        <v>0.35409340300309577</v>
      </c>
      <c r="H416">
        <f t="shared" si="13"/>
        <v>0.50303766707168895</v>
      </c>
      <c r="I416">
        <f t="shared" si="12"/>
        <v>3</v>
      </c>
    </row>
    <row r="417" spans="1:9" ht="48" x14ac:dyDescent="0.2">
      <c r="A417" t="s">
        <v>3673</v>
      </c>
      <c r="B417">
        <v>80871</v>
      </c>
      <c r="C417">
        <v>1526</v>
      </c>
      <c r="F417" s="4" t="s">
        <v>3616</v>
      </c>
      <c r="G417">
        <v>0.35439591516039726</v>
      </c>
      <c r="H417">
        <f t="shared" si="13"/>
        <v>0.50425273390036451</v>
      </c>
      <c r="I417">
        <f t="shared" si="12"/>
        <v>3</v>
      </c>
    </row>
    <row r="418" spans="1:9" ht="48" x14ac:dyDescent="0.2">
      <c r="A418" t="s">
        <v>3750</v>
      </c>
      <c r="B418">
        <v>80882</v>
      </c>
      <c r="C418">
        <v>1944</v>
      </c>
      <c r="F418" s="4" t="s">
        <v>3751</v>
      </c>
      <c r="G418">
        <v>0.35456040491710661</v>
      </c>
      <c r="H418">
        <f t="shared" si="13"/>
        <v>0.50546780072904007</v>
      </c>
      <c r="I418">
        <f t="shared" si="12"/>
        <v>3</v>
      </c>
    </row>
    <row r="419" spans="1:9" ht="48" x14ac:dyDescent="0.2">
      <c r="A419" t="s">
        <v>3466</v>
      </c>
      <c r="B419">
        <v>81016</v>
      </c>
      <c r="C419">
        <v>1407</v>
      </c>
      <c r="F419" s="4" t="s">
        <v>3752</v>
      </c>
      <c r="G419">
        <v>0.35485522350125986</v>
      </c>
      <c r="H419">
        <f t="shared" si="13"/>
        <v>0.50668286755771563</v>
      </c>
      <c r="I419">
        <f t="shared" si="12"/>
        <v>3</v>
      </c>
    </row>
    <row r="420" spans="1:9" ht="64" x14ac:dyDescent="0.2">
      <c r="A420" t="s">
        <v>3753</v>
      </c>
      <c r="B420">
        <v>81154</v>
      </c>
      <c r="C420">
        <v>1520</v>
      </c>
      <c r="F420" s="4" t="s">
        <v>3754</v>
      </c>
      <c r="G420">
        <v>0.3550180277174077</v>
      </c>
      <c r="H420">
        <f t="shared" si="13"/>
        <v>0.5078979343863913</v>
      </c>
      <c r="I420">
        <f t="shared" si="12"/>
        <v>3</v>
      </c>
    </row>
    <row r="421" spans="1:9" ht="64" x14ac:dyDescent="0.2">
      <c r="A421" t="s">
        <v>3755</v>
      </c>
      <c r="B421">
        <v>81163</v>
      </c>
      <c r="C421">
        <v>1602</v>
      </c>
      <c r="F421" s="4" t="s">
        <v>3348</v>
      </c>
      <c r="G421">
        <v>0.35511274278374272</v>
      </c>
      <c r="H421">
        <f t="shared" si="13"/>
        <v>0.50911300121506686</v>
      </c>
      <c r="I421">
        <f t="shared" si="12"/>
        <v>3</v>
      </c>
    </row>
    <row r="422" spans="1:9" ht="48" x14ac:dyDescent="0.2">
      <c r="A422" t="s">
        <v>3648</v>
      </c>
      <c r="B422">
        <v>81250</v>
      </c>
      <c r="C422">
        <v>1352</v>
      </c>
      <c r="F422" s="4" t="s">
        <v>3690</v>
      </c>
      <c r="G422">
        <v>0.35513007218702008</v>
      </c>
      <c r="H422">
        <f t="shared" si="13"/>
        <v>0.51032806804374242</v>
      </c>
      <c r="I422">
        <f t="shared" si="12"/>
        <v>3</v>
      </c>
    </row>
    <row r="423" spans="1:9" ht="48" x14ac:dyDescent="0.2">
      <c r="A423" t="s">
        <v>3756</v>
      </c>
      <c r="B423">
        <v>81270</v>
      </c>
      <c r="C423">
        <v>1503</v>
      </c>
      <c r="F423" s="4" t="s">
        <v>3693</v>
      </c>
      <c r="G423">
        <v>0.35534127687553385</v>
      </c>
      <c r="H423">
        <f t="shared" si="13"/>
        <v>0.51154313487241798</v>
      </c>
      <c r="I423">
        <f t="shared" si="12"/>
        <v>3</v>
      </c>
    </row>
    <row r="424" spans="1:9" ht="48" x14ac:dyDescent="0.2">
      <c r="A424" t="s">
        <v>3757</v>
      </c>
      <c r="B424">
        <v>81316</v>
      </c>
      <c r="C424">
        <v>1846</v>
      </c>
      <c r="F424" s="4" t="s">
        <v>3758</v>
      </c>
      <c r="G424">
        <v>0.35560813167936067</v>
      </c>
      <c r="H424">
        <f t="shared" si="13"/>
        <v>0.51275820170109354</v>
      </c>
      <c r="I424">
        <f t="shared" si="12"/>
        <v>3</v>
      </c>
    </row>
    <row r="425" spans="1:9" ht="64" x14ac:dyDescent="0.2">
      <c r="A425" t="s">
        <v>3759</v>
      </c>
      <c r="B425">
        <v>81474</v>
      </c>
      <c r="C425">
        <v>1767</v>
      </c>
      <c r="F425" s="4" t="s">
        <v>3760</v>
      </c>
      <c r="G425">
        <v>0.35565153491463425</v>
      </c>
      <c r="H425">
        <f t="shared" si="13"/>
        <v>0.5139732685297691</v>
      </c>
      <c r="I425">
        <f t="shared" si="12"/>
        <v>3</v>
      </c>
    </row>
    <row r="426" spans="1:9" ht="48" x14ac:dyDescent="0.2">
      <c r="A426" t="s">
        <v>3634</v>
      </c>
      <c r="B426">
        <v>81641</v>
      </c>
      <c r="C426">
        <v>1413</v>
      </c>
      <c r="F426" s="4" t="s">
        <v>3623</v>
      </c>
      <c r="G426">
        <v>0.35635708512694464</v>
      </c>
      <c r="H426">
        <f t="shared" si="13"/>
        <v>0.51518833535844466</v>
      </c>
      <c r="I426">
        <f t="shared" si="12"/>
        <v>3</v>
      </c>
    </row>
    <row r="427" spans="1:9" ht="64" x14ac:dyDescent="0.2">
      <c r="A427" t="s">
        <v>3761</v>
      </c>
      <c r="B427">
        <v>81667</v>
      </c>
      <c r="C427">
        <v>1853</v>
      </c>
      <c r="F427" s="4" t="s">
        <v>3475</v>
      </c>
      <c r="G427">
        <v>0.35643170715421529</v>
      </c>
      <c r="H427">
        <f t="shared" si="13"/>
        <v>0.51640340218712033</v>
      </c>
      <c r="I427">
        <f t="shared" si="12"/>
        <v>3</v>
      </c>
    </row>
    <row r="428" spans="1:9" ht="48" x14ac:dyDescent="0.2">
      <c r="A428" t="s">
        <v>3048</v>
      </c>
      <c r="B428">
        <v>81919</v>
      </c>
      <c r="C428">
        <v>1194</v>
      </c>
      <c r="F428" s="4" t="s">
        <v>3762</v>
      </c>
      <c r="G428">
        <v>0.35646335836542858</v>
      </c>
      <c r="H428">
        <f t="shared" si="13"/>
        <v>0.51761846901579589</v>
      </c>
      <c r="I428">
        <f t="shared" si="12"/>
        <v>3</v>
      </c>
    </row>
    <row r="429" spans="1:9" ht="48" x14ac:dyDescent="0.2">
      <c r="A429" t="s">
        <v>3763</v>
      </c>
      <c r="B429">
        <v>82000</v>
      </c>
      <c r="C429">
        <v>1490</v>
      </c>
      <c r="F429" s="4" t="s">
        <v>3764</v>
      </c>
      <c r="G429">
        <v>0.35657456419061168</v>
      </c>
      <c r="H429">
        <f t="shared" si="13"/>
        <v>0.51883353584447145</v>
      </c>
      <c r="I429">
        <f t="shared" si="12"/>
        <v>3</v>
      </c>
    </row>
    <row r="430" spans="1:9" ht="48" x14ac:dyDescent="0.2">
      <c r="A430" t="s">
        <v>3765</v>
      </c>
      <c r="B430">
        <v>82266</v>
      </c>
      <c r="C430">
        <v>1596</v>
      </c>
      <c r="F430" s="4" t="s">
        <v>3766</v>
      </c>
      <c r="G430">
        <v>0.35714946268145759</v>
      </c>
      <c r="H430">
        <f t="shared" si="13"/>
        <v>0.52004860267314701</v>
      </c>
      <c r="I430">
        <f t="shared" si="12"/>
        <v>3</v>
      </c>
    </row>
    <row r="431" spans="1:9" ht="48" x14ac:dyDescent="0.2">
      <c r="A431" t="s">
        <v>3728</v>
      </c>
      <c r="B431">
        <v>82281</v>
      </c>
      <c r="C431">
        <v>1535</v>
      </c>
      <c r="F431" s="4" t="s">
        <v>3767</v>
      </c>
      <c r="G431">
        <v>0.35771112143207862</v>
      </c>
      <c r="H431">
        <f t="shared" si="13"/>
        <v>0.52126366950182257</v>
      </c>
      <c r="I431">
        <f t="shared" si="12"/>
        <v>3</v>
      </c>
    </row>
    <row r="432" spans="1:9" ht="48" x14ac:dyDescent="0.2">
      <c r="A432" t="s">
        <v>3599</v>
      </c>
      <c r="B432">
        <v>82346</v>
      </c>
      <c r="C432">
        <v>1447</v>
      </c>
      <c r="F432" s="4" t="s">
        <v>3768</v>
      </c>
      <c r="G432">
        <v>0.35771129498715615</v>
      </c>
      <c r="H432">
        <f t="shared" si="13"/>
        <v>0.52247873633049813</v>
      </c>
      <c r="I432">
        <f t="shared" si="12"/>
        <v>3</v>
      </c>
    </row>
    <row r="433" spans="1:9" ht="48" x14ac:dyDescent="0.2">
      <c r="A433" t="s">
        <v>3078</v>
      </c>
      <c r="B433">
        <v>82355</v>
      </c>
      <c r="C433">
        <v>1487</v>
      </c>
      <c r="F433" s="4" t="s">
        <v>3565</v>
      </c>
      <c r="G433">
        <v>0.35783340022692373</v>
      </c>
      <c r="H433">
        <f t="shared" si="13"/>
        <v>0.5236938031591738</v>
      </c>
      <c r="I433">
        <f t="shared" si="12"/>
        <v>3</v>
      </c>
    </row>
    <row r="434" spans="1:9" ht="64" x14ac:dyDescent="0.2">
      <c r="A434" t="s">
        <v>3104</v>
      </c>
      <c r="B434">
        <v>82364</v>
      </c>
      <c r="C434">
        <v>1283</v>
      </c>
      <c r="F434" s="4" t="s">
        <v>3769</v>
      </c>
      <c r="G434">
        <v>0.35789574354791015</v>
      </c>
      <c r="H434">
        <f t="shared" si="13"/>
        <v>0.52490886998784936</v>
      </c>
      <c r="I434">
        <f t="shared" si="12"/>
        <v>3</v>
      </c>
    </row>
    <row r="435" spans="1:9" ht="64" x14ac:dyDescent="0.2">
      <c r="A435" t="s">
        <v>3240</v>
      </c>
      <c r="B435">
        <v>82436</v>
      </c>
      <c r="C435">
        <v>1366</v>
      </c>
      <c r="F435" s="4" t="s">
        <v>3581</v>
      </c>
      <c r="G435">
        <v>0.35815209407861898</v>
      </c>
      <c r="H435">
        <f t="shared" si="13"/>
        <v>0.52612393681652492</v>
      </c>
      <c r="I435">
        <f t="shared" si="12"/>
        <v>3</v>
      </c>
    </row>
    <row r="436" spans="1:9" ht="48" x14ac:dyDescent="0.2">
      <c r="A436" t="s">
        <v>3353</v>
      </c>
      <c r="B436">
        <v>82454</v>
      </c>
      <c r="C436">
        <v>1312</v>
      </c>
      <c r="F436" s="4" t="s">
        <v>3496</v>
      </c>
      <c r="G436">
        <v>0.35817919568180723</v>
      </c>
      <c r="H436">
        <f t="shared" si="13"/>
        <v>0.52733900364520048</v>
      </c>
      <c r="I436">
        <f t="shared" si="12"/>
        <v>3</v>
      </c>
    </row>
    <row r="437" spans="1:9" ht="48" x14ac:dyDescent="0.2">
      <c r="A437" t="s">
        <v>3751</v>
      </c>
      <c r="B437">
        <v>82688</v>
      </c>
      <c r="C437">
        <v>1536</v>
      </c>
      <c r="F437" s="4" t="s">
        <v>3770</v>
      </c>
      <c r="G437">
        <v>0.35826151824050068</v>
      </c>
      <c r="H437">
        <f t="shared" si="13"/>
        <v>0.52855407047387604</v>
      </c>
      <c r="I437">
        <f t="shared" si="12"/>
        <v>3</v>
      </c>
    </row>
    <row r="438" spans="1:9" ht="48" x14ac:dyDescent="0.2">
      <c r="A438" t="s">
        <v>3284</v>
      </c>
      <c r="B438">
        <v>82702</v>
      </c>
      <c r="C438">
        <v>1362</v>
      </c>
      <c r="F438" s="4" t="s">
        <v>3494</v>
      </c>
      <c r="G438">
        <v>0.35829654263183663</v>
      </c>
      <c r="H438">
        <f t="shared" si="13"/>
        <v>0.5297691373025516</v>
      </c>
      <c r="I438">
        <f t="shared" si="12"/>
        <v>3</v>
      </c>
    </row>
    <row r="439" spans="1:9" ht="64" x14ac:dyDescent="0.2">
      <c r="A439" t="s">
        <v>3745</v>
      </c>
      <c r="B439">
        <v>82753</v>
      </c>
      <c r="C439">
        <v>1441</v>
      </c>
      <c r="F439" s="4" t="s">
        <v>3342</v>
      </c>
      <c r="G439">
        <v>0.35879150942270865</v>
      </c>
      <c r="H439">
        <f t="shared" si="13"/>
        <v>0.53098420413122727</v>
      </c>
      <c r="I439">
        <f t="shared" si="12"/>
        <v>3</v>
      </c>
    </row>
    <row r="440" spans="1:9" ht="48" x14ac:dyDescent="0.2">
      <c r="A440" t="s">
        <v>3258</v>
      </c>
      <c r="B440">
        <v>82790</v>
      </c>
      <c r="C440">
        <v>1302</v>
      </c>
      <c r="F440" s="4" t="s">
        <v>3674</v>
      </c>
      <c r="G440">
        <v>0.35932612060060815</v>
      </c>
      <c r="H440">
        <f t="shared" si="13"/>
        <v>0.53219927095990283</v>
      </c>
      <c r="I440">
        <f t="shared" si="12"/>
        <v>3</v>
      </c>
    </row>
    <row r="441" spans="1:9" ht="64" x14ac:dyDescent="0.2">
      <c r="A441" t="s">
        <v>3739</v>
      </c>
      <c r="B441">
        <v>82841</v>
      </c>
      <c r="C441">
        <v>1662</v>
      </c>
      <c r="F441" s="4" t="s">
        <v>3426</v>
      </c>
      <c r="G441">
        <v>0.35938685939947734</v>
      </c>
      <c r="H441">
        <f t="shared" si="13"/>
        <v>0.53341433778857839</v>
      </c>
      <c r="I441">
        <f t="shared" si="12"/>
        <v>3</v>
      </c>
    </row>
    <row r="442" spans="1:9" ht="48" x14ac:dyDescent="0.2">
      <c r="A442" t="s">
        <v>3246</v>
      </c>
      <c r="B442">
        <v>83039</v>
      </c>
      <c r="C442">
        <v>1304</v>
      </c>
      <c r="F442" s="4" t="s">
        <v>3550</v>
      </c>
      <c r="G442">
        <v>0.35950637880485103</v>
      </c>
      <c r="H442">
        <f t="shared" si="13"/>
        <v>0.53462940461725394</v>
      </c>
      <c r="I442">
        <f t="shared" si="12"/>
        <v>3</v>
      </c>
    </row>
    <row r="443" spans="1:9" ht="64" x14ac:dyDescent="0.2">
      <c r="A443" t="s">
        <v>3050</v>
      </c>
      <c r="B443">
        <v>83345</v>
      </c>
      <c r="C443">
        <v>1133</v>
      </c>
      <c r="F443" s="4" t="s">
        <v>3701</v>
      </c>
      <c r="G443">
        <v>0.35953321500229962</v>
      </c>
      <c r="H443">
        <f t="shared" si="13"/>
        <v>0.5358444714459295</v>
      </c>
      <c r="I443">
        <f t="shared" si="12"/>
        <v>3</v>
      </c>
    </row>
    <row r="444" spans="1:9" ht="48" x14ac:dyDescent="0.2">
      <c r="A444" t="s">
        <v>3771</v>
      </c>
      <c r="B444">
        <v>83672</v>
      </c>
      <c r="C444">
        <v>2127</v>
      </c>
      <c r="F444" s="4" t="s">
        <v>3772</v>
      </c>
      <c r="G444">
        <v>0.3598394843266684</v>
      </c>
      <c r="H444">
        <f t="shared" si="13"/>
        <v>0.53705953827460506</v>
      </c>
      <c r="I444">
        <f t="shared" si="12"/>
        <v>3</v>
      </c>
    </row>
    <row r="445" spans="1:9" ht="48" x14ac:dyDescent="0.2">
      <c r="A445" t="s">
        <v>3773</v>
      </c>
      <c r="B445">
        <v>83925</v>
      </c>
      <c r="C445">
        <v>1703</v>
      </c>
      <c r="F445" s="4" t="s">
        <v>3774</v>
      </c>
      <c r="G445">
        <v>0.35998583330460726</v>
      </c>
      <c r="H445">
        <f t="shared" si="13"/>
        <v>0.53827460510328073</v>
      </c>
      <c r="I445">
        <f t="shared" si="12"/>
        <v>3</v>
      </c>
    </row>
    <row r="446" spans="1:9" ht="48" x14ac:dyDescent="0.2">
      <c r="A446" t="s">
        <v>3686</v>
      </c>
      <c r="B446">
        <v>83929</v>
      </c>
      <c r="C446">
        <v>1576</v>
      </c>
      <c r="F446" s="4" t="s">
        <v>3722</v>
      </c>
      <c r="G446">
        <v>0.36026186104446861</v>
      </c>
      <c r="H446">
        <f t="shared" si="13"/>
        <v>0.53948967193195629</v>
      </c>
      <c r="I446">
        <f t="shared" si="12"/>
        <v>3</v>
      </c>
    </row>
    <row r="447" spans="1:9" ht="48" x14ac:dyDescent="0.2">
      <c r="A447" t="s">
        <v>3743</v>
      </c>
      <c r="B447">
        <v>84167</v>
      </c>
      <c r="C447">
        <v>1524</v>
      </c>
      <c r="F447" s="4" t="s">
        <v>3775</v>
      </c>
      <c r="G447">
        <v>0.36044476991388291</v>
      </c>
      <c r="H447">
        <f t="shared" si="13"/>
        <v>0.54070473876063185</v>
      </c>
      <c r="I447">
        <f t="shared" si="12"/>
        <v>3</v>
      </c>
    </row>
    <row r="448" spans="1:9" ht="48" x14ac:dyDescent="0.2">
      <c r="A448" t="s">
        <v>3776</v>
      </c>
      <c r="B448">
        <v>84340</v>
      </c>
      <c r="C448">
        <v>1665</v>
      </c>
      <c r="F448" s="4" t="s">
        <v>3526</v>
      </c>
      <c r="G448">
        <v>0.36050710943202718</v>
      </c>
      <c r="H448">
        <f t="shared" si="13"/>
        <v>0.54191980558930741</v>
      </c>
      <c r="I448">
        <f t="shared" si="12"/>
        <v>3</v>
      </c>
    </row>
    <row r="449" spans="1:9" ht="48" x14ac:dyDescent="0.2">
      <c r="A449" t="s">
        <v>3208</v>
      </c>
      <c r="B449">
        <v>84625</v>
      </c>
      <c r="C449">
        <v>1323</v>
      </c>
      <c r="F449" s="4" t="s">
        <v>3777</v>
      </c>
      <c r="G449">
        <v>0.36051414327986364</v>
      </c>
      <c r="H449">
        <f t="shared" si="13"/>
        <v>0.54313487241798297</v>
      </c>
      <c r="I449">
        <f t="shared" si="12"/>
        <v>3</v>
      </c>
    </row>
    <row r="450" spans="1:9" ht="48" x14ac:dyDescent="0.2">
      <c r="A450" t="s">
        <v>3652</v>
      </c>
      <c r="B450">
        <v>84648</v>
      </c>
      <c r="C450">
        <v>1460</v>
      </c>
      <c r="F450" s="4" t="s">
        <v>3778</v>
      </c>
      <c r="G450">
        <v>0.36079198565082965</v>
      </c>
      <c r="H450">
        <f t="shared" si="13"/>
        <v>0.54434993924665853</v>
      </c>
      <c r="I450">
        <f t="shared" si="12"/>
        <v>3</v>
      </c>
    </row>
    <row r="451" spans="1:9" ht="48" x14ac:dyDescent="0.2">
      <c r="A451" t="s">
        <v>3779</v>
      </c>
      <c r="B451">
        <v>84688</v>
      </c>
      <c r="C451">
        <v>1663</v>
      </c>
      <c r="F451" s="4" t="s">
        <v>3307</v>
      </c>
      <c r="G451">
        <v>0.3608430987693752</v>
      </c>
      <c r="H451">
        <f t="shared" si="13"/>
        <v>0.54556500607533409</v>
      </c>
      <c r="I451">
        <f t="shared" ref="I451:I514" si="14">IF(H451&lt;0.2,1,IF(H451&lt;0.4,2,IF(H451&lt;0.6,3,IF(H451&lt;0.8,4,5))))</f>
        <v>3</v>
      </c>
    </row>
    <row r="452" spans="1:9" ht="48" x14ac:dyDescent="0.2">
      <c r="A452" t="s">
        <v>3483</v>
      </c>
      <c r="B452">
        <v>84779</v>
      </c>
      <c r="C452">
        <v>1355</v>
      </c>
      <c r="F452" s="4" t="s">
        <v>3780</v>
      </c>
      <c r="G452">
        <v>0.36123480228241939</v>
      </c>
      <c r="H452">
        <f t="shared" ref="H452:H515" si="15">_xlfn.RANK.EQ(G452,$G$3:$G$825,1)/COUNT($G$3:$G$825)</f>
        <v>0.54678007290400976</v>
      </c>
      <c r="I452">
        <f t="shared" si="14"/>
        <v>3</v>
      </c>
    </row>
    <row r="453" spans="1:9" ht="48" x14ac:dyDescent="0.2">
      <c r="A453" t="s">
        <v>3166</v>
      </c>
      <c r="B453">
        <v>84837</v>
      </c>
      <c r="C453">
        <v>1408</v>
      </c>
      <c r="F453" s="4" t="s">
        <v>3781</v>
      </c>
      <c r="G453">
        <v>0.36145955819250386</v>
      </c>
      <c r="H453">
        <f t="shared" si="15"/>
        <v>0.54799513973268532</v>
      </c>
      <c r="I453">
        <f t="shared" si="14"/>
        <v>3</v>
      </c>
    </row>
    <row r="454" spans="1:9" ht="48" x14ac:dyDescent="0.2">
      <c r="A454" t="s">
        <v>3782</v>
      </c>
      <c r="B454">
        <v>85024</v>
      </c>
      <c r="C454">
        <v>1689</v>
      </c>
      <c r="F454" s="4" t="s">
        <v>3715</v>
      </c>
      <c r="G454">
        <v>0.36211599095746783</v>
      </c>
      <c r="H454">
        <f t="shared" si="15"/>
        <v>0.54921020656136088</v>
      </c>
      <c r="I454">
        <f t="shared" si="14"/>
        <v>3</v>
      </c>
    </row>
    <row r="455" spans="1:9" ht="64" x14ac:dyDescent="0.2">
      <c r="A455" t="s">
        <v>3553</v>
      </c>
      <c r="B455">
        <v>85052</v>
      </c>
      <c r="C455">
        <v>1432</v>
      </c>
      <c r="F455" s="4" t="s">
        <v>3742</v>
      </c>
      <c r="G455">
        <v>0.36213887479758911</v>
      </c>
      <c r="H455">
        <f t="shared" si="15"/>
        <v>0.55042527339003644</v>
      </c>
      <c r="I455">
        <f t="shared" si="14"/>
        <v>3</v>
      </c>
    </row>
    <row r="456" spans="1:9" ht="48" x14ac:dyDescent="0.2">
      <c r="A456" t="s">
        <v>3427</v>
      </c>
      <c r="B456">
        <v>85216</v>
      </c>
      <c r="C456">
        <v>1349</v>
      </c>
      <c r="F456" s="4" t="s">
        <v>3259</v>
      </c>
      <c r="G456">
        <v>0.36219754160920953</v>
      </c>
      <c r="H456">
        <f t="shared" si="15"/>
        <v>0.551640340218712</v>
      </c>
      <c r="I456">
        <f t="shared" si="14"/>
        <v>3</v>
      </c>
    </row>
    <row r="457" spans="1:9" ht="48" x14ac:dyDescent="0.2">
      <c r="A457" t="s">
        <v>3154</v>
      </c>
      <c r="B457">
        <v>85347</v>
      </c>
      <c r="C457">
        <v>1256</v>
      </c>
      <c r="F457" s="4" t="s">
        <v>3783</v>
      </c>
      <c r="G457">
        <v>0.36240682743548785</v>
      </c>
      <c r="H457">
        <f t="shared" si="15"/>
        <v>0.55285540704738756</v>
      </c>
      <c r="I457">
        <f t="shared" si="14"/>
        <v>3</v>
      </c>
    </row>
    <row r="458" spans="1:9" ht="48" x14ac:dyDescent="0.2">
      <c r="A458" t="s">
        <v>3124</v>
      </c>
      <c r="B458">
        <v>85378</v>
      </c>
      <c r="C458">
        <v>1363</v>
      </c>
      <c r="F458" s="4" t="s">
        <v>3627</v>
      </c>
      <c r="G458">
        <v>0.36294622278640765</v>
      </c>
      <c r="H458">
        <f t="shared" si="15"/>
        <v>0.55407047387606323</v>
      </c>
      <c r="I458">
        <f t="shared" si="14"/>
        <v>3</v>
      </c>
    </row>
    <row r="459" spans="1:9" ht="48" x14ac:dyDescent="0.2">
      <c r="A459" t="s">
        <v>3629</v>
      </c>
      <c r="B459">
        <v>85406</v>
      </c>
      <c r="C459">
        <v>1464</v>
      </c>
      <c r="F459" s="4" t="s">
        <v>3784</v>
      </c>
      <c r="G459">
        <v>0.36317299244451812</v>
      </c>
      <c r="H459">
        <f t="shared" si="15"/>
        <v>0.55528554070473879</v>
      </c>
      <c r="I459">
        <f t="shared" si="14"/>
        <v>3</v>
      </c>
    </row>
    <row r="460" spans="1:9" ht="48" x14ac:dyDescent="0.2">
      <c r="A460" t="s">
        <v>3594</v>
      </c>
      <c r="B460">
        <v>85406</v>
      </c>
      <c r="C460">
        <v>1408</v>
      </c>
      <c r="F460" s="4" t="s">
        <v>3511</v>
      </c>
      <c r="G460">
        <v>0.36325147296211141</v>
      </c>
      <c r="H460">
        <f t="shared" si="15"/>
        <v>0.55650060753341435</v>
      </c>
      <c r="I460">
        <f t="shared" si="14"/>
        <v>3</v>
      </c>
    </row>
    <row r="461" spans="1:9" ht="64" x14ac:dyDescent="0.2">
      <c r="A461" t="s">
        <v>3785</v>
      </c>
      <c r="B461">
        <v>85420</v>
      </c>
      <c r="C461">
        <v>2014</v>
      </c>
      <c r="F461" s="4" t="s">
        <v>3680</v>
      </c>
      <c r="G461">
        <v>0.36326780615343668</v>
      </c>
      <c r="H461">
        <f t="shared" si="15"/>
        <v>0.55771567436208991</v>
      </c>
      <c r="I461">
        <f t="shared" si="14"/>
        <v>3</v>
      </c>
    </row>
    <row r="462" spans="1:9" ht="64" x14ac:dyDescent="0.2">
      <c r="A462" t="s">
        <v>3580</v>
      </c>
      <c r="B462">
        <v>85446</v>
      </c>
      <c r="C462">
        <v>1448</v>
      </c>
      <c r="F462" s="4" t="s">
        <v>3786</v>
      </c>
      <c r="G462">
        <v>0.36337337937525876</v>
      </c>
      <c r="H462">
        <f t="shared" si="15"/>
        <v>0.55893074119076547</v>
      </c>
      <c r="I462">
        <f t="shared" si="14"/>
        <v>3</v>
      </c>
    </row>
    <row r="463" spans="1:9" ht="64" x14ac:dyDescent="0.2">
      <c r="A463" t="s">
        <v>3641</v>
      </c>
      <c r="B463">
        <v>85524</v>
      </c>
      <c r="C463">
        <v>1496</v>
      </c>
      <c r="F463" s="4" t="s">
        <v>3688</v>
      </c>
      <c r="G463">
        <v>0.36397945898499751</v>
      </c>
      <c r="H463">
        <f t="shared" si="15"/>
        <v>0.56014580801944103</v>
      </c>
      <c r="I463">
        <f t="shared" si="14"/>
        <v>3</v>
      </c>
    </row>
    <row r="464" spans="1:9" ht="48" x14ac:dyDescent="0.2">
      <c r="A464" t="s">
        <v>3096</v>
      </c>
      <c r="B464">
        <v>85536</v>
      </c>
      <c r="C464">
        <v>1238</v>
      </c>
      <c r="F464" s="4" t="s">
        <v>3787</v>
      </c>
      <c r="G464">
        <v>0.36406223093132933</v>
      </c>
      <c r="H464">
        <f t="shared" si="15"/>
        <v>0.5613608748481167</v>
      </c>
      <c r="I464">
        <f t="shared" si="14"/>
        <v>3</v>
      </c>
    </row>
    <row r="465" spans="1:9" ht="64" x14ac:dyDescent="0.2">
      <c r="A465" t="s">
        <v>3551</v>
      </c>
      <c r="B465">
        <v>85960</v>
      </c>
      <c r="C465">
        <v>1509</v>
      </c>
      <c r="F465" s="4" t="s">
        <v>3637</v>
      </c>
      <c r="G465">
        <v>0.36407349133579897</v>
      </c>
      <c r="H465">
        <f t="shared" si="15"/>
        <v>0.56257594167679226</v>
      </c>
      <c r="I465">
        <f t="shared" si="14"/>
        <v>3</v>
      </c>
    </row>
    <row r="466" spans="1:9" ht="48" x14ac:dyDescent="0.2">
      <c r="A466" t="s">
        <v>3262</v>
      </c>
      <c r="B466">
        <v>86009</v>
      </c>
      <c r="C466">
        <v>1409</v>
      </c>
      <c r="F466" s="4" t="s">
        <v>3737</v>
      </c>
      <c r="G466">
        <v>0.36448717270218284</v>
      </c>
      <c r="H466">
        <f t="shared" si="15"/>
        <v>0.56379100850546782</v>
      </c>
      <c r="I466">
        <f t="shared" si="14"/>
        <v>3</v>
      </c>
    </row>
    <row r="467" spans="1:9" ht="48" x14ac:dyDescent="0.2">
      <c r="A467" t="s">
        <v>3375</v>
      </c>
      <c r="B467">
        <v>86053</v>
      </c>
      <c r="C467">
        <v>1378</v>
      </c>
      <c r="F467" s="4" t="s">
        <v>3788</v>
      </c>
      <c r="G467">
        <v>0.36484317007438843</v>
      </c>
      <c r="H467">
        <f t="shared" si="15"/>
        <v>0.56500607533414338</v>
      </c>
      <c r="I467">
        <f t="shared" si="14"/>
        <v>3</v>
      </c>
    </row>
    <row r="468" spans="1:9" ht="48" x14ac:dyDescent="0.2">
      <c r="A468" t="s">
        <v>3527</v>
      </c>
      <c r="B468">
        <v>86119</v>
      </c>
      <c r="C468">
        <v>1538</v>
      </c>
      <c r="F468" s="4" t="s">
        <v>3740</v>
      </c>
      <c r="G468">
        <v>0.36512327458179844</v>
      </c>
      <c r="H468">
        <f t="shared" si="15"/>
        <v>0.56622114216281894</v>
      </c>
      <c r="I468">
        <f t="shared" si="14"/>
        <v>3</v>
      </c>
    </row>
    <row r="469" spans="1:9" ht="48" x14ac:dyDescent="0.2">
      <c r="A469" t="s">
        <v>3286</v>
      </c>
      <c r="B469">
        <v>86384</v>
      </c>
      <c r="C469">
        <v>1376</v>
      </c>
      <c r="F469" s="4" t="s">
        <v>3753</v>
      </c>
      <c r="G469">
        <v>0.36587930067878188</v>
      </c>
      <c r="H469">
        <f t="shared" si="15"/>
        <v>0.5674362089914945</v>
      </c>
      <c r="I469">
        <f t="shared" si="14"/>
        <v>3</v>
      </c>
    </row>
    <row r="470" spans="1:9" ht="48" x14ac:dyDescent="0.2">
      <c r="A470" t="s">
        <v>3754</v>
      </c>
      <c r="B470">
        <v>86651</v>
      </c>
      <c r="C470">
        <v>1596</v>
      </c>
      <c r="F470" s="4" t="s">
        <v>3756</v>
      </c>
      <c r="G470">
        <v>0.36601123693190663</v>
      </c>
      <c r="H470">
        <f t="shared" si="15"/>
        <v>0.56865127582017005</v>
      </c>
      <c r="I470">
        <f t="shared" si="14"/>
        <v>3</v>
      </c>
    </row>
    <row r="471" spans="1:9" ht="48" x14ac:dyDescent="0.2">
      <c r="A471" t="s">
        <v>3789</v>
      </c>
      <c r="B471">
        <v>86705</v>
      </c>
      <c r="C471">
        <v>1908</v>
      </c>
      <c r="F471" s="4" t="s">
        <v>3436</v>
      </c>
      <c r="G471">
        <v>0.36615959289812222</v>
      </c>
      <c r="H471">
        <f t="shared" si="15"/>
        <v>0.56986634264884573</v>
      </c>
      <c r="I471">
        <f t="shared" si="14"/>
        <v>3</v>
      </c>
    </row>
    <row r="472" spans="1:9" ht="48" x14ac:dyDescent="0.2">
      <c r="A472" t="s">
        <v>3222</v>
      </c>
      <c r="B472">
        <v>86714</v>
      </c>
      <c r="C472">
        <v>1345</v>
      </c>
      <c r="F472" s="4" t="s">
        <v>3664</v>
      </c>
      <c r="G472">
        <v>0.36638724187282762</v>
      </c>
      <c r="H472">
        <f t="shared" si="15"/>
        <v>0.57108140947752128</v>
      </c>
      <c r="I472">
        <f t="shared" si="14"/>
        <v>3</v>
      </c>
    </row>
    <row r="473" spans="1:9" ht="48" x14ac:dyDescent="0.2">
      <c r="A473" t="s">
        <v>3160</v>
      </c>
      <c r="B473">
        <v>86821</v>
      </c>
      <c r="C473">
        <v>1307</v>
      </c>
      <c r="F473" s="4" t="s">
        <v>3790</v>
      </c>
      <c r="G473">
        <v>0.3669102277877806</v>
      </c>
      <c r="H473">
        <f t="shared" si="15"/>
        <v>0.57229647630619684</v>
      </c>
      <c r="I473">
        <f t="shared" si="14"/>
        <v>3</v>
      </c>
    </row>
    <row r="474" spans="1:9" ht="48" x14ac:dyDescent="0.2">
      <c r="A474" t="s">
        <v>3280</v>
      </c>
      <c r="B474">
        <v>86983</v>
      </c>
      <c r="C474">
        <v>1426</v>
      </c>
      <c r="F474" s="4" t="s">
        <v>3755</v>
      </c>
      <c r="G474">
        <v>0.36693681528524763</v>
      </c>
      <c r="H474">
        <f t="shared" si="15"/>
        <v>0.5735115431348724</v>
      </c>
      <c r="I474">
        <f t="shared" si="14"/>
        <v>3</v>
      </c>
    </row>
    <row r="475" spans="1:9" ht="48" x14ac:dyDescent="0.2">
      <c r="A475" t="s">
        <v>3769</v>
      </c>
      <c r="B475">
        <v>87039</v>
      </c>
      <c r="C475">
        <v>1574</v>
      </c>
      <c r="F475" s="4" t="s">
        <v>3239</v>
      </c>
      <c r="G475">
        <v>0.36700145032914899</v>
      </c>
      <c r="H475">
        <f t="shared" si="15"/>
        <v>0.57472660996354796</v>
      </c>
      <c r="I475">
        <f t="shared" si="14"/>
        <v>3</v>
      </c>
    </row>
    <row r="476" spans="1:9" ht="64" x14ac:dyDescent="0.2">
      <c r="A476" t="s">
        <v>3735</v>
      </c>
      <c r="B476">
        <v>87227</v>
      </c>
      <c r="C476">
        <v>1786</v>
      </c>
      <c r="F476" s="4" t="s">
        <v>3791</v>
      </c>
      <c r="G476">
        <v>0.36736530119258792</v>
      </c>
      <c r="H476">
        <f t="shared" si="15"/>
        <v>0.57594167679222352</v>
      </c>
      <c r="I476">
        <f t="shared" si="14"/>
        <v>3</v>
      </c>
    </row>
    <row r="477" spans="1:9" ht="48" x14ac:dyDescent="0.2">
      <c r="A477" t="s">
        <v>3708</v>
      </c>
      <c r="B477">
        <v>87308</v>
      </c>
      <c r="C477">
        <v>1569</v>
      </c>
      <c r="F477" s="4" t="s">
        <v>3792</v>
      </c>
      <c r="G477">
        <v>0.36759767409960559</v>
      </c>
      <c r="H477">
        <f t="shared" si="15"/>
        <v>0.57715674362089919</v>
      </c>
      <c r="I477">
        <f t="shared" si="14"/>
        <v>3</v>
      </c>
    </row>
    <row r="478" spans="1:9" ht="48" x14ac:dyDescent="0.2">
      <c r="A478" t="s">
        <v>3326</v>
      </c>
      <c r="B478">
        <v>87500</v>
      </c>
      <c r="C478">
        <v>1458</v>
      </c>
      <c r="F478" s="4" t="s">
        <v>3657</v>
      </c>
      <c r="G478">
        <v>0.36760929243239299</v>
      </c>
      <c r="H478">
        <f t="shared" si="15"/>
        <v>0.57837181044957475</v>
      </c>
      <c r="I478">
        <f t="shared" si="14"/>
        <v>3</v>
      </c>
    </row>
    <row r="479" spans="1:9" ht="48" x14ac:dyDescent="0.2">
      <c r="A479" t="s">
        <v>3278</v>
      </c>
      <c r="B479">
        <v>87604</v>
      </c>
      <c r="C479">
        <v>1297</v>
      </c>
      <c r="F479" s="4" t="s">
        <v>3793</v>
      </c>
      <c r="G479">
        <v>0.36768624669000227</v>
      </c>
      <c r="H479">
        <f t="shared" si="15"/>
        <v>0.57958687727825031</v>
      </c>
      <c r="I479">
        <f t="shared" si="14"/>
        <v>3</v>
      </c>
    </row>
    <row r="480" spans="1:9" ht="48" x14ac:dyDescent="0.2">
      <c r="A480" t="s">
        <v>3711</v>
      </c>
      <c r="B480">
        <v>87647</v>
      </c>
      <c r="C480">
        <v>1661</v>
      </c>
      <c r="F480" s="4" t="s">
        <v>3520</v>
      </c>
      <c r="G480">
        <v>0.36770101858148313</v>
      </c>
      <c r="H480">
        <f t="shared" si="15"/>
        <v>0.58080194410692587</v>
      </c>
      <c r="I480">
        <f t="shared" si="14"/>
        <v>3</v>
      </c>
    </row>
    <row r="481" spans="1:9" ht="48" x14ac:dyDescent="0.2">
      <c r="A481" t="s">
        <v>3324</v>
      </c>
      <c r="B481">
        <v>87917</v>
      </c>
      <c r="C481">
        <v>1407</v>
      </c>
      <c r="F481" s="4" t="s">
        <v>3794</v>
      </c>
      <c r="G481">
        <v>0.36773511254959701</v>
      </c>
      <c r="H481">
        <f t="shared" si="15"/>
        <v>0.58201701093560143</v>
      </c>
      <c r="I481">
        <f t="shared" si="14"/>
        <v>3</v>
      </c>
    </row>
    <row r="482" spans="1:9" ht="48" x14ac:dyDescent="0.2">
      <c r="A482" t="s">
        <v>3292</v>
      </c>
      <c r="B482">
        <v>88021</v>
      </c>
      <c r="C482">
        <v>1489</v>
      </c>
      <c r="F482" s="4" t="s">
        <v>3795</v>
      </c>
      <c r="G482">
        <v>0.36792641927426001</v>
      </c>
      <c r="H482">
        <f t="shared" si="15"/>
        <v>0.58323207776427699</v>
      </c>
      <c r="I482">
        <f t="shared" si="14"/>
        <v>3</v>
      </c>
    </row>
    <row r="483" spans="1:9" ht="64" x14ac:dyDescent="0.2">
      <c r="A483" t="s">
        <v>3656</v>
      </c>
      <c r="B483">
        <v>88063</v>
      </c>
      <c r="C483">
        <v>1618</v>
      </c>
      <c r="F483" s="4" t="s">
        <v>3309</v>
      </c>
      <c r="G483">
        <v>0.36823604239993979</v>
      </c>
      <c r="H483">
        <f t="shared" si="15"/>
        <v>0.58444714459295266</v>
      </c>
      <c r="I483">
        <f t="shared" si="14"/>
        <v>3</v>
      </c>
    </row>
    <row r="484" spans="1:9" ht="64" x14ac:dyDescent="0.2">
      <c r="A484" t="s">
        <v>3683</v>
      </c>
      <c r="B484">
        <v>88167</v>
      </c>
      <c r="C484">
        <v>1657</v>
      </c>
      <c r="F484" s="4" t="s">
        <v>3705</v>
      </c>
      <c r="G484">
        <v>0.36838046610782854</v>
      </c>
      <c r="H484">
        <f t="shared" si="15"/>
        <v>0.58566221142162822</v>
      </c>
      <c r="I484">
        <f t="shared" si="14"/>
        <v>3</v>
      </c>
    </row>
    <row r="485" spans="1:9" ht="64" x14ac:dyDescent="0.2">
      <c r="A485" t="s">
        <v>3112</v>
      </c>
      <c r="B485">
        <v>88167</v>
      </c>
      <c r="C485">
        <v>1264</v>
      </c>
      <c r="F485" s="4" t="s">
        <v>3574</v>
      </c>
      <c r="G485">
        <v>0.36861132549323533</v>
      </c>
      <c r="H485">
        <f t="shared" si="15"/>
        <v>0.58687727825030378</v>
      </c>
      <c r="I485">
        <f t="shared" si="14"/>
        <v>3</v>
      </c>
    </row>
    <row r="486" spans="1:9" ht="48" x14ac:dyDescent="0.2">
      <c r="A486" t="s">
        <v>3387</v>
      </c>
      <c r="B486">
        <v>88438</v>
      </c>
      <c r="C486">
        <v>1515</v>
      </c>
      <c r="F486" s="4" t="s">
        <v>3477</v>
      </c>
      <c r="G486">
        <v>0.36862632919191285</v>
      </c>
      <c r="H486">
        <f t="shared" si="15"/>
        <v>0.58809234507897934</v>
      </c>
      <c r="I486">
        <f t="shared" si="14"/>
        <v>3</v>
      </c>
    </row>
    <row r="487" spans="1:9" ht="48" x14ac:dyDescent="0.2">
      <c r="A487" t="s">
        <v>3796</v>
      </c>
      <c r="B487">
        <v>88750</v>
      </c>
      <c r="C487">
        <v>1741</v>
      </c>
      <c r="F487" s="4" t="s">
        <v>3763</v>
      </c>
      <c r="G487">
        <v>0.36875394794164051</v>
      </c>
      <c r="H487">
        <f t="shared" si="15"/>
        <v>0.5893074119076549</v>
      </c>
      <c r="I487">
        <f t="shared" si="14"/>
        <v>3</v>
      </c>
    </row>
    <row r="488" spans="1:9" ht="48" x14ac:dyDescent="0.2">
      <c r="A488" t="s">
        <v>3345</v>
      </c>
      <c r="B488">
        <v>88896</v>
      </c>
      <c r="C488">
        <v>1484</v>
      </c>
      <c r="F488" s="4" t="s">
        <v>3275</v>
      </c>
      <c r="G488">
        <v>0.36892712733127836</v>
      </c>
      <c r="H488">
        <f t="shared" si="15"/>
        <v>0.59052247873633046</v>
      </c>
      <c r="I488">
        <f t="shared" si="14"/>
        <v>3</v>
      </c>
    </row>
    <row r="489" spans="1:9" ht="64" x14ac:dyDescent="0.2">
      <c r="A489" t="s">
        <v>3274</v>
      </c>
      <c r="B489">
        <v>89036</v>
      </c>
      <c r="C489">
        <v>1489</v>
      </c>
      <c r="F489" s="4" t="s">
        <v>3765</v>
      </c>
      <c r="G489">
        <v>0.37030025611635387</v>
      </c>
      <c r="H489">
        <f t="shared" si="15"/>
        <v>0.59173754556500613</v>
      </c>
      <c r="I489">
        <f t="shared" si="14"/>
        <v>3</v>
      </c>
    </row>
    <row r="490" spans="1:9" ht="48" x14ac:dyDescent="0.2">
      <c r="A490" t="s">
        <v>3383</v>
      </c>
      <c r="B490">
        <v>89063</v>
      </c>
      <c r="C490">
        <v>1371</v>
      </c>
      <c r="F490" s="4" t="s">
        <v>3779</v>
      </c>
      <c r="G490">
        <v>0.37033955062066898</v>
      </c>
      <c r="H490">
        <f t="shared" si="15"/>
        <v>0.59295261239368169</v>
      </c>
      <c r="I490">
        <f t="shared" si="14"/>
        <v>3</v>
      </c>
    </row>
    <row r="491" spans="1:9" ht="48" x14ac:dyDescent="0.2">
      <c r="A491" t="s">
        <v>3148</v>
      </c>
      <c r="B491">
        <v>89076</v>
      </c>
      <c r="C491">
        <v>1346</v>
      </c>
      <c r="F491" s="4" t="s">
        <v>3567</v>
      </c>
      <c r="G491">
        <v>0.37038313766124809</v>
      </c>
      <c r="H491">
        <f t="shared" si="15"/>
        <v>0.59416767922235725</v>
      </c>
      <c r="I491">
        <f t="shared" si="14"/>
        <v>3</v>
      </c>
    </row>
    <row r="492" spans="1:9" ht="48" x14ac:dyDescent="0.2">
      <c r="A492" t="s">
        <v>3126</v>
      </c>
      <c r="B492">
        <v>89079</v>
      </c>
      <c r="C492">
        <v>1336</v>
      </c>
      <c r="F492" s="4" t="s">
        <v>3747</v>
      </c>
      <c r="G492">
        <v>0.37061379738751926</v>
      </c>
      <c r="H492">
        <f t="shared" si="15"/>
        <v>0.59538274605103281</v>
      </c>
      <c r="I492">
        <f t="shared" si="14"/>
        <v>3</v>
      </c>
    </row>
    <row r="493" spans="1:9" ht="48" x14ac:dyDescent="0.2">
      <c r="A493" t="s">
        <v>3493</v>
      </c>
      <c r="B493">
        <v>89079</v>
      </c>
      <c r="C493">
        <v>1650</v>
      </c>
      <c r="F493" s="4" t="s">
        <v>3507</v>
      </c>
      <c r="G493">
        <v>0.37109723441350984</v>
      </c>
      <c r="H493">
        <f t="shared" si="15"/>
        <v>0.59659781287970837</v>
      </c>
      <c r="I493">
        <f t="shared" si="14"/>
        <v>3</v>
      </c>
    </row>
    <row r="494" spans="1:9" ht="48" x14ac:dyDescent="0.2">
      <c r="A494" t="s">
        <v>3572</v>
      </c>
      <c r="B494">
        <v>89141</v>
      </c>
      <c r="C494">
        <v>1506</v>
      </c>
      <c r="F494" s="4" t="s">
        <v>3458</v>
      </c>
      <c r="G494">
        <v>0.37113953224150353</v>
      </c>
      <c r="H494">
        <f t="shared" si="15"/>
        <v>0.59781287970838393</v>
      </c>
      <c r="I494">
        <f t="shared" si="14"/>
        <v>3</v>
      </c>
    </row>
    <row r="495" spans="1:9" ht="64" x14ac:dyDescent="0.2">
      <c r="A495" t="s">
        <v>3797</v>
      </c>
      <c r="B495">
        <v>89167</v>
      </c>
      <c r="C495">
        <v>1730</v>
      </c>
      <c r="F495" s="4" t="s">
        <v>3798</v>
      </c>
      <c r="G495">
        <v>0.37117092050150924</v>
      </c>
      <c r="H495">
        <f t="shared" si="15"/>
        <v>0.59902794653705949</v>
      </c>
      <c r="I495">
        <f t="shared" si="14"/>
        <v>3</v>
      </c>
    </row>
    <row r="496" spans="1:9" ht="48" x14ac:dyDescent="0.2">
      <c r="A496" t="s">
        <v>3445</v>
      </c>
      <c r="B496">
        <v>89261</v>
      </c>
      <c r="C496">
        <v>1605</v>
      </c>
      <c r="F496" s="4" t="s">
        <v>3593</v>
      </c>
      <c r="G496">
        <v>0.37119438213244782</v>
      </c>
      <c r="H496">
        <f t="shared" si="15"/>
        <v>0.60024301336573516</v>
      </c>
      <c r="I496">
        <f t="shared" si="14"/>
        <v>4</v>
      </c>
    </row>
    <row r="497" spans="1:9" ht="48" x14ac:dyDescent="0.2">
      <c r="A497" t="s">
        <v>3052</v>
      </c>
      <c r="B497">
        <v>89292</v>
      </c>
      <c r="C497">
        <v>1193</v>
      </c>
      <c r="F497" s="4" t="s">
        <v>3799</v>
      </c>
      <c r="G497">
        <v>0.37143943719855482</v>
      </c>
      <c r="H497">
        <f t="shared" si="15"/>
        <v>0.60145808019441072</v>
      </c>
      <c r="I497">
        <f t="shared" si="14"/>
        <v>4</v>
      </c>
    </row>
    <row r="498" spans="1:9" ht="48" x14ac:dyDescent="0.2">
      <c r="A498" t="s">
        <v>3270</v>
      </c>
      <c r="B498">
        <v>89460</v>
      </c>
      <c r="C498">
        <v>1382</v>
      </c>
      <c r="F498" s="4" t="s">
        <v>3800</v>
      </c>
      <c r="G498">
        <v>0.37161913770247196</v>
      </c>
      <c r="H498">
        <f t="shared" si="15"/>
        <v>0.60267314702308628</v>
      </c>
      <c r="I498">
        <f t="shared" si="14"/>
        <v>4</v>
      </c>
    </row>
    <row r="499" spans="1:9" ht="48" x14ac:dyDescent="0.2">
      <c r="A499" t="s">
        <v>3801</v>
      </c>
      <c r="B499">
        <v>89506</v>
      </c>
      <c r="C499">
        <v>2194</v>
      </c>
      <c r="F499" s="4" t="s">
        <v>3802</v>
      </c>
      <c r="G499">
        <v>0.37243217866704359</v>
      </c>
      <c r="H499">
        <f t="shared" si="15"/>
        <v>0.60388821385176183</v>
      </c>
      <c r="I499">
        <f t="shared" si="14"/>
        <v>4</v>
      </c>
    </row>
    <row r="500" spans="1:9" ht="64" x14ac:dyDescent="0.2">
      <c r="A500" t="s">
        <v>3762</v>
      </c>
      <c r="B500">
        <v>89545</v>
      </c>
      <c r="C500">
        <v>1634</v>
      </c>
      <c r="F500" s="4" t="s">
        <v>3609</v>
      </c>
      <c r="G500">
        <v>0.3725918273730513</v>
      </c>
      <c r="H500">
        <f t="shared" si="15"/>
        <v>0.60510328068043739</v>
      </c>
      <c r="I500">
        <f t="shared" si="14"/>
        <v>4</v>
      </c>
    </row>
    <row r="501" spans="1:9" ht="48" x14ac:dyDescent="0.2">
      <c r="A501" t="s">
        <v>3419</v>
      </c>
      <c r="B501">
        <v>89691</v>
      </c>
      <c r="C501">
        <v>1552</v>
      </c>
      <c r="F501" s="4" t="s">
        <v>3803</v>
      </c>
      <c r="G501">
        <v>0.37317759101350106</v>
      </c>
      <c r="H501">
        <f t="shared" si="15"/>
        <v>0.60631834750911295</v>
      </c>
      <c r="I501">
        <f t="shared" si="14"/>
        <v>4</v>
      </c>
    </row>
    <row r="502" spans="1:9" ht="48" x14ac:dyDescent="0.2">
      <c r="A502" t="s">
        <v>3336</v>
      </c>
      <c r="B502">
        <v>89699</v>
      </c>
      <c r="C502">
        <v>1530</v>
      </c>
      <c r="F502" s="4" t="s">
        <v>3773</v>
      </c>
      <c r="G502">
        <v>0.37328322641837763</v>
      </c>
      <c r="H502">
        <f t="shared" si="15"/>
        <v>0.60753341433778862</v>
      </c>
      <c r="I502">
        <f t="shared" si="14"/>
        <v>4</v>
      </c>
    </row>
    <row r="503" spans="1:9" ht="48" x14ac:dyDescent="0.2">
      <c r="A503" t="s">
        <v>3486</v>
      </c>
      <c r="B503">
        <v>89900</v>
      </c>
      <c r="C503">
        <v>1457</v>
      </c>
      <c r="F503" s="4" t="s">
        <v>3169</v>
      </c>
      <c r="G503">
        <v>0.37340286920721982</v>
      </c>
      <c r="H503">
        <f t="shared" si="15"/>
        <v>0.60874848116646418</v>
      </c>
      <c r="I503">
        <f t="shared" si="14"/>
        <v>4</v>
      </c>
    </row>
    <row r="504" spans="1:9" ht="48" x14ac:dyDescent="0.2">
      <c r="A504" t="s">
        <v>3804</v>
      </c>
      <c r="B504">
        <v>89985</v>
      </c>
      <c r="C504">
        <v>1860</v>
      </c>
      <c r="F504" s="4" t="s">
        <v>3805</v>
      </c>
      <c r="G504">
        <v>0.3739027069320453</v>
      </c>
      <c r="H504">
        <f t="shared" si="15"/>
        <v>0.60996354799513974</v>
      </c>
      <c r="I504">
        <f t="shared" si="14"/>
        <v>4</v>
      </c>
    </row>
    <row r="505" spans="1:9" ht="48" x14ac:dyDescent="0.2">
      <c r="A505" t="s">
        <v>3806</v>
      </c>
      <c r="B505">
        <v>90000</v>
      </c>
      <c r="C505">
        <v>1798</v>
      </c>
      <c r="F505" s="4" t="s">
        <v>3807</v>
      </c>
      <c r="G505">
        <v>0.37435811869582913</v>
      </c>
      <c r="H505">
        <f t="shared" si="15"/>
        <v>0.6111786148238153</v>
      </c>
      <c r="I505">
        <f t="shared" si="14"/>
        <v>4</v>
      </c>
    </row>
    <row r="506" spans="1:9" ht="64" x14ac:dyDescent="0.2">
      <c r="A506" t="s">
        <v>3084</v>
      </c>
      <c r="B506">
        <v>90054</v>
      </c>
      <c r="C506">
        <v>1342</v>
      </c>
      <c r="F506" s="4" t="s">
        <v>3473</v>
      </c>
      <c r="G506">
        <v>0.37494351489196098</v>
      </c>
      <c r="H506">
        <f t="shared" si="15"/>
        <v>0.61239368165249086</v>
      </c>
      <c r="I506">
        <f t="shared" si="14"/>
        <v>4</v>
      </c>
    </row>
    <row r="507" spans="1:9" ht="48" x14ac:dyDescent="0.2">
      <c r="A507" t="s">
        <v>3624</v>
      </c>
      <c r="B507">
        <v>90141</v>
      </c>
      <c r="C507">
        <v>1623</v>
      </c>
      <c r="F507" s="4" t="s">
        <v>3607</v>
      </c>
      <c r="G507">
        <v>0.37499697838731944</v>
      </c>
      <c r="H507">
        <f t="shared" si="15"/>
        <v>0.61360874848116642</v>
      </c>
      <c r="I507">
        <f t="shared" si="14"/>
        <v>4</v>
      </c>
    </row>
    <row r="508" spans="1:9" ht="48" x14ac:dyDescent="0.2">
      <c r="A508" t="s">
        <v>3775</v>
      </c>
      <c r="B508">
        <v>90150</v>
      </c>
      <c r="C508">
        <v>1651</v>
      </c>
      <c r="F508" s="4" t="s">
        <v>3808</v>
      </c>
      <c r="G508">
        <v>0.37518114578874051</v>
      </c>
      <c r="H508">
        <f t="shared" si="15"/>
        <v>0.61482381530984209</v>
      </c>
      <c r="I508">
        <f t="shared" si="14"/>
        <v>4</v>
      </c>
    </row>
    <row r="509" spans="1:9" ht="48" x14ac:dyDescent="0.2">
      <c r="A509" t="s">
        <v>3040</v>
      </c>
      <c r="B509">
        <v>90156</v>
      </c>
      <c r="C509">
        <v>1138</v>
      </c>
      <c r="F509" s="4" t="s">
        <v>3809</v>
      </c>
      <c r="G509">
        <v>0.37549526211623308</v>
      </c>
      <c r="H509">
        <f t="shared" si="15"/>
        <v>0.61603888213851765</v>
      </c>
      <c r="I509">
        <f t="shared" si="14"/>
        <v>4</v>
      </c>
    </row>
    <row r="510" spans="1:9" ht="64" x14ac:dyDescent="0.2">
      <c r="A510" t="s">
        <v>3497</v>
      </c>
      <c r="B510">
        <v>90285</v>
      </c>
      <c r="C510">
        <v>1466</v>
      </c>
      <c r="F510" s="4" t="s">
        <v>3639</v>
      </c>
      <c r="G510">
        <v>0.37565056728080132</v>
      </c>
      <c r="H510">
        <f t="shared" si="15"/>
        <v>0.61725394896719321</v>
      </c>
      <c r="I510">
        <f t="shared" si="14"/>
        <v>4</v>
      </c>
    </row>
    <row r="511" spans="1:9" ht="48" x14ac:dyDescent="0.2">
      <c r="A511" t="s">
        <v>3482</v>
      </c>
      <c r="B511">
        <v>90375</v>
      </c>
      <c r="C511">
        <v>1581</v>
      </c>
      <c r="F511" s="4" t="s">
        <v>3810</v>
      </c>
      <c r="G511">
        <v>0.37594612795555238</v>
      </c>
      <c r="H511">
        <f t="shared" si="15"/>
        <v>0.61846901579586877</v>
      </c>
      <c r="I511">
        <f t="shared" si="14"/>
        <v>4</v>
      </c>
    </row>
    <row r="512" spans="1:9" ht="64" x14ac:dyDescent="0.2">
      <c r="A512" t="s">
        <v>3186</v>
      </c>
      <c r="B512">
        <v>90500</v>
      </c>
      <c r="C512">
        <v>1343</v>
      </c>
      <c r="F512" s="4" t="s">
        <v>3811</v>
      </c>
      <c r="G512">
        <v>0.37618406562845047</v>
      </c>
      <c r="H512">
        <f t="shared" si="15"/>
        <v>0.61968408262454433</v>
      </c>
      <c r="I512">
        <f t="shared" si="14"/>
        <v>4</v>
      </c>
    </row>
    <row r="513" spans="1:9" ht="64" x14ac:dyDescent="0.2">
      <c r="A513" t="s">
        <v>3812</v>
      </c>
      <c r="B513">
        <v>90527</v>
      </c>
      <c r="C513">
        <v>1773</v>
      </c>
      <c r="F513" s="4" t="s">
        <v>3665</v>
      </c>
      <c r="G513">
        <v>0.37640506312392474</v>
      </c>
      <c r="H513">
        <f t="shared" si="15"/>
        <v>0.62089914945321989</v>
      </c>
      <c r="I513">
        <f t="shared" si="14"/>
        <v>4</v>
      </c>
    </row>
    <row r="514" spans="1:9" ht="48" x14ac:dyDescent="0.2">
      <c r="A514" t="s">
        <v>3044</v>
      </c>
      <c r="B514">
        <v>90543</v>
      </c>
      <c r="C514">
        <v>1204</v>
      </c>
      <c r="F514" s="4" t="s">
        <v>3797</v>
      </c>
      <c r="G514">
        <v>0.37685461640238455</v>
      </c>
      <c r="H514">
        <f t="shared" si="15"/>
        <v>0.62211421628189545</v>
      </c>
      <c r="I514">
        <f t="shared" si="14"/>
        <v>4</v>
      </c>
    </row>
    <row r="515" spans="1:9" ht="48" x14ac:dyDescent="0.2">
      <c r="A515" t="s">
        <v>3535</v>
      </c>
      <c r="B515">
        <v>90563</v>
      </c>
      <c r="C515">
        <v>1509</v>
      </c>
      <c r="F515" s="4" t="s">
        <v>3731</v>
      </c>
      <c r="G515">
        <v>0.37698819945484185</v>
      </c>
      <c r="H515">
        <f t="shared" si="15"/>
        <v>0.62332928311057112</v>
      </c>
      <c r="I515">
        <f t="shared" ref="I515:I578" si="16">IF(H515&lt;0.2,1,IF(H515&lt;0.4,2,IF(H515&lt;0.6,3,IF(H515&lt;0.8,4,5))))</f>
        <v>4</v>
      </c>
    </row>
    <row r="516" spans="1:9" ht="48" x14ac:dyDescent="0.2">
      <c r="A516" t="s">
        <v>3813</v>
      </c>
      <c r="B516">
        <v>90568</v>
      </c>
      <c r="C516">
        <v>1958</v>
      </c>
      <c r="F516" s="4" t="s">
        <v>3814</v>
      </c>
      <c r="G516">
        <v>0.37788336365517661</v>
      </c>
      <c r="H516">
        <f t="shared" ref="H516:H579" si="17">_xlfn.RANK.EQ(G516,$G$3:$G$825,1)/COUNT($G$3:$G$825)</f>
        <v>0.62454434993924668</v>
      </c>
      <c r="I516">
        <f t="shared" si="16"/>
        <v>4</v>
      </c>
    </row>
    <row r="517" spans="1:9" ht="48" x14ac:dyDescent="0.2">
      <c r="A517" t="s">
        <v>3176</v>
      </c>
      <c r="B517">
        <v>90571</v>
      </c>
      <c r="C517">
        <v>1431</v>
      </c>
      <c r="F517" s="4" t="s">
        <v>3782</v>
      </c>
      <c r="G517">
        <v>0.37841612419545395</v>
      </c>
      <c r="H517">
        <f t="shared" si="17"/>
        <v>0.62575941676792224</v>
      </c>
      <c r="I517">
        <f t="shared" si="16"/>
        <v>4</v>
      </c>
    </row>
    <row r="518" spans="1:9" ht="48" x14ac:dyDescent="0.2">
      <c r="A518" t="s">
        <v>3772</v>
      </c>
      <c r="B518">
        <v>90644</v>
      </c>
      <c r="C518">
        <v>1726</v>
      </c>
      <c r="F518" s="4" t="s">
        <v>3815</v>
      </c>
      <c r="G518">
        <v>0.37864504414201916</v>
      </c>
      <c r="H518">
        <f t="shared" si="17"/>
        <v>0.6269744835965978</v>
      </c>
      <c r="I518">
        <f t="shared" si="16"/>
        <v>4</v>
      </c>
    </row>
    <row r="519" spans="1:9" ht="48" x14ac:dyDescent="0.2">
      <c r="A519" t="s">
        <v>3816</v>
      </c>
      <c r="B519">
        <v>90913</v>
      </c>
      <c r="C519">
        <v>1857</v>
      </c>
      <c r="F519" s="4" t="s">
        <v>3817</v>
      </c>
      <c r="G519">
        <v>0.37874563445570386</v>
      </c>
      <c r="H519">
        <f t="shared" si="17"/>
        <v>0.62818955042527336</v>
      </c>
      <c r="I519">
        <f t="shared" si="16"/>
        <v>4</v>
      </c>
    </row>
    <row r="520" spans="1:9" ht="48" x14ac:dyDescent="0.2">
      <c r="A520" t="s">
        <v>3815</v>
      </c>
      <c r="B520">
        <v>90929</v>
      </c>
      <c r="C520">
        <v>1930</v>
      </c>
      <c r="F520" s="4" t="s">
        <v>3789</v>
      </c>
      <c r="G520">
        <v>0.37900861699042743</v>
      </c>
      <c r="H520">
        <f t="shared" si="17"/>
        <v>0.62940461725394892</v>
      </c>
      <c r="I520">
        <f t="shared" si="16"/>
        <v>4</v>
      </c>
    </row>
    <row r="521" spans="1:9" ht="64" x14ac:dyDescent="0.2">
      <c r="A521" t="s">
        <v>3188</v>
      </c>
      <c r="B521">
        <v>91125</v>
      </c>
      <c r="C521">
        <v>1374</v>
      </c>
      <c r="F521" s="4" t="s">
        <v>3818</v>
      </c>
      <c r="G521">
        <v>0.37940035929392119</v>
      </c>
      <c r="H521">
        <f t="shared" si="17"/>
        <v>0.63061968408262459</v>
      </c>
      <c r="I521">
        <f t="shared" si="16"/>
        <v>4</v>
      </c>
    </row>
    <row r="522" spans="1:9" ht="48" x14ac:dyDescent="0.2">
      <c r="A522" t="s">
        <v>3671</v>
      </c>
      <c r="B522">
        <v>91129</v>
      </c>
      <c r="C522">
        <v>1605</v>
      </c>
      <c r="F522" s="4" t="s">
        <v>3394</v>
      </c>
      <c r="G522">
        <v>0.37951868073223549</v>
      </c>
      <c r="H522">
        <f t="shared" si="17"/>
        <v>0.63183475091130015</v>
      </c>
      <c r="I522">
        <f t="shared" si="16"/>
        <v>4</v>
      </c>
    </row>
    <row r="523" spans="1:9" ht="64" x14ac:dyDescent="0.2">
      <c r="A523" t="s">
        <v>3635</v>
      </c>
      <c r="B523">
        <v>91170</v>
      </c>
      <c r="C523">
        <v>1516</v>
      </c>
      <c r="F523" s="4" t="s">
        <v>3796</v>
      </c>
      <c r="G523">
        <v>0.37957563690693702</v>
      </c>
      <c r="H523">
        <f t="shared" si="17"/>
        <v>0.63304981773997571</v>
      </c>
      <c r="I523">
        <f t="shared" si="16"/>
        <v>4</v>
      </c>
    </row>
    <row r="524" spans="1:9" ht="48" x14ac:dyDescent="0.2">
      <c r="A524" t="s">
        <v>3232</v>
      </c>
      <c r="B524">
        <v>91250</v>
      </c>
      <c r="C524">
        <v>1361</v>
      </c>
      <c r="F524" s="4" t="s">
        <v>3545</v>
      </c>
      <c r="G524">
        <v>0.38046995141204981</v>
      </c>
      <c r="H524">
        <f t="shared" si="17"/>
        <v>0.63426488456865127</v>
      </c>
      <c r="I524">
        <f t="shared" si="16"/>
        <v>4</v>
      </c>
    </row>
    <row r="525" spans="1:9" ht="48" x14ac:dyDescent="0.2">
      <c r="A525" t="s">
        <v>3700</v>
      </c>
      <c r="B525">
        <v>91375</v>
      </c>
      <c r="C525">
        <v>1709</v>
      </c>
      <c r="F525" s="4" t="s">
        <v>3388</v>
      </c>
      <c r="G525">
        <v>0.38111504521338313</v>
      </c>
      <c r="H525">
        <f t="shared" si="17"/>
        <v>0.63547995139732683</v>
      </c>
      <c r="I525">
        <f t="shared" si="16"/>
        <v>4</v>
      </c>
    </row>
    <row r="526" spans="1:9" ht="48" x14ac:dyDescent="0.2">
      <c r="A526" t="s">
        <v>3677</v>
      </c>
      <c r="B526">
        <v>91383</v>
      </c>
      <c r="C526">
        <v>1648</v>
      </c>
      <c r="F526" s="4" t="s">
        <v>3591</v>
      </c>
      <c r="G526">
        <v>0.38126965600462231</v>
      </c>
      <c r="H526">
        <f t="shared" si="17"/>
        <v>0.63669501822600238</v>
      </c>
      <c r="I526">
        <f t="shared" si="16"/>
        <v>4</v>
      </c>
    </row>
    <row r="527" spans="1:9" ht="48" x14ac:dyDescent="0.2">
      <c r="A527" t="s">
        <v>3819</v>
      </c>
      <c r="B527">
        <v>91467</v>
      </c>
      <c r="C527">
        <v>1873</v>
      </c>
      <c r="F527" s="4" t="s">
        <v>3820</v>
      </c>
      <c r="G527">
        <v>0.38186530443292716</v>
      </c>
      <c r="H527">
        <f t="shared" si="17"/>
        <v>0.63791008505467806</v>
      </c>
      <c r="I527">
        <f t="shared" si="16"/>
        <v>4</v>
      </c>
    </row>
    <row r="528" spans="1:9" ht="48" x14ac:dyDescent="0.2">
      <c r="A528" t="s">
        <v>3821</v>
      </c>
      <c r="B528">
        <v>91500</v>
      </c>
      <c r="C528">
        <v>1696</v>
      </c>
      <c r="F528" s="4" t="s">
        <v>3461</v>
      </c>
      <c r="G528">
        <v>0.38228873893402238</v>
      </c>
      <c r="H528">
        <f t="shared" si="17"/>
        <v>0.63912515188335361</v>
      </c>
      <c r="I528">
        <f t="shared" si="16"/>
        <v>4</v>
      </c>
    </row>
    <row r="529" spans="1:9" ht="48" x14ac:dyDescent="0.2">
      <c r="A529" t="s">
        <v>3822</v>
      </c>
      <c r="B529">
        <v>91556</v>
      </c>
      <c r="C529">
        <v>1979</v>
      </c>
      <c r="F529" s="4" t="s">
        <v>3823</v>
      </c>
      <c r="G529">
        <v>0.3823677179732749</v>
      </c>
      <c r="H529">
        <f t="shared" si="17"/>
        <v>0.64034021871202917</v>
      </c>
      <c r="I529">
        <f t="shared" si="16"/>
        <v>4</v>
      </c>
    </row>
    <row r="530" spans="1:9" ht="64" x14ac:dyDescent="0.2">
      <c r="A530" t="s">
        <v>3214</v>
      </c>
      <c r="B530">
        <v>91591</v>
      </c>
      <c r="C530">
        <v>1429</v>
      </c>
      <c r="F530" s="4" t="s">
        <v>3824</v>
      </c>
      <c r="G530">
        <v>0.38243058388898854</v>
      </c>
      <c r="H530">
        <f t="shared" si="17"/>
        <v>0.64155528554070473</v>
      </c>
      <c r="I530">
        <f t="shared" si="16"/>
        <v>4</v>
      </c>
    </row>
    <row r="531" spans="1:9" ht="48" x14ac:dyDescent="0.2">
      <c r="A531" t="s">
        <v>3359</v>
      </c>
      <c r="B531">
        <v>91684</v>
      </c>
      <c r="C531">
        <v>1462</v>
      </c>
      <c r="F531" s="4" t="s">
        <v>3604</v>
      </c>
      <c r="G531">
        <v>0.3831824685513528</v>
      </c>
      <c r="H531">
        <f t="shared" si="17"/>
        <v>0.64277035236938029</v>
      </c>
      <c r="I531">
        <f t="shared" si="16"/>
        <v>4</v>
      </c>
    </row>
    <row r="532" spans="1:9" ht="48" x14ac:dyDescent="0.2">
      <c r="A532" t="s">
        <v>3793</v>
      </c>
      <c r="B532">
        <v>91829</v>
      </c>
      <c r="C532">
        <v>1762</v>
      </c>
      <c r="F532" s="4" t="s">
        <v>3825</v>
      </c>
      <c r="G532">
        <v>0.38332709578777618</v>
      </c>
      <c r="H532">
        <f t="shared" si="17"/>
        <v>0.64398541919805585</v>
      </c>
      <c r="I532">
        <f t="shared" si="16"/>
        <v>4</v>
      </c>
    </row>
    <row r="533" spans="1:9" ht="48" x14ac:dyDescent="0.2">
      <c r="A533" t="s">
        <v>3575</v>
      </c>
      <c r="B533">
        <v>91836</v>
      </c>
      <c r="C533">
        <v>1586</v>
      </c>
      <c r="F533" s="4" t="s">
        <v>3806</v>
      </c>
      <c r="G533">
        <v>0.38357333333333332</v>
      </c>
      <c r="H533">
        <f t="shared" si="17"/>
        <v>0.64520048602673152</v>
      </c>
      <c r="I533">
        <f t="shared" si="16"/>
        <v>4</v>
      </c>
    </row>
    <row r="534" spans="1:9" ht="48" x14ac:dyDescent="0.2">
      <c r="A534" t="s">
        <v>3562</v>
      </c>
      <c r="B534">
        <v>91932</v>
      </c>
      <c r="C534">
        <v>1596</v>
      </c>
      <c r="F534" s="4" t="s">
        <v>3504</v>
      </c>
      <c r="G534">
        <v>0.38496170500636517</v>
      </c>
      <c r="H534">
        <f t="shared" si="17"/>
        <v>0.64641555285540708</v>
      </c>
      <c r="I534">
        <f t="shared" si="16"/>
        <v>4</v>
      </c>
    </row>
    <row r="535" spans="1:9" ht="48" x14ac:dyDescent="0.2">
      <c r="A535" t="s">
        <v>3403</v>
      </c>
      <c r="B535">
        <v>91973</v>
      </c>
      <c r="C535">
        <v>1465</v>
      </c>
      <c r="F535" s="4" t="s">
        <v>3456</v>
      </c>
      <c r="G535">
        <v>0.38555619728497731</v>
      </c>
      <c r="H535">
        <f t="shared" si="17"/>
        <v>0.64763061968408264</v>
      </c>
      <c r="I535">
        <f t="shared" si="16"/>
        <v>4</v>
      </c>
    </row>
    <row r="536" spans="1:9" ht="48" x14ac:dyDescent="0.2">
      <c r="A536" t="s">
        <v>3826</v>
      </c>
      <c r="B536">
        <v>91996</v>
      </c>
      <c r="C536">
        <v>2280</v>
      </c>
      <c r="F536" s="4" t="s">
        <v>3827</v>
      </c>
      <c r="G536">
        <v>0.38602573793593115</v>
      </c>
      <c r="H536">
        <f t="shared" si="17"/>
        <v>0.6488456865127582</v>
      </c>
      <c r="I536">
        <f t="shared" si="16"/>
        <v>4</v>
      </c>
    </row>
    <row r="537" spans="1:9" ht="48" x14ac:dyDescent="0.2">
      <c r="A537" t="s">
        <v>3415</v>
      </c>
      <c r="B537">
        <v>92283</v>
      </c>
      <c r="C537">
        <v>1493</v>
      </c>
      <c r="F537" s="4" t="s">
        <v>3828</v>
      </c>
      <c r="G537">
        <v>0.38615899413002441</v>
      </c>
      <c r="H537">
        <f t="shared" si="17"/>
        <v>0.65006075334143376</v>
      </c>
      <c r="I537">
        <f t="shared" si="16"/>
        <v>4</v>
      </c>
    </row>
    <row r="538" spans="1:9" ht="48" x14ac:dyDescent="0.2">
      <c r="A538" t="s">
        <v>3062</v>
      </c>
      <c r="B538">
        <v>92500</v>
      </c>
      <c r="C538">
        <v>1268</v>
      </c>
      <c r="F538" s="4" t="s">
        <v>3829</v>
      </c>
      <c r="G538">
        <v>0.38698856412661004</v>
      </c>
      <c r="H538">
        <f t="shared" si="17"/>
        <v>0.65127582017010932</v>
      </c>
      <c r="I538">
        <f t="shared" si="16"/>
        <v>4</v>
      </c>
    </row>
    <row r="539" spans="1:9" ht="48" x14ac:dyDescent="0.2">
      <c r="A539" t="s">
        <v>3519</v>
      </c>
      <c r="B539">
        <v>92750</v>
      </c>
      <c r="C539">
        <v>1582</v>
      </c>
      <c r="F539" s="4" t="s">
        <v>3667</v>
      </c>
      <c r="G539">
        <v>0.38724937236944418</v>
      </c>
      <c r="H539">
        <f t="shared" si="17"/>
        <v>0.65249088699878488</v>
      </c>
      <c r="I539">
        <f t="shared" si="16"/>
        <v>4</v>
      </c>
    </row>
    <row r="540" spans="1:9" ht="48" x14ac:dyDescent="0.2">
      <c r="A540" t="s">
        <v>3068</v>
      </c>
      <c r="B540">
        <v>92813</v>
      </c>
      <c r="C540">
        <v>1280</v>
      </c>
      <c r="F540" s="4" t="s">
        <v>3532</v>
      </c>
      <c r="G540">
        <v>0.38759912524531426</v>
      </c>
      <c r="H540">
        <f t="shared" si="17"/>
        <v>0.65370595382746055</v>
      </c>
      <c r="I540">
        <f t="shared" si="16"/>
        <v>4</v>
      </c>
    </row>
    <row r="541" spans="1:9" ht="64" x14ac:dyDescent="0.2">
      <c r="A541" t="s">
        <v>3328</v>
      </c>
      <c r="B541">
        <v>93125</v>
      </c>
      <c r="C541">
        <v>1552</v>
      </c>
      <c r="F541" s="4" t="s">
        <v>3830</v>
      </c>
      <c r="G541">
        <v>0.3876007719873083</v>
      </c>
      <c r="H541">
        <f t="shared" si="17"/>
        <v>0.65492102065613611</v>
      </c>
      <c r="I541">
        <f t="shared" si="16"/>
        <v>4</v>
      </c>
    </row>
    <row r="542" spans="1:9" ht="48" x14ac:dyDescent="0.2">
      <c r="A542" t="s">
        <v>3480</v>
      </c>
      <c r="B542">
        <v>93403</v>
      </c>
      <c r="C542">
        <v>1502</v>
      </c>
      <c r="F542" s="4" t="s">
        <v>3831</v>
      </c>
      <c r="G542">
        <v>0.38821967977844024</v>
      </c>
      <c r="H542">
        <f t="shared" si="17"/>
        <v>0.65613608748481167</v>
      </c>
      <c r="I542">
        <f t="shared" si="16"/>
        <v>4</v>
      </c>
    </row>
    <row r="543" spans="1:9" ht="48" x14ac:dyDescent="0.2">
      <c r="A543" t="s">
        <v>3046</v>
      </c>
      <c r="B543">
        <v>93472</v>
      </c>
      <c r="C543">
        <v>1240</v>
      </c>
      <c r="F543" s="4" t="s">
        <v>3776</v>
      </c>
      <c r="G543">
        <v>0.38854204997367486</v>
      </c>
      <c r="H543">
        <f t="shared" si="17"/>
        <v>0.65735115431348723</v>
      </c>
      <c r="I543">
        <f t="shared" si="16"/>
        <v>4</v>
      </c>
    </row>
    <row r="544" spans="1:9" ht="64" x14ac:dyDescent="0.2">
      <c r="A544" t="s">
        <v>3768</v>
      </c>
      <c r="B544">
        <v>93558</v>
      </c>
      <c r="C544">
        <v>1831</v>
      </c>
      <c r="F544" s="4" t="s">
        <v>3257</v>
      </c>
      <c r="G544">
        <v>0.3886378007418908</v>
      </c>
      <c r="H544">
        <f t="shared" si="17"/>
        <v>0.65856622114216279</v>
      </c>
      <c r="I544">
        <f t="shared" si="16"/>
        <v>4</v>
      </c>
    </row>
    <row r="545" spans="1:9" ht="48" x14ac:dyDescent="0.2">
      <c r="A545" t="s">
        <v>3472</v>
      </c>
      <c r="B545">
        <v>93571</v>
      </c>
      <c r="C545">
        <v>1586</v>
      </c>
      <c r="F545" s="4" t="s">
        <v>3832</v>
      </c>
      <c r="G545">
        <v>0.38887093691906516</v>
      </c>
      <c r="H545">
        <f t="shared" si="17"/>
        <v>0.65978128797083835</v>
      </c>
      <c r="I545">
        <f t="shared" si="16"/>
        <v>4</v>
      </c>
    </row>
    <row r="546" spans="1:9" ht="48" x14ac:dyDescent="0.2">
      <c r="A546" t="s">
        <v>3792</v>
      </c>
      <c r="B546">
        <v>93632</v>
      </c>
      <c r="C546">
        <v>1699</v>
      </c>
      <c r="F546" s="4" t="s">
        <v>3530</v>
      </c>
      <c r="G546">
        <v>0.38888362019727418</v>
      </c>
      <c r="H546">
        <f t="shared" si="17"/>
        <v>0.66099635479951402</v>
      </c>
      <c r="I546">
        <f t="shared" si="16"/>
        <v>4</v>
      </c>
    </row>
    <row r="547" spans="1:9" ht="48" x14ac:dyDescent="0.2">
      <c r="A547" t="s">
        <v>3347</v>
      </c>
      <c r="B547">
        <v>93839</v>
      </c>
      <c r="C547">
        <v>1487</v>
      </c>
      <c r="F547" s="4" t="s">
        <v>3281</v>
      </c>
      <c r="G547">
        <v>0.38938631461995948</v>
      </c>
      <c r="H547">
        <f t="shared" si="17"/>
        <v>0.66221142162818958</v>
      </c>
      <c r="I547">
        <f t="shared" si="16"/>
        <v>4</v>
      </c>
    </row>
    <row r="548" spans="1:9" ht="48" x14ac:dyDescent="0.2">
      <c r="A548" t="s">
        <v>3752</v>
      </c>
      <c r="B548">
        <v>93843</v>
      </c>
      <c r="C548">
        <v>1818</v>
      </c>
      <c r="F548" s="4" t="s">
        <v>3420</v>
      </c>
      <c r="G548">
        <v>0.39016400433899129</v>
      </c>
      <c r="H548">
        <f t="shared" si="17"/>
        <v>0.66342648845686514</v>
      </c>
      <c r="I548">
        <f t="shared" si="16"/>
        <v>4</v>
      </c>
    </row>
    <row r="549" spans="1:9" ht="64" x14ac:dyDescent="0.2">
      <c r="A549" t="s">
        <v>3296</v>
      </c>
      <c r="B549">
        <v>93945</v>
      </c>
      <c r="C549">
        <v>1594</v>
      </c>
      <c r="F549" s="4" t="s">
        <v>3370</v>
      </c>
      <c r="G549">
        <v>0.39032662280251046</v>
      </c>
      <c r="H549">
        <f t="shared" si="17"/>
        <v>0.6646415552855407</v>
      </c>
      <c r="I549">
        <f t="shared" si="16"/>
        <v>4</v>
      </c>
    </row>
    <row r="550" spans="1:9" ht="48" x14ac:dyDescent="0.2">
      <c r="A550" t="s">
        <v>3332</v>
      </c>
      <c r="B550">
        <v>94167</v>
      </c>
      <c r="C550">
        <v>1496</v>
      </c>
      <c r="F550" s="4" t="s">
        <v>3653</v>
      </c>
      <c r="G550">
        <v>0.3904120959603456</v>
      </c>
      <c r="H550">
        <f t="shared" si="17"/>
        <v>0.66585662211421626</v>
      </c>
      <c r="I550">
        <f t="shared" si="16"/>
        <v>4</v>
      </c>
    </row>
    <row r="551" spans="1:9" ht="48" x14ac:dyDescent="0.2">
      <c r="A551" t="s">
        <v>3642</v>
      </c>
      <c r="B551">
        <v>94434</v>
      </c>
      <c r="C551">
        <v>1597</v>
      </c>
      <c r="F551" s="4" t="s">
        <v>3812</v>
      </c>
      <c r="G551">
        <v>0.39045086948080671</v>
      </c>
      <c r="H551">
        <f t="shared" si="17"/>
        <v>0.66707168894289182</v>
      </c>
      <c r="I551">
        <f t="shared" si="16"/>
        <v>4</v>
      </c>
    </row>
    <row r="552" spans="1:9" ht="48" x14ac:dyDescent="0.2">
      <c r="A552" t="s">
        <v>3377</v>
      </c>
      <c r="B552">
        <v>94576</v>
      </c>
      <c r="C552">
        <v>1475</v>
      </c>
      <c r="F552" s="4" t="s">
        <v>3833</v>
      </c>
      <c r="G552">
        <v>0.39167862355087463</v>
      </c>
      <c r="H552">
        <f t="shared" si="17"/>
        <v>0.66828675577156749</v>
      </c>
      <c r="I552">
        <f t="shared" si="16"/>
        <v>4</v>
      </c>
    </row>
    <row r="553" spans="1:9" ht="48" x14ac:dyDescent="0.2">
      <c r="A553" t="s">
        <v>3224</v>
      </c>
      <c r="B553">
        <v>94592</v>
      </c>
      <c r="C553">
        <v>1565</v>
      </c>
      <c r="F553" s="4" t="s">
        <v>3583</v>
      </c>
      <c r="G553">
        <v>0.39234866281671532</v>
      </c>
      <c r="H553">
        <f t="shared" si="17"/>
        <v>0.66950182260024305</v>
      </c>
      <c r="I553">
        <f t="shared" si="16"/>
        <v>4</v>
      </c>
    </row>
    <row r="554" spans="1:9" ht="48" x14ac:dyDescent="0.2">
      <c r="A554" t="s">
        <v>3478</v>
      </c>
      <c r="B554">
        <v>94872</v>
      </c>
      <c r="C554">
        <v>1648</v>
      </c>
      <c r="F554" s="4" t="s">
        <v>3404</v>
      </c>
      <c r="G554">
        <v>0.39264865622854983</v>
      </c>
      <c r="H554">
        <f t="shared" si="17"/>
        <v>0.67071688942891861</v>
      </c>
      <c r="I554">
        <f t="shared" si="16"/>
        <v>4</v>
      </c>
    </row>
    <row r="555" spans="1:9" ht="48" x14ac:dyDescent="0.2">
      <c r="A555" t="s">
        <v>3709</v>
      </c>
      <c r="B555">
        <v>95057</v>
      </c>
      <c r="C555">
        <v>1694</v>
      </c>
      <c r="F555" s="4" t="s">
        <v>3386</v>
      </c>
      <c r="G555">
        <v>0.39463060389373783</v>
      </c>
      <c r="H555">
        <f t="shared" si="17"/>
        <v>0.67193195625759417</v>
      </c>
      <c r="I555">
        <f t="shared" si="16"/>
        <v>4</v>
      </c>
    </row>
    <row r="556" spans="1:9" ht="48" x14ac:dyDescent="0.2">
      <c r="A556" t="s">
        <v>3491</v>
      </c>
      <c r="B556">
        <v>95125</v>
      </c>
      <c r="C556">
        <v>1710</v>
      </c>
      <c r="F556" s="4" t="s">
        <v>3633</v>
      </c>
      <c r="G556">
        <v>0.39486695368381997</v>
      </c>
      <c r="H556">
        <f t="shared" si="17"/>
        <v>0.67314702308626972</v>
      </c>
      <c r="I556">
        <f t="shared" si="16"/>
        <v>4</v>
      </c>
    </row>
    <row r="557" spans="1:9" ht="64" x14ac:dyDescent="0.2">
      <c r="A557" t="s">
        <v>3660</v>
      </c>
      <c r="B557">
        <v>95234</v>
      </c>
      <c r="C557">
        <v>1694</v>
      </c>
      <c r="F557" s="4" t="s">
        <v>3625</v>
      </c>
      <c r="G557">
        <v>0.39509429886164232</v>
      </c>
      <c r="H557">
        <f t="shared" si="17"/>
        <v>0.67436208991494528</v>
      </c>
      <c r="I557">
        <f t="shared" si="16"/>
        <v>4</v>
      </c>
    </row>
    <row r="558" spans="1:9" ht="48" x14ac:dyDescent="0.2">
      <c r="A558" t="s">
        <v>3106</v>
      </c>
      <c r="B558">
        <v>95240</v>
      </c>
      <c r="C558">
        <v>1358</v>
      </c>
      <c r="F558" s="4" t="s">
        <v>3834</v>
      </c>
      <c r="G558">
        <v>0.39529676907963773</v>
      </c>
      <c r="H558">
        <f t="shared" si="17"/>
        <v>0.67557715674362095</v>
      </c>
      <c r="I558">
        <f t="shared" si="16"/>
        <v>4</v>
      </c>
    </row>
    <row r="559" spans="1:9" ht="48" x14ac:dyDescent="0.2">
      <c r="A559" t="s">
        <v>3835</v>
      </c>
      <c r="B559">
        <v>95279</v>
      </c>
      <c r="C559">
        <v>2131</v>
      </c>
      <c r="F559" s="4" t="s">
        <v>3467</v>
      </c>
      <c r="G559">
        <v>0.39556782020625852</v>
      </c>
      <c r="H559">
        <f t="shared" si="17"/>
        <v>0.67679222357229651</v>
      </c>
      <c r="I559">
        <f t="shared" si="16"/>
        <v>4</v>
      </c>
    </row>
    <row r="560" spans="1:9" ht="48" x14ac:dyDescent="0.2">
      <c r="A560" t="s">
        <v>3407</v>
      </c>
      <c r="B560">
        <v>95642</v>
      </c>
      <c r="C560">
        <v>1661</v>
      </c>
      <c r="F560" s="4" t="s">
        <v>3819</v>
      </c>
      <c r="G560">
        <v>0.39622444193153428</v>
      </c>
      <c r="H560">
        <f t="shared" si="17"/>
        <v>0.67800729040097207</v>
      </c>
      <c r="I560">
        <f t="shared" si="16"/>
        <v>4</v>
      </c>
    </row>
    <row r="561" spans="1:9" ht="64" x14ac:dyDescent="0.2">
      <c r="A561" t="s">
        <v>3086</v>
      </c>
      <c r="B561">
        <v>95795</v>
      </c>
      <c r="C561">
        <v>1421</v>
      </c>
      <c r="F561" s="4" t="s">
        <v>3836</v>
      </c>
      <c r="G561">
        <v>0.39626775550966375</v>
      </c>
      <c r="H561">
        <f t="shared" si="17"/>
        <v>0.67922235722964763</v>
      </c>
      <c r="I561">
        <f t="shared" si="16"/>
        <v>4</v>
      </c>
    </row>
    <row r="562" spans="1:9" ht="48" x14ac:dyDescent="0.2">
      <c r="A562" t="s">
        <v>3800</v>
      </c>
      <c r="B562">
        <v>95948</v>
      </c>
      <c r="C562">
        <v>1955</v>
      </c>
      <c r="F562" s="4" t="s">
        <v>3837</v>
      </c>
      <c r="G562">
        <v>0.39702714517833038</v>
      </c>
      <c r="H562">
        <f t="shared" si="17"/>
        <v>0.68043742405832319</v>
      </c>
      <c r="I562">
        <f t="shared" si="16"/>
        <v>4</v>
      </c>
    </row>
    <row r="563" spans="1:9" ht="48" x14ac:dyDescent="0.2">
      <c r="A563" t="s">
        <v>3397</v>
      </c>
      <c r="B563">
        <v>96111</v>
      </c>
      <c r="C563">
        <v>1576</v>
      </c>
      <c r="F563" s="4" t="s">
        <v>3444</v>
      </c>
      <c r="G563">
        <v>0.39834313300747404</v>
      </c>
      <c r="H563">
        <f t="shared" si="17"/>
        <v>0.68165249088699875</v>
      </c>
      <c r="I563">
        <f t="shared" si="16"/>
        <v>4</v>
      </c>
    </row>
    <row r="564" spans="1:9" ht="48" x14ac:dyDescent="0.2">
      <c r="A564" t="s">
        <v>3102</v>
      </c>
      <c r="B564">
        <v>96472</v>
      </c>
      <c r="C564">
        <v>1454</v>
      </c>
      <c r="F564" s="4" t="s">
        <v>3392</v>
      </c>
      <c r="G564">
        <v>0.40153371751234179</v>
      </c>
      <c r="H564">
        <f t="shared" si="17"/>
        <v>0.68286755771567431</v>
      </c>
      <c r="I564">
        <f t="shared" si="16"/>
        <v>4</v>
      </c>
    </row>
    <row r="565" spans="1:9" ht="48" x14ac:dyDescent="0.2">
      <c r="A565" t="s">
        <v>3260</v>
      </c>
      <c r="B565">
        <v>96607</v>
      </c>
      <c r="C565">
        <v>1494</v>
      </c>
      <c r="F565" s="4" t="s">
        <v>3647</v>
      </c>
      <c r="G565">
        <v>0.40186640588168027</v>
      </c>
      <c r="H565">
        <f t="shared" si="17"/>
        <v>0.68408262454434998</v>
      </c>
      <c r="I565">
        <f t="shared" si="16"/>
        <v>4</v>
      </c>
    </row>
    <row r="566" spans="1:9" ht="48" x14ac:dyDescent="0.2">
      <c r="A566" t="s">
        <v>3411</v>
      </c>
      <c r="B566">
        <v>96658</v>
      </c>
      <c r="C566">
        <v>1560</v>
      </c>
      <c r="F566" s="4" t="s">
        <v>3838</v>
      </c>
      <c r="G566">
        <v>0.40322523499121393</v>
      </c>
      <c r="H566">
        <f t="shared" si="17"/>
        <v>0.68529769137302554</v>
      </c>
      <c r="I566">
        <f t="shared" si="16"/>
        <v>4</v>
      </c>
    </row>
    <row r="567" spans="1:9" ht="64" x14ac:dyDescent="0.2">
      <c r="A567" t="s">
        <v>3244</v>
      </c>
      <c r="B567">
        <v>96719</v>
      </c>
      <c r="C567">
        <v>1506</v>
      </c>
      <c r="F567" s="4" t="s">
        <v>3479</v>
      </c>
      <c r="G567">
        <v>0.40397725101415188</v>
      </c>
      <c r="H567">
        <f t="shared" si="17"/>
        <v>0.6865127582017011</v>
      </c>
      <c r="I567">
        <f t="shared" si="16"/>
        <v>4</v>
      </c>
    </row>
    <row r="568" spans="1:9" ht="64" x14ac:dyDescent="0.2">
      <c r="A568" t="s">
        <v>3774</v>
      </c>
      <c r="B568">
        <v>96875</v>
      </c>
      <c r="C568">
        <v>1792</v>
      </c>
      <c r="F568" s="4" t="s">
        <v>3839</v>
      </c>
      <c r="G568">
        <v>0.40411164288619711</v>
      </c>
      <c r="H568">
        <f t="shared" si="17"/>
        <v>0.68772782503037666</v>
      </c>
      <c r="I568">
        <f t="shared" si="16"/>
        <v>4</v>
      </c>
    </row>
    <row r="569" spans="1:9" ht="48" x14ac:dyDescent="0.2">
      <c r="A569" t="s">
        <v>3808</v>
      </c>
      <c r="B569">
        <v>96916</v>
      </c>
      <c r="C569">
        <v>1905</v>
      </c>
      <c r="F569" s="4" t="s">
        <v>3759</v>
      </c>
      <c r="G569">
        <v>0.40486146272694379</v>
      </c>
      <c r="H569">
        <f t="shared" si="17"/>
        <v>0.68894289185905222</v>
      </c>
      <c r="I569">
        <f t="shared" si="16"/>
        <v>4</v>
      </c>
    </row>
    <row r="570" spans="1:9" ht="48" x14ac:dyDescent="0.2">
      <c r="A570" t="s">
        <v>3343</v>
      </c>
      <c r="B570">
        <v>97750</v>
      </c>
      <c r="C570">
        <v>1528</v>
      </c>
      <c r="F570" s="4" t="s">
        <v>3372</v>
      </c>
      <c r="G570">
        <v>0.4052051077224344</v>
      </c>
      <c r="H570">
        <f t="shared" si="17"/>
        <v>0.69015795868772778</v>
      </c>
      <c r="I570">
        <f t="shared" si="16"/>
        <v>4</v>
      </c>
    </row>
    <row r="571" spans="1:9" ht="48" x14ac:dyDescent="0.2">
      <c r="A571" t="s">
        <v>3703</v>
      </c>
      <c r="B571">
        <v>98000</v>
      </c>
      <c r="C571">
        <v>1768</v>
      </c>
      <c r="F571" s="4" t="s">
        <v>3402</v>
      </c>
      <c r="G571">
        <v>0.40562317703656658</v>
      </c>
      <c r="H571">
        <f t="shared" si="17"/>
        <v>0.69137302551640345</v>
      </c>
      <c r="I571">
        <f t="shared" si="16"/>
        <v>4</v>
      </c>
    </row>
    <row r="572" spans="1:9" ht="48" x14ac:dyDescent="0.2">
      <c r="A572" t="s">
        <v>3098</v>
      </c>
      <c r="B572">
        <v>98000</v>
      </c>
      <c r="C572">
        <v>1396</v>
      </c>
      <c r="F572" s="4" t="s">
        <v>3816</v>
      </c>
      <c r="G572">
        <v>0.40573497117121726</v>
      </c>
      <c r="H572">
        <f t="shared" si="17"/>
        <v>0.69258809234507901</v>
      </c>
      <c r="I572">
        <f t="shared" si="16"/>
        <v>4</v>
      </c>
    </row>
    <row r="573" spans="1:9" ht="48" x14ac:dyDescent="0.2">
      <c r="A573" t="s">
        <v>3302</v>
      </c>
      <c r="B573">
        <v>98250</v>
      </c>
      <c r="C573">
        <v>1570</v>
      </c>
      <c r="F573" s="4" t="s">
        <v>3840</v>
      </c>
      <c r="G573">
        <v>0.4057420508118208</v>
      </c>
      <c r="H573">
        <f t="shared" si="17"/>
        <v>0.69380315917375457</v>
      </c>
      <c r="I573">
        <f t="shared" si="16"/>
        <v>4</v>
      </c>
    </row>
    <row r="574" spans="1:9" ht="64" x14ac:dyDescent="0.2">
      <c r="A574" t="s">
        <v>3610</v>
      </c>
      <c r="B574">
        <v>98409</v>
      </c>
      <c r="C574">
        <v>1623</v>
      </c>
      <c r="F574" s="4" t="s">
        <v>3534</v>
      </c>
      <c r="G574">
        <v>0.40600256684847646</v>
      </c>
      <c r="H574">
        <f t="shared" si="17"/>
        <v>0.69501822600243013</v>
      </c>
      <c r="I574">
        <f t="shared" si="16"/>
        <v>4</v>
      </c>
    </row>
    <row r="575" spans="1:9" ht="48" x14ac:dyDescent="0.2">
      <c r="A575" t="s">
        <v>3626</v>
      </c>
      <c r="B575">
        <v>98611</v>
      </c>
      <c r="C575">
        <v>1627</v>
      </c>
      <c r="F575" s="4" t="s">
        <v>3414</v>
      </c>
      <c r="G575">
        <v>0.40637274696229947</v>
      </c>
      <c r="H575">
        <f t="shared" si="17"/>
        <v>0.69623329283110569</v>
      </c>
      <c r="I575">
        <f t="shared" si="16"/>
        <v>4</v>
      </c>
    </row>
    <row r="576" spans="1:9" ht="48" x14ac:dyDescent="0.2">
      <c r="A576" t="s">
        <v>3802</v>
      </c>
      <c r="B576">
        <v>98636</v>
      </c>
      <c r="C576">
        <v>1940</v>
      </c>
      <c r="F576" s="4" t="s">
        <v>3559</v>
      </c>
      <c r="G576">
        <v>0.40683302901247259</v>
      </c>
      <c r="H576">
        <f t="shared" si="17"/>
        <v>0.69744835965978125</v>
      </c>
      <c r="I576">
        <f t="shared" si="16"/>
        <v>4</v>
      </c>
    </row>
    <row r="577" spans="1:9" ht="48" x14ac:dyDescent="0.2">
      <c r="A577" t="s">
        <v>3310</v>
      </c>
      <c r="B577">
        <v>98664</v>
      </c>
      <c r="C577">
        <v>1549</v>
      </c>
      <c r="F577" s="4" t="s">
        <v>3841</v>
      </c>
      <c r="G577">
        <v>0.40741971344097672</v>
      </c>
      <c r="H577">
        <f t="shared" si="17"/>
        <v>0.69866342648845692</v>
      </c>
      <c r="I577">
        <f t="shared" si="16"/>
        <v>4</v>
      </c>
    </row>
    <row r="578" spans="1:9" ht="48" x14ac:dyDescent="0.2">
      <c r="A578" t="s">
        <v>3811</v>
      </c>
      <c r="B578">
        <v>99112</v>
      </c>
      <c r="C578">
        <v>1969</v>
      </c>
      <c r="F578" s="4" t="s">
        <v>3757</v>
      </c>
      <c r="G578">
        <v>0.40862806827684589</v>
      </c>
      <c r="H578">
        <f t="shared" si="17"/>
        <v>0.69987849331713248</v>
      </c>
      <c r="I578">
        <f t="shared" si="16"/>
        <v>4</v>
      </c>
    </row>
    <row r="579" spans="1:9" ht="48" x14ac:dyDescent="0.2">
      <c r="A579" t="s">
        <v>3781</v>
      </c>
      <c r="B579">
        <v>99391</v>
      </c>
      <c r="C579">
        <v>1752</v>
      </c>
      <c r="F579" s="4" t="s">
        <v>3842</v>
      </c>
      <c r="G579">
        <v>0.40907697200156468</v>
      </c>
      <c r="H579">
        <f t="shared" si="17"/>
        <v>0.70109356014580804</v>
      </c>
      <c r="I579">
        <f t="shared" ref="I579:I642" si="18">IF(H579&lt;0.2,1,IF(H579&lt;0.4,2,IF(H579&lt;0.6,3,IF(H579&lt;0.8,4,5))))</f>
        <v>4</v>
      </c>
    </row>
    <row r="580" spans="1:9" ht="64" x14ac:dyDescent="0.2">
      <c r="A580" t="s">
        <v>3152</v>
      </c>
      <c r="B580">
        <v>99554</v>
      </c>
      <c r="C580">
        <v>1497</v>
      </c>
      <c r="F580" s="4" t="s">
        <v>3323</v>
      </c>
      <c r="G580">
        <v>0.40913780303643527</v>
      </c>
      <c r="H580">
        <f t="shared" ref="H580:H643" si="19">_xlfn.RANK.EQ(G580,$G$3:$G$825,1)/COUNT($G$3:$G$825)</f>
        <v>0.7023086269744836</v>
      </c>
      <c r="I580">
        <f t="shared" si="18"/>
        <v>4</v>
      </c>
    </row>
    <row r="581" spans="1:9" ht="48" x14ac:dyDescent="0.2">
      <c r="A581" t="s">
        <v>3178</v>
      </c>
      <c r="B581">
        <v>99617</v>
      </c>
      <c r="C581">
        <v>1511</v>
      </c>
      <c r="F581" s="4" t="s">
        <v>3721</v>
      </c>
      <c r="G581">
        <v>0.40958642751884039</v>
      </c>
      <c r="H581">
        <f t="shared" si="19"/>
        <v>0.70352369380315916</v>
      </c>
      <c r="I581">
        <f t="shared" si="18"/>
        <v>4</v>
      </c>
    </row>
    <row r="582" spans="1:9" ht="64" x14ac:dyDescent="0.2">
      <c r="A582" t="s">
        <v>3196</v>
      </c>
      <c r="B582">
        <v>99722</v>
      </c>
      <c r="C582">
        <v>1473</v>
      </c>
      <c r="F582" s="4" t="s">
        <v>3354</v>
      </c>
      <c r="G582">
        <v>0.41014862258273055</v>
      </c>
      <c r="H582">
        <f t="shared" si="19"/>
        <v>0.70473876063183472</v>
      </c>
      <c r="I582">
        <f t="shared" si="18"/>
        <v>4</v>
      </c>
    </row>
    <row r="583" spans="1:9" ht="48" x14ac:dyDescent="0.2">
      <c r="A583" t="s">
        <v>3304</v>
      </c>
      <c r="B583">
        <v>99743</v>
      </c>
      <c r="C583">
        <v>1591</v>
      </c>
      <c r="F583" s="4" t="s">
        <v>3729</v>
      </c>
      <c r="G583">
        <v>0.41092062520685918</v>
      </c>
      <c r="H583">
        <f t="shared" si="19"/>
        <v>0.70595382746051027</v>
      </c>
      <c r="I583">
        <f t="shared" si="18"/>
        <v>4</v>
      </c>
    </row>
    <row r="584" spans="1:9" ht="48" x14ac:dyDescent="0.2">
      <c r="A584" t="s">
        <v>3684</v>
      </c>
      <c r="B584">
        <v>99779</v>
      </c>
      <c r="C584">
        <v>1823</v>
      </c>
      <c r="F584" s="4" t="s">
        <v>3338</v>
      </c>
      <c r="G584">
        <v>0.41093478318184218</v>
      </c>
      <c r="H584">
        <f t="shared" si="19"/>
        <v>0.70716889428918595</v>
      </c>
      <c r="I584">
        <f t="shared" si="18"/>
        <v>4</v>
      </c>
    </row>
    <row r="585" spans="1:9" ht="48" x14ac:dyDescent="0.2">
      <c r="A585" t="s">
        <v>3794</v>
      </c>
      <c r="B585">
        <v>100156</v>
      </c>
      <c r="C585">
        <v>1861</v>
      </c>
      <c r="F585" s="4" t="s">
        <v>3719</v>
      </c>
      <c r="G585">
        <v>0.41318309236958906</v>
      </c>
      <c r="H585">
        <f t="shared" si="19"/>
        <v>0.7083839611178615</v>
      </c>
      <c r="I585">
        <f t="shared" si="18"/>
        <v>4</v>
      </c>
    </row>
    <row r="586" spans="1:9" ht="48" x14ac:dyDescent="0.2">
      <c r="A586" t="s">
        <v>3780</v>
      </c>
      <c r="B586">
        <v>100286</v>
      </c>
      <c r="C586">
        <v>1782</v>
      </c>
      <c r="F586" s="4" t="s">
        <v>3649</v>
      </c>
      <c r="G586">
        <v>0.41320374809299421</v>
      </c>
      <c r="H586">
        <f t="shared" si="19"/>
        <v>0.70959902794653706</v>
      </c>
      <c r="I586">
        <f t="shared" si="18"/>
        <v>4</v>
      </c>
    </row>
    <row r="587" spans="1:9" ht="48" x14ac:dyDescent="0.2">
      <c r="A587" t="s">
        <v>3395</v>
      </c>
      <c r="B587">
        <v>100309</v>
      </c>
      <c r="C587">
        <v>1797</v>
      </c>
      <c r="F587" s="4" t="s">
        <v>3822</v>
      </c>
      <c r="G587">
        <v>0.41420021500458548</v>
      </c>
      <c r="H587">
        <f t="shared" si="19"/>
        <v>0.71081409477521262</v>
      </c>
      <c r="I587">
        <f t="shared" si="18"/>
        <v>4</v>
      </c>
    </row>
    <row r="588" spans="1:9" ht="48" x14ac:dyDescent="0.2">
      <c r="A588" t="s">
        <v>3843</v>
      </c>
      <c r="B588">
        <v>100357</v>
      </c>
      <c r="C588">
        <v>2200</v>
      </c>
      <c r="F588" s="4" t="s">
        <v>3844</v>
      </c>
      <c r="G588">
        <v>0.4142631515797443</v>
      </c>
      <c r="H588">
        <f t="shared" si="19"/>
        <v>0.71202916160388818</v>
      </c>
      <c r="I588">
        <f t="shared" si="18"/>
        <v>4</v>
      </c>
    </row>
    <row r="589" spans="1:9" ht="48" x14ac:dyDescent="0.2">
      <c r="A589" t="s">
        <v>3566</v>
      </c>
      <c r="B589">
        <v>100435</v>
      </c>
      <c r="C589">
        <v>1779</v>
      </c>
      <c r="F589" s="4" t="s">
        <v>3231</v>
      </c>
      <c r="G589">
        <v>0.41431676527799866</v>
      </c>
      <c r="H589">
        <f t="shared" si="19"/>
        <v>0.71324422843256374</v>
      </c>
      <c r="I589">
        <f t="shared" si="18"/>
        <v>4</v>
      </c>
    </row>
    <row r="590" spans="1:9" ht="48" x14ac:dyDescent="0.2">
      <c r="A590" t="s">
        <v>3339</v>
      </c>
      <c r="B590">
        <v>100757</v>
      </c>
      <c r="C590">
        <v>1517</v>
      </c>
      <c r="F590" s="4" t="s">
        <v>3032</v>
      </c>
      <c r="G590">
        <v>0.41649201673021297</v>
      </c>
      <c r="H590">
        <f t="shared" si="19"/>
        <v>0.71445929526123941</v>
      </c>
      <c r="I590">
        <f t="shared" si="18"/>
        <v>4</v>
      </c>
    </row>
    <row r="591" spans="1:9" ht="48" x14ac:dyDescent="0.2">
      <c r="A591" t="s">
        <v>3845</v>
      </c>
      <c r="B591">
        <v>100813</v>
      </c>
      <c r="C591">
        <v>2347</v>
      </c>
      <c r="F591" s="4" t="s">
        <v>3846</v>
      </c>
      <c r="G591">
        <v>0.41651541620530474</v>
      </c>
      <c r="H591">
        <f t="shared" si="19"/>
        <v>0.71567436208991497</v>
      </c>
      <c r="I591">
        <f t="shared" si="18"/>
        <v>4</v>
      </c>
    </row>
    <row r="592" spans="1:9" ht="48" x14ac:dyDescent="0.2">
      <c r="A592" t="s">
        <v>3334</v>
      </c>
      <c r="B592">
        <v>100833</v>
      </c>
      <c r="C592">
        <v>1587</v>
      </c>
      <c r="F592" s="4" t="s">
        <v>3694</v>
      </c>
      <c r="G592">
        <v>0.41670233268118784</v>
      </c>
      <c r="H592">
        <f t="shared" si="19"/>
        <v>0.71688942891859053</v>
      </c>
      <c r="I592">
        <f t="shared" si="18"/>
        <v>4</v>
      </c>
    </row>
    <row r="593" spans="1:9" ht="48" x14ac:dyDescent="0.2">
      <c r="A593" t="s">
        <v>3682</v>
      </c>
      <c r="B593">
        <v>101679</v>
      </c>
      <c r="C593">
        <v>1757</v>
      </c>
      <c r="F593" s="4" t="s">
        <v>3481</v>
      </c>
      <c r="G593">
        <v>0.41773297359811123</v>
      </c>
      <c r="H593">
        <f t="shared" si="19"/>
        <v>0.71810449574726609</v>
      </c>
      <c r="I593">
        <f t="shared" si="18"/>
        <v>4</v>
      </c>
    </row>
    <row r="594" spans="1:9" ht="64" x14ac:dyDescent="0.2">
      <c r="A594" t="s">
        <v>3672</v>
      </c>
      <c r="B594">
        <v>101818</v>
      </c>
      <c r="C594">
        <v>1838</v>
      </c>
      <c r="F594" s="4" t="s">
        <v>3418</v>
      </c>
      <c r="G594">
        <v>0.41923389917164006</v>
      </c>
      <c r="H594">
        <f t="shared" si="19"/>
        <v>0.71931956257594165</v>
      </c>
      <c r="I594">
        <f t="shared" si="18"/>
        <v>4</v>
      </c>
    </row>
    <row r="595" spans="1:9" ht="48" x14ac:dyDescent="0.2">
      <c r="A595" t="s">
        <v>3312</v>
      </c>
      <c r="B595">
        <v>101848</v>
      </c>
      <c r="C595">
        <v>1522</v>
      </c>
      <c r="F595" s="4" t="s">
        <v>3465</v>
      </c>
      <c r="G595">
        <v>0.41942975841529184</v>
      </c>
      <c r="H595">
        <f t="shared" si="19"/>
        <v>0.72053462940461721</v>
      </c>
      <c r="I595">
        <f t="shared" si="18"/>
        <v>4</v>
      </c>
    </row>
    <row r="596" spans="1:9" ht="48" x14ac:dyDescent="0.2">
      <c r="A596" t="s">
        <v>3036</v>
      </c>
      <c r="B596">
        <v>101964</v>
      </c>
      <c r="C596">
        <v>1333</v>
      </c>
      <c r="F596" s="4" t="s">
        <v>3640</v>
      </c>
      <c r="G596">
        <v>0.41948891541407324</v>
      </c>
      <c r="H596">
        <f t="shared" si="19"/>
        <v>0.72174969623329288</v>
      </c>
      <c r="I596">
        <f t="shared" si="18"/>
        <v>4</v>
      </c>
    </row>
    <row r="597" spans="1:9" ht="48" x14ac:dyDescent="0.2">
      <c r="A597" t="s">
        <v>3810</v>
      </c>
      <c r="B597">
        <v>101974</v>
      </c>
      <c r="C597">
        <v>1923</v>
      </c>
      <c r="F597" s="4" t="s">
        <v>3416</v>
      </c>
      <c r="G597">
        <v>0.41972521574763771</v>
      </c>
      <c r="H597">
        <f t="shared" si="19"/>
        <v>0.72296476306196844</v>
      </c>
      <c r="I597">
        <f t="shared" si="18"/>
        <v>4</v>
      </c>
    </row>
    <row r="598" spans="1:9" ht="48" x14ac:dyDescent="0.2">
      <c r="A598" t="s">
        <v>3632</v>
      </c>
      <c r="B598">
        <v>102222</v>
      </c>
      <c r="C598">
        <v>1797</v>
      </c>
      <c r="F598" s="4" t="s">
        <v>3725</v>
      </c>
      <c r="G598">
        <v>0.41984864847554176</v>
      </c>
      <c r="H598">
        <f t="shared" si="19"/>
        <v>0.724179829890644</v>
      </c>
      <c r="I598">
        <f t="shared" si="18"/>
        <v>4</v>
      </c>
    </row>
    <row r="599" spans="1:9" ht="48" x14ac:dyDescent="0.2">
      <c r="A599" t="s">
        <v>3108</v>
      </c>
      <c r="B599">
        <v>102227</v>
      </c>
      <c r="C599">
        <v>1493</v>
      </c>
      <c r="F599" s="4" t="s">
        <v>3847</v>
      </c>
      <c r="G599">
        <v>0.42011676726157032</v>
      </c>
      <c r="H599">
        <f t="shared" si="19"/>
        <v>0.72539489671931956</v>
      </c>
      <c r="I599">
        <f t="shared" si="18"/>
        <v>4</v>
      </c>
    </row>
    <row r="600" spans="1:9" ht="48" x14ac:dyDescent="0.2">
      <c r="A600" t="s">
        <v>3541</v>
      </c>
      <c r="B600">
        <v>102610</v>
      </c>
      <c r="C600">
        <v>1720</v>
      </c>
      <c r="F600" s="4" t="s">
        <v>3821</v>
      </c>
      <c r="G600">
        <v>0.42026198547625249</v>
      </c>
      <c r="H600">
        <f t="shared" si="19"/>
        <v>0.72660996354799512</v>
      </c>
      <c r="I600">
        <f t="shared" si="18"/>
        <v>4</v>
      </c>
    </row>
    <row r="601" spans="1:9" ht="48" x14ac:dyDescent="0.2">
      <c r="A601" t="s">
        <v>3266</v>
      </c>
      <c r="B601">
        <v>102656</v>
      </c>
      <c r="C601">
        <v>1507</v>
      </c>
      <c r="F601" s="4" t="s">
        <v>3382</v>
      </c>
      <c r="G601">
        <v>0.42150373345373043</v>
      </c>
      <c r="H601">
        <f t="shared" si="19"/>
        <v>0.72782503037667068</v>
      </c>
      <c r="I601">
        <f t="shared" si="18"/>
        <v>4</v>
      </c>
    </row>
    <row r="602" spans="1:9" ht="48" x14ac:dyDescent="0.2">
      <c r="A602" t="s">
        <v>3539</v>
      </c>
      <c r="B602">
        <v>102688</v>
      </c>
      <c r="C602">
        <v>1746</v>
      </c>
      <c r="F602" s="4" t="s">
        <v>3813</v>
      </c>
      <c r="G602">
        <v>0.42152284770631243</v>
      </c>
      <c r="H602">
        <f t="shared" si="19"/>
        <v>0.72904009720534635</v>
      </c>
      <c r="I602">
        <f t="shared" si="18"/>
        <v>4</v>
      </c>
    </row>
    <row r="603" spans="1:9" ht="48" x14ac:dyDescent="0.2">
      <c r="A603" t="s">
        <v>3508</v>
      </c>
      <c r="B603">
        <v>102697</v>
      </c>
      <c r="C603">
        <v>1664</v>
      </c>
      <c r="F603" s="4" t="s">
        <v>3273</v>
      </c>
      <c r="G603">
        <v>0.42163185692707678</v>
      </c>
      <c r="H603">
        <f t="shared" si="19"/>
        <v>0.73025516403402191</v>
      </c>
      <c r="I603">
        <f t="shared" si="18"/>
        <v>4</v>
      </c>
    </row>
    <row r="604" spans="1:9" ht="64" x14ac:dyDescent="0.2">
      <c r="A604" t="s">
        <v>3226</v>
      </c>
      <c r="B604">
        <v>102955</v>
      </c>
      <c r="C604">
        <v>1589</v>
      </c>
      <c r="F604" s="4" t="s">
        <v>3717</v>
      </c>
      <c r="G604">
        <v>0.42178377948427376</v>
      </c>
      <c r="H604">
        <f t="shared" si="19"/>
        <v>0.73147023086269747</v>
      </c>
      <c r="I604">
        <f t="shared" si="18"/>
        <v>4</v>
      </c>
    </row>
    <row r="605" spans="1:9" ht="48" x14ac:dyDescent="0.2">
      <c r="A605" t="s">
        <v>3451</v>
      </c>
      <c r="B605">
        <v>103348</v>
      </c>
      <c r="C605">
        <v>1618</v>
      </c>
      <c r="F605" s="4" t="s">
        <v>3376</v>
      </c>
      <c r="G605">
        <v>0.42199676813140091</v>
      </c>
      <c r="H605">
        <f t="shared" si="19"/>
        <v>0.73268529769137303</v>
      </c>
      <c r="I605">
        <f t="shared" si="18"/>
        <v>4</v>
      </c>
    </row>
    <row r="606" spans="1:9" ht="48" x14ac:dyDescent="0.2">
      <c r="A606" t="s">
        <v>3254</v>
      </c>
      <c r="B606">
        <v>103558</v>
      </c>
      <c r="C606">
        <v>1763</v>
      </c>
      <c r="F606" s="4" t="s">
        <v>3107</v>
      </c>
      <c r="G606">
        <v>0.42229327442853559</v>
      </c>
      <c r="H606">
        <f t="shared" si="19"/>
        <v>0.73390036452004859</v>
      </c>
      <c r="I606">
        <f t="shared" si="18"/>
        <v>4</v>
      </c>
    </row>
    <row r="607" spans="1:9" ht="48" x14ac:dyDescent="0.2">
      <c r="A607" t="s">
        <v>3369</v>
      </c>
      <c r="B607">
        <v>103598</v>
      </c>
      <c r="C607">
        <v>1613</v>
      </c>
      <c r="F607" s="4" t="s">
        <v>3733</v>
      </c>
      <c r="G607">
        <v>0.42230694751159092</v>
      </c>
      <c r="H607">
        <f t="shared" si="19"/>
        <v>0.73511543134872415</v>
      </c>
      <c r="I607">
        <f t="shared" si="18"/>
        <v>4</v>
      </c>
    </row>
    <row r="608" spans="1:9" ht="48" x14ac:dyDescent="0.2">
      <c r="A608" t="s">
        <v>3385</v>
      </c>
      <c r="B608">
        <v>103631</v>
      </c>
      <c r="C608">
        <v>1669</v>
      </c>
      <c r="F608" s="4" t="s">
        <v>3848</v>
      </c>
      <c r="G608">
        <v>0.42261074584372743</v>
      </c>
      <c r="H608">
        <f t="shared" si="19"/>
        <v>0.73633049817739971</v>
      </c>
      <c r="I608">
        <f t="shared" si="18"/>
        <v>4</v>
      </c>
    </row>
    <row r="609" spans="1:9" ht="48" x14ac:dyDescent="0.2">
      <c r="A609" t="s">
        <v>3784</v>
      </c>
      <c r="B609">
        <v>103810</v>
      </c>
      <c r="C609">
        <v>1898</v>
      </c>
      <c r="F609" s="4" t="s">
        <v>3303</v>
      </c>
      <c r="G609">
        <v>0.42265564951867357</v>
      </c>
      <c r="H609">
        <f t="shared" si="19"/>
        <v>0.73754556500607538</v>
      </c>
      <c r="I609">
        <f t="shared" si="18"/>
        <v>4</v>
      </c>
    </row>
    <row r="610" spans="1:9" ht="48" x14ac:dyDescent="0.2">
      <c r="A610" t="s">
        <v>3028</v>
      </c>
      <c r="B610">
        <v>104336</v>
      </c>
      <c r="C610">
        <v>1214</v>
      </c>
      <c r="F610" s="4" t="s">
        <v>3167</v>
      </c>
      <c r="G610">
        <v>0.42266661142302608</v>
      </c>
      <c r="H610">
        <f t="shared" si="19"/>
        <v>0.73876063183475094</v>
      </c>
      <c r="I610">
        <f t="shared" si="18"/>
        <v>4</v>
      </c>
    </row>
    <row r="611" spans="1:9" ht="48" x14ac:dyDescent="0.2">
      <c r="A611" t="s">
        <v>3730</v>
      </c>
      <c r="B611">
        <v>104375</v>
      </c>
      <c r="C611">
        <v>1948</v>
      </c>
      <c r="F611" s="4" t="s">
        <v>3524</v>
      </c>
      <c r="G611">
        <v>0.42294954337860613</v>
      </c>
      <c r="H611">
        <f t="shared" si="19"/>
        <v>0.7399756986634265</v>
      </c>
      <c r="I611">
        <f t="shared" si="18"/>
        <v>4</v>
      </c>
    </row>
    <row r="612" spans="1:9" ht="48" x14ac:dyDescent="0.2">
      <c r="A612" t="s">
        <v>3758</v>
      </c>
      <c r="B612">
        <v>104417</v>
      </c>
      <c r="C612">
        <v>1919</v>
      </c>
      <c r="F612" s="4" t="s">
        <v>3630</v>
      </c>
      <c r="G612">
        <v>0.42463469662908576</v>
      </c>
      <c r="H612">
        <f t="shared" si="19"/>
        <v>0.74119076549210205</v>
      </c>
      <c r="I612">
        <f t="shared" si="18"/>
        <v>4</v>
      </c>
    </row>
    <row r="613" spans="1:9" ht="48" x14ac:dyDescent="0.2">
      <c r="A613" t="s">
        <v>3702</v>
      </c>
      <c r="B613">
        <v>104432</v>
      </c>
      <c r="C613">
        <v>1895</v>
      </c>
      <c r="F613" s="4" t="s">
        <v>3430</v>
      </c>
      <c r="G613">
        <v>0.42524497678847589</v>
      </c>
      <c r="H613">
        <f t="shared" si="19"/>
        <v>0.74240583232077761</v>
      </c>
      <c r="I613">
        <f t="shared" si="18"/>
        <v>4</v>
      </c>
    </row>
    <row r="614" spans="1:9" ht="48" x14ac:dyDescent="0.2">
      <c r="A614" t="s">
        <v>3447</v>
      </c>
      <c r="B614">
        <v>104500</v>
      </c>
      <c r="C614">
        <v>1647</v>
      </c>
      <c r="F614" s="4" t="s">
        <v>3263</v>
      </c>
      <c r="G614">
        <v>0.42544135242429959</v>
      </c>
      <c r="H614">
        <f t="shared" si="19"/>
        <v>0.74362089914945317</v>
      </c>
      <c r="I614">
        <f t="shared" si="18"/>
        <v>4</v>
      </c>
    </row>
    <row r="615" spans="1:9" ht="48" x14ac:dyDescent="0.2">
      <c r="A615" t="s">
        <v>3533</v>
      </c>
      <c r="B615">
        <v>104868</v>
      </c>
      <c r="C615">
        <v>2018</v>
      </c>
      <c r="F615" s="4" t="s">
        <v>3644</v>
      </c>
      <c r="G615">
        <v>0.4276334016734083</v>
      </c>
      <c r="H615">
        <f t="shared" si="19"/>
        <v>0.74483596597812884</v>
      </c>
      <c r="I615">
        <f t="shared" si="18"/>
        <v>4</v>
      </c>
    </row>
    <row r="616" spans="1:9" ht="48" x14ac:dyDescent="0.2">
      <c r="A616" t="s">
        <v>3409</v>
      </c>
      <c r="B616">
        <v>105000</v>
      </c>
      <c r="C616">
        <v>1759</v>
      </c>
      <c r="F616" s="4" t="s">
        <v>3589</v>
      </c>
      <c r="G616">
        <v>0.42803399938478393</v>
      </c>
      <c r="H616">
        <f t="shared" si="19"/>
        <v>0.7460510328068044</v>
      </c>
      <c r="I616">
        <f t="shared" si="18"/>
        <v>4</v>
      </c>
    </row>
    <row r="617" spans="1:9" ht="48" x14ac:dyDescent="0.2">
      <c r="A617" t="s">
        <v>3042</v>
      </c>
      <c r="B617">
        <v>105066</v>
      </c>
      <c r="C617">
        <v>1483</v>
      </c>
      <c r="F617" s="4" t="s">
        <v>3785</v>
      </c>
      <c r="G617">
        <v>0.42815289642915966</v>
      </c>
      <c r="H617">
        <f t="shared" si="19"/>
        <v>0.74726609963547996</v>
      </c>
      <c r="I617">
        <f t="shared" si="18"/>
        <v>4</v>
      </c>
    </row>
    <row r="618" spans="1:9" ht="48" x14ac:dyDescent="0.2">
      <c r="A618" t="s">
        <v>3146</v>
      </c>
      <c r="B618">
        <v>105328</v>
      </c>
      <c r="C618">
        <v>1487</v>
      </c>
      <c r="F618" s="4" t="s">
        <v>3516</v>
      </c>
      <c r="G618">
        <v>0.42827130524938212</v>
      </c>
      <c r="H618">
        <f t="shared" si="19"/>
        <v>0.74848116646415552</v>
      </c>
      <c r="I618">
        <f t="shared" si="18"/>
        <v>4</v>
      </c>
    </row>
    <row r="619" spans="1:9" ht="48" x14ac:dyDescent="0.2">
      <c r="A619" t="s">
        <v>3681</v>
      </c>
      <c r="B619">
        <v>105441</v>
      </c>
      <c r="C619">
        <v>1838</v>
      </c>
      <c r="F619" s="4" t="s">
        <v>3835</v>
      </c>
      <c r="G619">
        <v>0.4285856202064996</v>
      </c>
      <c r="H619">
        <f t="shared" si="19"/>
        <v>0.74969623329283108</v>
      </c>
      <c r="I619">
        <f t="shared" si="18"/>
        <v>4</v>
      </c>
    </row>
    <row r="620" spans="1:9" ht="64" x14ac:dyDescent="0.2">
      <c r="A620" t="s">
        <v>3829</v>
      </c>
      <c r="B620">
        <v>105528</v>
      </c>
      <c r="C620">
        <v>1936</v>
      </c>
      <c r="F620" s="4" t="s">
        <v>3301</v>
      </c>
      <c r="G620">
        <v>0.42887326293094546</v>
      </c>
      <c r="H620">
        <f t="shared" si="19"/>
        <v>0.75091130012150664</v>
      </c>
      <c r="I620">
        <f t="shared" si="18"/>
        <v>4</v>
      </c>
    </row>
    <row r="621" spans="1:9" ht="48" x14ac:dyDescent="0.2">
      <c r="A621" t="s">
        <v>3666</v>
      </c>
      <c r="B621">
        <v>105701</v>
      </c>
      <c r="C621">
        <v>1769</v>
      </c>
      <c r="F621" s="4" t="s">
        <v>3849</v>
      </c>
      <c r="G621">
        <v>0.42979207907731848</v>
      </c>
      <c r="H621">
        <f t="shared" si="19"/>
        <v>0.75212636695018231</v>
      </c>
      <c r="I621">
        <f t="shared" si="18"/>
        <v>4</v>
      </c>
    </row>
    <row r="622" spans="1:9" ht="48" x14ac:dyDescent="0.2">
      <c r="A622" t="s">
        <v>3034</v>
      </c>
      <c r="B622">
        <v>105708</v>
      </c>
      <c r="C622">
        <v>1281</v>
      </c>
      <c r="F622" s="4" t="s">
        <v>3843</v>
      </c>
      <c r="G622">
        <v>0.43064920867987821</v>
      </c>
      <c r="H622">
        <f t="shared" si="19"/>
        <v>0.75334143377885787</v>
      </c>
      <c r="I622">
        <f t="shared" si="18"/>
        <v>4</v>
      </c>
    </row>
    <row r="623" spans="1:9" ht="48" x14ac:dyDescent="0.2">
      <c r="A623" t="s">
        <v>3202</v>
      </c>
      <c r="B623">
        <v>105759</v>
      </c>
      <c r="C623">
        <v>1649</v>
      </c>
      <c r="F623" s="4" t="s">
        <v>3631</v>
      </c>
      <c r="G623">
        <v>0.43185447284502793</v>
      </c>
      <c r="H623">
        <f t="shared" si="19"/>
        <v>0.75455650060753343</v>
      </c>
      <c r="I623">
        <f t="shared" si="18"/>
        <v>4</v>
      </c>
    </row>
    <row r="624" spans="1:9" ht="64" x14ac:dyDescent="0.2">
      <c r="A624" t="s">
        <v>3588</v>
      </c>
      <c r="B624">
        <v>105769</v>
      </c>
      <c r="C624">
        <v>1827</v>
      </c>
      <c r="F624" s="4" t="s">
        <v>3678</v>
      </c>
      <c r="G624">
        <v>0.43227143607034435</v>
      </c>
      <c r="H624">
        <f t="shared" si="19"/>
        <v>0.75577156743620899</v>
      </c>
      <c r="I624">
        <f t="shared" si="18"/>
        <v>4</v>
      </c>
    </row>
    <row r="625" spans="1:9" ht="48" x14ac:dyDescent="0.2">
      <c r="A625" t="s">
        <v>3608</v>
      </c>
      <c r="B625">
        <v>105772</v>
      </c>
      <c r="C625">
        <v>1778</v>
      </c>
      <c r="F625" s="4" t="s">
        <v>3622</v>
      </c>
      <c r="G625">
        <v>0.4333360861761022</v>
      </c>
      <c r="H625">
        <f t="shared" si="19"/>
        <v>0.75698663426488455</v>
      </c>
      <c r="I625">
        <f t="shared" si="18"/>
        <v>4</v>
      </c>
    </row>
    <row r="626" spans="1:9" ht="64" x14ac:dyDescent="0.2">
      <c r="A626" t="s">
        <v>3318</v>
      </c>
      <c r="B626">
        <v>105833</v>
      </c>
      <c r="C626">
        <v>1727</v>
      </c>
      <c r="F626" s="4" t="s">
        <v>3211</v>
      </c>
      <c r="G626">
        <v>0.43376878709384215</v>
      </c>
      <c r="H626">
        <f t="shared" si="19"/>
        <v>0.75820170109356011</v>
      </c>
      <c r="I626">
        <f t="shared" si="18"/>
        <v>4</v>
      </c>
    </row>
    <row r="627" spans="1:9" ht="48" x14ac:dyDescent="0.2">
      <c r="A627" t="s">
        <v>3760</v>
      </c>
      <c r="B627">
        <v>106063</v>
      </c>
      <c r="C627">
        <v>1906</v>
      </c>
      <c r="F627" s="4" t="s">
        <v>3850</v>
      </c>
      <c r="G627">
        <v>0.43481001460471491</v>
      </c>
      <c r="H627">
        <f t="shared" si="19"/>
        <v>0.75941676792223567</v>
      </c>
      <c r="I627">
        <f t="shared" si="18"/>
        <v>4</v>
      </c>
    </row>
    <row r="628" spans="1:9" ht="48" x14ac:dyDescent="0.2">
      <c r="A628" t="s">
        <v>3142</v>
      </c>
      <c r="B628">
        <v>106111</v>
      </c>
      <c r="C628">
        <v>1589</v>
      </c>
      <c r="F628" s="4" t="s">
        <v>3384</v>
      </c>
      <c r="G628">
        <v>0.43533370797384441</v>
      </c>
      <c r="H628">
        <f t="shared" si="19"/>
        <v>0.76063183475091134</v>
      </c>
      <c r="I628">
        <f t="shared" si="18"/>
        <v>4</v>
      </c>
    </row>
    <row r="629" spans="1:9" ht="48" x14ac:dyDescent="0.2">
      <c r="A629" t="s">
        <v>3455</v>
      </c>
      <c r="B629">
        <v>106250</v>
      </c>
      <c r="C629">
        <v>1724</v>
      </c>
      <c r="F629" s="4" t="s">
        <v>3676</v>
      </c>
      <c r="G629">
        <v>0.43665070697986402</v>
      </c>
      <c r="H629">
        <f t="shared" si="19"/>
        <v>0.7618469015795869</v>
      </c>
      <c r="I629">
        <f t="shared" si="18"/>
        <v>4</v>
      </c>
    </row>
    <row r="630" spans="1:9" ht="48" x14ac:dyDescent="0.2">
      <c r="A630" t="s">
        <v>3766</v>
      </c>
      <c r="B630">
        <v>106296</v>
      </c>
      <c r="C630">
        <v>1962</v>
      </c>
      <c r="F630" s="4" t="s">
        <v>3428</v>
      </c>
      <c r="G630">
        <v>0.43680591583802686</v>
      </c>
      <c r="H630">
        <f t="shared" si="19"/>
        <v>0.76306196840826246</v>
      </c>
      <c r="I630">
        <f t="shared" si="18"/>
        <v>4</v>
      </c>
    </row>
    <row r="631" spans="1:9" ht="48" x14ac:dyDescent="0.2">
      <c r="A631" t="s">
        <v>3288</v>
      </c>
      <c r="B631">
        <v>106765</v>
      </c>
      <c r="C631">
        <v>1649</v>
      </c>
      <c r="F631" s="4" t="s">
        <v>3826</v>
      </c>
      <c r="G631">
        <v>0.43709317380678131</v>
      </c>
      <c r="H631">
        <f t="shared" si="19"/>
        <v>0.76427703523693802</v>
      </c>
      <c r="I631">
        <f t="shared" si="18"/>
        <v>4</v>
      </c>
    </row>
    <row r="632" spans="1:9" ht="64" x14ac:dyDescent="0.2">
      <c r="A632" t="s">
        <v>3170</v>
      </c>
      <c r="B632">
        <v>106782</v>
      </c>
      <c r="C632">
        <v>1549</v>
      </c>
      <c r="F632" s="4" t="s">
        <v>3329</v>
      </c>
      <c r="G632">
        <v>0.43758893188785219</v>
      </c>
      <c r="H632">
        <f t="shared" si="19"/>
        <v>0.76549210206561358</v>
      </c>
      <c r="I632">
        <f t="shared" si="18"/>
        <v>4</v>
      </c>
    </row>
    <row r="633" spans="1:9" ht="48" x14ac:dyDescent="0.2">
      <c r="A633" t="s">
        <v>3836</v>
      </c>
      <c r="B633">
        <v>106904</v>
      </c>
      <c r="C633">
        <v>2045</v>
      </c>
      <c r="F633" s="4" t="s">
        <v>3358</v>
      </c>
      <c r="G633">
        <v>0.43808501625148072</v>
      </c>
      <c r="H633">
        <f t="shared" si="19"/>
        <v>0.76670716889428914</v>
      </c>
      <c r="I633">
        <f t="shared" si="18"/>
        <v>4</v>
      </c>
    </row>
    <row r="634" spans="1:9" ht="48" x14ac:dyDescent="0.2">
      <c r="A634" t="s">
        <v>3770</v>
      </c>
      <c r="B634">
        <v>106915</v>
      </c>
      <c r="C634">
        <v>1972</v>
      </c>
      <c r="F634" s="4" t="s">
        <v>3327</v>
      </c>
      <c r="G634">
        <v>0.43817993206450268</v>
      </c>
      <c r="H634">
        <f t="shared" si="19"/>
        <v>0.76792223572296481</v>
      </c>
      <c r="I634">
        <f t="shared" si="18"/>
        <v>4</v>
      </c>
    </row>
    <row r="635" spans="1:9" ht="48" x14ac:dyDescent="0.2">
      <c r="A635" t="s">
        <v>3787</v>
      </c>
      <c r="B635">
        <v>107033</v>
      </c>
      <c r="C635">
        <v>1991</v>
      </c>
      <c r="F635" s="4" t="s">
        <v>3253</v>
      </c>
      <c r="G635">
        <v>0.44002115550386478</v>
      </c>
      <c r="H635">
        <f t="shared" si="19"/>
        <v>0.76913730255164037</v>
      </c>
      <c r="I635">
        <f t="shared" si="18"/>
        <v>4</v>
      </c>
    </row>
    <row r="636" spans="1:9" ht="48" x14ac:dyDescent="0.2">
      <c r="A636" t="s">
        <v>3777</v>
      </c>
      <c r="B636">
        <v>107109</v>
      </c>
      <c r="C636">
        <v>1988</v>
      </c>
      <c r="F636" s="4" t="s">
        <v>3350</v>
      </c>
      <c r="G636">
        <v>0.440503137065613</v>
      </c>
      <c r="H636">
        <f t="shared" si="19"/>
        <v>0.77035236938031593</v>
      </c>
      <c r="I636">
        <f t="shared" si="18"/>
        <v>4</v>
      </c>
    </row>
    <row r="637" spans="1:9" ht="48" x14ac:dyDescent="0.2">
      <c r="A637" t="s">
        <v>3506</v>
      </c>
      <c r="B637">
        <v>107500</v>
      </c>
      <c r="C637">
        <v>1778</v>
      </c>
      <c r="F637" s="4" t="s">
        <v>3390</v>
      </c>
      <c r="G637">
        <v>0.44126224509457651</v>
      </c>
      <c r="H637">
        <f t="shared" si="19"/>
        <v>0.77156743620899149</v>
      </c>
      <c r="I637">
        <f t="shared" si="18"/>
        <v>4</v>
      </c>
    </row>
    <row r="638" spans="1:9" ht="48" x14ac:dyDescent="0.2">
      <c r="A638" t="s">
        <v>3549</v>
      </c>
      <c r="B638">
        <v>107619</v>
      </c>
      <c r="C638">
        <v>1824</v>
      </c>
      <c r="F638" s="4" t="s">
        <v>3452</v>
      </c>
      <c r="G638">
        <v>0.44197919784831841</v>
      </c>
      <c r="H638">
        <f t="shared" si="19"/>
        <v>0.77278250303766705</v>
      </c>
      <c r="I638">
        <f t="shared" si="18"/>
        <v>4</v>
      </c>
    </row>
    <row r="639" spans="1:9" ht="48" x14ac:dyDescent="0.2">
      <c r="A639" t="s">
        <v>3172</v>
      </c>
      <c r="B639">
        <v>107670</v>
      </c>
      <c r="C639">
        <v>1572</v>
      </c>
      <c r="F639" s="4" t="s">
        <v>3804</v>
      </c>
      <c r="G639">
        <v>0.4423210717817801</v>
      </c>
      <c r="H639">
        <f t="shared" si="19"/>
        <v>0.77399756986634261</v>
      </c>
      <c r="I639">
        <f t="shared" si="18"/>
        <v>4</v>
      </c>
    </row>
    <row r="640" spans="1:9" ht="48" x14ac:dyDescent="0.2">
      <c r="A640" t="s">
        <v>3495</v>
      </c>
      <c r="B640">
        <v>108250</v>
      </c>
      <c r="C640">
        <v>1915</v>
      </c>
      <c r="F640" s="4" t="s">
        <v>3321</v>
      </c>
      <c r="G640">
        <v>0.44237332479900987</v>
      </c>
      <c r="H640">
        <f t="shared" si="19"/>
        <v>0.77521263669501828</v>
      </c>
      <c r="I640">
        <f t="shared" si="18"/>
        <v>4</v>
      </c>
    </row>
    <row r="641" spans="1:9" ht="48" x14ac:dyDescent="0.2">
      <c r="A641" t="s">
        <v>3670</v>
      </c>
      <c r="B641">
        <v>108636</v>
      </c>
      <c r="C641">
        <v>1867</v>
      </c>
      <c r="F641" s="4" t="s">
        <v>3569</v>
      </c>
      <c r="G641">
        <v>0.4429759437362043</v>
      </c>
      <c r="H641">
        <f t="shared" si="19"/>
        <v>0.77642770352369384</v>
      </c>
      <c r="I641">
        <f t="shared" si="18"/>
        <v>4</v>
      </c>
    </row>
    <row r="642" spans="1:9" ht="48" x14ac:dyDescent="0.2">
      <c r="A642" t="s">
        <v>3144</v>
      </c>
      <c r="B642">
        <v>108750</v>
      </c>
      <c r="C642">
        <v>1577</v>
      </c>
      <c r="F642" s="4" t="s">
        <v>3540</v>
      </c>
      <c r="G642">
        <v>0.44332208187054695</v>
      </c>
      <c r="H642">
        <f t="shared" si="19"/>
        <v>0.77764277035236939</v>
      </c>
      <c r="I642">
        <f t="shared" si="18"/>
        <v>4</v>
      </c>
    </row>
    <row r="643" spans="1:9" ht="64" x14ac:dyDescent="0.2">
      <c r="A643" t="s">
        <v>3617</v>
      </c>
      <c r="B643">
        <v>109167</v>
      </c>
      <c r="C643">
        <v>1878</v>
      </c>
      <c r="F643" s="4" t="s">
        <v>3317</v>
      </c>
      <c r="G643">
        <v>0.4447907005502999</v>
      </c>
      <c r="H643">
        <f t="shared" si="19"/>
        <v>0.77885783718104495</v>
      </c>
      <c r="I643">
        <f t="shared" ref="I643:I706" si="20">IF(H643&lt;0.2,1,IF(H643&lt;0.4,2,IF(H643&lt;0.6,3,IF(H643&lt;0.8,4,5))))</f>
        <v>4</v>
      </c>
    </row>
    <row r="644" spans="1:9" ht="48" x14ac:dyDescent="0.2">
      <c r="A644" t="s">
        <v>3501</v>
      </c>
      <c r="B644">
        <v>109429</v>
      </c>
      <c r="C644">
        <v>1826</v>
      </c>
      <c r="F644" s="4" t="s">
        <v>3851</v>
      </c>
      <c r="G644">
        <v>0.44497832102998863</v>
      </c>
      <c r="H644">
        <f t="shared" ref="H644:H707" si="21">_xlfn.RANK.EQ(G644,$G$3:$G$825,1)/COUNT($G$3:$G$825)</f>
        <v>0.78007290400972051</v>
      </c>
      <c r="I644">
        <f t="shared" si="20"/>
        <v>4</v>
      </c>
    </row>
    <row r="645" spans="1:9" ht="48" x14ac:dyDescent="0.2">
      <c r="A645" t="s">
        <v>3204</v>
      </c>
      <c r="B645">
        <v>109460</v>
      </c>
      <c r="C645">
        <v>1674</v>
      </c>
      <c r="F645" s="4" t="s">
        <v>3412</v>
      </c>
      <c r="G645">
        <v>0.44612725520168273</v>
      </c>
      <c r="H645">
        <f t="shared" si="21"/>
        <v>0.78128797083839607</v>
      </c>
      <c r="I645">
        <f t="shared" si="20"/>
        <v>4</v>
      </c>
    </row>
    <row r="646" spans="1:9" ht="48" x14ac:dyDescent="0.2">
      <c r="A646" t="s">
        <v>3252</v>
      </c>
      <c r="B646">
        <v>109605</v>
      </c>
      <c r="C646">
        <v>1660</v>
      </c>
      <c r="F646" s="4" t="s">
        <v>3522</v>
      </c>
      <c r="G646">
        <v>0.44835629773911168</v>
      </c>
      <c r="H646">
        <f t="shared" si="21"/>
        <v>0.78250303766707174</v>
      </c>
      <c r="I646">
        <f t="shared" si="20"/>
        <v>4</v>
      </c>
    </row>
    <row r="647" spans="1:9" ht="48" x14ac:dyDescent="0.2">
      <c r="A647" t="s">
        <v>3162</v>
      </c>
      <c r="B647">
        <v>109671</v>
      </c>
      <c r="C647">
        <v>1615</v>
      </c>
      <c r="F647" s="4" t="s">
        <v>3360</v>
      </c>
      <c r="G647">
        <v>0.45015505778283782</v>
      </c>
      <c r="H647">
        <f t="shared" si="21"/>
        <v>0.7837181044957473</v>
      </c>
      <c r="I647">
        <f t="shared" si="20"/>
        <v>4</v>
      </c>
    </row>
    <row r="648" spans="1:9" ht="64" x14ac:dyDescent="0.2">
      <c r="A648" t="s">
        <v>3435</v>
      </c>
      <c r="B648">
        <v>109688</v>
      </c>
      <c r="C648">
        <v>1739</v>
      </c>
      <c r="F648" s="4" t="s">
        <v>3362</v>
      </c>
      <c r="G648">
        <v>0.45021870559810567</v>
      </c>
      <c r="H648">
        <f t="shared" si="21"/>
        <v>0.78493317132442286</v>
      </c>
      <c r="I648">
        <f t="shared" si="20"/>
        <v>4</v>
      </c>
    </row>
    <row r="649" spans="1:9" ht="48" x14ac:dyDescent="0.2">
      <c r="A649" t="s">
        <v>3072</v>
      </c>
      <c r="B649">
        <v>109886</v>
      </c>
      <c r="C649">
        <v>1464</v>
      </c>
      <c r="F649" s="4" t="s">
        <v>3492</v>
      </c>
      <c r="G649">
        <v>0.45042388229007491</v>
      </c>
      <c r="H649">
        <f t="shared" si="21"/>
        <v>0.78614823815309842</v>
      </c>
      <c r="I649">
        <f t="shared" si="20"/>
        <v>4</v>
      </c>
    </row>
    <row r="650" spans="1:9" ht="48" x14ac:dyDescent="0.2">
      <c r="A650" t="s">
        <v>3092</v>
      </c>
      <c r="B650">
        <v>109962</v>
      </c>
      <c r="C650">
        <v>1517</v>
      </c>
      <c r="F650" s="4" t="s">
        <v>3325</v>
      </c>
      <c r="G650">
        <v>0.45326533893564452</v>
      </c>
      <c r="H650">
        <f t="shared" si="21"/>
        <v>0.78736330498177398</v>
      </c>
      <c r="I650">
        <f t="shared" si="20"/>
        <v>4</v>
      </c>
    </row>
    <row r="651" spans="1:9" ht="48" x14ac:dyDescent="0.2">
      <c r="A651" t="s">
        <v>3230</v>
      </c>
      <c r="B651">
        <v>110365</v>
      </c>
      <c r="C651">
        <v>1621</v>
      </c>
      <c r="F651" s="4" t="s">
        <v>3285</v>
      </c>
      <c r="G651">
        <v>0.45436447745763842</v>
      </c>
      <c r="H651">
        <f t="shared" si="21"/>
        <v>0.78857837181044954</v>
      </c>
      <c r="I651">
        <f t="shared" si="20"/>
        <v>4</v>
      </c>
    </row>
    <row r="652" spans="1:9" ht="48" x14ac:dyDescent="0.2">
      <c r="A652" t="s">
        <v>3573</v>
      </c>
      <c r="B652">
        <v>110497</v>
      </c>
      <c r="C652">
        <v>1867</v>
      </c>
      <c r="F652" s="4" t="s">
        <v>3101</v>
      </c>
      <c r="G652">
        <v>0.45453774160863369</v>
      </c>
      <c r="H652">
        <f t="shared" si="21"/>
        <v>0.7897934386391251</v>
      </c>
      <c r="I652">
        <f t="shared" si="20"/>
        <v>4</v>
      </c>
    </row>
    <row r="653" spans="1:9" ht="48" x14ac:dyDescent="0.2">
      <c r="A653" t="s">
        <v>3738</v>
      </c>
      <c r="B653">
        <v>110543</v>
      </c>
      <c r="C653">
        <v>1948</v>
      </c>
      <c r="F653" s="4" t="s">
        <v>3287</v>
      </c>
      <c r="G653">
        <v>0.4546706301167347</v>
      </c>
      <c r="H653">
        <f t="shared" si="21"/>
        <v>0.79100850546780077</v>
      </c>
      <c r="I653">
        <f t="shared" si="20"/>
        <v>4</v>
      </c>
    </row>
    <row r="654" spans="1:9" ht="48" x14ac:dyDescent="0.2">
      <c r="A654" t="s">
        <v>3827</v>
      </c>
      <c r="B654">
        <v>110625</v>
      </c>
      <c r="C654">
        <v>2079</v>
      </c>
      <c r="F654" s="4" t="s">
        <v>3845</v>
      </c>
      <c r="G654">
        <v>0.45477934717601115</v>
      </c>
      <c r="H654">
        <f t="shared" si="21"/>
        <v>0.79222357229647633</v>
      </c>
      <c r="I654">
        <f t="shared" si="20"/>
        <v>4</v>
      </c>
    </row>
    <row r="655" spans="1:9" ht="48" x14ac:dyDescent="0.2">
      <c r="A655" t="s">
        <v>3234</v>
      </c>
      <c r="B655">
        <v>110625</v>
      </c>
      <c r="C655">
        <v>1712</v>
      </c>
      <c r="F655" s="4" t="s">
        <v>3075</v>
      </c>
      <c r="G655">
        <v>0.45603808906444537</v>
      </c>
      <c r="H655">
        <f t="shared" si="21"/>
        <v>0.79343863912515189</v>
      </c>
      <c r="I655">
        <f t="shared" si="20"/>
        <v>4</v>
      </c>
    </row>
    <row r="656" spans="1:9" ht="48" x14ac:dyDescent="0.2">
      <c r="A656" t="s">
        <v>3474</v>
      </c>
      <c r="B656">
        <v>111250</v>
      </c>
      <c r="C656">
        <v>1890</v>
      </c>
      <c r="F656" s="4" t="s">
        <v>3685</v>
      </c>
      <c r="G656">
        <v>0.45684574442180692</v>
      </c>
      <c r="H656">
        <f t="shared" si="21"/>
        <v>0.79465370595382745</v>
      </c>
      <c r="I656">
        <f t="shared" si="20"/>
        <v>4</v>
      </c>
    </row>
    <row r="657" spans="1:9" ht="48" x14ac:dyDescent="0.2">
      <c r="A657" t="s">
        <v>3848</v>
      </c>
      <c r="B657">
        <v>111793</v>
      </c>
      <c r="C657">
        <v>2304</v>
      </c>
      <c r="F657" s="4" t="s">
        <v>3547</v>
      </c>
      <c r="G657">
        <v>0.45685800652051234</v>
      </c>
      <c r="H657">
        <f t="shared" si="21"/>
        <v>0.79586877278250301</v>
      </c>
      <c r="I657">
        <f t="shared" si="20"/>
        <v>4</v>
      </c>
    </row>
    <row r="658" spans="1:9" ht="48" x14ac:dyDescent="0.2">
      <c r="A658" t="s">
        <v>3156</v>
      </c>
      <c r="B658">
        <v>111809</v>
      </c>
      <c r="C658">
        <v>1678</v>
      </c>
      <c r="F658" s="4" t="s">
        <v>3398</v>
      </c>
      <c r="G658">
        <v>0.45833577952464294</v>
      </c>
      <c r="H658">
        <f t="shared" si="21"/>
        <v>0.79708383961117857</v>
      </c>
      <c r="I658">
        <f t="shared" si="20"/>
        <v>4</v>
      </c>
    </row>
    <row r="659" spans="1:9" ht="48" x14ac:dyDescent="0.2">
      <c r="A659" t="s">
        <v>3054</v>
      </c>
      <c r="B659">
        <v>111849</v>
      </c>
      <c r="C659">
        <v>1443</v>
      </c>
      <c r="F659" s="4" t="s">
        <v>3498</v>
      </c>
      <c r="G659">
        <v>0.4603206801868498</v>
      </c>
      <c r="H659">
        <f t="shared" si="21"/>
        <v>0.79829890643985424</v>
      </c>
      <c r="I659">
        <f t="shared" si="20"/>
        <v>4</v>
      </c>
    </row>
    <row r="660" spans="1:9" ht="48" x14ac:dyDescent="0.2">
      <c r="A660" t="s">
        <v>3783</v>
      </c>
      <c r="B660">
        <v>111983</v>
      </c>
      <c r="C660">
        <v>2174</v>
      </c>
      <c r="F660" s="4" t="s">
        <v>3095</v>
      </c>
      <c r="G660">
        <v>0.46050497827004405</v>
      </c>
      <c r="H660">
        <f t="shared" si="21"/>
        <v>0.7995139732685298</v>
      </c>
      <c r="I660">
        <f t="shared" si="20"/>
        <v>4</v>
      </c>
    </row>
    <row r="661" spans="1:9" ht="48" x14ac:dyDescent="0.2">
      <c r="A661" t="s">
        <v>3844</v>
      </c>
      <c r="B661">
        <v>112188</v>
      </c>
      <c r="C661">
        <v>2357</v>
      </c>
      <c r="F661" s="4" t="s">
        <v>3241</v>
      </c>
      <c r="G661">
        <v>0.46059769461158878</v>
      </c>
      <c r="H661">
        <f t="shared" si="21"/>
        <v>0.80072904009720536</v>
      </c>
      <c r="I661">
        <f t="shared" si="20"/>
        <v>5</v>
      </c>
    </row>
    <row r="662" spans="1:9" ht="48" x14ac:dyDescent="0.2">
      <c r="A662" t="s">
        <v>3557</v>
      </c>
      <c r="B662">
        <v>112500</v>
      </c>
      <c r="C662">
        <v>1850</v>
      </c>
      <c r="F662" s="4" t="s">
        <v>3761</v>
      </c>
      <c r="G662">
        <v>0.46206844046571777</v>
      </c>
      <c r="H662">
        <f t="shared" si="21"/>
        <v>0.80194410692588092</v>
      </c>
      <c r="I662">
        <f t="shared" si="20"/>
        <v>5</v>
      </c>
    </row>
    <row r="663" spans="1:9" ht="48" x14ac:dyDescent="0.2">
      <c r="A663" t="s">
        <v>3544</v>
      </c>
      <c r="B663">
        <v>112557</v>
      </c>
      <c r="C663">
        <v>1849</v>
      </c>
      <c r="F663" s="4" t="s">
        <v>3712</v>
      </c>
      <c r="G663">
        <v>0.46220631546623792</v>
      </c>
      <c r="H663">
        <f t="shared" si="21"/>
        <v>0.80315917375455648</v>
      </c>
      <c r="I663">
        <f t="shared" si="20"/>
        <v>5</v>
      </c>
    </row>
    <row r="664" spans="1:9" ht="48" x14ac:dyDescent="0.2">
      <c r="A664" t="s">
        <v>3723</v>
      </c>
      <c r="B664">
        <v>113466</v>
      </c>
      <c r="C664">
        <v>1955</v>
      </c>
      <c r="F664" s="4" t="s">
        <v>3556</v>
      </c>
      <c r="G664">
        <v>0.46256799590547509</v>
      </c>
      <c r="H664">
        <f t="shared" si="21"/>
        <v>0.80437424058323204</v>
      </c>
      <c r="I664">
        <f t="shared" si="20"/>
        <v>5</v>
      </c>
    </row>
    <row r="665" spans="1:9" ht="48" x14ac:dyDescent="0.2">
      <c r="A665" t="s">
        <v>3786</v>
      </c>
      <c r="B665">
        <v>113500</v>
      </c>
      <c r="C665">
        <v>1981</v>
      </c>
      <c r="F665" s="4" t="s">
        <v>3636</v>
      </c>
      <c r="G665">
        <v>0.46487507722662952</v>
      </c>
      <c r="H665">
        <f t="shared" si="21"/>
        <v>0.80558930741190771</v>
      </c>
      <c r="I665">
        <f t="shared" si="20"/>
        <v>5</v>
      </c>
    </row>
    <row r="666" spans="1:9" ht="48" x14ac:dyDescent="0.2">
      <c r="A666" t="s">
        <v>3807</v>
      </c>
      <c r="B666">
        <v>113594</v>
      </c>
      <c r="C666">
        <v>2278</v>
      </c>
      <c r="F666" s="4" t="s">
        <v>3265</v>
      </c>
      <c r="G666">
        <v>0.46503491597369606</v>
      </c>
      <c r="H666">
        <f t="shared" si="21"/>
        <v>0.80680437424058327</v>
      </c>
      <c r="I666">
        <f t="shared" si="20"/>
        <v>5</v>
      </c>
    </row>
    <row r="667" spans="1:9" ht="48" x14ac:dyDescent="0.2">
      <c r="A667" t="s">
        <v>3850</v>
      </c>
      <c r="B667">
        <v>113636</v>
      </c>
      <c r="C667">
        <v>2439</v>
      </c>
      <c r="F667" s="4" t="s">
        <v>3319</v>
      </c>
      <c r="G667">
        <v>0.4666592691529769</v>
      </c>
      <c r="H667">
        <f t="shared" si="21"/>
        <v>0.80801944106925883</v>
      </c>
      <c r="I667">
        <f t="shared" si="20"/>
        <v>5</v>
      </c>
    </row>
    <row r="668" spans="1:9" ht="64" x14ac:dyDescent="0.2">
      <c r="A668" t="s">
        <v>3842</v>
      </c>
      <c r="B668">
        <v>113765</v>
      </c>
      <c r="C668">
        <v>2369</v>
      </c>
      <c r="F668" s="4" t="s">
        <v>3235</v>
      </c>
      <c r="G668">
        <v>0.46807406319163747</v>
      </c>
      <c r="H668">
        <f t="shared" si="21"/>
        <v>0.80923450789793439</v>
      </c>
      <c r="I668">
        <f t="shared" si="20"/>
        <v>5</v>
      </c>
    </row>
    <row r="669" spans="1:9" ht="48" x14ac:dyDescent="0.2">
      <c r="A669" t="s">
        <v>3764</v>
      </c>
      <c r="B669">
        <v>113814</v>
      </c>
      <c r="C669">
        <v>2062</v>
      </c>
      <c r="F669" s="4" t="s">
        <v>3374</v>
      </c>
      <c r="G669">
        <v>0.46828147174975515</v>
      </c>
      <c r="H669">
        <f t="shared" si="21"/>
        <v>0.81044957472660994</v>
      </c>
      <c r="I669">
        <f t="shared" si="20"/>
        <v>5</v>
      </c>
    </row>
    <row r="670" spans="1:9" ht="48" x14ac:dyDescent="0.2">
      <c r="A670" t="s">
        <v>3638</v>
      </c>
      <c r="B670">
        <v>114773</v>
      </c>
      <c r="C670">
        <v>1980</v>
      </c>
      <c r="F670" s="4" t="s">
        <v>3151</v>
      </c>
      <c r="G670">
        <v>0.46856431358405343</v>
      </c>
      <c r="H670">
        <f t="shared" si="21"/>
        <v>0.8116646415552855</v>
      </c>
      <c r="I670">
        <f t="shared" si="20"/>
        <v>5</v>
      </c>
    </row>
    <row r="671" spans="1:9" ht="48" x14ac:dyDescent="0.2">
      <c r="A671" t="s">
        <v>3206</v>
      </c>
      <c r="B671">
        <v>114792</v>
      </c>
      <c r="C671">
        <v>1698</v>
      </c>
      <c r="F671" s="4" t="s">
        <v>3424</v>
      </c>
      <c r="G671">
        <v>0.46912844065920345</v>
      </c>
      <c r="H671">
        <f t="shared" si="21"/>
        <v>0.81287970838396106</v>
      </c>
      <c r="I671">
        <f t="shared" si="20"/>
        <v>5</v>
      </c>
    </row>
    <row r="672" spans="1:9" ht="48" x14ac:dyDescent="0.2">
      <c r="A672" t="s">
        <v>3200</v>
      </c>
      <c r="B672">
        <v>115625</v>
      </c>
      <c r="C672">
        <v>1667</v>
      </c>
      <c r="F672" s="4" t="s">
        <v>3490</v>
      </c>
      <c r="G672">
        <v>0.47195207300026637</v>
      </c>
      <c r="H672">
        <f t="shared" si="21"/>
        <v>0.81409477521263673</v>
      </c>
      <c r="I672">
        <f t="shared" si="20"/>
        <v>5</v>
      </c>
    </row>
    <row r="673" spans="1:9" ht="48" x14ac:dyDescent="0.2">
      <c r="A673" t="s">
        <v>3132</v>
      </c>
      <c r="B673">
        <v>116000</v>
      </c>
      <c r="C673">
        <v>1628</v>
      </c>
      <c r="F673" s="4" t="s">
        <v>3215</v>
      </c>
      <c r="G673">
        <v>0.47304221845186056</v>
      </c>
      <c r="H673">
        <f t="shared" si="21"/>
        <v>0.81530984204131229</v>
      </c>
      <c r="I673">
        <f t="shared" si="20"/>
        <v>5</v>
      </c>
    </row>
    <row r="674" spans="1:9" ht="64" x14ac:dyDescent="0.2">
      <c r="A674" t="s">
        <v>3603</v>
      </c>
      <c r="B674">
        <v>116222</v>
      </c>
      <c r="C674">
        <v>1923</v>
      </c>
      <c r="F674" s="4" t="s">
        <v>3602</v>
      </c>
      <c r="G674">
        <v>0.47455980418365246</v>
      </c>
      <c r="H674">
        <f t="shared" si="21"/>
        <v>0.81652490886998785</v>
      </c>
      <c r="I674">
        <f t="shared" si="20"/>
        <v>5</v>
      </c>
    </row>
    <row r="675" spans="1:9" ht="48" x14ac:dyDescent="0.2">
      <c r="A675" t="s">
        <v>3182</v>
      </c>
      <c r="B675">
        <v>116250</v>
      </c>
      <c r="C675">
        <v>1652</v>
      </c>
      <c r="F675" s="4" t="s">
        <v>3293</v>
      </c>
      <c r="G675">
        <v>0.47482270745313665</v>
      </c>
      <c r="H675">
        <f t="shared" si="21"/>
        <v>0.81773997569866341</v>
      </c>
      <c r="I675">
        <f t="shared" si="20"/>
        <v>5</v>
      </c>
    </row>
    <row r="676" spans="1:9" ht="48" x14ac:dyDescent="0.2">
      <c r="A676" t="s">
        <v>3443</v>
      </c>
      <c r="B676">
        <v>116402</v>
      </c>
      <c r="C676">
        <v>1912</v>
      </c>
      <c r="F676" s="4" t="s">
        <v>3750</v>
      </c>
      <c r="G676">
        <v>0.47567472631442742</v>
      </c>
      <c r="H676">
        <f t="shared" si="21"/>
        <v>0.81895504252733897</v>
      </c>
      <c r="I676">
        <f t="shared" si="20"/>
        <v>5</v>
      </c>
    </row>
    <row r="677" spans="1:9" ht="48" x14ac:dyDescent="0.2">
      <c r="A677" t="s">
        <v>3824</v>
      </c>
      <c r="B677">
        <v>116500</v>
      </c>
      <c r="C677">
        <v>2158</v>
      </c>
      <c r="F677" s="4" t="s">
        <v>3127</v>
      </c>
      <c r="G677">
        <v>0.47723852699276037</v>
      </c>
      <c r="H677">
        <f t="shared" si="21"/>
        <v>0.82017010935601453</v>
      </c>
      <c r="I677">
        <f t="shared" si="20"/>
        <v>5</v>
      </c>
    </row>
    <row r="678" spans="1:9" ht="64" x14ac:dyDescent="0.2">
      <c r="A678" t="s">
        <v>3056</v>
      </c>
      <c r="B678">
        <v>117009</v>
      </c>
      <c r="C678">
        <v>1522</v>
      </c>
      <c r="F678" s="4" t="s">
        <v>3291</v>
      </c>
      <c r="G678">
        <v>0.48001417144376901</v>
      </c>
      <c r="H678">
        <f t="shared" si="21"/>
        <v>0.8213851761846902</v>
      </c>
      <c r="I678">
        <f t="shared" si="20"/>
        <v>5</v>
      </c>
    </row>
    <row r="679" spans="1:9" ht="48" x14ac:dyDescent="0.2">
      <c r="A679" t="s">
        <v>3413</v>
      </c>
      <c r="B679">
        <v>117401</v>
      </c>
      <c r="C679">
        <v>1833</v>
      </c>
      <c r="F679" s="4" t="s">
        <v>3277</v>
      </c>
      <c r="G679">
        <v>0.48033722748541496</v>
      </c>
      <c r="H679">
        <f t="shared" si="21"/>
        <v>0.82260024301336576</v>
      </c>
      <c r="I679">
        <f t="shared" si="20"/>
        <v>5</v>
      </c>
    </row>
    <row r="680" spans="1:9" ht="48" x14ac:dyDescent="0.2">
      <c r="A680" t="s">
        <v>3460</v>
      </c>
      <c r="B680">
        <v>117625</v>
      </c>
      <c r="C680">
        <v>1927</v>
      </c>
      <c r="F680" s="4" t="s">
        <v>3117</v>
      </c>
      <c r="G680">
        <v>0.48065709603211432</v>
      </c>
      <c r="H680">
        <f t="shared" si="21"/>
        <v>0.82381530984204132</v>
      </c>
      <c r="I680">
        <f t="shared" si="20"/>
        <v>5</v>
      </c>
    </row>
    <row r="681" spans="1:9" ht="48" x14ac:dyDescent="0.2">
      <c r="A681" t="s">
        <v>3212</v>
      </c>
      <c r="B681">
        <v>117635</v>
      </c>
      <c r="C681">
        <v>1688</v>
      </c>
      <c r="F681" s="4" t="s">
        <v>3179</v>
      </c>
      <c r="G681">
        <v>0.48162537580142634</v>
      </c>
      <c r="H681">
        <f t="shared" si="21"/>
        <v>0.82503037667071688</v>
      </c>
      <c r="I681">
        <f t="shared" si="20"/>
        <v>5</v>
      </c>
    </row>
    <row r="682" spans="1:9" ht="48" x14ac:dyDescent="0.2">
      <c r="A682" t="s">
        <v>3216</v>
      </c>
      <c r="B682">
        <v>117895</v>
      </c>
      <c r="C682">
        <v>1722</v>
      </c>
      <c r="F682" s="4" t="s">
        <v>3193</v>
      </c>
      <c r="G682">
        <v>0.48388250510147268</v>
      </c>
      <c r="H682">
        <f t="shared" si="21"/>
        <v>0.82624544349939244</v>
      </c>
      <c r="I682">
        <f t="shared" si="20"/>
        <v>5</v>
      </c>
    </row>
    <row r="683" spans="1:9" ht="64" x14ac:dyDescent="0.2">
      <c r="A683" t="s">
        <v>3158</v>
      </c>
      <c r="B683">
        <v>118388</v>
      </c>
      <c r="C683">
        <v>1660</v>
      </c>
      <c r="F683" s="4" t="s">
        <v>3346</v>
      </c>
      <c r="G683">
        <v>0.48388936890987799</v>
      </c>
      <c r="H683">
        <f t="shared" si="21"/>
        <v>0.827460510328068</v>
      </c>
      <c r="I683">
        <f t="shared" si="20"/>
        <v>5</v>
      </c>
    </row>
    <row r="684" spans="1:9" ht="48" x14ac:dyDescent="0.2">
      <c r="A684" t="s">
        <v>3820</v>
      </c>
      <c r="B684">
        <v>118819</v>
      </c>
      <c r="C684">
        <v>2194</v>
      </c>
      <c r="F684" s="4" t="s">
        <v>3261</v>
      </c>
      <c r="G684">
        <v>0.48407742082275446</v>
      </c>
      <c r="H684">
        <f t="shared" si="21"/>
        <v>0.82867557715674367</v>
      </c>
      <c r="I684">
        <f t="shared" si="20"/>
        <v>5</v>
      </c>
    </row>
    <row r="685" spans="1:9" ht="48" x14ac:dyDescent="0.2">
      <c r="A685" t="s">
        <v>3248</v>
      </c>
      <c r="B685">
        <v>118906</v>
      </c>
      <c r="C685">
        <v>1759</v>
      </c>
      <c r="F685" s="4" t="s">
        <v>3408</v>
      </c>
      <c r="G685">
        <v>0.48667269739878521</v>
      </c>
      <c r="H685">
        <f t="shared" si="21"/>
        <v>0.82989064398541923</v>
      </c>
      <c r="I685">
        <f t="shared" si="20"/>
        <v>5</v>
      </c>
    </row>
    <row r="686" spans="1:9" ht="48" x14ac:dyDescent="0.2">
      <c r="A686" t="s">
        <v>3449</v>
      </c>
      <c r="B686">
        <v>118971</v>
      </c>
      <c r="C686">
        <v>2036</v>
      </c>
      <c r="F686" s="4" t="s">
        <v>3305</v>
      </c>
      <c r="G686">
        <v>0.48851886107273196</v>
      </c>
      <c r="H686">
        <f t="shared" si="21"/>
        <v>0.83110571081409479</v>
      </c>
      <c r="I686">
        <f t="shared" si="20"/>
        <v>5</v>
      </c>
    </row>
    <row r="687" spans="1:9" ht="48" x14ac:dyDescent="0.2">
      <c r="A687" t="s">
        <v>3698</v>
      </c>
      <c r="B687">
        <v>119042</v>
      </c>
      <c r="C687">
        <v>2032</v>
      </c>
      <c r="F687" s="4" t="s">
        <v>3081</v>
      </c>
      <c r="G687">
        <v>0.48971743013045332</v>
      </c>
      <c r="H687">
        <f t="shared" si="21"/>
        <v>0.83232077764277035</v>
      </c>
      <c r="I687">
        <f t="shared" si="20"/>
        <v>5</v>
      </c>
    </row>
    <row r="688" spans="1:9" ht="48" x14ac:dyDescent="0.2">
      <c r="A688" t="s">
        <v>3025</v>
      </c>
      <c r="B688">
        <v>119375</v>
      </c>
      <c r="C688">
        <v>1488</v>
      </c>
      <c r="F688" s="4" t="s">
        <v>3771</v>
      </c>
      <c r="G688">
        <v>0.48998009655443969</v>
      </c>
      <c r="H688">
        <f t="shared" si="21"/>
        <v>0.83353584447144591</v>
      </c>
      <c r="I688">
        <f t="shared" si="20"/>
        <v>5</v>
      </c>
    </row>
    <row r="689" spans="1:9" ht="48" x14ac:dyDescent="0.2">
      <c r="A689" t="s">
        <v>3060</v>
      </c>
      <c r="B689">
        <v>119861</v>
      </c>
      <c r="C689">
        <v>1552</v>
      </c>
      <c r="F689" s="4" t="s">
        <v>3579</v>
      </c>
      <c r="G689">
        <v>0.49000740771862605</v>
      </c>
      <c r="H689">
        <f t="shared" si="21"/>
        <v>0.83475091130012147</v>
      </c>
      <c r="I689">
        <f t="shared" si="20"/>
        <v>5</v>
      </c>
    </row>
    <row r="690" spans="1:9" ht="64" x14ac:dyDescent="0.2">
      <c r="A690" t="s">
        <v>3357</v>
      </c>
      <c r="B690">
        <v>119905</v>
      </c>
      <c r="C690">
        <v>1897</v>
      </c>
      <c r="F690" s="4" t="s">
        <v>3089</v>
      </c>
      <c r="G690">
        <v>0.49120990555461597</v>
      </c>
      <c r="H690">
        <f t="shared" si="21"/>
        <v>0.83596597812879714</v>
      </c>
      <c r="I690">
        <f t="shared" si="20"/>
        <v>5</v>
      </c>
    </row>
    <row r="691" spans="1:9" ht="48" x14ac:dyDescent="0.2">
      <c r="A691" t="s">
        <v>3320</v>
      </c>
      <c r="B691">
        <v>119917</v>
      </c>
      <c r="C691">
        <v>1820</v>
      </c>
      <c r="F691" s="4" t="s">
        <v>3463</v>
      </c>
      <c r="G691">
        <v>0.49318285913562226</v>
      </c>
      <c r="H691">
        <f t="shared" si="21"/>
        <v>0.8371810449574727</v>
      </c>
      <c r="I691">
        <f t="shared" si="20"/>
        <v>5</v>
      </c>
    </row>
    <row r="692" spans="1:9" ht="48" x14ac:dyDescent="0.2">
      <c r="A692" t="s">
        <v>3831</v>
      </c>
      <c r="B692">
        <v>120476</v>
      </c>
      <c r="C692">
        <v>2277</v>
      </c>
      <c r="F692" s="4" t="s">
        <v>3289</v>
      </c>
      <c r="G692">
        <v>0.49457267674420552</v>
      </c>
      <c r="H692">
        <f t="shared" si="21"/>
        <v>0.83839611178614826</v>
      </c>
      <c r="I692">
        <f t="shared" si="20"/>
        <v>5</v>
      </c>
    </row>
    <row r="693" spans="1:9" ht="48" x14ac:dyDescent="0.2">
      <c r="A693" t="s">
        <v>3058</v>
      </c>
      <c r="B693">
        <v>120745</v>
      </c>
      <c r="C693">
        <v>1590</v>
      </c>
      <c r="F693" s="4" t="s">
        <v>3227</v>
      </c>
      <c r="G693">
        <v>0.49769631229315847</v>
      </c>
      <c r="H693">
        <f t="shared" si="21"/>
        <v>0.83961117861482382</v>
      </c>
      <c r="I693">
        <f t="shared" si="20"/>
        <v>5</v>
      </c>
    </row>
    <row r="694" spans="1:9" ht="48" x14ac:dyDescent="0.2">
      <c r="A694" t="s">
        <v>3090</v>
      </c>
      <c r="B694">
        <v>120833</v>
      </c>
      <c r="C694">
        <v>1589</v>
      </c>
      <c r="F694" s="4" t="s">
        <v>3331</v>
      </c>
      <c r="G694">
        <v>0.49783192608748944</v>
      </c>
      <c r="H694">
        <f t="shared" si="21"/>
        <v>0.84082624544349938</v>
      </c>
      <c r="I694">
        <f t="shared" si="20"/>
        <v>5</v>
      </c>
    </row>
    <row r="695" spans="1:9" ht="48" x14ac:dyDescent="0.2">
      <c r="A695" t="s">
        <v>3668</v>
      </c>
      <c r="B695">
        <v>120893</v>
      </c>
      <c r="C695">
        <v>2028</v>
      </c>
      <c r="F695" s="4" t="s">
        <v>3297</v>
      </c>
      <c r="G695">
        <v>0.49833332371457228</v>
      </c>
      <c r="H695">
        <f t="shared" si="21"/>
        <v>0.84204131227217494</v>
      </c>
      <c r="I695">
        <f t="shared" si="20"/>
        <v>5</v>
      </c>
    </row>
    <row r="696" spans="1:9" ht="48" x14ac:dyDescent="0.2">
      <c r="A696" t="s">
        <v>3330</v>
      </c>
      <c r="B696">
        <v>121250</v>
      </c>
      <c r="C696">
        <v>1878</v>
      </c>
      <c r="F696" s="4" t="s">
        <v>3113</v>
      </c>
      <c r="G696">
        <v>0.49848195781264582</v>
      </c>
      <c r="H696">
        <f t="shared" si="21"/>
        <v>0.84325637910085049</v>
      </c>
      <c r="I696">
        <f t="shared" si="20"/>
        <v>5</v>
      </c>
    </row>
    <row r="697" spans="1:9" ht="48" x14ac:dyDescent="0.2">
      <c r="A697" t="s">
        <v>3371</v>
      </c>
      <c r="B697">
        <v>121296</v>
      </c>
      <c r="C697">
        <v>1813</v>
      </c>
      <c r="F697" s="4" t="s">
        <v>3618</v>
      </c>
      <c r="G697">
        <v>0.49850718245453191</v>
      </c>
      <c r="H697">
        <f t="shared" si="21"/>
        <v>0.84447144592952617</v>
      </c>
      <c r="I697">
        <f t="shared" si="20"/>
        <v>5</v>
      </c>
    </row>
    <row r="698" spans="1:9" ht="48" x14ac:dyDescent="0.2">
      <c r="A698" t="s">
        <v>3790</v>
      </c>
      <c r="B698">
        <v>121802</v>
      </c>
      <c r="C698">
        <v>2161</v>
      </c>
      <c r="F698" s="4" t="s">
        <v>3029</v>
      </c>
      <c r="G698">
        <v>0.50016357548320067</v>
      </c>
      <c r="H698">
        <f t="shared" si="21"/>
        <v>0.84568651275820172</v>
      </c>
      <c r="I698">
        <f t="shared" si="20"/>
        <v>5</v>
      </c>
    </row>
    <row r="699" spans="1:9" ht="48" x14ac:dyDescent="0.2">
      <c r="A699" t="s">
        <v>3517</v>
      </c>
      <c r="B699">
        <v>121889</v>
      </c>
      <c r="C699">
        <v>2003</v>
      </c>
      <c r="F699" s="4" t="s">
        <v>3283</v>
      </c>
      <c r="G699">
        <v>0.50147958177205698</v>
      </c>
      <c r="H699">
        <f t="shared" si="21"/>
        <v>0.84690157958687728</v>
      </c>
      <c r="I699">
        <f t="shared" si="20"/>
        <v>5</v>
      </c>
    </row>
    <row r="700" spans="1:9" ht="64" x14ac:dyDescent="0.2">
      <c r="A700" t="s">
        <v>3180</v>
      </c>
      <c r="B700">
        <v>121939</v>
      </c>
      <c r="C700">
        <v>1775</v>
      </c>
      <c r="F700" s="4" t="s">
        <v>3223</v>
      </c>
      <c r="G700">
        <v>0.50164283597444193</v>
      </c>
      <c r="H700">
        <f t="shared" si="21"/>
        <v>0.84811664641555284</v>
      </c>
      <c r="I700">
        <f t="shared" si="20"/>
        <v>5</v>
      </c>
    </row>
    <row r="701" spans="1:9" ht="48" x14ac:dyDescent="0.2">
      <c r="A701" t="s">
        <v>3798</v>
      </c>
      <c r="B701">
        <v>122031</v>
      </c>
      <c r="C701">
        <v>2272</v>
      </c>
      <c r="F701" s="4" t="s">
        <v>3207</v>
      </c>
      <c r="G701">
        <v>0.50203059805285122</v>
      </c>
      <c r="H701">
        <f t="shared" si="21"/>
        <v>0.8493317132442284</v>
      </c>
      <c r="I701">
        <f t="shared" si="20"/>
        <v>5</v>
      </c>
    </row>
    <row r="702" spans="1:9" ht="48" x14ac:dyDescent="0.2">
      <c r="A702" t="s">
        <v>3837</v>
      </c>
      <c r="B702">
        <v>122097</v>
      </c>
      <c r="C702">
        <v>2348</v>
      </c>
      <c r="F702" s="4" t="s">
        <v>3229</v>
      </c>
      <c r="G702">
        <v>0.50367925087802734</v>
      </c>
      <c r="H702">
        <f t="shared" si="21"/>
        <v>0.85054678007290396</v>
      </c>
      <c r="I702">
        <f t="shared" si="20"/>
        <v>5</v>
      </c>
    </row>
    <row r="703" spans="1:9" ht="48" x14ac:dyDescent="0.2">
      <c r="A703" t="s">
        <v>3294</v>
      </c>
      <c r="B703">
        <v>122222</v>
      </c>
      <c r="C703">
        <v>1767</v>
      </c>
      <c r="F703" s="4" t="s">
        <v>3279</v>
      </c>
      <c r="G703">
        <v>0.5046355405045142</v>
      </c>
      <c r="H703">
        <f t="shared" si="21"/>
        <v>0.85176184690157963</v>
      </c>
      <c r="I703">
        <f t="shared" si="20"/>
        <v>5</v>
      </c>
    </row>
    <row r="704" spans="1:9" ht="48" x14ac:dyDescent="0.2">
      <c r="A704" t="s">
        <v>3732</v>
      </c>
      <c r="B704">
        <v>122431</v>
      </c>
      <c r="C704">
        <v>2046</v>
      </c>
      <c r="F704" s="4" t="s">
        <v>3271</v>
      </c>
      <c r="G704">
        <v>0.50532267996305624</v>
      </c>
      <c r="H704">
        <f t="shared" si="21"/>
        <v>0.85297691373025519</v>
      </c>
      <c r="I704">
        <f t="shared" si="20"/>
        <v>5</v>
      </c>
    </row>
    <row r="705" spans="1:9" ht="48" x14ac:dyDescent="0.2">
      <c r="A705" t="s">
        <v>3825</v>
      </c>
      <c r="B705">
        <v>122633</v>
      </c>
      <c r="C705">
        <v>2513</v>
      </c>
      <c r="F705" s="4" t="s">
        <v>3255</v>
      </c>
      <c r="G705">
        <v>0.5065241174004359</v>
      </c>
      <c r="H705">
        <f t="shared" si="21"/>
        <v>0.85419198055893075</v>
      </c>
      <c r="I705">
        <f t="shared" si="20"/>
        <v>5</v>
      </c>
    </row>
    <row r="706" spans="1:9" ht="48" x14ac:dyDescent="0.2">
      <c r="A706" t="s">
        <v>3355</v>
      </c>
      <c r="B706">
        <v>123480</v>
      </c>
      <c r="C706">
        <v>1929</v>
      </c>
      <c r="F706" s="4" t="s">
        <v>3356</v>
      </c>
      <c r="G706">
        <v>0.50756698327371086</v>
      </c>
      <c r="H706">
        <f t="shared" si="21"/>
        <v>0.85540704738760631</v>
      </c>
      <c r="I706">
        <f t="shared" si="20"/>
        <v>5</v>
      </c>
    </row>
    <row r="707" spans="1:9" ht="48" x14ac:dyDescent="0.2">
      <c r="A707" t="s">
        <v>3088</v>
      </c>
      <c r="B707">
        <v>123580</v>
      </c>
      <c r="C707">
        <v>1738</v>
      </c>
      <c r="F707" s="4" t="s">
        <v>3175</v>
      </c>
      <c r="G707">
        <v>0.5083495907264477</v>
      </c>
      <c r="H707">
        <f t="shared" si="21"/>
        <v>0.85662211421628187</v>
      </c>
      <c r="I707">
        <f t="shared" ref="I707:I770" si="22">IF(H707&lt;0.2,1,IF(H707&lt;0.4,2,IF(H707&lt;0.6,3,IF(H707&lt;0.8,4,5))))</f>
        <v>5</v>
      </c>
    </row>
    <row r="708" spans="1:9" ht="48" x14ac:dyDescent="0.2">
      <c r="A708" t="s">
        <v>3748</v>
      </c>
      <c r="B708">
        <v>123750</v>
      </c>
      <c r="C708">
        <v>2185</v>
      </c>
      <c r="F708" s="4" t="s">
        <v>3801</v>
      </c>
      <c r="G708">
        <v>0.51032749559945101</v>
      </c>
      <c r="H708">
        <f t="shared" ref="H708:H771" si="23">_xlfn.RANK.EQ(G708,$G$3:$G$825,1)/COUNT($G$3:$G$825)</f>
        <v>0.85783718104495743</v>
      </c>
      <c r="I708">
        <f t="shared" si="22"/>
        <v>5</v>
      </c>
    </row>
    <row r="709" spans="1:9" ht="48" x14ac:dyDescent="0.2">
      <c r="A709" t="s">
        <v>3218</v>
      </c>
      <c r="B709">
        <v>124141</v>
      </c>
      <c r="C709">
        <v>1763</v>
      </c>
      <c r="F709" s="4" t="s">
        <v>3340</v>
      </c>
      <c r="G709">
        <v>0.51418622214030307</v>
      </c>
      <c r="H709">
        <f t="shared" si="23"/>
        <v>0.8590522478736331</v>
      </c>
      <c r="I709">
        <f t="shared" si="22"/>
        <v>5</v>
      </c>
    </row>
    <row r="710" spans="1:9" ht="48" x14ac:dyDescent="0.2">
      <c r="A710" t="s">
        <v>3646</v>
      </c>
      <c r="B710">
        <v>126422</v>
      </c>
      <c r="C710">
        <v>2107</v>
      </c>
      <c r="F710" s="4" t="s">
        <v>3396</v>
      </c>
      <c r="G710">
        <v>0.51421657161549028</v>
      </c>
      <c r="H710">
        <f t="shared" si="23"/>
        <v>0.86026731470230866</v>
      </c>
      <c r="I710">
        <f t="shared" si="22"/>
        <v>5</v>
      </c>
    </row>
    <row r="711" spans="1:9" ht="48" x14ac:dyDescent="0.2">
      <c r="A711" t="s">
        <v>3282</v>
      </c>
      <c r="B711">
        <v>126534</v>
      </c>
      <c r="C711">
        <v>1916</v>
      </c>
      <c r="F711" s="4" t="s">
        <v>3205</v>
      </c>
      <c r="G711">
        <v>0.51484921602044742</v>
      </c>
      <c r="H711">
        <f t="shared" si="23"/>
        <v>0.86148238153098422</v>
      </c>
      <c r="I711">
        <f t="shared" si="22"/>
        <v>5</v>
      </c>
    </row>
    <row r="712" spans="1:9" ht="64" x14ac:dyDescent="0.2">
      <c r="A712" t="s">
        <v>3194</v>
      </c>
      <c r="B712">
        <v>126738</v>
      </c>
      <c r="C712">
        <v>1920</v>
      </c>
      <c r="F712" s="4" t="s">
        <v>3333</v>
      </c>
      <c r="G712">
        <v>0.51509128003816051</v>
      </c>
      <c r="H712">
        <f t="shared" si="23"/>
        <v>0.86269744835965978</v>
      </c>
      <c r="I712">
        <f t="shared" si="22"/>
        <v>5</v>
      </c>
    </row>
    <row r="713" spans="1:9" ht="48" x14ac:dyDescent="0.2">
      <c r="A713" t="s">
        <v>3832</v>
      </c>
      <c r="B713">
        <v>126838</v>
      </c>
      <c r="C713">
        <v>2452</v>
      </c>
      <c r="F713" s="4" t="s">
        <v>3093</v>
      </c>
      <c r="G713">
        <v>0.51638208487115422</v>
      </c>
      <c r="H713">
        <f t="shared" si="23"/>
        <v>0.86391251518833534</v>
      </c>
      <c r="I713">
        <f t="shared" si="22"/>
        <v>5</v>
      </c>
    </row>
    <row r="714" spans="1:9" ht="48" x14ac:dyDescent="0.2">
      <c r="A714" t="s">
        <v>3564</v>
      </c>
      <c r="B714">
        <v>128056</v>
      </c>
      <c r="C714">
        <v>2056</v>
      </c>
      <c r="F714" s="4" t="s">
        <v>3749</v>
      </c>
      <c r="G714">
        <v>0.5175513928499339</v>
      </c>
      <c r="H714">
        <f t="shared" si="23"/>
        <v>0.8651275820170109</v>
      </c>
      <c r="I714">
        <f t="shared" si="22"/>
        <v>5</v>
      </c>
    </row>
    <row r="715" spans="1:9" ht="48" x14ac:dyDescent="0.2">
      <c r="A715" t="s">
        <v>3710</v>
      </c>
      <c r="B715">
        <v>128623</v>
      </c>
      <c r="C715">
        <v>2425</v>
      </c>
      <c r="F715" s="4" t="s">
        <v>3165</v>
      </c>
      <c r="G715">
        <v>0.51945492040260322</v>
      </c>
      <c r="H715">
        <f t="shared" si="23"/>
        <v>0.86634264884568646</v>
      </c>
      <c r="I715">
        <f t="shared" si="22"/>
        <v>5</v>
      </c>
    </row>
    <row r="716" spans="1:9" ht="48" x14ac:dyDescent="0.2">
      <c r="A716" t="s">
        <v>3164</v>
      </c>
      <c r="B716">
        <v>128661</v>
      </c>
      <c r="C716">
        <v>1861</v>
      </c>
      <c r="F716" s="4" t="s">
        <v>3171</v>
      </c>
      <c r="G716">
        <v>0.52316892033025997</v>
      </c>
      <c r="H716">
        <f t="shared" si="23"/>
        <v>0.86755771567436213</v>
      </c>
      <c r="I716">
        <f t="shared" si="22"/>
        <v>5</v>
      </c>
    </row>
    <row r="717" spans="1:9" ht="48" x14ac:dyDescent="0.2">
      <c r="A717" t="s">
        <v>3823</v>
      </c>
      <c r="B717">
        <v>128667</v>
      </c>
      <c r="C717">
        <v>2371</v>
      </c>
      <c r="F717" s="4" t="s">
        <v>3039</v>
      </c>
      <c r="G717">
        <v>0.52377843808525282</v>
      </c>
      <c r="H717">
        <f t="shared" si="23"/>
        <v>0.86877278250303769</v>
      </c>
      <c r="I717">
        <f t="shared" si="22"/>
        <v>5</v>
      </c>
    </row>
    <row r="718" spans="1:9" ht="48" x14ac:dyDescent="0.2">
      <c r="A718" t="s">
        <v>3476</v>
      </c>
      <c r="B718">
        <v>128750</v>
      </c>
      <c r="C718">
        <v>2032</v>
      </c>
      <c r="F718" s="4" t="s">
        <v>3612</v>
      </c>
      <c r="G718">
        <v>0.52419912012381875</v>
      </c>
      <c r="H718">
        <f t="shared" si="23"/>
        <v>0.86998784933171325</v>
      </c>
      <c r="I718">
        <f t="shared" si="22"/>
        <v>5</v>
      </c>
    </row>
    <row r="719" spans="1:9" ht="48" x14ac:dyDescent="0.2">
      <c r="A719" t="s">
        <v>3691</v>
      </c>
      <c r="B719">
        <v>129133</v>
      </c>
      <c r="C719">
        <v>2240</v>
      </c>
      <c r="F719" s="4" t="s">
        <v>3225</v>
      </c>
      <c r="G719">
        <v>0.52548058404281994</v>
      </c>
      <c r="H719">
        <f t="shared" si="23"/>
        <v>0.87120291616038881</v>
      </c>
      <c r="I719">
        <f t="shared" si="22"/>
        <v>5</v>
      </c>
    </row>
    <row r="720" spans="1:9" ht="48" x14ac:dyDescent="0.2">
      <c r="A720" t="s">
        <v>3744</v>
      </c>
      <c r="B720">
        <v>129250</v>
      </c>
      <c r="C720">
        <v>2370</v>
      </c>
      <c r="F720" s="4" t="s">
        <v>3554</v>
      </c>
      <c r="G720">
        <v>0.52668392206987436</v>
      </c>
      <c r="H720">
        <f t="shared" si="23"/>
        <v>0.87241798298906437</v>
      </c>
      <c r="I720">
        <f t="shared" si="22"/>
        <v>5</v>
      </c>
    </row>
    <row r="721" spans="1:9" ht="48" x14ac:dyDescent="0.2">
      <c r="A721" t="s">
        <v>3809</v>
      </c>
      <c r="B721">
        <v>129559</v>
      </c>
      <c r="C721">
        <v>2329</v>
      </c>
      <c r="F721" s="4" t="s">
        <v>3410</v>
      </c>
      <c r="G721">
        <v>0.52734239439189012</v>
      </c>
      <c r="H721">
        <f t="shared" si="23"/>
        <v>0.87363304981773993</v>
      </c>
      <c r="I721">
        <f t="shared" si="22"/>
        <v>5</v>
      </c>
    </row>
    <row r="722" spans="1:9" ht="48" x14ac:dyDescent="0.2">
      <c r="A722" t="s">
        <v>3834</v>
      </c>
      <c r="B722">
        <v>129821</v>
      </c>
      <c r="C722">
        <v>2593</v>
      </c>
      <c r="F722" s="4" t="s">
        <v>3344</v>
      </c>
      <c r="G722">
        <v>0.53294983136501695</v>
      </c>
      <c r="H722">
        <f t="shared" si="23"/>
        <v>0.8748481166464156</v>
      </c>
      <c r="I722">
        <f t="shared" si="22"/>
        <v>5</v>
      </c>
    </row>
    <row r="723" spans="1:9" ht="48" x14ac:dyDescent="0.2">
      <c r="A723" t="s">
        <v>3601</v>
      </c>
      <c r="B723">
        <v>130625</v>
      </c>
      <c r="C723">
        <v>2189</v>
      </c>
      <c r="F723" s="4" t="s">
        <v>3378</v>
      </c>
      <c r="G723">
        <v>0.53439679449621047</v>
      </c>
      <c r="H723">
        <f t="shared" si="23"/>
        <v>0.87606318347509116</v>
      </c>
      <c r="I723">
        <f t="shared" si="22"/>
        <v>5</v>
      </c>
    </row>
    <row r="724" spans="1:9" ht="48" x14ac:dyDescent="0.2">
      <c r="A724" t="s">
        <v>3316</v>
      </c>
      <c r="B724">
        <v>130694</v>
      </c>
      <c r="C724">
        <v>2109</v>
      </c>
      <c r="F724" s="4" t="s">
        <v>3197</v>
      </c>
      <c r="G724">
        <v>0.53494670452403237</v>
      </c>
      <c r="H724">
        <f t="shared" si="23"/>
        <v>0.87727825030376672</v>
      </c>
      <c r="I724">
        <f t="shared" si="22"/>
        <v>5</v>
      </c>
    </row>
    <row r="725" spans="1:9" ht="48" x14ac:dyDescent="0.2">
      <c r="A725" t="s">
        <v>3064</v>
      </c>
      <c r="B725">
        <v>130885</v>
      </c>
      <c r="C725">
        <v>1686</v>
      </c>
      <c r="F725" s="4" t="s">
        <v>3543</v>
      </c>
      <c r="G725">
        <v>0.53534315992585502</v>
      </c>
      <c r="H725">
        <f t="shared" si="23"/>
        <v>0.87849331713244228</v>
      </c>
      <c r="I725">
        <f t="shared" si="22"/>
        <v>5</v>
      </c>
    </row>
    <row r="726" spans="1:9" ht="48" x14ac:dyDescent="0.2">
      <c r="A726" t="s">
        <v>3596</v>
      </c>
      <c r="B726">
        <v>130888</v>
      </c>
      <c r="C726">
        <v>2202</v>
      </c>
      <c r="F726" s="4" t="s">
        <v>3699</v>
      </c>
      <c r="G726">
        <v>0.53864575885408628</v>
      </c>
      <c r="H726">
        <f t="shared" si="23"/>
        <v>0.87970838396111783</v>
      </c>
      <c r="I726">
        <f t="shared" si="22"/>
        <v>5</v>
      </c>
    </row>
    <row r="727" spans="1:9" ht="48" x14ac:dyDescent="0.2">
      <c r="A727" t="s">
        <v>3521</v>
      </c>
      <c r="B727">
        <v>130962</v>
      </c>
      <c r="C727">
        <v>2282</v>
      </c>
      <c r="F727" s="4" t="s">
        <v>3269</v>
      </c>
      <c r="G727">
        <v>0.54032376290978368</v>
      </c>
      <c r="H727">
        <f t="shared" si="23"/>
        <v>0.88092345078979339</v>
      </c>
      <c r="I727">
        <f t="shared" si="22"/>
        <v>5</v>
      </c>
    </row>
    <row r="728" spans="1:9" ht="64" x14ac:dyDescent="0.2">
      <c r="A728" t="s">
        <v>3337</v>
      </c>
      <c r="B728">
        <v>131563</v>
      </c>
      <c r="C728">
        <v>1998</v>
      </c>
      <c r="F728" s="4" t="s">
        <v>3434</v>
      </c>
      <c r="G728">
        <v>0.54050728347012078</v>
      </c>
      <c r="H728">
        <f t="shared" si="23"/>
        <v>0.88213851761846906</v>
      </c>
      <c r="I728">
        <f t="shared" si="22"/>
        <v>5</v>
      </c>
    </row>
    <row r="729" spans="1:9" ht="48" x14ac:dyDescent="0.2">
      <c r="A729" t="s">
        <v>3192</v>
      </c>
      <c r="B729">
        <v>131583</v>
      </c>
      <c r="C729">
        <v>1968</v>
      </c>
      <c r="F729" s="4" t="s">
        <v>3406</v>
      </c>
      <c r="G729">
        <v>0.54408934382724461</v>
      </c>
      <c r="H729">
        <f t="shared" si="23"/>
        <v>0.88335358444714462</v>
      </c>
      <c r="I729">
        <f t="shared" si="22"/>
        <v>5</v>
      </c>
    </row>
    <row r="730" spans="1:9" ht="48" x14ac:dyDescent="0.2">
      <c r="A730" t="s">
        <v>3718</v>
      </c>
      <c r="B730">
        <v>131897</v>
      </c>
      <c r="C730">
        <v>2349</v>
      </c>
      <c r="F730" s="4" t="s">
        <v>3299</v>
      </c>
      <c r="G730">
        <v>0.54495597437769649</v>
      </c>
      <c r="H730">
        <f t="shared" si="23"/>
        <v>0.88456865127582018</v>
      </c>
      <c r="I730">
        <f t="shared" si="22"/>
        <v>5</v>
      </c>
    </row>
    <row r="731" spans="1:9" ht="48" x14ac:dyDescent="0.2">
      <c r="A731" t="s">
        <v>3788</v>
      </c>
      <c r="B731">
        <v>131992</v>
      </c>
      <c r="C731">
        <v>2518</v>
      </c>
      <c r="F731" s="4" t="s">
        <v>3313</v>
      </c>
      <c r="G731">
        <v>0.5480944682283948</v>
      </c>
      <c r="H731">
        <f t="shared" si="23"/>
        <v>0.88578371810449574</v>
      </c>
      <c r="I731">
        <f t="shared" si="22"/>
        <v>5</v>
      </c>
    </row>
    <row r="732" spans="1:9" ht="48" x14ac:dyDescent="0.2">
      <c r="A732" t="s">
        <v>3300</v>
      </c>
      <c r="B732">
        <v>132740</v>
      </c>
      <c r="C732">
        <v>1939</v>
      </c>
      <c r="F732" s="4" t="s">
        <v>3368</v>
      </c>
      <c r="G732">
        <v>0.55063669214775679</v>
      </c>
      <c r="H732">
        <f t="shared" si="23"/>
        <v>0.8869987849331713</v>
      </c>
      <c r="I732">
        <f t="shared" si="22"/>
        <v>5</v>
      </c>
    </row>
    <row r="733" spans="1:9" ht="48" x14ac:dyDescent="0.2">
      <c r="A733" t="s">
        <v>3128</v>
      </c>
      <c r="B733">
        <v>133417</v>
      </c>
      <c r="C733">
        <v>1791</v>
      </c>
      <c r="F733" s="4" t="s">
        <v>3364</v>
      </c>
      <c r="G733">
        <v>0.55275893688833844</v>
      </c>
      <c r="H733">
        <f t="shared" si="23"/>
        <v>0.88821385176184686</v>
      </c>
      <c r="I733">
        <f t="shared" si="22"/>
        <v>5</v>
      </c>
    </row>
    <row r="734" spans="1:9" ht="48" x14ac:dyDescent="0.2">
      <c r="A734" t="s">
        <v>3847</v>
      </c>
      <c r="B734">
        <v>133482</v>
      </c>
      <c r="C734">
        <v>2844</v>
      </c>
      <c r="F734" s="4" t="s">
        <v>3191</v>
      </c>
      <c r="G734">
        <v>0.55372228907417864</v>
      </c>
      <c r="H734">
        <f t="shared" si="23"/>
        <v>0.88942891859052253</v>
      </c>
      <c r="I734">
        <f t="shared" si="22"/>
        <v>5</v>
      </c>
    </row>
    <row r="735" spans="1:9" ht="48" x14ac:dyDescent="0.2">
      <c r="A735" t="s">
        <v>3100</v>
      </c>
      <c r="B735">
        <v>133984</v>
      </c>
      <c r="C735">
        <v>1768</v>
      </c>
      <c r="F735" s="4" t="s">
        <v>3366</v>
      </c>
      <c r="G735">
        <v>0.5540389473674211</v>
      </c>
      <c r="H735">
        <f t="shared" si="23"/>
        <v>0.89064398541919809</v>
      </c>
      <c r="I735">
        <f t="shared" si="22"/>
        <v>5</v>
      </c>
    </row>
    <row r="736" spans="1:9" ht="48" x14ac:dyDescent="0.2">
      <c r="A736" t="s">
        <v>3714</v>
      </c>
      <c r="B736">
        <v>133988</v>
      </c>
      <c r="C736">
        <v>2313</v>
      </c>
      <c r="F736" s="4" t="s">
        <v>3485</v>
      </c>
      <c r="G736">
        <v>0.55553526170826462</v>
      </c>
      <c r="H736">
        <f t="shared" si="23"/>
        <v>0.89185905224787365</v>
      </c>
      <c r="I736">
        <f t="shared" si="22"/>
        <v>5</v>
      </c>
    </row>
    <row r="737" spans="1:9" ht="48" x14ac:dyDescent="0.2">
      <c r="A737" t="s">
        <v>3697</v>
      </c>
      <c r="B737">
        <v>135197</v>
      </c>
      <c r="C737">
        <v>2328</v>
      </c>
      <c r="F737" s="4" t="s">
        <v>3536</v>
      </c>
      <c r="G737">
        <v>0.55630258304174962</v>
      </c>
      <c r="H737">
        <f t="shared" si="23"/>
        <v>0.89307411907654921</v>
      </c>
      <c r="I737">
        <f t="shared" si="22"/>
        <v>5</v>
      </c>
    </row>
    <row r="738" spans="1:9" ht="48" x14ac:dyDescent="0.2">
      <c r="A738" t="s">
        <v>3577</v>
      </c>
      <c r="B738">
        <v>136053</v>
      </c>
      <c r="C738">
        <v>2168</v>
      </c>
      <c r="F738" s="4" t="s">
        <v>3189</v>
      </c>
      <c r="G738">
        <v>0.55722730595208614</v>
      </c>
      <c r="H738">
        <f t="shared" si="23"/>
        <v>0.89428918590522477</v>
      </c>
      <c r="I738">
        <f t="shared" si="22"/>
        <v>5</v>
      </c>
    </row>
    <row r="739" spans="1:9" ht="48" x14ac:dyDescent="0.2">
      <c r="A739" t="s">
        <v>3499</v>
      </c>
      <c r="B739">
        <v>136103</v>
      </c>
      <c r="C739">
        <v>2080</v>
      </c>
      <c r="F739" s="4" t="s">
        <v>3157</v>
      </c>
      <c r="G739">
        <v>0.55852322889483208</v>
      </c>
      <c r="H739">
        <f t="shared" si="23"/>
        <v>0.89550425273390033</v>
      </c>
      <c r="I739">
        <f t="shared" si="22"/>
        <v>5</v>
      </c>
    </row>
    <row r="740" spans="1:9" ht="48" x14ac:dyDescent="0.2">
      <c r="A740" t="s">
        <v>3669</v>
      </c>
      <c r="B740">
        <v>136495</v>
      </c>
      <c r="C740">
        <v>2403</v>
      </c>
      <c r="F740" s="4" t="s">
        <v>3249</v>
      </c>
      <c r="G740">
        <v>0.55907684789471601</v>
      </c>
      <c r="H740">
        <f t="shared" si="23"/>
        <v>0.89671931956257589</v>
      </c>
      <c r="I740">
        <f t="shared" si="22"/>
        <v>5</v>
      </c>
    </row>
    <row r="741" spans="1:9" ht="48" x14ac:dyDescent="0.2">
      <c r="A741" t="s">
        <v>3238</v>
      </c>
      <c r="B741">
        <v>136719</v>
      </c>
      <c r="C741">
        <v>1985</v>
      </c>
      <c r="F741" s="4" t="s">
        <v>3243</v>
      </c>
      <c r="G741">
        <v>0.55912913734902892</v>
      </c>
      <c r="H741">
        <f t="shared" si="23"/>
        <v>0.89793438639125156</v>
      </c>
      <c r="I741">
        <f t="shared" si="22"/>
        <v>5</v>
      </c>
    </row>
    <row r="742" spans="1:9" ht="48" x14ac:dyDescent="0.2">
      <c r="A742" t="s">
        <v>3031</v>
      </c>
      <c r="B742">
        <v>136855</v>
      </c>
      <c r="C742">
        <v>1528</v>
      </c>
      <c r="F742" s="4" t="s">
        <v>3469</v>
      </c>
      <c r="G742">
        <v>0.56073474090893682</v>
      </c>
      <c r="H742">
        <f t="shared" si="23"/>
        <v>0.89914945321992712</v>
      </c>
      <c r="I742">
        <f t="shared" si="22"/>
        <v>5</v>
      </c>
    </row>
    <row r="743" spans="1:9" ht="48" x14ac:dyDescent="0.2">
      <c r="A743" t="s">
        <v>3645</v>
      </c>
      <c r="B743">
        <v>137361</v>
      </c>
      <c r="C743">
        <v>2262</v>
      </c>
      <c r="F743" s="4" t="s">
        <v>3159</v>
      </c>
      <c r="G743">
        <v>0.56124296491619396</v>
      </c>
      <c r="H743">
        <f t="shared" si="23"/>
        <v>0.90036452004860268</v>
      </c>
      <c r="I743">
        <f t="shared" si="22"/>
        <v>5</v>
      </c>
    </row>
    <row r="744" spans="1:9" ht="64" x14ac:dyDescent="0.2">
      <c r="A744" t="s">
        <v>3727</v>
      </c>
      <c r="B744">
        <v>138169</v>
      </c>
      <c r="C744">
        <v>2364</v>
      </c>
      <c r="F744" s="4" t="s">
        <v>3422</v>
      </c>
      <c r="G744">
        <v>0.56317688258210197</v>
      </c>
      <c r="H744">
        <f t="shared" si="23"/>
        <v>0.90157958687727824</v>
      </c>
      <c r="I744">
        <f t="shared" si="22"/>
        <v>5</v>
      </c>
    </row>
    <row r="745" spans="1:9" ht="48" x14ac:dyDescent="0.2">
      <c r="A745" t="s">
        <v>3849</v>
      </c>
      <c r="B745">
        <v>138542</v>
      </c>
      <c r="C745">
        <v>3132</v>
      </c>
      <c r="F745" s="4" t="s">
        <v>3199</v>
      </c>
      <c r="G745">
        <v>0.56426163772449434</v>
      </c>
      <c r="H745">
        <f t="shared" si="23"/>
        <v>0.9027946537059538</v>
      </c>
      <c r="I745">
        <f t="shared" si="22"/>
        <v>5</v>
      </c>
    </row>
    <row r="746" spans="1:9" ht="48" x14ac:dyDescent="0.2">
      <c r="A746" t="s">
        <v>3074</v>
      </c>
      <c r="B746">
        <v>138542</v>
      </c>
      <c r="C746">
        <v>1949</v>
      </c>
      <c r="F746" s="4" t="s">
        <v>3237</v>
      </c>
      <c r="G746">
        <v>0.56901110081707462</v>
      </c>
      <c r="H746">
        <f t="shared" si="23"/>
        <v>0.90400972053462936</v>
      </c>
      <c r="I746">
        <f t="shared" si="22"/>
        <v>5</v>
      </c>
    </row>
    <row r="747" spans="1:9" ht="48" x14ac:dyDescent="0.2">
      <c r="A747" t="s">
        <v>3778</v>
      </c>
      <c r="B747">
        <v>138686</v>
      </c>
      <c r="C747">
        <v>2581</v>
      </c>
      <c r="F747" s="4" t="s">
        <v>3147</v>
      </c>
      <c r="G747">
        <v>0.5726616532010097</v>
      </c>
      <c r="H747">
        <f t="shared" si="23"/>
        <v>0.90522478736330503</v>
      </c>
      <c r="I747">
        <f t="shared" si="22"/>
        <v>5</v>
      </c>
    </row>
    <row r="748" spans="1:9" ht="48" x14ac:dyDescent="0.2">
      <c r="A748" t="s">
        <v>3560</v>
      </c>
      <c r="B748">
        <v>139000</v>
      </c>
      <c r="C748">
        <v>2313</v>
      </c>
      <c r="F748" s="4" t="s">
        <v>3181</v>
      </c>
      <c r="G748">
        <v>0.57375856289115179</v>
      </c>
      <c r="H748">
        <f t="shared" si="23"/>
        <v>0.90643985419198059</v>
      </c>
      <c r="I748">
        <f t="shared" si="22"/>
        <v>5</v>
      </c>
    </row>
    <row r="749" spans="1:9" ht="48" x14ac:dyDescent="0.2">
      <c r="A749" t="s">
        <v>3070</v>
      </c>
      <c r="B749">
        <v>139236</v>
      </c>
      <c r="C749">
        <v>1892</v>
      </c>
      <c r="F749" s="4" t="s">
        <v>3133</v>
      </c>
      <c r="G749">
        <v>0.57770388483876678</v>
      </c>
      <c r="H749">
        <f t="shared" si="23"/>
        <v>0.90765492102065615</v>
      </c>
      <c r="I749">
        <f t="shared" si="22"/>
        <v>5</v>
      </c>
    </row>
    <row r="750" spans="1:9" ht="48" x14ac:dyDescent="0.2">
      <c r="A750" t="s">
        <v>3803</v>
      </c>
      <c r="B750">
        <v>139313</v>
      </c>
      <c r="C750">
        <v>2531</v>
      </c>
      <c r="F750" s="4" t="s">
        <v>3203</v>
      </c>
      <c r="G750">
        <v>0.58138515142340441</v>
      </c>
      <c r="H750">
        <f t="shared" si="23"/>
        <v>0.90886998784933171</v>
      </c>
      <c r="I750">
        <f t="shared" si="22"/>
        <v>5</v>
      </c>
    </row>
    <row r="751" spans="1:9" ht="48" x14ac:dyDescent="0.2">
      <c r="A751" t="s">
        <v>3210</v>
      </c>
      <c r="B751">
        <v>140000</v>
      </c>
      <c r="C751">
        <v>2038</v>
      </c>
      <c r="F751" s="4" t="s">
        <v>3115</v>
      </c>
      <c r="G751">
        <v>0.58199370308593157</v>
      </c>
      <c r="H751">
        <f t="shared" si="23"/>
        <v>0.91008505467800727</v>
      </c>
      <c r="I751">
        <f t="shared" si="22"/>
        <v>5</v>
      </c>
    </row>
    <row r="752" spans="1:9" ht="48" x14ac:dyDescent="0.2">
      <c r="A752" t="s">
        <v>3833</v>
      </c>
      <c r="B752">
        <v>140278</v>
      </c>
      <c r="C752">
        <v>2698</v>
      </c>
      <c r="F752" s="4" t="s">
        <v>3380</v>
      </c>
      <c r="G752">
        <v>0.58306750640885652</v>
      </c>
      <c r="H752">
        <f t="shared" si="23"/>
        <v>0.91130012150668283</v>
      </c>
      <c r="I752">
        <f t="shared" si="22"/>
        <v>5</v>
      </c>
    </row>
    <row r="753" spans="1:9" ht="48" x14ac:dyDescent="0.2">
      <c r="A753" t="s">
        <v>3791</v>
      </c>
      <c r="B753">
        <v>140337</v>
      </c>
      <c r="C753">
        <v>2456</v>
      </c>
      <c r="F753" s="4" t="s">
        <v>3311</v>
      </c>
      <c r="G753">
        <v>0.58335779733666981</v>
      </c>
      <c r="H753">
        <f t="shared" si="23"/>
        <v>0.9125151883353585</v>
      </c>
      <c r="I753">
        <f t="shared" si="22"/>
        <v>5</v>
      </c>
    </row>
    <row r="754" spans="1:9" ht="48" x14ac:dyDescent="0.2">
      <c r="A754" t="s">
        <v>3614</v>
      </c>
      <c r="B754">
        <v>140625</v>
      </c>
      <c r="C754">
        <v>2333</v>
      </c>
      <c r="F754" s="4" t="s">
        <v>3111</v>
      </c>
      <c r="G754">
        <v>0.58523723619363488</v>
      </c>
      <c r="H754">
        <f t="shared" si="23"/>
        <v>0.91373025516403406</v>
      </c>
      <c r="I754">
        <f t="shared" si="22"/>
        <v>5</v>
      </c>
    </row>
    <row r="755" spans="1:9" ht="48" x14ac:dyDescent="0.2">
      <c r="A755" t="s">
        <v>3441</v>
      </c>
      <c r="B755">
        <v>141765</v>
      </c>
      <c r="C755">
        <v>2426</v>
      </c>
      <c r="F755" s="4" t="s">
        <v>3247</v>
      </c>
      <c r="G755">
        <v>0.59059046136352622</v>
      </c>
      <c r="H755">
        <f t="shared" si="23"/>
        <v>0.91494532199270961</v>
      </c>
      <c r="I755">
        <f t="shared" si="22"/>
        <v>5</v>
      </c>
    </row>
    <row r="756" spans="1:9" ht="48" x14ac:dyDescent="0.2">
      <c r="A756" t="s">
        <v>3138</v>
      </c>
      <c r="B756">
        <v>141914</v>
      </c>
      <c r="C756">
        <v>1960</v>
      </c>
      <c r="F756" s="4" t="s">
        <v>3141</v>
      </c>
      <c r="G756">
        <v>0.59411710356832825</v>
      </c>
      <c r="H756">
        <f t="shared" si="23"/>
        <v>0.91616038882138517</v>
      </c>
      <c r="I756">
        <f t="shared" si="22"/>
        <v>5</v>
      </c>
    </row>
    <row r="757" spans="1:9" ht="48" x14ac:dyDescent="0.2">
      <c r="A757" t="s">
        <v>3118</v>
      </c>
      <c r="B757">
        <v>142566</v>
      </c>
      <c r="C757">
        <v>1910</v>
      </c>
      <c r="F757" s="4" t="s">
        <v>3315</v>
      </c>
      <c r="G757">
        <v>0.59501316017387729</v>
      </c>
      <c r="H757">
        <f t="shared" si="23"/>
        <v>0.91737545565006073</v>
      </c>
      <c r="I757">
        <f t="shared" si="22"/>
        <v>5</v>
      </c>
    </row>
    <row r="758" spans="1:9" ht="48" x14ac:dyDescent="0.2">
      <c r="A758" t="s">
        <v>3628</v>
      </c>
      <c r="B758">
        <v>143141</v>
      </c>
      <c r="C758">
        <v>2407</v>
      </c>
      <c r="F758" s="4" t="s">
        <v>3352</v>
      </c>
      <c r="G758">
        <v>0.59605915823841549</v>
      </c>
      <c r="H758">
        <f t="shared" si="23"/>
        <v>0.91859052247873629</v>
      </c>
      <c r="I758">
        <f t="shared" si="22"/>
        <v>5</v>
      </c>
    </row>
    <row r="759" spans="1:9" ht="48" x14ac:dyDescent="0.2">
      <c r="A759" t="s">
        <v>3814</v>
      </c>
      <c r="B759">
        <v>143182</v>
      </c>
      <c r="C759">
        <v>2775</v>
      </c>
      <c r="F759" s="4" t="s">
        <v>3219</v>
      </c>
      <c r="G759">
        <v>0.59616021203437897</v>
      </c>
      <c r="H759">
        <f t="shared" si="23"/>
        <v>0.91980558930741185</v>
      </c>
      <c r="I759">
        <f t="shared" si="22"/>
        <v>5</v>
      </c>
    </row>
    <row r="760" spans="1:9" ht="48" x14ac:dyDescent="0.2">
      <c r="A760" t="s">
        <v>3290</v>
      </c>
      <c r="B760">
        <v>144250</v>
      </c>
      <c r="C760">
        <v>2291</v>
      </c>
      <c r="F760" s="4" t="s">
        <v>3187</v>
      </c>
      <c r="G760">
        <v>0.59661026751188306</v>
      </c>
      <c r="H760">
        <f t="shared" si="23"/>
        <v>0.92102065613608752</v>
      </c>
      <c r="I760">
        <f t="shared" si="22"/>
        <v>5</v>
      </c>
    </row>
    <row r="761" spans="1:9" ht="64" x14ac:dyDescent="0.2">
      <c r="A761" t="s">
        <v>3828</v>
      </c>
      <c r="B761">
        <v>144375</v>
      </c>
      <c r="C761">
        <v>2854</v>
      </c>
      <c r="F761" s="4" t="s">
        <v>3037</v>
      </c>
      <c r="G761">
        <v>0.59723165906261755</v>
      </c>
      <c r="H761">
        <f t="shared" si="23"/>
        <v>0.92223572296476308</v>
      </c>
      <c r="I761">
        <f t="shared" si="22"/>
        <v>5</v>
      </c>
    </row>
    <row r="762" spans="1:9" ht="48" x14ac:dyDescent="0.2">
      <c r="A762" t="s">
        <v>3805</v>
      </c>
      <c r="B762">
        <v>144519</v>
      </c>
      <c r="C762">
        <v>2570</v>
      </c>
      <c r="F762" s="4" t="s">
        <v>3217</v>
      </c>
      <c r="G762">
        <v>0.59948105171726762</v>
      </c>
      <c r="H762">
        <f t="shared" si="23"/>
        <v>0.92345078979343864</v>
      </c>
      <c r="I762">
        <f t="shared" si="22"/>
        <v>5</v>
      </c>
    </row>
    <row r="763" spans="1:9" ht="48" x14ac:dyDescent="0.2">
      <c r="A763" t="s">
        <v>3066</v>
      </c>
      <c r="B763">
        <v>144886</v>
      </c>
      <c r="C763">
        <v>1967</v>
      </c>
      <c r="F763" s="4" t="s">
        <v>3131</v>
      </c>
      <c r="G763">
        <v>0.6051488839945216</v>
      </c>
      <c r="H763">
        <f t="shared" si="23"/>
        <v>0.9246658566221142</v>
      </c>
      <c r="I763">
        <f t="shared" si="22"/>
        <v>5</v>
      </c>
    </row>
    <row r="764" spans="1:9" ht="48" x14ac:dyDescent="0.2">
      <c r="A764" t="s">
        <v>3817</v>
      </c>
      <c r="B764">
        <v>145125</v>
      </c>
      <c r="C764">
        <v>2718</v>
      </c>
      <c r="F764" s="4" t="s">
        <v>3135</v>
      </c>
      <c r="G764">
        <v>0.60736442757696341</v>
      </c>
      <c r="H764">
        <f t="shared" si="23"/>
        <v>0.92588092345078976</v>
      </c>
      <c r="I764">
        <f t="shared" si="22"/>
        <v>5</v>
      </c>
    </row>
    <row r="765" spans="1:9" ht="48" x14ac:dyDescent="0.2">
      <c r="A765" t="s">
        <v>3851</v>
      </c>
      <c r="B765">
        <v>145625</v>
      </c>
      <c r="C765">
        <v>3144</v>
      </c>
      <c r="F765" s="4" t="s">
        <v>3061</v>
      </c>
      <c r="G765">
        <v>0.6086258376348479</v>
      </c>
      <c r="H765">
        <f t="shared" si="23"/>
        <v>0.92709599027946532</v>
      </c>
      <c r="I765">
        <f t="shared" si="22"/>
        <v>5</v>
      </c>
    </row>
    <row r="766" spans="1:9" ht="48" x14ac:dyDescent="0.2">
      <c r="A766" t="s">
        <v>3487</v>
      </c>
      <c r="B766">
        <v>147778</v>
      </c>
      <c r="C766">
        <v>2361</v>
      </c>
      <c r="F766" s="4" t="s">
        <v>3125</v>
      </c>
      <c r="G766">
        <v>0.61180798783307444</v>
      </c>
      <c r="H766">
        <f t="shared" si="23"/>
        <v>0.92831105710814099</v>
      </c>
      <c r="I766">
        <f t="shared" si="22"/>
        <v>5</v>
      </c>
    </row>
    <row r="767" spans="1:9" ht="48" x14ac:dyDescent="0.2">
      <c r="A767" t="s">
        <v>3767</v>
      </c>
      <c r="B767">
        <v>148804</v>
      </c>
      <c r="C767">
        <v>2670</v>
      </c>
      <c r="F767" s="4" t="s">
        <v>3183</v>
      </c>
      <c r="G767">
        <v>0.61462350676595534</v>
      </c>
      <c r="H767">
        <f t="shared" si="23"/>
        <v>0.92952612393681655</v>
      </c>
      <c r="I767">
        <f t="shared" si="22"/>
        <v>5</v>
      </c>
    </row>
    <row r="768" spans="1:9" ht="64" x14ac:dyDescent="0.2">
      <c r="A768" t="s">
        <v>3462</v>
      </c>
      <c r="B768">
        <v>149107</v>
      </c>
      <c r="C768">
        <v>2238</v>
      </c>
      <c r="F768" s="4" t="s">
        <v>3129</v>
      </c>
      <c r="G768">
        <v>0.61612104424244762</v>
      </c>
      <c r="H768">
        <f t="shared" si="23"/>
        <v>0.93074119076549211</v>
      </c>
      <c r="I768">
        <f t="shared" si="22"/>
        <v>5</v>
      </c>
    </row>
    <row r="769" spans="1:9" ht="48" x14ac:dyDescent="0.2">
      <c r="A769" t="s">
        <v>3308</v>
      </c>
      <c r="B769">
        <v>152321</v>
      </c>
      <c r="C769">
        <v>2569</v>
      </c>
      <c r="F769" s="4" t="s">
        <v>3103</v>
      </c>
      <c r="G769">
        <v>0.62004107804800823</v>
      </c>
      <c r="H769">
        <f t="shared" si="23"/>
        <v>0.93195625759416767</v>
      </c>
      <c r="I769">
        <f t="shared" si="22"/>
        <v>5</v>
      </c>
    </row>
    <row r="770" spans="1:9" ht="48" x14ac:dyDescent="0.2">
      <c r="A770" t="s">
        <v>3529</v>
      </c>
      <c r="B770">
        <v>152708</v>
      </c>
      <c r="C770">
        <v>2467</v>
      </c>
      <c r="F770" s="4" t="s">
        <v>3055</v>
      </c>
      <c r="G770">
        <v>0.6206043742640216</v>
      </c>
      <c r="H770">
        <f t="shared" si="23"/>
        <v>0.93317132442284323</v>
      </c>
      <c r="I770">
        <f t="shared" si="22"/>
        <v>5</v>
      </c>
    </row>
    <row r="771" spans="1:9" ht="48" x14ac:dyDescent="0.2">
      <c r="A771" t="s">
        <v>3605</v>
      </c>
      <c r="B771">
        <v>153267</v>
      </c>
      <c r="C771">
        <v>2492</v>
      </c>
      <c r="F771" s="4" t="s">
        <v>3221</v>
      </c>
      <c r="G771">
        <v>0.62438444162427387</v>
      </c>
      <c r="H771">
        <f t="shared" si="23"/>
        <v>0.93438639125151879</v>
      </c>
      <c r="I771">
        <f t="shared" ref="I771:I825" si="24">IF(H771&lt;0.2,1,IF(H771&lt;0.4,2,IF(H771&lt;0.6,3,IF(H771&lt;0.8,4,5))))</f>
        <v>5</v>
      </c>
    </row>
    <row r="772" spans="1:9" ht="48" x14ac:dyDescent="0.2">
      <c r="A772" t="s">
        <v>3242</v>
      </c>
      <c r="B772">
        <v>153878</v>
      </c>
      <c r="C772">
        <v>2253</v>
      </c>
      <c r="F772" s="4" t="s">
        <v>3161</v>
      </c>
      <c r="G772">
        <v>0.62847493503183671</v>
      </c>
      <c r="H772">
        <f t="shared" ref="H772:H825" si="25">_xlfn.RANK.EQ(G772,$G$3:$G$825,1)/COUNT($G$3:$G$825)</f>
        <v>0.93560145808019446</v>
      </c>
      <c r="I772">
        <f t="shared" si="24"/>
        <v>5</v>
      </c>
    </row>
    <row r="773" spans="1:9" ht="48" x14ac:dyDescent="0.2">
      <c r="A773" t="s">
        <v>3795</v>
      </c>
      <c r="B773">
        <v>159338</v>
      </c>
      <c r="C773">
        <v>2946</v>
      </c>
      <c r="F773" s="4" t="s">
        <v>3335</v>
      </c>
      <c r="G773">
        <v>0.62899177915685123</v>
      </c>
      <c r="H773">
        <f t="shared" si="25"/>
        <v>0.93681652490887002</v>
      </c>
      <c r="I773">
        <f t="shared" si="24"/>
        <v>5</v>
      </c>
    </row>
    <row r="774" spans="1:9" ht="48" x14ac:dyDescent="0.2">
      <c r="A774" t="s">
        <v>3619</v>
      </c>
      <c r="B774">
        <v>163315</v>
      </c>
      <c r="C774">
        <v>2544</v>
      </c>
      <c r="F774" s="4" t="s">
        <v>3071</v>
      </c>
      <c r="G774">
        <v>0.62983990451232974</v>
      </c>
      <c r="H774">
        <f t="shared" si="25"/>
        <v>0.93803159173754558</v>
      </c>
      <c r="I774">
        <f t="shared" si="24"/>
        <v>5</v>
      </c>
    </row>
    <row r="775" spans="1:9" ht="48" x14ac:dyDescent="0.2">
      <c r="A775" t="s">
        <v>3679</v>
      </c>
      <c r="B775">
        <v>163438</v>
      </c>
      <c r="C775">
        <v>2692</v>
      </c>
      <c r="F775" s="4" t="s">
        <v>3245</v>
      </c>
      <c r="G775">
        <v>0.63107440917172786</v>
      </c>
      <c r="H775">
        <f t="shared" si="25"/>
        <v>0.93924665856622114</v>
      </c>
      <c r="I775">
        <f t="shared" si="24"/>
        <v>5</v>
      </c>
    </row>
    <row r="776" spans="1:9" ht="48" x14ac:dyDescent="0.2">
      <c r="A776" t="s">
        <v>3341</v>
      </c>
      <c r="B776">
        <v>164063</v>
      </c>
      <c r="C776">
        <v>2436</v>
      </c>
      <c r="F776" s="4" t="s">
        <v>3153</v>
      </c>
      <c r="G776">
        <v>0.63332981334249927</v>
      </c>
      <c r="H776">
        <f t="shared" si="25"/>
        <v>0.9404617253948967</v>
      </c>
      <c r="I776">
        <f t="shared" si="24"/>
        <v>5</v>
      </c>
    </row>
    <row r="777" spans="1:9" ht="64" x14ac:dyDescent="0.2">
      <c r="A777" t="s">
        <v>3839</v>
      </c>
      <c r="B777">
        <v>166677</v>
      </c>
      <c r="C777">
        <v>3214</v>
      </c>
      <c r="F777" s="4" t="s">
        <v>3267</v>
      </c>
      <c r="G777">
        <v>0.63460479539602932</v>
      </c>
      <c r="H777">
        <f t="shared" si="25"/>
        <v>0.94167679222357226</v>
      </c>
      <c r="I777">
        <f t="shared" si="24"/>
        <v>5</v>
      </c>
    </row>
    <row r="778" spans="1:9" ht="48" x14ac:dyDescent="0.2">
      <c r="A778" t="s">
        <v>3704</v>
      </c>
      <c r="B778">
        <v>166908</v>
      </c>
      <c r="C778">
        <v>2824</v>
      </c>
      <c r="F778" s="4" t="s">
        <v>3571</v>
      </c>
      <c r="G778">
        <v>0.6364141126903694</v>
      </c>
      <c r="H778">
        <f t="shared" si="25"/>
        <v>0.94289185905224793</v>
      </c>
      <c r="I778">
        <f t="shared" si="24"/>
        <v>5</v>
      </c>
    </row>
    <row r="779" spans="1:9" ht="48" x14ac:dyDescent="0.2">
      <c r="A779" t="s">
        <v>3523</v>
      </c>
      <c r="B779">
        <v>167400</v>
      </c>
      <c r="C779">
        <v>2642</v>
      </c>
      <c r="F779" s="4" t="s">
        <v>3121</v>
      </c>
      <c r="G779">
        <v>0.64147329040022483</v>
      </c>
      <c r="H779">
        <f t="shared" si="25"/>
        <v>0.94410692588092349</v>
      </c>
      <c r="I779">
        <f t="shared" si="24"/>
        <v>5</v>
      </c>
    </row>
    <row r="780" spans="1:9" ht="48" x14ac:dyDescent="0.2">
      <c r="A780" t="s">
        <v>3268</v>
      </c>
      <c r="B780">
        <v>168672</v>
      </c>
      <c r="C780">
        <v>2397</v>
      </c>
      <c r="F780" s="4" t="s">
        <v>3213</v>
      </c>
      <c r="G780">
        <v>0.64171752312656727</v>
      </c>
      <c r="H780">
        <f t="shared" si="25"/>
        <v>0.94532199270959905</v>
      </c>
      <c r="I780">
        <f t="shared" si="24"/>
        <v>5</v>
      </c>
    </row>
    <row r="781" spans="1:9" ht="48" x14ac:dyDescent="0.2">
      <c r="A781" t="s">
        <v>3433</v>
      </c>
      <c r="B781">
        <v>168846</v>
      </c>
      <c r="C781">
        <v>2638</v>
      </c>
      <c r="F781" s="4" t="s">
        <v>3109</v>
      </c>
      <c r="G781">
        <v>0.64711234490233216</v>
      </c>
      <c r="H781">
        <f t="shared" si="25"/>
        <v>0.94653705953827461</v>
      </c>
      <c r="I781">
        <f t="shared" si="24"/>
        <v>5</v>
      </c>
    </row>
    <row r="782" spans="1:9" ht="48" x14ac:dyDescent="0.2">
      <c r="A782" t="s">
        <v>3264</v>
      </c>
      <c r="B782">
        <v>169688</v>
      </c>
      <c r="C782">
        <v>2347</v>
      </c>
      <c r="F782" s="4" t="s">
        <v>3185</v>
      </c>
      <c r="G782">
        <v>0.65386311553271403</v>
      </c>
      <c r="H782">
        <f t="shared" si="25"/>
        <v>0.94775212636695016</v>
      </c>
      <c r="I782">
        <f t="shared" si="24"/>
        <v>5</v>
      </c>
    </row>
    <row r="783" spans="1:9" ht="48" x14ac:dyDescent="0.2">
      <c r="A783" t="s">
        <v>3692</v>
      </c>
      <c r="B783">
        <v>169810</v>
      </c>
      <c r="C783">
        <v>2925</v>
      </c>
      <c r="F783" s="4" t="s">
        <v>3201</v>
      </c>
      <c r="G783">
        <v>0.65967124997070525</v>
      </c>
      <c r="H783">
        <f t="shared" si="25"/>
        <v>0.94896719319562572</v>
      </c>
      <c r="I783">
        <f t="shared" si="24"/>
        <v>5</v>
      </c>
    </row>
    <row r="784" spans="1:9" ht="48" x14ac:dyDescent="0.2">
      <c r="A784" t="s">
        <v>3838</v>
      </c>
      <c r="B784">
        <v>170972</v>
      </c>
      <c r="C784">
        <v>3328</v>
      </c>
      <c r="F784" s="4" t="s">
        <v>3459</v>
      </c>
      <c r="G784">
        <v>0.66173238312480664</v>
      </c>
      <c r="H784">
        <f t="shared" si="25"/>
        <v>0.95018226002430128</v>
      </c>
      <c r="I784">
        <f t="shared" si="24"/>
        <v>5</v>
      </c>
    </row>
    <row r="785" spans="1:9" ht="48" x14ac:dyDescent="0.2">
      <c r="A785" t="s">
        <v>3741</v>
      </c>
      <c r="B785">
        <v>171250</v>
      </c>
      <c r="C785">
        <v>3043</v>
      </c>
      <c r="F785" s="4" t="s">
        <v>3145</v>
      </c>
      <c r="G785">
        <v>0.66305123281760381</v>
      </c>
      <c r="H785">
        <f t="shared" si="25"/>
        <v>0.95139732685297695</v>
      </c>
      <c r="I785">
        <f t="shared" si="24"/>
        <v>5</v>
      </c>
    </row>
    <row r="786" spans="1:9" ht="48" x14ac:dyDescent="0.2">
      <c r="A786" t="s">
        <v>3038</v>
      </c>
      <c r="B786">
        <v>172031</v>
      </c>
      <c r="C786">
        <v>2065</v>
      </c>
      <c r="F786" s="4" t="s">
        <v>3209</v>
      </c>
      <c r="G786">
        <v>0.66441136515237975</v>
      </c>
      <c r="H786">
        <f t="shared" si="25"/>
        <v>0.95261239368165251</v>
      </c>
      <c r="I786">
        <f t="shared" si="24"/>
        <v>5</v>
      </c>
    </row>
    <row r="787" spans="1:9" ht="48" x14ac:dyDescent="0.2">
      <c r="A787" t="s">
        <v>3110</v>
      </c>
      <c r="B787">
        <v>174375</v>
      </c>
      <c r="C787">
        <v>2346</v>
      </c>
      <c r="F787" s="4" t="s">
        <v>3069</v>
      </c>
      <c r="G787">
        <v>0.67353690955274126</v>
      </c>
      <c r="H787">
        <f t="shared" si="25"/>
        <v>0.95382746051032807</v>
      </c>
      <c r="I787">
        <f t="shared" si="24"/>
        <v>5</v>
      </c>
    </row>
    <row r="788" spans="1:9" ht="48" x14ac:dyDescent="0.2">
      <c r="A788" t="s">
        <v>3082</v>
      </c>
      <c r="B788">
        <v>174712</v>
      </c>
      <c r="C788">
        <v>2525</v>
      </c>
      <c r="F788" s="4" t="s">
        <v>3195</v>
      </c>
      <c r="G788">
        <v>0.67497274984400868</v>
      </c>
      <c r="H788">
        <f t="shared" si="25"/>
        <v>0.95504252733900363</v>
      </c>
      <c r="I788">
        <f t="shared" si="24"/>
        <v>5</v>
      </c>
    </row>
    <row r="789" spans="1:9" ht="48" x14ac:dyDescent="0.2">
      <c r="A789" t="s">
        <v>3582</v>
      </c>
      <c r="B789">
        <v>175000</v>
      </c>
      <c r="C789">
        <v>2833</v>
      </c>
      <c r="F789" s="4" t="s">
        <v>3053</v>
      </c>
      <c r="G789">
        <v>0.6757311691665927</v>
      </c>
      <c r="H789">
        <f t="shared" si="25"/>
        <v>0.95625759416767919</v>
      </c>
      <c r="I789">
        <f t="shared" si="24"/>
        <v>5</v>
      </c>
    </row>
    <row r="790" spans="1:9" ht="48" x14ac:dyDescent="0.2">
      <c r="A790" t="s">
        <v>3663</v>
      </c>
      <c r="B790">
        <v>175972</v>
      </c>
      <c r="C790">
        <v>3048</v>
      </c>
      <c r="F790" s="4" t="s">
        <v>3051</v>
      </c>
      <c r="G790">
        <v>0.68996139871308193</v>
      </c>
      <c r="H790">
        <f t="shared" si="25"/>
        <v>0.95747266099635475</v>
      </c>
      <c r="I790">
        <f t="shared" si="24"/>
        <v>5</v>
      </c>
    </row>
    <row r="791" spans="1:9" ht="48" x14ac:dyDescent="0.2">
      <c r="A791" t="s">
        <v>3818</v>
      </c>
      <c r="B791">
        <v>176875</v>
      </c>
      <c r="C791">
        <v>3267</v>
      </c>
      <c r="F791" s="4" t="s">
        <v>3233</v>
      </c>
      <c r="G791">
        <v>0.69083471259258444</v>
      </c>
      <c r="H791">
        <f t="shared" si="25"/>
        <v>0.95868772782503042</v>
      </c>
      <c r="I791">
        <f t="shared" si="24"/>
        <v>5</v>
      </c>
    </row>
    <row r="792" spans="1:9" ht="48" x14ac:dyDescent="0.2">
      <c r="A792" t="s">
        <v>3615</v>
      </c>
      <c r="B792">
        <v>177361</v>
      </c>
      <c r="C792">
        <v>2944</v>
      </c>
      <c r="F792" s="4" t="s">
        <v>3057</v>
      </c>
      <c r="G792">
        <v>0.69222093960369657</v>
      </c>
      <c r="H792">
        <f t="shared" si="25"/>
        <v>0.95990279465370598</v>
      </c>
      <c r="I792">
        <f t="shared" si="24"/>
        <v>5</v>
      </c>
    </row>
    <row r="793" spans="1:9" ht="64" x14ac:dyDescent="0.2">
      <c r="A793" t="s">
        <v>3322</v>
      </c>
      <c r="B793">
        <v>178696</v>
      </c>
      <c r="C793">
        <v>2676</v>
      </c>
      <c r="F793" s="4" t="s">
        <v>3065</v>
      </c>
      <c r="G793">
        <v>0.69335080270943583</v>
      </c>
      <c r="H793">
        <f t="shared" si="25"/>
        <v>0.96111786148238154</v>
      </c>
      <c r="I793">
        <f t="shared" si="24"/>
        <v>5</v>
      </c>
    </row>
    <row r="794" spans="1:9" ht="48" x14ac:dyDescent="0.2">
      <c r="A794" t="s">
        <v>3116</v>
      </c>
      <c r="B794">
        <v>179821</v>
      </c>
      <c r="C794">
        <v>2397</v>
      </c>
      <c r="F794" s="4" t="s">
        <v>3035</v>
      </c>
      <c r="G794">
        <v>0.69442052028284396</v>
      </c>
      <c r="H794">
        <f t="shared" si="25"/>
        <v>0.9623329283110571</v>
      </c>
      <c r="I794">
        <f t="shared" si="24"/>
        <v>5</v>
      </c>
    </row>
    <row r="795" spans="1:9" ht="48" x14ac:dyDescent="0.2">
      <c r="A795" t="s">
        <v>3598</v>
      </c>
      <c r="B795">
        <v>180694</v>
      </c>
      <c r="C795">
        <v>2864</v>
      </c>
      <c r="F795" s="4" t="s">
        <v>3091</v>
      </c>
      <c r="G795">
        <v>0.6965126491405772</v>
      </c>
      <c r="H795">
        <f t="shared" si="25"/>
        <v>0.96354799513973266</v>
      </c>
      <c r="I795">
        <f t="shared" si="24"/>
        <v>5</v>
      </c>
    </row>
    <row r="796" spans="1:9" ht="48" x14ac:dyDescent="0.2">
      <c r="A796" t="s">
        <v>3464</v>
      </c>
      <c r="B796">
        <v>186324</v>
      </c>
      <c r="C796">
        <v>2959</v>
      </c>
      <c r="F796" s="4" t="s">
        <v>3119</v>
      </c>
      <c r="G796">
        <v>0.69857705331820685</v>
      </c>
      <c r="H796">
        <f t="shared" si="25"/>
        <v>0.96476306196840822</v>
      </c>
      <c r="I796">
        <f t="shared" si="24"/>
        <v>5</v>
      </c>
    </row>
    <row r="797" spans="1:9" ht="48" x14ac:dyDescent="0.2">
      <c r="A797" t="s">
        <v>3846</v>
      </c>
      <c r="B797">
        <v>189712</v>
      </c>
      <c r="C797" s="13">
        <v>4000</v>
      </c>
      <c r="F797" s="4" t="s">
        <v>3079</v>
      </c>
      <c r="G797">
        <v>0.70207000073030534</v>
      </c>
      <c r="H797">
        <f t="shared" si="25"/>
        <v>0.96597812879708389</v>
      </c>
      <c r="I797">
        <f t="shared" si="24"/>
        <v>5</v>
      </c>
    </row>
    <row r="798" spans="1:9" ht="48" x14ac:dyDescent="0.2">
      <c r="A798" t="s">
        <v>3724</v>
      </c>
      <c r="B798">
        <v>191524</v>
      </c>
      <c r="C798">
        <v>3201</v>
      </c>
      <c r="F798" s="4" t="s">
        <v>3143</v>
      </c>
      <c r="G798">
        <v>0.7032355944830101</v>
      </c>
      <c r="H798">
        <f t="shared" si="25"/>
        <v>0.96719319562575945</v>
      </c>
      <c r="I798">
        <f t="shared" si="24"/>
        <v>5</v>
      </c>
    </row>
    <row r="799" spans="1:9" ht="48" x14ac:dyDescent="0.2">
      <c r="A799" t="s">
        <v>3841</v>
      </c>
      <c r="B799">
        <v>192222</v>
      </c>
      <c r="C799">
        <v>3654</v>
      </c>
      <c r="F799" s="4" t="s">
        <v>3123</v>
      </c>
      <c r="G799">
        <v>0.71615389206496416</v>
      </c>
      <c r="H799">
        <f t="shared" si="25"/>
        <v>0.96840826245443501</v>
      </c>
      <c r="I799">
        <f t="shared" si="24"/>
        <v>5</v>
      </c>
    </row>
    <row r="800" spans="1:9" ht="48" x14ac:dyDescent="0.2">
      <c r="A800" t="s">
        <v>3734</v>
      </c>
      <c r="B800">
        <v>195250</v>
      </c>
      <c r="C800">
        <v>3341</v>
      </c>
      <c r="F800" s="4" t="s">
        <v>3137</v>
      </c>
      <c r="G800">
        <v>0.71699684119435625</v>
      </c>
      <c r="H800">
        <f t="shared" si="25"/>
        <v>0.96962332928311057</v>
      </c>
      <c r="I800">
        <f t="shared" si="24"/>
        <v>5</v>
      </c>
    </row>
    <row r="801" spans="1:9" ht="48" x14ac:dyDescent="0.2">
      <c r="A801" t="s">
        <v>3168</v>
      </c>
      <c r="B801">
        <v>195357</v>
      </c>
      <c r="C801">
        <v>2589</v>
      </c>
      <c r="F801" s="4" t="s">
        <v>3139</v>
      </c>
      <c r="G801">
        <v>0.72481622733925999</v>
      </c>
      <c r="H801">
        <f t="shared" si="25"/>
        <v>0.97083839611178613</v>
      </c>
      <c r="I801">
        <f t="shared" si="24"/>
        <v>5</v>
      </c>
    </row>
    <row r="802" spans="1:9" ht="48" x14ac:dyDescent="0.2">
      <c r="A802" t="s">
        <v>3696</v>
      </c>
      <c r="B802">
        <v>196250</v>
      </c>
      <c r="C802">
        <v>3331</v>
      </c>
      <c r="F802" s="4" t="s">
        <v>3173</v>
      </c>
      <c r="G802">
        <v>0.73102122527163071</v>
      </c>
      <c r="H802">
        <f t="shared" si="25"/>
        <v>0.97205346294046169</v>
      </c>
      <c r="I802">
        <f t="shared" si="24"/>
        <v>5</v>
      </c>
    </row>
    <row r="803" spans="1:9" ht="48" x14ac:dyDescent="0.2">
      <c r="A803" t="s">
        <v>3716</v>
      </c>
      <c r="B803">
        <v>198281</v>
      </c>
      <c r="C803">
        <v>3417</v>
      </c>
      <c r="F803" s="4" t="s">
        <v>3073</v>
      </c>
      <c r="G803">
        <v>0.7344847323427065</v>
      </c>
      <c r="H803">
        <f t="shared" si="25"/>
        <v>0.97326852976913725</v>
      </c>
      <c r="I803">
        <f t="shared" si="24"/>
        <v>5</v>
      </c>
    </row>
    <row r="804" spans="1:9" ht="48" x14ac:dyDescent="0.2">
      <c r="A804" t="s">
        <v>3840</v>
      </c>
      <c r="B804">
        <v>202500</v>
      </c>
      <c r="C804" s="13">
        <v>4000</v>
      </c>
      <c r="F804" s="4" t="s">
        <v>3083</v>
      </c>
      <c r="G804">
        <v>0.73871788877535682</v>
      </c>
      <c r="H804">
        <f t="shared" si="25"/>
        <v>0.97448359659781292</v>
      </c>
      <c r="I804">
        <f t="shared" si="24"/>
        <v>5</v>
      </c>
    </row>
    <row r="805" spans="1:9" ht="48" x14ac:dyDescent="0.2">
      <c r="A805" t="s">
        <v>3654</v>
      </c>
      <c r="B805">
        <v>216500</v>
      </c>
      <c r="C805">
        <v>3418</v>
      </c>
      <c r="F805" s="4" t="s">
        <v>3149</v>
      </c>
      <c r="G805">
        <v>0.74488080792767797</v>
      </c>
      <c r="H805">
        <f t="shared" si="25"/>
        <v>0.97569866342648848</v>
      </c>
      <c r="I805">
        <f t="shared" si="24"/>
        <v>5</v>
      </c>
    </row>
    <row r="806" spans="1:9" ht="48" x14ac:dyDescent="0.2">
      <c r="A806" t="s">
        <v>3198</v>
      </c>
      <c r="B806">
        <v>219783</v>
      </c>
      <c r="C806">
        <v>3273</v>
      </c>
      <c r="F806" s="4" t="s">
        <v>3099</v>
      </c>
      <c r="G806">
        <v>0.74948241139948379</v>
      </c>
      <c r="H806">
        <f t="shared" si="25"/>
        <v>0.97691373025516404</v>
      </c>
      <c r="I806">
        <f t="shared" si="24"/>
        <v>5</v>
      </c>
    </row>
    <row r="807" spans="1:9" ht="48" x14ac:dyDescent="0.2">
      <c r="A807" t="s">
        <v>3830</v>
      </c>
      <c r="B807">
        <v>219792</v>
      </c>
      <c r="C807" s="13">
        <v>4000</v>
      </c>
      <c r="F807" s="4" t="s">
        <v>3177</v>
      </c>
      <c r="G807">
        <v>0.75159345059120475</v>
      </c>
      <c r="H807">
        <f t="shared" si="25"/>
        <v>0.9781287970838396</v>
      </c>
      <c r="I807">
        <f t="shared" si="24"/>
        <v>5</v>
      </c>
    </row>
    <row r="808" spans="1:9" ht="48" x14ac:dyDescent="0.2">
      <c r="A808" t="s">
        <v>3298</v>
      </c>
      <c r="B808">
        <v>222839</v>
      </c>
      <c r="C808">
        <v>3250</v>
      </c>
      <c r="F808" s="4" t="s">
        <v>3251</v>
      </c>
      <c r="G808">
        <v>0.75968600974502543</v>
      </c>
      <c r="H808">
        <f t="shared" si="25"/>
        <v>0.97934386391251516</v>
      </c>
      <c r="I808">
        <f t="shared" si="24"/>
        <v>5</v>
      </c>
    </row>
    <row r="809" spans="1:9" ht="48" x14ac:dyDescent="0.2">
      <c r="A809" t="s">
        <v>3505</v>
      </c>
      <c r="B809">
        <v>228558</v>
      </c>
      <c r="C809">
        <v>3756</v>
      </c>
      <c r="F809" s="4" t="s">
        <v>3087</v>
      </c>
      <c r="G809">
        <v>0.77378480320692844</v>
      </c>
      <c r="H809">
        <f t="shared" si="25"/>
        <v>0.98055893074119072</v>
      </c>
      <c r="I809">
        <f t="shared" si="24"/>
        <v>5</v>
      </c>
    </row>
    <row r="810" spans="1:9" ht="48" x14ac:dyDescent="0.2">
      <c r="A810" t="s">
        <v>3799</v>
      </c>
      <c r="B810">
        <v>229531</v>
      </c>
      <c r="C810">
        <v>3941</v>
      </c>
      <c r="F810" s="4" t="s">
        <v>3163</v>
      </c>
      <c r="G810">
        <v>0.7751019707516954</v>
      </c>
      <c r="H810">
        <f t="shared" si="25"/>
        <v>0.98177399756986639</v>
      </c>
      <c r="I810">
        <f t="shared" si="24"/>
        <v>5</v>
      </c>
    </row>
    <row r="811" spans="1:9" ht="48" x14ac:dyDescent="0.2">
      <c r="A811" t="s">
        <v>3468</v>
      </c>
      <c r="B811">
        <v>233750</v>
      </c>
      <c r="C811">
        <v>3644</v>
      </c>
      <c r="F811" s="4" t="s">
        <v>3155</v>
      </c>
      <c r="G811">
        <v>0.78665415368789204</v>
      </c>
      <c r="H811">
        <f t="shared" si="25"/>
        <v>0.98298906439854195</v>
      </c>
      <c r="I811">
        <f t="shared" si="24"/>
        <v>5</v>
      </c>
    </row>
    <row r="812" spans="1:9" ht="48" x14ac:dyDescent="0.2">
      <c r="A812" t="s">
        <v>3349</v>
      </c>
      <c r="B812">
        <v>236000</v>
      </c>
      <c r="C812">
        <v>3348</v>
      </c>
      <c r="F812" s="4" t="s">
        <v>3295</v>
      </c>
      <c r="G812">
        <v>0.79762862949172275</v>
      </c>
      <c r="H812">
        <f t="shared" si="25"/>
        <v>0.9842041312272175</v>
      </c>
      <c r="I812">
        <f t="shared" si="24"/>
        <v>5</v>
      </c>
    </row>
    <row r="813" spans="1:9" ht="48" x14ac:dyDescent="0.2">
      <c r="A813" t="s">
        <v>3150</v>
      </c>
      <c r="B813">
        <v>238068</v>
      </c>
      <c r="C813">
        <v>3293</v>
      </c>
      <c r="F813" s="4" t="s">
        <v>3097</v>
      </c>
      <c r="G813">
        <v>0.80400814261383713</v>
      </c>
      <c r="H813">
        <f t="shared" si="25"/>
        <v>0.98541919805589306</v>
      </c>
      <c r="I813">
        <f t="shared" si="24"/>
        <v>5</v>
      </c>
    </row>
    <row r="814" spans="1:9" ht="48" x14ac:dyDescent="0.2">
      <c r="A814" t="s">
        <v>3256</v>
      </c>
      <c r="B814">
        <v>238750</v>
      </c>
      <c r="C814">
        <v>3541</v>
      </c>
      <c r="F814" s="4" t="s">
        <v>3067</v>
      </c>
      <c r="G814">
        <v>0.81176971729365488</v>
      </c>
      <c r="H814">
        <f t="shared" si="25"/>
        <v>0.98663426488456862</v>
      </c>
      <c r="I814">
        <f t="shared" si="24"/>
        <v>5</v>
      </c>
    </row>
    <row r="815" spans="1:9" ht="48" x14ac:dyDescent="0.2">
      <c r="A815" t="s">
        <v>3361</v>
      </c>
      <c r="B815">
        <v>242125</v>
      </c>
      <c r="C815">
        <v>3609</v>
      </c>
      <c r="F815" s="4" t="s">
        <v>3049</v>
      </c>
      <c r="G815">
        <v>0.81745185335017578</v>
      </c>
      <c r="H815">
        <f t="shared" si="25"/>
        <v>0.98784933171324418</v>
      </c>
      <c r="I815">
        <f t="shared" si="24"/>
        <v>5</v>
      </c>
    </row>
    <row r="816" spans="1:9" ht="48" x14ac:dyDescent="0.2">
      <c r="A816" t="s">
        <v>3592</v>
      </c>
      <c r="B816">
        <v>242500</v>
      </c>
      <c r="C816">
        <v>3773</v>
      </c>
      <c r="F816" s="4" t="s">
        <v>3077</v>
      </c>
      <c r="G816">
        <v>0.83850478650660987</v>
      </c>
      <c r="H816">
        <f t="shared" si="25"/>
        <v>0.98906439854191985</v>
      </c>
      <c r="I816">
        <f t="shared" si="24"/>
        <v>5</v>
      </c>
    </row>
    <row r="817" spans="1:9" ht="48" x14ac:dyDescent="0.2">
      <c r="A817" t="s">
        <v>3405</v>
      </c>
      <c r="B817">
        <v>247169</v>
      </c>
      <c r="C817">
        <v>3810</v>
      </c>
      <c r="F817" s="4" t="s">
        <v>3085</v>
      </c>
      <c r="G817">
        <v>0.86266678259075513</v>
      </c>
      <c r="H817">
        <f t="shared" si="25"/>
        <v>0.99027946537059541</v>
      </c>
      <c r="I817">
        <f t="shared" si="24"/>
        <v>5</v>
      </c>
    </row>
    <row r="818" spans="1:9" ht="48" x14ac:dyDescent="0.2">
      <c r="A818" t="s">
        <v>3470</v>
      </c>
      <c r="B818">
        <v>247361</v>
      </c>
      <c r="C818">
        <v>3750</v>
      </c>
      <c r="F818" s="4" t="s">
        <v>3045</v>
      </c>
      <c r="G818">
        <v>0.87759274587493308</v>
      </c>
      <c r="H818">
        <f t="shared" si="25"/>
        <v>0.99149453219927097</v>
      </c>
      <c r="I818">
        <f t="shared" si="24"/>
        <v>5</v>
      </c>
    </row>
    <row r="819" spans="1:9" ht="48" x14ac:dyDescent="0.2">
      <c r="A819" t="s">
        <v>3675</v>
      </c>
      <c r="B819" s="13">
        <v>250000</v>
      </c>
      <c r="C819" s="13">
        <v>4000</v>
      </c>
      <c r="F819" s="4" t="s">
        <v>3047</v>
      </c>
      <c r="G819">
        <v>0.90899645373555571</v>
      </c>
      <c r="H819">
        <f t="shared" si="25"/>
        <v>0.99270959902794653</v>
      </c>
      <c r="I819">
        <f t="shared" si="24"/>
        <v>5</v>
      </c>
    </row>
    <row r="820" spans="1:9" ht="48" x14ac:dyDescent="0.2">
      <c r="A820" t="s">
        <v>3314</v>
      </c>
      <c r="B820" s="13">
        <v>250000</v>
      </c>
      <c r="C820">
        <v>3523</v>
      </c>
      <c r="F820" s="4" t="s">
        <v>3026</v>
      </c>
      <c r="G820">
        <v>0.93922474392448296</v>
      </c>
      <c r="H820">
        <f t="shared" si="25"/>
        <v>0.99392466585662209</v>
      </c>
      <c r="I820">
        <f t="shared" si="24"/>
        <v>5</v>
      </c>
    </row>
    <row r="821" spans="1:9" ht="48" x14ac:dyDescent="0.2">
      <c r="A821" t="s">
        <v>3687</v>
      </c>
      <c r="B821" s="13">
        <v>250000</v>
      </c>
      <c r="C821" s="13">
        <v>4000</v>
      </c>
      <c r="F821" s="4" t="s">
        <v>3059</v>
      </c>
      <c r="G821">
        <v>0.94956444437546872</v>
      </c>
      <c r="H821">
        <f t="shared" si="25"/>
        <v>0.99513973268529765</v>
      </c>
      <c r="I821">
        <f t="shared" si="24"/>
        <v>5</v>
      </c>
    </row>
    <row r="822" spans="1:9" ht="48" x14ac:dyDescent="0.2">
      <c r="A822" t="s">
        <v>3746</v>
      </c>
      <c r="B822" s="13">
        <v>250000</v>
      </c>
      <c r="C822" s="13">
        <v>4000</v>
      </c>
      <c r="F822" s="4" t="s">
        <v>3063</v>
      </c>
      <c r="G822">
        <v>0.99778149024619756</v>
      </c>
      <c r="H822">
        <f t="shared" si="25"/>
        <v>0.99635479951397332</v>
      </c>
      <c r="I822">
        <f t="shared" si="24"/>
        <v>5</v>
      </c>
    </row>
    <row r="823" spans="1:9" ht="48" x14ac:dyDescent="0.2">
      <c r="A823" t="s">
        <v>3351</v>
      </c>
      <c r="B823" s="13">
        <v>250000</v>
      </c>
      <c r="C823">
        <v>3565</v>
      </c>
      <c r="F823" s="4" t="s">
        <v>3041</v>
      </c>
      <c r="G823">
        <v>0.998889884512971</v>
      </c>
      <c r="H823">
        <f t="shared" si="25"/>
        <v>0.99756986634264888</v>
      </c>
      <c r="I823">
        <f t="shared" si="24"/>
        <v>5</v>
      </c>
    </row>
    <row r="824" spans="1:9" ht="48" x14ac:dyDescent="0.2">
      <c r="A824" t="s">
        <v>3658</v>
      </c>
      <c r="B824" s="13">
        <v>250000</v>
      </c>
      <c r="C824" s="13">
        <v>4000</v>
      </c>
      <c r="F824" s="4" t="s">
        <v>3043</v>
      </c>
      <c r="G824">
        <v>1.0520927871393047</v>
      </c>
      <c r="H824">
        <f t="shared" si="25"/>
        <v>0.99878493317132444</v>
      </c>
      <c r="I824">
        <f t="shared" si="24"/>
        <v>5</v>
      </c>
    </row>
    <row r="825" spans="1:9" ht="48" x14ac:dyDescent="0.2">
      <c r="A825" t="s">
        <v>3643</v>
      </c>
      <c r="B825" s="13">
        <v>250000</v>
      </c>
      <c r="C825" s="13">
        <v>4000</v>
      </c>
      <c r="F825" s="4" t="s">
        <v>3105</v>
      </c>
      <c r="G825">
        <v>1.2414263633593696</v>
      </c>
      <c r="H825">
        <f t="shared" si="25"/>
        <v>1</v>
      </c>
      <c r="I825">
        <f t="shared" si="24"/>
        <v>5</v>
      </c>
    </row>
    <row r="826" spans="1:9" ht="48" x14ac:dyDescent="0.2">
      <c r="A826" t="s">
        <v>3720</v>
      </c>
      <c r="B826" s="13">
        <v>250000</v>
      </c>
      <c r="C826" s="13">
        <v>4000</v>
      </c>
      <c r="F826" s="4" t="s">
        <v>3852</v>
      </c>
      <c r="G826" t="e">
        <v>#N/A</v>
      </c>
    </row>
    <row r="827" spans="1:9" ht="48" x14ac:dyDescent="0.2">
      <c r="A827" t="s">
        <v>3726</v>
      </c>
      <c r="B827" s="13">
        <v>250000</v>
      </c>
      <c r="C827" s="13">
        <v>4000</v>
      </c>
      <c r="F827" s="4" t="s">
        <v>3853</v>
      </c>
      <c r="G827" t="e">
        <v>#N/A</v>
      </c>
    </row>
    <row r="828" spans="1:9" ht="48" x14ac:dyDescent="0.2">
      <c r="F828" s="4" t="s">
        <v>3854</v>
      </c>
      <c r="G828" t="e">
        <v>#N/A</v>
      </c>
    </row>
    <row r="829" spans="1:9" ht="48" x14ac:dyDescent="0.2">
      <c r="F829" s="4" t="s">
        <v>3855</v>
      </c>
      <c r="G829" t="e">
        <v>#N/A</v>
      </c>
    </row>
    <row r="830" spans="1:9" ht="48" x14ac:dyDescent="0.2">
      <c r="F830" s="4" t="s">
        <v>3856</v>
      </c>
      <c r="G830" t="e">
        <v>#N/A</v>
      </c>
    </row>
    <row r="831" spans="1:9" ht="64" x14ac:dyDescent="0.2">
      <c r="F831" s="4" t="s">
        <v>3857</v>
      </c>
      <c r="G831" t="e">
        <v>#N/A</v>
      </c>
    </row>
    <row r="832" spans="1:9" ht="48" x14ac:dyDescent="0.2">
      <c r="F832" s="4" t="s">
        <v>3858</v>
      </c>
      <c r="G832" t="e">
        <v>#N/A</v>
      </c>
    </row>
    <row r="833" spans="6:7" ht="48" x14ac:dyDescent="0.2">
      <c r="F833" s="4" t="s">
        <v>3859</v>
      </c>
      <c r="G833" t="e">
        <v>#N/A</v>
      </c>
    </row>
    <row r="834" spans="6:7" ht="48" x14ac:dyDescent="0.2">
      <c r="F834" s="4" t="s">
        <v>3860</v>
      </c>
      <c r="G834" t="e">
        <v>#N/A</v>
      </c>
    </row>
    <row r="835" spans="6:7" ht="64" x14ac:dyDescent="0.2">
      <c r="F835" s="4" t="s">
        <v>3861</v>
      </c>
      <c r="G835" t="e">
        <v>#N/A</v>
      </c>
    </row>
    <row r="836" spans="6:7" x14ac:dyDescent="0.2">
      <c r="G836" t="e">
        <v>#N/A</v>
      </c>
    </row>
  </sheetData>
  <sortState xmlns:xlrd2="http://schemas.microsoft.com/office/spreadsheetml/2017/richdata2" ref="F3:G835">
    <sortCondition ref="G3:G835"/>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71EF-4C5B-4DA9-8C79-054955AB34A6}">
  <sheetPr>
    <tabColor theme="9" tint="0.79998168889431442"/>
  </sheetPr>
  <dimension ref="A1:H824"/>
  <sheetViews>
    <sheetView workbookViewId="0">
      <selection activeCell="L6" sqref="L6"/>
    </sheetView>
  </sheetViews>
  <sheetFormatPr baseColWidth="10" defaultColWidth="8.83203125" defaultRowHeight="15" x14ac:dyDescent="0.2"/>
  <cols>
    <col min="2" max="2" width="12" bestFit="1" customWidth="1"/>
    <col min="3" max="3" width="15" style="7" bestFit="1" customWidth="1"/>
    <col min="5" max="5" width="12" bestFit="1" customWidth="1"/>
  </cols>
  <sheetData>
    <row r="1" spans="1:8" ht="64" x14ac:dyDescent="0.2">
      <c r="A1" s="140" t="s">
        <v>2712</v>
      </c>
      <c r="B1" s="140" t="s">
        <v>3862</v>
      </c>
      <c r="C1" s="7" t="s">
        <v>3863</v>
      </c>
      <c r="E1" t="s">
        <v>3864</v>
      </c>
      <c r="F1" t="s">
        <v>3865</v>
      </c>
    </row>
    <row r="2" spans="1:8" ht="96" x14ac:dyDescent="0.2">
      <c r="A2" s="4" t="s">
        <v>3026</v>
      </c>
      <c r="B2">
        <v>5.5322222222222219</v>
      </c>
      <c r="C2" s="8">
        <v>1.215066828675577E-3</v>
      </c>
      <c r="E2">
        <v>5.5322222222222219</v>
      </c>
      <c r="F2">
        <f>_xlfn.RANK.EQ(E2,$E$2:$E$824,1)/COUNT($E$2:$E$824)</f>
        <v>1.215066828675577E-3</v>
      </c>
      <c r="H2">
        <f>IF(F2&lt;0.2,1,IF(F2&lt;0.4,2,IF(F2&lt;0.6,3,IF(F2&lt;0.8,4,5))))</f>
        <v>1</v>
      </c>
    </row>
    <row r="3" spans="1:8" ht="112" x14ac:dyDescent="0.2">
      <c r="A3" s="4" t="s">
        <v>3029</v>
      </c>
      <c r="B3">
        <v>11.060381585475545</v>
      </c>
      <c r="C3" s="8">
        <v>2.4301336573511541E-3</v>
      </c>
      <c r="E3">
        <v>11.060381585475545</v>
      </c>
      <c r="F3">
        <f t="shared" ref="F3:F66" si="0">_xlfn.RANK.EQ(E3,$E$2:$E$824,1)/COUNT($E$2:$E$824)</f>
        <v>2.4301336573511541E-3</v>
      </c>
    </row>
    <row r="4" spans="1:8" ht="96" x14ac:dyDescent="0.2">
      <c r="A4" s="4" t="s">
        <v>3043</v>
      </c>
      <c r="B4">
        <v>11.770824922840449</v>
      </c>
      <c r="C4" s="7">
        <v>3.6452004860267314E-3</v>
      </c>
      <c r="E4">
        <v>11.770824922840449</v>
      </c>
      <c r="F4">
        <f t="shared" si="0"/>
        <v>3.6452004860267314E-3</v>
      </c>
    </row>
    <row r="5" spans="1:8" ht="112" x14ac:dyDescent="0.2">
      <c r="A5" s="4" t="s">
        <v>3032</v>
      </c>
      <c r="B5">
        <v>12.677313820927749</v>
      </c>
      <c r="C5" s="7">
        <v>4.8602673147023082E-3</v>
      </c>
      <c r="E5">
        <v>12.677313820927749</v>
      </c>
      <c r="F5">
        <f t="shared" si="0"/>
        <v>4.8602673147023082E-3</v>
      </c>
    </row>
    <row r="6" spans="1:8" ht="112" x14ac:dyDescent="0.2">
      <c r="A6" s="4" t="s">
        <v>3045</v>
      </c>
      <c r="B6">
        <v>12.812321037123063</v>
      </c>
      <c r="C6" s="7">
        <v>6.0753341433778859E-3</v>
      </c>
      <c r="E6">
        <v>12.812321037123063</v>
      </c>
      <c r="F6">
        <f t="shared" si="0"/>
        <v>6.0753341433778859E-3</v>
      </c>
    </row>
    <row r="7" spans="1:8" ht="112" x14ac:dyDescent="0.2">
      <c r="A7" s="4" t="s">
        <v>3047</v>
      </c>
      <c r="B7">
        <v>13.25417712081085</v>
      </c>
      <c r="C7" s="7">
        <v>7.2904009720534627E-3</v>
      </c>
      <c r="E7">
        <v>13.25417712081085</v>
      </c>
      <c r="F7">
        <f t="shared" si="0"/>
        <v>7.2904009720534627E-3</v>
      </c>
    </row>
    <row r="8" spans="1:8" ht="96" x14ac:dyDescent="0.2">
      <c r="A8" s="4" t="s">
        <v>3041</v>
      </c>
      <c r="B8">
        <v>13.322789835326628</v>
      </c>
      <c r="C8" s="7">
        <v>8.5054678007290396E-3</v>
      </c>
      <c r="E8">
        <v>13.322789835326628</v>
      </c>
      <c r="F8">
        <f t="shared" si="0"/>
        <v>8.5054678007290396E-3</v>
      </c>
    </row>
    <row r="9" spans="1:8" ht="112" x14ac:dyDescent="0.2">
      <c r="A9" s="4" t="s">
        <v>3035</v>
      </c>
      <c r="B9">
        <v>13.5307061435525</v>
      </c>
      <c r="C9" s="7">
        <v>9.7205346294046164E-3</v>
      </c>
      <c r="E9">
        <v>13.5307061435525</v>
      </c>
      <c r="F9">
        <f t="shared" si="0"/>
        <v>9.7205346294046164E-3</v>
      </c>
    </row>
    <row r="10" spans="1:8" ht="112" x14ac:dyDescent="0.2">
      <c r="A10" s="4" t="s">
        <v>3049</v>
      </c>
      <c r="B10">
        <v>13.564101609847572</v>
      </c>
      <c r="C10" s="7">
        <v>1.0935601458080195E-2</v>
      </c>
      <c r="E10">
        <v>13.564101609847572</v>
      </c>
      <c r="F10">
        <f t="shared" si="0"/>
        <v>1.0935601458080195E-2</v>
      </c>
    </row>
    <row r="11" spans="1:8" ht="112" x14ac:dyDescent="0.2">
      <c r="A11" s="4" t="s">
        <v>3039</v>
      </c>
      <c r="B11">
        <v>13.654628522214777</v>
      </c>
      <c r="C11" s="7">
        <v>1.2150668286755772E-2</v>
      </c>
      <c r="E11">
        <v>13.654628522214777</v>
      </c>
      <c r="F11">
        <f t="shared" si="0"/>
        <v>1.2150668286755772E-2</v>
      </c>
    </row>
    <row r="12" spans="1:8" ht="96" x14ac:dyDescent="0.2">
      <c r="A12" s="4" t="s">
        <v>3059</v>
      </c>
      <c r="B12">
        <v>13.989571828099487</v>
      </c>
      <c r="C12" s="7">
        <v>1.3365735115431349E-2</v>
      </c>
      <c r="E12">
        <v>13.989571828099487</v>
      </c>
      <c r="F12">
        <f t="shared" si="0"/>
        <v>1.3365735115431349E-2</v>
      </c>
    </row>
    <row r="13" spans="1:8" ht="128" x14ac:dyDescent="0.2">
      <c r="A13" s="4" t="s">
        <v>3037</v>
      </c>
      <c r="B13">
        <v>14.366284623066875</v>
      </c>
      <c r="C13" s="7">
        <v>1.4580801944106925E-2</v>
      </c>
      <c r="E13">
        <v>14.366284623066875</v>
      </c>
      <c r="F13">
        <f t="shared" si="0"/>
        <v>1.4580801944106925E-2</v>
      </c>
    </row>
    <row r="14" spans="1:8" ht="112" x14ac:dyDescent="0.2">
      <c r="A14" s="4" t="s">
        <v>3067</v>
      </c>
      <c r="B14">
        <v>14.723387366366127</v>
      </c>
      <c r="C14" s="7">
        <v>1.5795868772782502E-2</v>
      </c>
      <c r="E14">
        <v>14.723387366366127</v>
      </c>
      <c r="F14">
        <f t="shared" si="0"/>
        <v>1.5795868772782502E-2</v>
      </c>
    </row>
    <row r="15" spans="1:8" ht="112" x14ac:dyDescent="0.2">
      <c r="A15" s="4" t="s">
        <v>3051</v>
      </c>
      <c r="B15">
        <v>14.939966234671262</v>
      </c>
      <c r="C15" s="7">
        <v>1.7010935601458079E-2</v>
      </c>
      <c r="E15">
        <v>14.939966234671262</v>
      </c>
      <c r="F15">
        <f t="shared" si="0"/>
        <v>1.7010935601458079E-2</v>
      </c>
    </row>
    <row r="16" spans="1:8" ht="112" x14ac:dyDescent="0.2">
      <c r="A16" s="4" t="s">
        <v>3053</v>
      </c>
      <c r="B16">
        <v>14.952691929930777</v>
      </c>
      <c r="C16" s="7">
        <v>1.8226002430133656E-2</v>
      </c>
      <c r="E16">
        <v>14.952691929930777</v>
      </c>
      <c r="F16">
        <f t="shared" si="0"/>
        <v>1.8226002430133656E-2</v>
      </c>
    </row>
    <row r="17" spans="1:6" ht="112" x14ac:dyDescent="0.2">
      <c r="A17" s="4" t="s">
        <v>3087</v>
      </c>
      <c r="B17">
        <v>15.291073113561577</v>
      </c>
      <c r="C17" s="7">
        <v>1.9441069258809233E-2</v>
      </c>
      <c r="E17">
        <v>15.291073113561577</v>
      </c>
      <c r="F17">
        <f t="shared" si="0"/>
        <v>1.9441069258809233E-2</v>
      </c>
    </row>
    <row r="18" spans="1:6" ht="96" x14ac:dyDescent="0.2">
      <c r="A18" s="4" t="s">
        <v>3063</v>
      </c>
      <c r="B18">
        <v>15.334018669984349</v>
      </c>
      <c r="C18" s="7">
        <v>2.0656136087484813E-2</v>
      </c>
      <c r="E18">
        <v>15.334018669984349</v>
      </c>
      <c r="F18">
        <f t="shared" si="0"/>
        <v>2.0656136087484813E-2</v>
      </c>
    </row>
    <row r="19" spans="1:6" ht="112" x14ac:dyDescent="0.2">
      <c r="A19" s="4" t="s">
        <v>3069</v>
      </c>
      <c r="B19">
        <v>15.48244773538047</v>
      </c>
      <c r="C19" s="7">
        <v>2.187120291616039E-2</v>
      </c>
      <c r="E19">
        <v>15.48244773538047</v>
      </c>
      <c r="F19">
        <f t="shared" si="0"/>
        <v>2.187120291616039E-2</v>
      </c>
    </row>
    <row r="20" spans="1:6" ht="112" x14ac:dyDescent="0.2">
      <c r="A20" s="4" t="s">
        <v>3077</v>
      </c>
      <c r="B20">
        <v>15.484705882352943</v>
      </c>
      <c r="C20" s="7">
        <v>2.3086269744835967E-2</v>
      </c>
      <c r="E20">
        <v>15.484705882352943</v>
      </c>
      <c r="F20">
        <f t="shared" si="0"/>
        <v>2.3086269744835967E-2</v>
      </c>
    </row>
    <row r="21" spans="1:6" ht="112" x14ac:dyDescent="0.2">
      <c r="A21" s="4" t="s">
        <v>3057</v>
      </c>
      <c r="B21">
        <v>15.844652151492687</v>
      </c>
      <c r="C21" s="7">
        <v>2.4301336573511544E-2</v>
      </c>
      <c r="E21">
        <v>15.844652151492687</v>
      </c>
      <c r="F21">
        <f t="shared" si="0"/>
        <v>2.4301336573511544E-2</v>
      </c>
    </row>
    <row r="22" spans="1:6" ht="112" x14ac:dyDescent="0.2">
      <c r="A22" s="4" t="s">
        <v>3073</v>
      </c>
      <c r="B22">
        <v>15.945872642775704</v>
      </c>
      <c r="C22" s="7">
        <v>2.551640340218712E-2</v>
      </c>
      <c r="E22">
        <v>15.945872642775704</v>
      </c>
      <c r="F22">
        <f t="shared" si="0"/>
        <v>2.551640340218712E-2</v>
      </c>
    </row>
    <row r="23" spans="1:6" ht="112" x14ac:dyDescent="0.2">
      <c r="A23" s="4" t="s">
        <v>3079</v>
      </c>
      <c r="B23">
        <v>16.169327827982187</v>
      </c>
      <c r="C23" s="7">
        <v>2.6731470230862697E-2</v>
      </c>
      <c r="E23">
        <v>16.169327827982187</v>
      </c>
      <c r="F23">
        <f t="shared" si="0"/>
        <v>2.6731470230862697E-2</v>
      </c>
    </row>
    <row r="24" spans="1:6" ht="112" x14ac:dyDescent="0.2">
      <c r="A24" s="4" t="s">
        <v>3097</v>
      </c>
      <c r="B24">
        <v>16.178940623301258</v>
      </c>
      <c r="C24" s="7">
        <v>2.7946537059538274E-2</v>
      </c>
      <c r="E24">
        <v>16.178940623301258</v>
      </c>
      <c r="F24">
        <f t="shared" si="0"/>
        <v>2.7946537059538274E-2</v>
      </c>
    </row>
    <row r="25" spans="1:6" ht="112" x14ac:dyDescent="0.2">
      <c r="A25" s="4" t="s">
        <v>3085</v>
      </c>
      <c r="B25">
        <v>16.622872573039391</v>
      </c>
      <c r="C25" s="7">
        <v>2.9161603888213851E-2</v>
      </c>
      <c r="E25">
        <v>16.622872573039391</v>
      </c>
      <c r="F25">
        <f t="shared" si="0"/>
        <v>2.9161603888213851E-2</v>
      </c>
    </row>
    <row r="26" spans="1:6" ht="112" x14ac:dyDescent="0.2">
      <c r="A26" s="4" t="s">
        <v>3075</v>
      </c>
      <c r="B26">
        <v>17.051207314617812</v>
      </c>
      <c r="C26" s="7">
        <v>3.0376670716889428E-2</v>
      </c>
      <c r="E26">
        <v>17.051207314617812</v>
      </c>
      <c r="F26">
        <f t="shared" si="0"/>
        <v>3.0376670716889428E-2</v>
      </c>
    </row>
    <row r="27" spans="1:6" ht="112" x14ac:dyDescent="0.2">
      <c r="A27" s="4" t="s">
        <v>3091</v>
      </c>
      <c r="B27">
        <v>17.211460574035407</v>
      </c>
      <c r="C27" s="7">
        <v>3.1591737545565005E-2</v>
      </c>
      <c r="E27">
        <v>17.211460574035407</v>
      </c>
      <c r="F27">
        <f t="shared" si="0"/>
        <v>3.1591737545565005E-2</v>
      </c>
    </row>
    <row r="28" spans="1:6" ht="112" x14ac:dyDescent="0.2">
      <c r="A28" s="4" t="s">
        <v>3065</v>
      </c>
      <c r="B28">
        <v>17.324563486564386</v>
      </c>
      <c r="C28" s="7">
        <v>3.2806804374240585E-2</v>
      </c>
      <c r="E28">
        <v>17.324563486564386</v>
      </c>
      <c r="F28">
        <f t="shared" si="0"/>
        <v>3.2806804374240585E-2</v>
      </c>
    </row>
    <row r="29" spans="1:6" ht="112" x14ac:dyDescent="0.2">
      <c r="A29" s="4" t="s">
        <v>3061</v>
      </c>
      <c r="B29">
        <v>17.330844909559023</v>
      </c>
      <c r="C29" s="7">
        <v>3.4021871202916158E-2</v>
      </c>
      <c r="E29">
        <v>17.330844909559023</v>
      </c>
      <c r="F29">
        <f t="shared" si="0"/>
        <v>3.4021871202916158E-2</v>
      </c>
    </row>
    <row r="30" spans="1:6" ht="112" x14ac:dyDescent="0.2">
      <c r="A30" s="4" t="s">
        <v>3081</v>
      </c>
      <c r="B30">
        <v>17.397787940140095</v>
      </c>
      <c r="C30" s="7">
        <v>3.5236938031591739E-2</v>
      </c>
      <c r="E30">
        <v>17.397787940140095</v>
      </c>
      <c r="F30">
        <f t="shared" si="0"/>
        <v>3.5236938031591739E-2</v>
      </c>
    </row>
    <row r="31" spans="1:6" ht="112" x14ac:dyDescent="0.2">
      <c r="A31" s="4" t="s">
        <v>3103</v>
      </c>
      <c r="B31">
        <v>17.456907910159341</v>
      </c>
      <c r="C31" s="7">
        <v>3.6452004860267312E-2</v>
      </c>
      <c r="E31">
        <v>17.456907910159341</v>
      </c>
      <c r="F31">
        <f t="shared" si="0"/>
        <v>3.6452004860267312E-2</v>
      </c>
    </row>
    <row r="32" spans="1:6" ht="112" x14ac:dyDescent="0.2">
      <c r="A32" s="4" t="s">
        <v>3119</v>
      </c>
      <c r="B32">
        <v>17.486975763052332</v>
      </c>
      <c r="C32" s="7">
        <v>3.7667071688942892E-2</v>
      </c>
      <c r="E32">
        <v>17.486975763052332</v>
      </c>
      <c r="F32">
        <f t="shared" si="0"/>
        <v>3.7667071688942892E-2</v>
      </c>
    </row>
    <row r="33" spans="1:6" ht="96" x14ac:dyDescent="0.2">
      <c r="A33" s="4" t="s">
        <v>3083</v>
      </c>
      <c r="B33">
        <v>17.511421066904504</v>
      </c>
      <c r="C33" s="7">
        <v>3.8882138517618466E-2</v>
      </c>
      <c r="E33">
        <v>17.511421066904504</v>
      </c>
      <c r="F33">
        <f t="shared" si="0"/>
        <v>3.8882138517618466E-2</v>
      </c>
    </row>
    <row r="34" spans="1:6" ht="112" x14ac:dyDescent="0.2">
      <c r="A34" s="4" t="s">
        <v>3117</v>
      </c>
      <c r="B34">
        <v>17.725734354769102</v>
      </c>
      <c r="C34" s="7">
        <v>4.0097205346294046E-2</v>
      </c>
      <c r="E34">
        <v>17.725734354769102</v>
      </c>
      <c r="F34">
        <f t="shared" si="0"/>
        <v>4.0097205346294046E-2</v>
      </c>
    </row>
    <row r="35" spans="1:6" ht="96" x14ac:dyDescent="0.2">
      <c r="A35" s="4" t="s">
        <v>3155</v>
      </c>
      <c r="B35">
        <v>18.33588487695544</v>
      </c>
      <c r="C35" s="7">
        <v>4.1312272174969626E-2</v>
      </c>
      <c r="E35">
        <v>18.33588487695544</v>
      </c>
      <c r="F35">
        <f t="shared" si="0"/>
        <v>4.1312272174969626E-2</v>
      </c>
    </row>
    <row r="36" spans="1:6" ht="112" x14ac:dyDescent="0.2">
      <c r="A36" s="4" t="s">
        <v>3071</v>
      </c>
      <c r="B36">
        <v>18.461834375202518</v>
      </c>
      <c r="C36" s="7">
        <v>4.25273390036452E-2</v>
      </c>
      <c r="E36">
        <v>18.461834375202518</v>
      </c>
      <c r="F36">
        <f t="shared" si="0"/>
        <v>4.25273390036452E-2</v>
      </c>
    </row>
    <row r="37" spans="1:6" ht="112" x14ac:dyDescent="0.2">
      <c r="A37" s="4" t="s">
        <v>3149</v>
      </c>
      <c r="B37">
        <v>18.462014128487535</v>
      </c>
      <c r="C37" s="7">
        <v>4.374240583232078E-2</v>
      </c>
      <c r="E37">
        <v>18.462014128487535</v>
      </c>
      <c r="F37">
        <f t="shared" si="0"/>
        <v>4.374240583232078E-2</v>
      </c>
    </row>
    <row r="38" spans="1:6" ht="112" x14ac:dyDescent="0.2">
      <c r="A38" s="4" t="s">
        <v>3123</v>
      </c>
      <c r="B38">
        <v>18.666379039642717</v>
      </c>
      <c r="C38" s="7">
        <v>4.4957472660996353E-2</v>
      </c>
      <c r="E38">
        <v>18.666379039642717</v>
      </c>
      <c r="F38">
        <f t="shared" si="0"/>
        <v>4.4957472660996353E-2</v>
      </c>
    </row>
    <row r="39" spans="1:6" ht="112" x14ac:dyDescent="0.2">
      <c r="A39" s="4" t="s">
        <v>3099</v>
      </c>
      <c r="B39">
        <v>18.668883735207608</v>
      </c>
      <c r="C39" s="7">
        <v>4.6172539489671933E-2</v>
      </c>
      <c r="E39">
        <v>18.668883735207608</v>
      </c>
      <c r="F39">
        <f t="shared" si="0"/>
        <v>4.6172539489671933E-2</v>
      </c>
    </row>
    <row r="40" spans="1:6" ht="112" x14ac:dyDescent="0.2">
      <c r="A40" s="4" t="s">
        <v>3133</v>
      </c>
      <c r="B40">
        <v>18.757014249651885</v>
      </c>
      <c r="C40" s="7">
        <v>4.7387606318347507E-2</v>
      </c>
      <c r="E40">
        <v>18.757014249651885</v>
      </c>
      <c r="F40">
        <f t="shared" si="0"/>
        <v>4.7387606318347507E-2</v>
      </c>
    </row>
    <row r="41" spans="1:6" ht="96" x14ac:dyDescent="0.2">
      <c r="A41" s="4" t="s">
        <v>3055</v>
      </c>
      <c r="B41">
        <v>18.833254299666947</v>
      </c>
      <c r="C41" s="7">
        <v>4.8602673147023087E-2</v>
      </c>
      <c r="E41">
        <v>18.833254299666947</v>
      </c>
      <c r="F41">
        <f t="shared" si="0"/>
        <v>4.8602673147023087E-2</v>
      </c>
    </row>
    <row r="42" spans="1:6" ht="112" x14ac:dyDescent="0.2">
      <c r="A42" s="4" t="s">
        <v>3109</v>
      </c>
      <c r="B42">
        <v>19.007518705050238</v>
      </c>
      <c r="C42" s="7">
        <v>4.9817739975698661E-2</v>
      </c>
      <c r="E42">
        <v>19.007518705050238</v>
      </c>
      <c r="F42">
        <f t="shared" si="0"/>
        <v>4.9817739975698661E-2</v>
      </c>
    </row>
    <row r="43" spans="1:6" ht="112" x14ac:dyDescent="0.2">
      <c r="A43" s="4" t="s">
        <v>3105</v>
      </c>
      <c r="B43">
        <v>19.090943047049898</v>
      </c>
      <c r="C43" s="7">
        <v>5.1032806804374241E-2</v>
      </c>
      <c r="E43">
        <v>19.090943047049898</v>
      </c>
      <c r="F43">
        <f t="shared" si="0"/>
        <v>5.1032806804374241E-2</v>
      </c>
    </row>
    <row r="44" spans="1:6" ht="96" x14ac:dyDescent="0.2">
      <c r="A44" s="4" t="s">
        <v>3163</v>
      </c>
      <c r="B44">
        <v>19.445183432294908</v>
      </c>
      <c r="C44" s="7">
        <v>5.2247873633049821E-2</v>
      </c>
      <c r="E44">
        <v>19.445183432294908</v>
      </c>
      <c r="F44">
        <f t="shared" si="0"/>
        <v>5.2247873633049821E-2</v>
      </c>
    </row>
    <row r="45" spans="1:6" ht="112" x14ac:dyDescent="0.2">
      <c r="A45" s="4" t="s">
        <v>3115</v>
      </c>
      <c r="B45">
        <v>19.525984456093163</v>
      </c>
      <c r="C45" s="7">
        <v>5.3462940461725394E-2</v>
      </c>
      <c r="E45">
        <v>19.525984456093163</v>
      </c>
      <c r="F45">
        <f t="shared" si="0"/>
        <v>5.3462940461725394E-2</v>
      </c>
    </row>
    <row r="46" spans="1:6" ht="112" x14ac:dyDescent="0.2">
      <c r="A46" s="4" t="s">
        <v>3121</v>
      </c>
      <c r="B46">
        <v>19.642283145006193</v>
      </c>
      <c r="C46" s="7">
        <v>5.4678007290400975E-2</v>
      </c>
      <c r="E46">
        <v>19.642283145006193</v>
      </c>
      <c r="F46">
        <f t="shared" si="0"/>
        <v>5.4678007290400975E-2</v>
      </c>
    </row>
    <row r="47" spans="1:6" ht="112" x14ac:dyDescent="0.2">
      <c r="A47" s="4" t="s">
        <v>3131</v>
      </c>
      <c r="B47">
        <v>19.790171173989009</v>
      </c>
      <c r="C47" s="7">
        <v>5.5893074119076548E-2</v>
      </c>
      <c r="E47">
        <v>19.790171173989009</v>
      </c>
      <c r="F47">
        <f t="shared" si="0"/>
        <v>5.5893074119076548E-2</v>
      </c>
    </row>
    <row r="48" spans="1:6" ht="112" x14ac:dyDescent="0.2">
      <c r="A48" s="4" t="s">
        <v>3177</v>
      </c>
      <c r="B48">
        <v>19.909699836034083</v>
      </c>
      <c r="C48" s="7">
        <v>5.7108140947752128E-2</v>
      </c>
      <c r="E48">
        <v>19.909699836034083</v>
      </c>
      <c r="F48">
        <f t="shared" si="0"/>
        <v>5.7108140947752128E-2</v>
      </c>
    </row>
    <row r="49" spans="1:6" ht="112" x14ac:dyDescent="0.2">
      <c r="A49" s="4" t="s">
        <v>3139</v>
      </c>
      <c r="B49">
        <v>20.082331839387571</v>
      </c>
      <c r="C49" s="7">
        <v>5.8323207776427702E-2</v>
      </c>
      <c r="E49">
        <v>20.082331839387571</v>
      </c>
      <c r="F49">
        <f t="shared" si="0"/>
        <v>5.8323207776427702E-2</v>
      </c>
    </row>
    <row r="50" spans="1:6" ht="112" x14ac:dyDescent="0.2">
      <c r="A50" s="4" t="s">
        <v>3125</v>
      </c>
      <c r="B50">
        <v>20.084732864508883</v>
      </c>
      <c r="C50" s="7">
        <v>5.9538274605103282E-2</v>
      </c>
      <c r="E50">
        <v>20.084732864508883</v>
      </c>
      <c r="F50">
        <f t="shared" si="0"/>
        <v>5.9538274605103282E-2</v>
      </c>
    </row>
    <row r="51" spans="1:6" ht="96" x14ac:dyDescent="0.2">
      <c r="A51" s="4" t="s">
        <v>3173</v>
      </c>
      <c r="B51">
        <v>20.158101421096823</v>
      </c>
      <c r="C51" s="7">
        <v>6.0753341433778855E-2</v>
      </c>
      <c r="E51">
        <v>20.158101421096823</v>
      </c>
      <c r="F51">
        <f t="shared" si="0"/>
        <v>6.0753341433778855E-2</v>
      </c>
    </row>
    <row r="52" spans="1:6" ht="112" x14ac:dyDescent="0.2">
      <c r="A52" s="4" t="s">
        <v>3143</v>
      </c>
      <c r="B52">
        <v>20.30613938206309</v>
      </c>
      <c r="C52" s="7">
        <v>6.1968408262454436E-2</v>
      </c>
      <c r="E52">
        <v>20.30613938206309</v>
      </c>
      <c r="F52">
        <f t="shared" si="0"/>
        <v>6.1968408262454436E-2</v>
      </c>
    </row>
    <row r="53" spans="1:6" ht="112" x14ac:dyDescent="0.2">
      <c r="A53" s="4" t="s">
        <v>3093</v>
      </c>
      <c r="B53">
        <v>20.612643838439617</v>
      </c>
      <c r="C53" s="7">
        <v>6.3183475091130009E-2</v>
      </c>
      <c r="E53">
        <v>20.612643838439617</v>
      </c>
      <c r="F53">
        <f t="shared" si="0"/>
        <v>6.3183475091130009E-2</v>
      </c>
    </row>
    <row r="54" spans="1:6" ht="112" x14ac:dyDescent="0.2">
      <c r="A54" s="4" t="s">
        <v>3095</v>
      </c>
      <c r="B54">
        <v>20.664271721335741</v>
      </c>
      <c r="C54" s="7">
        <v>6.4398541919805583E-2</v>
      </c>
      <c r="E54">
        <v>20.664271721335741</v>
      </c>
      <c r="F54">
        <f t="shared" si="0"/>
        <v>6.4398541919805583E-2</v>
      </c>
    </row>
    <row r="55" spans="1:6" ht="112" x14ac:dyDescent="0.2">
      <c r="A55" s="4" t="s">
        <v>3185</v>
      </c>
      <c r="B55">
        <v>20.719933084101559</v>
      </c>
      <c r="C55" s="7">
        <v>6.561360874848117E-2</v>
      </c>
      <c r="E55">
        <v>20.719933084101559</v>
      </c>
      <c r="F55">
        <f t="shared" si="0"/>
        <v>6.561360874848117E-2</v>
      </c>
    </row>
    <row r="56" spans="1:6" ht="112" x14ac:dyDescent="0.2">
      <c r="A56" s="4" t="s">
        <v>3157</v>
      </c>
      <c r="B56">
        <v>20.733246892727664</v>
      </c>
      <c r="C56" s="7">
        <v>6.6828675577156743E-2</v>
      </c>
      <c r="E56">
        <v>20.733246892727664</v>
      </c>
      <c r="F56">
        <f t="shared" si="0"/>
        <v>6.6828675577156743E-2</v>
      </c>
    </row>
    <row r="57" spans="1:6" ht="112" x14ac:dyDescent="0.2">
      <c r="A57" s="4" t="s">
        <v>3137</v>
      </c>
      <c r="B57">
        <v>20.987540161171978</v>
      </c>
      <c r="C57" s="7">
        <v>6.8043742405832316E-2</v>
      </c>
      <c r="E57">
        <v>20.987540161171978</v>
      </c>
      <c r="F57">
        <f t="shared" si="0"/>
        <v>6.8043742405832316E-2</v>
      </c>
    </row>
    <row r="58" spans="1:6" ht="112" x14ac:dyDescent="0.2">
      <c r="A58" s="4" t="s">
        <v>3113</v>
      </c>
      <c r="B58">
        <v>21.039878847414393</v>
      </c>
      <c r="C58" s="7">
        <v>6.9258809234507904E-2</v>
      </c>
      <c r="E58">
        <v>21.039878847414393</v>
      </c>
      <c r="F58">
        <f t="shared" si="0"/>
        <v>6.9258809234507904E-2</v>
      </c>
    </row>
    <row r="59" spans="1:6" ht="112" x14ac:dyDescent="0.2">
      <c r="A59" s="4" t="s">
        <v>3135</v>
      </c>
      <c r="B59">
        <v>21.081247795628457</v>
      </c>
      <c r="C59" s="7">
        <v>7.0473876063183477E-2</v>
      </c>
      <c r="E59">
        <v>21.081247795628457</v>
      </c>
      <c r="F59">
        <f t="shared" si="0"/>
        <v>7.0473876063183477E-2</v>
      </c>
    </row>
    <row r="60" spans="1:6" ht="112" x14ac:dyDescent="0.2">
      <c r="A60" s="4" t="s">
        <v>3183</v>
      </c>
      <c r="B60">
        <v>21.105603442107938</v>
      </c>
      <c r="C60" s="7">
        <v>7.168894289185905E-2</v>
      </c>
      <c r="E60">
        <v>21.105603442107938</v>
      </c>
      <c r="F60">
        <f t="shared" si="0"/>
        <v>7.168894289185905E-2</v>
      </c>
    </row>
    <row r="61" spans="1:6" ht="112" x14ac:dyDescent="0.2">
      <c r="A61" s="4" t="s">
        <v>3101</v>
      </c>
      <c r="B61">
        <v>21.199559723902517</v>
      </c>
      <c r="C61" s="7">
        <v>7.2904009720534624E-2</v>
      </c>
      <c r="E61">
        <v>21.199559723902517</v>
      </c>
      <c r="F61">
        <f t="shared" si="0"/>
        <v>7.2904009720534624E-2</v>
      </c>
    </row>
    <row r="62" spans="1:6" ht="112" x14ac:dyDescent="0.2">
      <c r="A62" s="4" t="s">
        <v>3141</v>
      </c>
      <c r="B62">
        <v>21.288732345921055</v>
      </c>
      <c r="C62" s="7">
        <v>7.4119076549210211E-2</v>
      </c>
      <c r="E62">
        <v>21.288732345921055</v>
      </c>
      <c r="F62">
        <f t="shared" si="0"/>
        <v>7.4119076549210211E-2</v>
      </c>
    </row>
    <row r="63" spans="1:6" ht="96" x14ac:dyDescent="0.2">
      <c r="A63" s="4" t="s">
        <v>3153</v>
      </c>
      <c r="B63">
        <v>21.315907944948293</v>
      </c>
      <c r="C63" s="7">
        <v>7.5334143377885784E-2</v>
      </c>
      <c r="E63">
        <v>21.315907944948293</v>
      </c>
      <c r="F63">
        <f t="shared" si="0"/>
        <v>7.5334143377885784E-2</v>
      </c>
    </row>
    <row r="64" spans="1:6" ht="112" x14ac:dyDescent="0.2">
      <c r="A64" s="4" t="s">
        <v>3187</v>
      </c>
      <c r="B64">
        <v>21.320451042600684</v>
      </c>
      <c r="C64" s="7">
        <v>7.6549210206561358E-2</v>
      </c>
      <c r="E64">
        <v>21.320451042600684</v>
      </c>
      <c r="F64">
        <f t="shared" si="0"/>
        <v>7.6549210206561358E-2</v>
      </c>
    </row>
    <row r="65" spans="1:6" ht="112" x14ac:dyDescent="0.2">
      <c r="A65" s="4" t="s">
        <v>3111</v>
      </c>
      <c r="B65">
        <v>21.32468549193749</v>
      </c>
      <c r="C65" s="7">
        <v>7.7764277035236931E-2</v>
      </c>
      <c r="E65">
        <v>21.32468549193749</v>
      </c>
      <c r="F65">
        <f t="shared" si="0"/>
        <v>7.7764277035236931E-2</v>
      </c>
    </row>
    <row r="66" spans="1:6" ht="112" x14ac:dyDescent="0.2">
      <c r="A66" s="4" t="s">
        <v>3161</v>
      </c>
      <c r="B66">
        <v>21.518757942693313</v>
      </c>
      <c r="C66" s="7">
        <v>7.8979343863912518E-2</v>
      </c>
      <c r="E66">
        <v>21.518757942693313</v>
      </c>
      <c r="F66">
        <f t="shared" si="0"/>
        <v>7.8979343863912518E-2</v>
      </c>
    </row>
    <row r="67" spans="1:6" ht="112" x14ac:dyDescent="0.2">
      <c r="A67" s="4" t="s">
        <v>3197</v>
      </c>
      <c r="B67">
        <v>21.759176945218616</v>
      </c>
      <c r="C67" s="7">
        <v>8.0194410692588092E-2</v>
      </c>
      <c r="E67">
        <v>21.759176945218616</v>
      </c>
      <c r="F67">
        <f t="shared" ref="F67:F130" si="1">_xlfn.RANK.EQ(E67,$E$2:$E$824,1)/COUNT($E$2:$E$824)</f>
        <v>8.0194410692588092E-2</v>
      </c>
    </row>
    <row r="68" spans="1:6" ht="112" x14ac:dyDescent="0.2">
      <c r="A68" s="4" t="s">
        <v>3145</v>
      </c>
      <c r="B68">
        <v>21.953054725718538</v>
      </c>
      <c r="C68" s="7">
        <v>8.1409477521263665E-2</v>
      </c>
      <c r="E68">
        <v>21.953054725718538</v>
      </c>
      <c r="F68">
        <f t="shared" si="1"/>
        <v>8.1409477521263665E-2</v>
      </c>
    </row>
    <row r="69" spans="1:6" ht="112" x14ac:dyDescent="0.2">
      <c r="A69" s="4" t="s">
        <v>3191</v>
      </c>
      <c r="B69">
        <v>22.039929113933695</v>
      </c>
      <c r="C69" s="7">
        <v>8.2624544349939252E-2</v>
      </c>
      <c r="E69">
        <v>22.039929113933695</v>
      </c>
      <c r="F69">
        <f t="shared" si="1"/>
        <v>8.2624544349939252E-2</v>
      </c>
    </row>
    <row r="70" spans="1:6" ht="96" x14ac:dyDescent="0.2">
      <c r="A70" s="4" t="s">
        <v>3209</v>
      </c>
      <c r="B70">
        <v>22.179030601952999</v>
      </c>
      <c r="C70" s="7">
        <v>8.3839611178614826E-2</v>
      </c>
      <c r="E70">
        <v>22.179030601952999</v>
      </c>
      <c r="F70">
        <f t="shared" si="1"/>
        <v>8.3839611178614826E-2</v>
      </c>
    </row>
    <row r="71" spans="1:6" ht="112" x14ac:dyDescent="0.2">
      <c r="A71" s="4" t="s">
        <v>3089</v>
      </c>
      <c r="B71">
        <v>22.230822050851014</v>
      </c>
      <c r="C71" s="7">
        <v>8.5054678007290399E-2</v>
      </c>
      <c r="E71">
        <v>22.230822050851014</v>
      </c>
      <c r="F71">
        <f t="shared" si="1"/>
        <v>8.5054678007290399E-2</v>
      </c>
    </row>
    <row r="72" spans="1:6" ht="96" x14ac:dyDescent="0.2">
      <c r="A72" s="4" t="s">
        <v>3201</v>
      </c>
      <c r="B72">
        <v>22.374781378839028</v>
      </c>
      <c r="C72" s="7">
        <v>8.6269744835965972E-2</v>
      </c>
      <c r="E72">
        <v>22.374781378839028</v>
      </c>
      <c r="F72">
        <f t="shared" si="1"/>
        <v>8.6269744835965972E-2</v>
      </c>
    </row>
    <row r="73" spans="1:6" ht="112" x14ac:dyDescent="0.2">
      <c r="A73" s="4" t="s">
        <v>3147</v>
      </c>
      <c r="B73">
        <v>22.400661766499056</v>
      </c>
      <c r="C73" s="7">
        <v>8.748481166464156E-2</v>
      </c>
      <c r="E73">
        <v>22.400661766499056</v>
      </c>
      <c r="F73">
        <f t="shared" si="1"/>
        <v>8.748481166464156E-2</v>
      </c>
    </row>
    <row r="74" spans="1:6" ht="112" x14ac:dyDescent="0.2">
      <c r="A74" s="4" t="s">
        <v>3195</v>
      </c>
      <c r="B74">
        <v>22.560910797538579</v>
      </c>
      <c r="C74" s="7">
        <v>8.8699878493317133E-2</v>
      </c>
      <c r="E74">
        <v>22.560910797538579</v>
      </c>
      <c r="F74">
        <f t="shared" si="1"/>
        <v>8.8699878493317133E-2</v>
      </c>
    </row>
    <row r="75" spans="1:6" ht="96" x14ac:dyDescent="0.2">
      <c r="A75" s="4" t="s">
        <v>3217</v>
      </c>
      <c r="B75">
        <v>22.639581286383915</v>
      </c>
      <c r="C75" s="7">
        <v>8.9914945321992706E-2</v>
      </c>
      <c r="E75">
        <v>22.639581286383915</v>
      </c>
      <c r="F75">
        <f t="shared" si="1"/>
        <v>8.9914945321992706E-2</v>
      </c>
    </row>
    <row r="76" spans="1:6" ht="96" x14ac:dyDescent="0.2">
      <c r="A76" s="4" t="s">
        <v>3221</v>
      </c>
      <c r="B76">
        <v>22.716773600414736</v>
      </c>
      <c r="C76" s="7">
        <v>9.1130012150668294E-2</v>
      </c>
      <c r="E76">
        <v>22.716773600414736</v>
      </c>
      <c r="F76">
        <f t="shared" si="1"/>
        <v>9.1130012150668294E-2</v>
      </c>
    </row>
    <row r="77" spans="1:6" ht="112" x14ac:dyDescent="0.2">
      <c r="A77" s="4" t="s">
        <v>3175</v>
      </c>
      <c r="B77">
        <v>22.732387732399097</v>
      </c>
      <c r="C77" s="7">
        <v>9.2345078979343867E-2</v>
      </c>
      <c r="E77">
        <v>22.732387732399097</v>
      </c>
      <c r="F77">
        <f t="shared" si="1"/>
        <v>9.2345078979343867E-2</v>
      </c>
    </row>
    <row r="78" spans="1:6" ht="112" x14ac:dyDescent="0.2">
      <c r="A78" s="4" t="s">
        <v>3171</v>
      </c>
      <c r="B78">
        <v>22.891268067758936</v>
      </c>
      <c r="C78" s="7">
        <v>9.356014580801944E-2</v>
      </c>
      <c r="E78">
        <v>22.891268067758936</v>
      </c>
      <c r="F78">
        <f t="shared" si="1"/>
        <v>9.356014580801944E-2</v>
      </c>
    </row>
    <row r="79" spans="1:6" ht="112" x14ac:dyDescent="0.2">
      <c r="A79" s="4" t="s">
        <v>3151</v>
      </c>
      <c r="B79">
        <v>22.946689895689747</v>
      </c>
      <c r="C79" s="7">
        <v>9.4775212636695014E-2</v>
      </c>
      <c r="E79">
        <v>22.946689895689747</v>
      </c>
      <c r="F79">
        <f t="shared" si="1"/>
        <v>9.4775212636695014E-2</v>
      </c>
    </row>
    <row r="80" spans="1:6" ht="112" x14ac:dyDescent="0.2">
      <c r="A80" s="4" t="s">
        <v>3127</v>
      </c>
      <c r="B80">
        <v>23.309098848527686</v>
      </c>
      <c r="C80" s="7">
        <v>9.5990279465370601E-2</v>
      </c>
      <c r="E80">
        <v>23.309098848527686</v>
      </c>
      <c r="F80">
        <f t="shared" si="1"/>
        <v>9.5990279465370601E-2</v>
      </c>
    </row>
    <row r="81" spans="1:6" ht="112" x14ac:dyDescent="0.2">
      <c r="A81" s="4" t="s">
        <v>3203</v>
      </c>
      <c r="B81">
        <v>23.323609085648425</v>
      </c>
      <c r="C81" s="7">
        <v>9.7205346294046174E-2</v>
      </c>
      <c r="E81">
        <v>23.323609085648425</v>
      </c>
      <c r="F81">
        <f t="shared" si="1"/>
        <v>9.7205346294046174E-2</v>
      </c>
    </row>
    <row r="82" spans="1:6" ht="112" x14ac:dyDescent="0.2">
      <c r="A82" s="4" t="s">
        <v>3159</v>
      </c>
      <c r="B82">
        <v>23.348176848785478</v>
      </c>
      <c r="C82" s="7">
        <v>9.8420413122721748E-2</v>
      </c>
      <c r="E82">
        <v>23.348176848785478</v>
      </c>
      <c r="F82">
        <f t="shared" si="1"/>
        <v>9.8420413122721748E-2</v>
      </c>
    </row>
    <row r="83" spans="1:6" ht="112" x14ac:dyDescent="0.2">
      <c r="A83" s="4" t="s">
        <v>3193</v>
      </c>
      <c r="B83">
        <v>23.46024061692296</v>
      </c>
      <c r="C83" s="7">
        <v>9.9635479951397321E-2</v>
      </c>
      <c r="E83">
        <v>23.46024061692296</v>
      </c>
      <c r="F83">
        <f t="shared" si="1"/>
        <v>9.9635479951397321E-2</v>
      </c>
    </row>
    <row r="84" spans="1:6" ht="112" x14ac:dyDescent="0.2">
      <c r="A84" s="4" t="s">
        <v>3189</v>
      </c>
      <c r="B84">
        <v>23.624111488053892</v>
      </c>
      <c r="C84" s="7">
        <v>0.10085054678007291</v>
      </c>
      <c r="E84">
        <v>23.624111488053892</v>
      </c>
      <c r="F84">
        <f t="shared" si="1"/>
        <v>0.10085054678007291</v>
      </c>
    </row>
    <row r="85" spans="1:6" ht="112" x14ac:dyDescent="0.2">
      <c r="A85" s="4" t="s">
        <v>3233</v>
      </c>
      <c r="B85">
        <v>23.710447233504908</v>
      </c>
      <c r="C85" s="7">
        <v>0.10206561360874848</v>
      </c>
      <c r="E85">
        <v>23.710447233504908</v>
      </c>
      <c r="F85">
        <f t="shared" si="1"/>
        <v>0.10206561360874848</v>
      </c>
    </row>
    <row r="86" spans="1:6" ht="112" x14ac:dyDescent="0.2">
      <c r="A86" s="4" t="s">
        <v>3165</v>
      </c>
      <c r="B86">
        <v>23.863475949736866</v>
      </c>
      <c r="C86" s="7">
        <v>0.10328068043742406</v>
      </c>
      <c r="E86">
        <v>23.863475949736866</v>
      </c>
      <c r="F86">
        <f t="shared" si="1"/>
        <v>0.10328068043742406</v>
      </c>
    </row>
    <row r="87" spans="1:6" ht="112" x14ac:dyDescent="0.2">
      <c r="A87" s="4" t="s">
        <v>3107</v>
      </c>
      <c r="B87">
        <v>23.954916198202259</v>
      </c>
      <c r="C87" s="7">
        <v>0.10449574726609964</v>
      </c>
      <c r="E87">
        <v>23.954916198202259</v>
      </c>
      <c r="F87">
        <f t="shared" si="1"/>
        <v>0.10449574726609964</v>
      </c>
    </row>
    <row r="88" spans="1:6" ht="112" x14ac:dyDescent="0.2">
      <c r="A88" s="4" t="s">
        <v>3181</v>
      </c>
      <c r="B88">
        <v>24.365649428489938</v>
      </c>
      <c r="C88" s="7">
        <v>0.10571081409477522</v>
      </c>
      <c r="E88">
        <v>24.365649428489938</v>
      </c>
      <c r="F88">
        <f t="shared" si="1"/>
        <v>0.10571081409477522</v>
      </c>
    </row>
    <row r="89" spans="1:6" ht="96" x14ac:dyDescent="0.2">
      <c r="A89" s="4" t="s">
        <v>3213</v>
      </c>
      <c r="B89">
        <v>24.571559029860005</v>
      </c>
      <c r="C89" s="7">
        <v>0.10692588092345079</v>
      </c>
      <c r="E89">
        <v>24.571559029860005</v>
      </c>
      <c r="F89">
        <f t="shared" si="1"/>
        <v>0.10692588092345079</v>
      </c>
    </row>
    <row r="90" spans="1:6" ht="112" x14ac:dyDescent="0.2">
      <c r="A90" s="4" t="s">
        <v>3219</v>
      </c>
      <c r="B90">
        <v>24.677930031250721</v>
      </c>
      <c r="C90" s="7">
        <v>0.10814094775212636</v>
      </c>
      <c r="E90">
        <v>24.677930031250721</v>
      </c>
      <c r="F90">
        <f t="shared" si="1"/>
        <v>0.10814094775212636</v>
      </c>
    </row>
    <row r="91" spans="1:6" ht="96" x14ac:dyDescent="0.2">
      <c r="A91" s="4" t="s">
        <v>3251</v>
      </c>
      <c r="B91">
        <v>24.704943567802612</v>
      </c>
      <c r="C91" s="7">
        <v>0.10935601458080195</v>
      </c>
      <c r="E91">
        <v>24.704943567802612</v>
      </c>
      <c r="F91">
        <f t="shared" si="1"/>
        <v>0.10935601458080195</v>
      </c>
    </row>
    <row r="92" spans="1:6" ht="96" x14ac:dyDescent="0.2">
      <c r="A92" s="4" t="s">
        <v>3199</v>
      </c>
      <c r="B92">
        <v>24.711940468312111</v>
      </c>
      <c r="C92" s="7">
        <v>0.11057108140947752</v>
      </c>
      <c r="E92">
        <v>24.711940468312111</v>
      </c>
      <c r="F92">
        <f t="shared" si="1"/>
        <v>0.11057108140947752</v>
      </c>
    </row>
    <row r="93" spans="1:6" ht="112" x14ac:dyDescent="0.2">
      <c r="A93" s="4" t="s">
        <v>3207</v>
      </c>
      <c r="B93">
        <v>24.715624999999999</v>
      </c>
      <c r="C93" s="7">
        <v>0.1117861482381531</v>
      </c>
      <c r="E93">
        <v>24.715624999999999</v>
      </c>
      <c r="F93">
        <f t="shared" si="1"/>
        <v>0.1117861482381531</v>
      </c>
    </row>
    <row r="94" spans="1:6" ht="112" x14ac:dyDescent="0.2">
      <c r="A94" s="4" t="s">
        <v>3245</v>
      </c>
      <c r="B94">
        <v>25.062020849107437</v>
      </c>
      <c r="C94" s="7">
        <v>0.11300121506682867</v>
      </c>
      <c r="E94">
        <v>25.062020849107437</v>
      </c>
      <c r="F94">
        <f t="shared" si="1"/>
        <v>0.11300121506682867</v>
      </c>
    </row>
    <row r="95" spans="1:6" ht="112" x14ac:dyDescent="0.2">
      <c r="A95" s="4" t="s">
        <v>3237</v>
      </c>
      <c r="B95">
        <v>25.201617296056963</v>
      </c>
      <c r="C95" s="7">
        <v>0.11421628189550426</v>
      </c>
      <c r="E95">
        <v>25.201617296056963</v>
      </c>
      <c r="F95">
        <f t="shared" si="1"/>
        <v>0.11421628189550426</v>
      </c>
    </row>
    <row r="96" spans="1:6" ht="112" x14ac:dyDescent="0.2">
      <c r="A96" s="4" t="s">
        <v>3179</v>
      </c>
      <c r="B96">
        <v>25.413943315658145</v>
      </c>
      <c r="C96" s="7">
        <v>0.11543134872417983</v>
      </c>
      <c r="E96">
        <v>25.413943315658145</v>
      </c>
      <c r="F96">
        <f t="shared" si="1"/>
        <v>0.11543134872417983</v>
      </c>
    </row>
    <row r="97" spans="1:6" ht="112" x14ac:dyDescent="0.2">
      <c r="A97" s="4" t="s">
        <v>3267</v>
      </c>
      <c r="B97">
        <v>25.433151651379699</v>
      </c>
      <c r="C97" s="7">
        <v>0.1166464155528554</v>
      </c>
      <c r="E97">
        <v>25.433151651379699</v>
      </c>
      <c r="F97">
        <f t="shared" si="1"/>
        <v>0.1166464155528554</v>
      </c>
    </row>
    <row r="98" spans="1:6" ht="112" x14ac:dyDescent="0.2">
      <c r="A98" s="4" t="s">
        <v>3205</v>
      </c>
      <c r="B98">
        <v>25.568651151402719</v>
      </c>
      <c r="C98" s="7">
        <v>0.11786148238153099</v>
      </c>
      <c r="E98">
        <v>25.568651151402719</v>
      </c>
      <c r="F98">
        <f t="shared" si="1"/>
        <v>0.11786148238153099</v>
      </c>
    </row>
    <row r="99" spans="1:6" ht="128" x14ac:dyDescent="0.2">
      <c r="A99" s="4" t="s">
        <v>3129</v>
      </c>
      <c r="B99">
        <v>25.572896993597759</v>
      </c>
      <c r="C99" s="7">
        <v>0.11907654921020656</v>
      </c>
      <c r="E99">
        <v>25.572896993597759</v>
      </c>
      <c r="F99">
        <f t="shared" si="1"/>
        <v>0.11907654921020656</v>
      </c>
    </row>
    <row r="100" spans="1:6" ht="96" x14ac:dyDescent="0.2">
      <c r="A100" s="4" t="s">
        <v>3315</v>
      </c>
      <c r="B100">
        <v>25.633046495211961</v>
      </c>
      <c r="C100" s="7">
        <v>0.12029161603888214</v>
      </c>
      <c r="E100">
        <v>25.633046495211961</v>
      </c>
      <c r="F100">
        <f t="shared" si="1"/>
        <v>0.12029161603888214</v>
      </c>
    </row>
    <row r="101" spans="1:6" ht="112" x14ac:dyDescent="0.2">
      <c r="A101" s="4" t="s">
        <v>3231</v>
      </c>
      <c r="B101">
        <v>25.661524927349081</v>
      </c>
      <c r="C101" s="7">
        <v>0.12150668286755771</v>
      </c>
      <c r="E101">
        <v>25.661524927349081</v>
      </c>
      <c r="F101">
        <f t="shared" si="1"/>
        <v>0.12150668286755771</v>
      </c>
    </row>
    <row r="102" spans="1:6" ht="96" x14ac:dyDescent="0.2">
      <c r="A102" s="4" t="s">
        <v>3167</v>
      </c>
      <c r="B102">
        <v>25.892747863745242</v>
      </c>
      <c r="C102" s="7">
        <v>0.1227217496962333</v>
      </c>
      <c r="E102">
        <v>25.892747863745242</v>
      </c>
      <c r="F102">
        <f t="shared" si="1"/>
        <v>0.1227217496962333</v>
      </c>
    </row>
    <row r="103" spans="1:6" ht="112" x14ac:dyDescent="0.2">
      <c r="A103" s="4" t="s">
        <v>3227</v>
      </c>
      <c r="B103">
        <v>25.967642678427897</v>
      </c>
      <c r="C103" s="7">
        <v>0.12393681652490887</v>
      </c>
      <c r="E103">
        <v>25.967642678427897</v>
      </c>
      <c r="F103">
        <f t="shared" si="1"/>
        <v>0.12393681652490887</v>
      </c>
    </row>
    <row r="104" spans="1:6" ht="96" x14ac:dyDescent="0.2">
      <c r="A104" s="4" t="s">
        <v>3247</v>
      </c>
      <c r="B104">
        <v>26.150100637154978</v>
      </c>
      <c r="C104" s="7">
        <v>0.12515188335358446</v>
      </c>
      <c r="E104">
        <v>26.150100637154978</v>
      </c>
      <c r="F104">
        <f t="shared" si="1"/>
        <v>0.12515188335358446</v>
      </c>
    </row>
    <row r="105" spans="1:6" ht="112" x14ac:dyDescent="0.2">
      <c r="A105" s="4" t="s">
        <v>3223</v>
      </c>
      <c r="B105">
        <v>26.409227940564008</v>
      </c>
      <c r="C105" s="7">
        <v>0.12636695018226002</v>
      </c>
      <c r="E105">
        <v>26.409227940564008</v>
      </c>
      <c r="F105">
        <f t="shared" si="1"/>
        <v>0.12636695018226002</v>
      </c>
    </row>
    <row r="106" spans="1:6" ht="96" x14ac:dyDescent="0.2">
      <c r="A106" s="4" t="s">
        <v>3299</v>
      </c>
      <c r="B106">
        <v>26.490213299312764</v>
      </c>
      <c r="C106" s="7">
        <v>0.12758201701093561</v>
      </c>
      <c r="E106">
        <v>26.490213299312764</v>
      </c>
      <c r="F106">
        <f t="shared" si="1"/>
        <v>0.12758201701093561</v>
      </c>
    </row>
    <row r="107" spans="1:6" ht="112" x14ac:dyDescent="0.2">
      <c r="A107" s="4" t="s">
        <v>3249</v>
      </c>
      <c r="B107">
        <v>26.572375615163455</v>
      </c>
      <c r="C107" s="7">
        <v>0.12879708383961117</v>
      </c>
      <c r="E107">
        <v>26.572375615163455</v>
      </c>
      <c r="F107">
        <f t="shared" si="1"/>
        <v>0.12879708383961117</v>
      </c>
    </row>
    <row r="108" spans="1:6" ht="112" x14ac:dyDescent="0.2">
      <c r="A108" s="4" t="s">
        <v>3241</v>
      </c>
      <c r="B108">
        <v>26.704432401409001</v>
      </c>
      <c r="C108" s="7">
        <v>0.13001215066828675</v>
      </c>
      <c r="E108">
        <v>26.704432401409001</v>
      </c>
      <c r="F108">
        <f t="shared" si="1"/>
        <v>0.13001215066828675</v>
      </c>
    </row>
    <row r="109" spans="1:6" ht="112" x14ac:dyDescent="0.2">
      <c r="A109" s="4" t="s">
        <v>3215</v>
      </c>
      <c r="B109">
        <v>26.839042065950434</v>
      </c>
      <c r="C109" s="7">
        <v>0.13122721749696234</v>
      </c>
      <c r="E109">
        <v>26.839042065950434</v>
      </c>
      <c r="F109">
        <f t="shared" si="1"/>
        <v>0.13122721749696234</v>
      </c>
    </row>
    <row r="110" spans="1:6" ht="112" x14ac:dyDescent="0.2">
      <c r="A110" s="4" t="s">
        <v>3283</v>
      </c>
      <c r="B110">
        <v>26.872479937030405</v>
      </c>
      <c r="C110" s="7">
        <v>0.1324422843256379</v>
      </c>
      <c r="E110">
        <v>26.872479937030405</v>
      </c>
      <c r="F110">
        <f t="shared" si="1"/>
        <v>0.1324422843256379</v>
      </c>
    </row>
    <row r="111" spans="1:6" ht="112" x14ac:dyDescent="0.2">
      <c r="A111" s="4" t="s">
        <v>3265</v>
      </c>
      <c r="B111">
        <v>26.965717130602091</v>
      </c>
      <c r="C111" s="7">
        <v>0.13365735115431349</v>
      </c>
      <c r="E111">
        <v>26.965717130602091</v>
      </c>
      <c r="F111">
        <f t="shared" si="1"/>
        <v>0.13365735115431349</v>
      </c>
    </row>
    <row r="112" spans="1:6" ht="96" x14ac:dyDescent="0.2">
      <c r="A112" s="4" t="s">
        <v>3295</v>
      </c>
      <c r="B112">
        <v>26.97495952936238</v>
      </c>
      <c r="C112" s="7">
        <v>0.13487241798298907</v>
      </c>
      <c r="E112">
        <v>26.97495952936238</v>
      </c>
      <c r="F112">
        <f t="shared" si="1"/>
        <v>0.13487241798298907</v>
      </c>
    </row>
    <row r="113" spans="1:6" ht="112" x14ac:dyDescent="0.2">
      <c r="A113" s="4" t="s">
        <v>3225</v>
      </c>
      <c r="B113">
        <v>27.060942748060224</v>
      </c>
      <c r="C113" s="7">
        <v>0.13608748481166463</v>
      </c>
      <c r="E113">
        <v>27.060942748060224</v>
      </c>
      <c r="F113">
        <f t="shared" si="1"/>
        <v>0.13608748481166463</v>
      </c>
    </row>
    <row r="114" spans="1:6" ht="96" x14ac:dyDescent="0.2">
      <c r="A114" s="4" t="s">
        <v>3311</v>
      </c>
      <c r="B114">
        <v>27.214858655326378</v>
      </c>
      <c r="C114" s="7">
        <v>0.13730255164034022</v>
      </c>
      <c r="E114">
        <v>27.214858655326378</v>
      </c>
      <c r="F114">
        <f t="shared" si="1"/>
        <v>0.13730255164034022</v>
      </c>
    </row>
    <row r="115" spans="1:6" ht="112" x14ac:dyDescent="0.2">
      <c r="A115" s="4" t="s">
        <v>3169</v>
      </c>
      <c r="B115">
        <v>27.605572559967605</v>
      </c>
      <c r="C115" s="7">
        <v>0.13851761846901581</v>
      </c>
      <c r="E115">
        <v>27.605572559967605</v>
      </c>
      <c r="F115">
        <f t="shared" si="1"/>
        <v>0.13851761846901581</v>
      </c>
    </row>
    <row r="116" spans="1:6" ht="96" x14ac:dyDescent="0.2">
      <c r="A116" s="4" t="s">
        <v>3243</v>
      </c>
      <c r="B116">
        <v>27.7288357274821</v>
      </c>
      <c r="C116" s="7">
        <v>0.13973268529769137</v>
      </c>
      <c r="E116">
        <v>27.7288357274821</v>
      </c>
      <c r="F116">
        <f t="shared" si="1"/>
        <v>0.13973268529769137</v>
      </c>
    </row>
    <row r="117" spans="1:6" ht="112" x14ac:dyDescent="0.2">
      <c r="A117" s="4" t="s">
        <v>3255</v>
      </c>
      <c r="B117">
        <v>27.74201566574391</v>
      </c>
      <c r="C117" s="7">
        <v>0.14094775212636695</v>
      </c>
      <c r="E117">
        <v>27.74201566574391</v>
      </c>
      <c r="F117">
        <f t="shared" si="1"/>
        <v>0.14094775212636695</v>
      </c>
    </row>
    <row r="118" spans="1:6" ht="112" x14ac:dyDescent="0.2">
      <c r="A118" s="4" t="s">
        <v>3211</v>
      </c>
      <c r="B118">
        <v>28.051810923333118</v>
      </c>
      <c r="C118" s="7">
        <v>0.14216281895504251</v>
      </c>
      <c r="E118">
        <v>28.051810923333118</v>
      </c>
      <c r="F118">
        <f t="shared" si="1"/>
        <v>0.14216281895504251</v>
      </c>
    </row>
    <row r="119" spans="1:6" ht="112" x14ac:dyDescent="0.2">
      <c r="A119" s="4" t="s">
        <v>3297</v>
      </c>
      <c r="B119">
        <v>28.077592515193952</v>
      </c>
      <c r="C119" s="7">
        <v>0.1433778857837181</v>
      </c>
      <c r="E119">
        <v>28.077592515193952</v>
      </c>
      <c r="F119">
        <f t="shared" si="1"/>
        <v>0.1433778857837181</v>
      </c>
    </row>
    <row r="120" spans="1:6" ht="112" x14ac:dyDescent="0.2">
      <c r="A120" s="4" t="s">
        <v>3277</v>
      </c>
      <c r="B120">
        <v>28.205184243004304</v>
      </c>
      <c r="C120" s="7">
        <v>0.14459295261239369</v>
      </c>
      <c r="E120">
        <v>28.205184243004304</v>
      </c>
      <c r="F120">
        <f t="shared" si="1"/>
        <v>0.14459295261239369</v>
      </c>
    </row>
    <row r="121" spans="1:6" ht="112" x14ac:dyDescent="0.2">
      <c r="A121" s="4" t="s">
        <v>3350</v>
      </c>
      <c r="B121">
        <v>28.276756626467968</v>
      </c>
      <c r="C121" s="7">
        <v>0.14580801944106925</v>
      </c>
      <c r="E121">
        <v>28.276756626467968</v>
      </c>
      <c r="F121">
        <f t="shared" si="1"/>
        <v>0.14580801944106925</v>
      </c>
    </row>
    <row r="122" spans="1:6" ht="112" x14ac:dyDescent="0.2">
      <c r="A122" s="4" t="s">
        <v>3340</v>
      </c>
      <c r="B122">
        <v>28.42549911034336</v>
      </c>
      <c r="C122" s="7">
        <v>0.14702308626974483</v>
      </c>
      <c r="E122">
        <v>28.42549911034336</v>
      </c>
      <c r="F122">
        <f t="shared" si="1"/>
        <v>0.14702308626974483</v>
      </c>
    </row>
    <row r="123" spans="1:6" ht="112" x14ac:dyDescent="0.2">
      <c r="A123" s="4" t="s">
        <v>3352</v>
      </c>
      <c r="B123">
        <v>28.628030899534696</v>
      </c>
      <c r="C123" s="7">
        <v>0.14823815309842042</v>
      </c>
      <c r="E123">
        <v>28.628030899534696</v>
      </c>
      <c r="F123">
        <f t="shared" si="1"/>
        <v>0.14823815309842042</v>
      </c>
    </row>
    <row r="124" spans="1:6" ht="112" x14ac:dyDescent="0.2">
      <c r="A124" s="4" t="s">
        <v>3263</v>
      </c>
      <c r="B124">
        <v>28.629092895165225</v>
      </c>
      <c r="C124" s="7">
        <v>0.14945321992709598</v>
      </c>
      <c r="E124">
        <v>28.629092895165225</v>
      </c>
      <c r="F124">
        <f t="shared" si="1"/>
        <v>0.14945321992709598</v>
      </c>
    </row>
    <row r="125" spans="1:6" ht="112" x14ac:dyDescent="0.2">
      <c r="A125" s="4" t="s">
        <v>3239</v>
      </c>
      <c r="B125">
        <v>28.839123089316491</v>
      </c>
      <c r="C125" s="7">
        <v>0.15066828675577157</v>
      </c>
      <c r="E125">
        <v>28.839123089316491</v>
      </c>
      <c r="F125">
        <f t="shared" si="1"/>
        <v>0.15066828675577157</v>
      </c>
    </row>
    <row r="126" spans="1:6" ht="112" x14ac:dyDescent="0.2">
      <c r="A126" s="4" t="s">
        <v>3269</v>
      </c>
      <c r="B126">
        <v>29.049249870990248</v>
      </c>
      <c r="C126" s="7">
        <v>0.15188335358444716</v>
      </c>
      <c r="E126">
        <v>29.049249870990248</v>
      </c>
      <c r="F126">
        <f t="shared" si="1"/>
        <v>0.15188335358444716</v>
      </c>
    </row>
    <row r="127" spans="1:6" ht="112" x14ac:dyDescent="0.2">
      <c r="A127" s="4" t="s">
        <v>3289</v>
      </c>
      <c r="B127">
        <v>29.067517628830334</v>
      </c>
      <c r="C127" s="7">
        <v>0.15309842041312272</v>
      </c>
      <c r="E127">
        <v>29.067517628830334</v>
      </c>
      <c r="F127">
        <f t="shared" si="1"/>
        <v>0.15309842041312272</v>
      </c>
    </row>
    <row r="128" spans="1:6" ht="112" x14ac:dyDescent="0.2">
      <c r="A128" s="4" t="s">
        <v>3271</v>
      </c>
      <c r="B128">
        <v>29.114070243345463</v>
      </c>
      <c r="C128" s="7">
        <v>0.1543134872417983</v>
      </c>
      <c r="E128">
        <v>29.114070243345463</v>
      </c>
      <c r="F128">
        <f t="shared" si="1"/>
        <v>0.1543134872417983</v>
      </c>
    </row>
    <row r="129" spans="1:6" ht="96" x14ac:dyDescent="0.2">
      <c r="A129" s="4" t="s">
        <v>3374</v>
      </c>
      <c r="B129">
        <v>29.136322539131367</v>
      </c>
      <c r="C129" s="7">
        <v>0.15552855407047386</v>
      </c>
      <c r="E129">
        <v>29.136322539131367</v>
      </c>
      <c r="F129">
        <f t="shared" si="1"/>
        <v>0.15552855407047386</v>
      </c>
    </row>
    <row r="130" spans="1:6" ht="112" x14ac:dyDescent="0.2">
      <c r="A130" s="4" t="s">
        <v>3279</v>
      </c>
      <c r="B130">
        <v>29.248831711780642</v>
      </c>
      <c r="C130" s="7">
        <v>0.15674362089914945</v>
      </c>
      <c r="E130">
        <v>29.248831711780642</v>
      </c>
      <c r="F130">
        <f t="shared" si="1"/>
        <v>0.15674362089914945</v>
      </c>
    </row>
    <row r="131" spans="1:6" ht="112" x14ac:dyDescent="0.2">
      <c r="A131" s="4" t="s">
        <v>3285</v>
      </c>
      <c r="B131">
        <v>29.262850992218294</v>
      </c>
      <c r="C131" s="7">
        <v>0.15795868772782504</v>
      </c>
      <c r="E131">
        <v>29.262850992218294</v>
      </c>
      <c r="F131">
        <f t="shared" ref="F131:F194" si="2">_xlfn.RANK.EQ(E131,$E$2:$E$824,1)/COUNT($E$2:$E$824)</f>
        <v>0.15795868772782504</v>
      </c>
    </row>
    <row r="132" spans="1:6" ht="112" x14ac:dyDescent="0.2">
      <c r="A132" s="4" t="s">
        <v>3235</v>
      </c>
      <c r="B132">
        <v>29.277417993548063</v>
      </c>
      <c r="C132" s="7">
        <v>0.1591737545565006</v>
      </c>
      <c r="E132">
        <v>29.277417993548063</v>
      </c>
      <c r="F132">
        <f t="shared" si="2"/>
        <v>0.1591737545565006</v>
      </c>
    </row>
    <row r="133" spans="1:6" ht="112" x14ac:dyDescent="0.2">
      <c r="A133" s="4" t="s">
        <v>3291</v>
      </c>
      <c r="B133">
        <v>29.299134976992068</v>
      </c>
      <c r="C133" s="7">
        <v>0.16038882138517618</v>
      </c>
      <c r="E133">
        <v>29.299134976992068</v>
      </c>
      <c r="F133">
        <f t="shared" si="2"/>
        <v>0.16038882138517618</v>
      </c>
    </row>
    <row r="134" spans="1:6" ht="112" x14ac:dyDescent="0.2">
      <c r="A134" s="4" t="s">
        <v>3327</v>
      </c>
      <c r="B134">
        <v>29.357802716776046</v>
      </c>
      <c r="C134" s="7">
        <v>0.16160388821385177</v>
      </c>
      <c r="E134">
        <v>29.357802716776046</v>
      </c>
      <c r="F134">
        <f t="shared" si="2"/>
        <v>0.16160388821385177</v>
      </c>
    </row>
    <row r="135" spans="1:6" ht="112" x14ac:dyDescent="0.2">
      <c r="A135" s="4" t="s">
        <v>3261</v>
      </c>
      <c r="B135">
        <v>29.474624070979438</v>
      </c>
      <c r="C135" s="7">
        <v>0.16281895504252733</v>
      </c>
      <c r="E135">
        <v>29.474624070979438</v>
      </c>
      <c r="F135">
        <f t="shared" si="2"/>
        <v>0.16281895504252733</v>
      </c>
    </row>
    <row r="136" spans="1:6" ht="112" x14ac:dyDescent="0.2">
      <c r="A136" s="4" t="s">
        <v>3313</v>
      </c>
      <c r="B136">
        <v>29.556948553710541</v>
      </c>
      <c r="C136" s="7">
        <v>0.16403402187120292</v>
      </c>
      <c r="E136">
        <v>29.556948553710541</v>
      </c>
      <c r="F136">
        <f t="shared" si="2"/>
        <v>0.16403402187120292</v>
      </c>
    </row>
    <row r="137" spans="1:6" ht="112" x14ac:dyDescent="0.2">
      <c r="A137" s="4" t="s">
        <v>3305</v>
      </c>
      <c r="B137">
        <v>29.72249621665728</v>
      </c>
      <c r="C137" s="7">
        <v>0.1652490886998785</v>
      </c>
      <c r="E137">
        <v>29.72249621665728</v>
      </c>
      <c r="F137">
        <f t="shared" si="2"/>
        <v>0.1652490886998785</v>
      </c>
    </row>
    <row r="138" spans="1:6" ht="112" x14ac:dyDescent="0.2">
      <c r="A138" s="4" t="s">
        <v>3273</v>
      </c>
      <c r="B138">
        <v>29.855429074414445</v>
      </c>
      <c r="C138" s="7">
        <v>0.16646415552855406</v>
      </c>
      <c r="E138">
        <v>29.855429074414445</v>
      </c>
      <c r="F138">
        <f t="shared" si="2"/>
        <v>0.16646415552855406</v>
      </c>
    </row>
    <row r="139" spans="1:6" ht="112" x14ac:dyDescent="0.2">
      <c r="A139" s="4" t="s">
        <v>3253</v>
      </c>
      <c r="B139">
        <v>29.944014816542776</v>
      </c>
      <c r="C139" s="7">
        <v>0.16767922235722965</v>
      </c>
      <c r="E139">
        <v>29.944014816542776</v>
      </c>
      <c r="F139">
        <f t="shared" si="2"/>
        <v>0.16767922235722965</v>
      </c>
    </row>
    <row r="140" spans="1:6" ht="112" x14ac:dyDescent="0.2">
      <c r="A140" s="4" t="s">
        <v>3356</v>
      </c>
      <c r="B140">
        <v>30.001951470094223</v>
      </c>
      <c r="C140" s="7">
        <v>0.16889428918590524</v>
      </c>
      <c r="E140">
        <v>30.001951470094223</v>
      </c>
      <c r="F140">
        <f t="shared" si="2"/>
        <v>0.16889428918590524</v>
      </c>
    </row>
    <row r="141" spans="1:6" ht="112" x14ac:dyDescent="0.2">
      <c r="A141" s="4" t="s">
        <v>3301</v>
      </c>
      <c r="B141">
        <v>30.02285549815964</v>
      </c>
      <c r="C141" s="7">
        <v>0.1701093560145808</v>
      </c>
      <c r="E141">
        <v>30.02285549815964</v>
      </c>
      <c r="F141">
        <f t="shared" si="2"/>
        <v>0.1701093560145808</v>
      </c>
    </row>
    <row r="142" spans="1:6" ht="112" x14ac:dyDescent="0.2">
      <c r="A142" s="4" t="s">
        <v>3229</v>
      </c>
      <c r="B142">
        <v>30.090578425812957</v>
      </c>
      <c r="C142" s="7">
        <v>0.17132442284325639</v>
      </c>
      <c r="E142">
        <v>30.090578425812957</v>
      </c>
      <c r="F142">
        <f t="shared" si="2"/>
        <v>0.17132442284325639</v>
      </c>
    </row>
    <row r="143" spans="1:6" ht="112" x14ac:dyDescent="0.2">
      <c r="A143" s="4" t="s">
        <v>3257</v>
      </c>
      <c r="B143">
        <v>30.166905992210356</v>
      </c>
      <c r="C143" s="7">
        <v>0.17253948967193194</v>
      </c>
      <c r="E143">
        <v>30.166905992210356</v>
      </c>
      <c r="F143">
        <f t="shared" si="2"/>
        <v>0.17253948967193194</v>
      </c>
    </row>
    <row r="144" spans="1:6" ht="112" x14ac:dyDescent="0.2">
      <c r="A144" s="4" t="s">
        <v>3317</v>
      </c>
      <c r="B144">
        <v>30.324375</v>
      </c>
      <c r="C144" s="7">
        <v>0.17375455650060753</v>
      </c>
      <c r="E144">
        <v>30.324375</v>
      </c>
      <c r="F144">
        <f t="shared" si="2"/>
        <v>0.17375455650060753</v>
      </c>
    </row>
    <row r="145" spans="1:6" ht="112" x14ac:dyDescent="0.2">
      <c r="A145" s="4" t="s">
        <v>3331</v>
      </c>
      <c r="B145">
        <v>30.347591643499587</v>
      </c>
      <c r="C145" s="7">
        <v>0.17496962332928312</v>
      </c>
      <c r="E145">
        <v>30.347591643499587</v>
      </c>
      <c r="F145">
        <f t="shared" si="2"/>
        <v>0.17496962332928312</v>
      </c>
    </row>
    <row r="146" spans="1:6" ht="112" x14ac:dyDescent="0.2">
      <c r="A146" s="4" t="s">
        <v>3364</v>
      </c>
      <c r="B146">
        <v>30.392995714502089</v>
      </c>
      <c r="C146" s="7">
        <v>0.17618469015795868</v>
      </c>
      <c r="E146">
        <v>30.392995714502089</v>
      </c>
      <c r="F146">
        <f t="shared" si="2"/>
        <v>0.17618469015795868</v>
      </c>
    </row>
    <row r="147" spans="1:6" ht="112" x14ac:dyDescent="0.2">
      <c r="A147" s="4" t="s">
        <v>3344</v>
      </c>
      <c r="B147">
        <v>30.599503068105232</v>
      </c>
      <c r="C147" s="7">
        <v>0.17739975698663427</v>
      </c>
      <c r="E147">
        <v>30.599503068105232</v>
      </c>
      <c r="F147">
        <f t="shared" si="2"/>
        <v>0.17739975698663427</v>
      </c>
    </row>
    <row r="148" spans="1:6" ht="112" x14ac:dyDescent="0.2">
      <c r="A148" s="4" t="s">
        <v>3281</v>
      </c>
      <c r="B148">
        <v>30.602</v>
      </c>
      <c r="C148" s="7">
        <v>0.17861482381530985</v>
      </c>
      <c r="E148">
        <v>30.602</v>
      </c>
      <c r="F148">
        <f t="shared" si="2"/>
        <v>0.17861482381530985</v>
      </c>
    </row>
    <row r="149" spans="1:6" ht="112" x14ac:dyDescent="0.2">
      <c r="A149" s="4" t="s">
        <v>3287</v>
      </c>
      <c r="B149">
        <v>30.721139820299754</v>
      </c>
      <c r="C149" s="7">
        <v>0.17982989064398541</v>
      </c>
      <c r="E149">
        <v>30.721139820299754</v>
      </c>
      <c r="F149">
        <f t="shared" si="2"/>
        <v>0.17982989064398541</v>
      </c>
    </row>
    <row r="150" spans="1:6" ht="96" x14ac:dyDescent="0.2">
      <c r="A150" s="4" t="s">
        <v>3463</v>
      </c>
      <c r="B150">
        <v>30.755326790116388</v>
      </c>
      <c r="C150" s="7">
        <v>0.181044957472661</v>
      </c>
      <c r="E150">
        <v>30.755326790116388</v>
      </c>
      <c r="F150">
        <f t="shared" si="2"/>
        <v>0.181044957472661</v>
      </c>
    </row>
    <row r="151" spans="1:6" ht="96" x14ac:dyDescent="0.2">
      <c r="A151" s="4" t="s">
        <v>3380</v>
      </c>
      <c r="B151">
        <v>30.809468547889459</v>
      </c>
      <c r="C151" s="7">
        <v>0.18226002430133659</v>
      </c>
      <c r="E151">
        <v>30.809468547889459</v>
      </c>
      <c r="F151">
        <f t="shared" si="2"/>
        <v>0.18226002430133659</v>
      </c>
    </row>
    <row r="152" spans="1:6" ht="112" x14ac:dyDescent="0.2">
      <c r="A152" s="4" t="s">
        <v>3323</v>
      </c>
      <c r="B152">
        <v>30.855129754108265</v>
      </c>
      <c r="C152" s="7">
        <v>0.18347509113001215</v>
      </c>
      <c r="E152">
        <v>30.855129754108265</v>
      </c>
      <c r="F152">
        <f t="shared" si="2"/>
        <v>0.18347509113001215</v>
      </c>
    </row>
    <row r="153" spans="1:6" ht="96" x14ac:dyDescent="0.2">
      <c r="A153" s="4" t="s">
        <v>3368</v>
      </c>
      <c r="B153">
        <v>30.902408507557212</v>
      </c>
      <c r="C153" s="7">
        <v>0.18469015795868773</v>
      </c>
      <c r="E153">
        <v>30.902408507557212</v>
      </c>
      <c r="F153">
        <f t="shared" si="2"/>
        <v>0.18469015795868773</v>
      </c>
    </row>
    <row r="154" spans="1:6" ht="112" x14ac:dyDescent="0.2">
      <c r="A154" s="4" t="s">
        <v>3346</v>
      </c>
      <c r="B154">
        <v>30.949223029508644</v>
      </c>
      <c r="C154" s="7">
        <v>0.18590522478736329</v>
      </c>
      <c r="E154">
        <v>30.949223029508644</v>
      </c>
      <c r="F154">
        <f t="shared" si="2"/>
        <v>0.18590522478736329</v>
      </c>
    </row>
    <row r="155" spans="1:6" ht="112" x14ac:dyDescent="0.2">
      <c r="A155" s="4" t="s">
        <v>3325</v>
      </c>
      <c r="B155">
        <v>30.975234137621594</v>
      </c>
      <c r="C155" s="7">
        <v>0.18712029161603888</v>
      </c>
      <c r="E155">
        <v>30.975234137621594</v>
      </c>
      <c r="F155">
        <f t="shared" si="2"/>
        <v>0.18712029161603888</v>
      </c>
    </row>
    <row r="156" spans="1:6" ht="112" x14ac:dyDescent="0.2">
      <c r="A156" s="4" t="s">
        <v>3358</v>
      </c>
      <c r="B156">
        <v>30.980288064015994</v>
      </c>
      <c r="C156" s="7">
        <v>0.18833535844471447</v>
      </c>
      <c r="E156">
        <v>30.980288064015994</v>
      </c>
      <c r="F156">
        <f t="shared" si="2"/>
        <v>0.18833535844471447</v>
      </c>
    </row>
    <row r="157" spans="1:6" ht="96" x14ac:dyDescent="0.2">
      <c r="A157" s="4" t="s">
        <v>3378</v>
      </c>
      <c r="B157">
        <v>31.122941176470587</v>
      </c>
      <c r="C157" s="7">
        <v>0.18955042527339003</v>
      </c>
      <c r="E157">
        <v>31.122941176470587</v>
      </c>
      <c r="F157">
        <f t="shared" si="2"/>
        <v>0.18955042527339003</v>
      </c>
    </row>
    <row r="158" spans="1:6" ht="112" x14ac:dyDescent="0.2">
      <c r="A158" s="4" t="s">
        <v>3293</v>
      </c>
      <c r="B158">
        <v>31.161104487531937</v>
      </c>
      <c r="C158" s="7">
        <v>0.19076549210206561</v>
      </c>
      <c r="E158">
        <v>31.161104487531937</v>
      </c>
      <c r="F158">
        <f t="shared" si="2"/>
        <v>0.19076549210206561</v>
      </c>
    </row>
    <row r="159" spans="1:6" ht="112" x14ac:dyDescent="0.2">
      <c r="A159" s="4" t="s">
        <v>3303</v>
      </c>
      <c r="B159">
        <v>31.287881789962309</v>
      </c>
      <c r="C159" s="7">
        <v>0.1919805589307412</v>
      </c>
      <c r="E159">
        <v>31.287881789962309</v>
      </c>
      <c r="F159">
        <f t="shared" si="2"/>
        <v>0.1919805589307412</v>
      </c>
    </row>
    <row r="160" spans="1:6" ht="96" x14ac:dyDescent="0.2">
      <c r="A160" s="4" t="s">
        <v>3335</v>
      </c>
      <c r="B160">
        <v>31.307245424410258</v>
      </c>
      <c r="C160" s="7">
        <v>0.19319562575941676</v>
      </c>
      <c r="E160">
        <v>31.307245424410258</v>
      </c>
      <c r="F160">
        <f t="shared" si="2"/>
        <v>0.19319562575941676</v>
      </c>
    </row>
    <row r="161" spans="1:6" ht="112" x14ac:dyDescent="0.2">
      <c r="A161" s="4" t="s">
        <v>3396</v>
      </c>
      <c r="B161">
        <v>31.31754379172731</v>
      </c>
      <c r="C161" s="7">
        <v>0.19441069258809235</v>
      </c>
      <c r="E161">
        <v>31.31754379172731</v>
      </c>
      <c r="F161">
        <f t="shared" si="2"/>
        <v>0.19441069258809235</v>
      </c>
    </row>
    <row r="162" spans="1:6" ht="112" x14ac:dyDescent="0.2">
      <c r="A162" s="4" t="s">
        <v>3321</v>
      </c>
      <c r="B162">
        <v>31.385255895138176</v>
      </c>
      <c r="C162" s="7">
        <v>0.19562575941676794</v>
      </c>
      <c r="E162">
        <v>31.385255895138176</v>
      </c>
      <c r="F162">
        <f t="shared" si="2"/>
        <v>0.19562575941676794</v>
      </c>
    </row>
    <row r="163" spans="1:6" ht="112" x14ac:dyDescent="0.2">
      <c r="A163" s="4" t="s">
        <v>3259</v>
      </c>
      <c r="B163">
        <v>31.739585942313013</v>
      </c>
      <c r="C163" s="7">
        <v>0.1968408262454435</v>
      </c>
      <c r="E163">
        <v>31.739585942313013</v>
      </c>
      <c r="F163">
        <f t="shared" si="2"/>
        <v>0.1968408262454435</v>
      </c>
    </row>
    <row r="164" spans="1:6" ht="112" x14ac:dyDescent="0.2">
      <c r="A164" s="4" t="s">
        <v>3338</v>
      </c>
      <c r="B164">
        <v>31.742263088563906</v>
      </c>
      <c r="C164" s="7">
        <v>0.19805589307411908</v>
      </c>
      <c r="E164">
        <v>31.742263088563906</v>
      </c>
      <c r="F164">
        <f t="shared" si="2"/>
        <v>0.19805589307411908</v>
      </c>
    </row>
    <row r="165" spans="1:6" ht="112" x14ac:dyDescent="0.2">
      <c r="A165" s="4" t="s">
        <v>3412</v>
      </c>
      <c r="B165">
        <v>31.874313515258109</v>
      </c>
      <c r="C165" s="7">
        <v>0.19927095990279464</v>
      </c>
      <c r="E165">
        <v>31.874313515258109</v>
      </c>
      <c r="F165">
        <f t="shared" si="2"/>
        <v>0.19927095990279464</v>
      </c>
    </row>
    <row r="166" spans="1:6" ht="112" x14ac:dyDescent="0.2">
      <c r="A166" s="4" t="s">
        <v>3376</v>
      </c>
      <c r="B166">
        <v>31.933893853433155</v>
      </c>
      <c r="C166" s="7">
        <v>0.20048602673147023</v>
      </c>
      <c r="E166">
        <v>31.933893853433155</v>
      </c>
      <c r="F166">
        <f t="shared" si="2"/>
        <v>0.20048602673147023</v>
      </c>
    </row>
    <row r="167" spans="1:6" ht="112" x14ac:dyDescent="0.2">
      <c r="A167" s="4" t="s">
        <v>3329</v>
      </c>
      <c r="B167">
        <v>31.947791594470388</v>
      </c>
      <c r="C167" s="7">
        <v>0.20170109356014582</v>
      </c>
      <c r="E167">
        <v>31.947791594470388</v>
      </c>
      <c r="F167">
        <f t="shared" si="2"/>
        <v>0.20170109356014582</v>
      </c>
    </row>
    <row r="168" spans="1:6" ht="96" x14ac:dyDescent="0.2">
      <c r="A168" s="4" t="s">
        <v>3366</v>
      </c>
      <c r="B168">
        <v>32.358735942999907</v>
      </c>
      <c r="C168" s="7">
        <v>0.20291616038882138</v>
      </c>
      <c r="E168">
        <v>32.358735942999907</v>
      </c>
      <c r="F168">
        <f t="shared" si="2"/>
        <v>0.20291616038882138</v>
      </c>
    </row>
    <row r="169" spans="1:6" ht="112" x14ac:dyDescent="0.2">
      <c r="A169" s="4" t="s">
        <v>3354</v>
      </c>
      <c r="B169">
        <v>32.38825944690452</v>
      </c>
      <c r="C169" s="7">
        <v>0.20413122721749696</v>
      </c>
      <c r="E169">
        <v>32.38825944690452</v>
      </c>
      <c r="F169">
        <f t="shared" si="2"/>
        <v>0.20413122721749696</v>
      </c>
    </row>
    <row r="170" spans="1:6" ht="96" x14ac:dyDescent="0.2">
      <c r="A170" s="4" t="s">
        <v>3130</v>
      </c>
      <c r="B170">
        <v>32.533079508980741</v>
      </c>
      <c r="C170" s="7">
        <v>0.20534629404617255</v>
      </c>
      <c r="E170">
        <v>32.533079508980741</v>
      </c>
      <c r="F170">
        <f t="shared" si="2"/>
        <v>0.20534629404617255</v>
      </c>
    </row>
    <row r="171" spans="1:6" ht="112" x14ac:dyDescent="0.2">
      <c r="A171" s="4" t="s">
        <v>3428</v>
      </c>
      <c r="B171">
        <v>32.554504150243595</v>
      </c>
      <c r="C171" s="7">
        <v>0.20656136087484811</v>
      </c>
      <c r="E171">
        <v>32.554504150243595</v>
      </c>
      <c r="F171">
        <f t="shared" si="2"/>
        <v>0.20656136087484811</v>
      </c>
    </row>
    <row r="172" spans="1:6" ht="112" x14ac:dyDescent="0.2">
      <c r="A172" s="4" t="s">
        <v>3398</v>
      </c>
      <c r="B172">
        <v>32.570007987337107</v>
      </c>
      <c r="C172" s="7">
        <v>0.2077764277035237</v>
      </c>
      <c r="E172">
        <v>32.570007987337107</v>
      </c>
      <c r="F172">
        <f t="shared" si="2"/>
        <v>0.2077764277035237</v>
      </c>
    </row>
    <row r="173" spans="1:6" ht="112" x14ac:dyDescent="0.2">
      <c r="A173" s="4" t="s">
        <v>3309</v>
      </c>
      <c r="B173">
        <v>32.75073217005108</v>
      </c>
      <c r="C173" s="7">
        <v>0.20899149453219928</v>
      </c>
      <c r="E173">
        <v>32.75073217005108</v>
      </c>
      <c r="F173">
        <f t="shared" si="2"/>
        <v>0.20899149453219928</v>
      </c>
    </row>
    <row r="174" spans="1:6" ht="96" x14ac:dyDescent="0.2">
      <c r="A174" s="4" t="s">
        <v>3469</v>
      </c>
      <c r="B174">
        <v>32.785555555555554</v>
      </c>
      <c r="C174" s="7">
        <v>0.21020656136087484</v>
      </c>
      <c r="E174">
        <v>32.785555555555554</v>
      </c>
      <c r="F174">
        <f t="shared" si="2"/>
        <v>0.21020656136087484</v>
      </c>
    </row>
    <row r="175" spans="1:6" ht="112" x14ac:dyDescent="0.2">
      <c r="A175" s="4" t="s">
        <v>3384</v>
      </c>
      <c r="B175">
        <v>32.857552121508149</v>
      </c>
      <c r="C175" s="7">
        <v>0.21142162818955043</v>
      </c>
      <c r="E175">
        <v>32.857552121508149</v>
      </c>
      <c r="F175">
        <f t="shared" si="2"/>
        <v>0.21142162818955043</v>
      </c>
    </row>
    <row r="176" spans="1:6" ht="112" x14ac:dyDescent="0.2">
      <c r="A176" s="4" t="s">
        <v>3434</v>
      </c>
      <c r="B176">
        <v>32.924625706701988</v>
      </c>
      <c r="C176" s="7">
        <v>0.21263669501822599</v>
      </c>
      <c r="E176">
        <v>32.924625706701988</v>
      </c>
      <c r="F176">
        <f t="shared" si="2"/>
        <v>0.21263669501822599</v>
      </c>
    </row>
    <row r="177" spans="1:6" ht="112" x14ac:dyDescent="0.2">
      <c r="A177" s="4" t="s">
        <v>3307</v>
      </c>
      <c r="B177">
        <v>32.989407420004937</v>
      </c>
      <c r="C177" s="7">
        <v>0.21385176184690158</v>
      </c>
      <c r="E177">
        <v>32.989407420004937</v>
      </c>
      <c r="F177">
        <f t="shared" si="2"/>
        <v>0.21385176184690158</v>
      </c>
    </row>
    <row r="178" spans="1:6" ht="112" x14ac:dyDescent="0.2">
      <c r="A178" s="4" t="s">
        <v>3319</v>
      </c>
      <c r="B178">
        <v>33.017666247081571</v>
      </c>
      <c r="C178" s="7">
        <v>0.21506682867557717</v>
      </c>
      <c r="E178">
        <v>33.017666247081571</v>
      </c>
      <c r="F178">
        <f t="shared" si="2"/>
        <v>0.21506682867557717</v>
      </c>
    </row>
    <row r="179" spans="1:6" ht="96" x14ac:dyDescent="0.2">
      <c r="A179" s="4" t="s">
        <v>3459</v>
      </c>
      <c r="B179">
        <v>33.25815777078143</v>
      </c>
      <c r="C179" s="7">
        <v>0.21628189550425272</v>
      </c>
      <c r="E179">
        <v>33.25815777078143</v>
      </c>
      <c r="F179">
        <f t="shared" si="2"/>
        <v>0.21628189550425272</v>
      </c>
    </row>
    <row r="180" spans="1:6" ht="128" x14ac:dyDescent="0.2">
      <c r="A180" s="4" t="s">
        <v>3342</v>
      </c>
      <c r="B180">
        <v>33.412161896719773</v>
      </c>
      <c r="C180" s="7">
        <v>0.21749696233292831</v>
      </c>
      <c r="E180">
        <v>33.412161896719773</v>
      </c>
      <c r="F180">
        <f t="shared" si="2"/>
        <v>0.21749696233292831</v>
      </c>
    </row>
    <row r="181" spans="1:6" ht="112" x14ac:dyDescent="0.2">
      <c r="A181" s="4" t="s">
        <v>3362</v>
      </c>
      <c r="B181">
        <v>33.690292765267593</v>
      </c>
      <c r="C181" s="7">
        <v>0.2187120291616039</v>
      </c>
      <c r="E181">
        <v>33.690292765267593</v>
      </c>
      <c r="F181">
        <f t="shared" si="2"/>
        <v>0.2187120291616039</v>
      </c>
    </row>
    <row r="182" spans="1:6" ht="112" x14ac:dyDescent="0.2">
      <c r="A182" s="4" t="s">
        <v>3416</v>
      </c>
      <c r="B182">
        <v>33.793537933466013</v>
      </c>
      <c r="C182" s="7">
        <v>0.21992709599027946</v>
      </c>
      <c r="E182">
        <v>33.793537933466013</v>
      </c>
      <c r="F182">
        <f t="shared" si="2"/>
        <v>0.21992709599027946</v>
      </c>
    </row>
    <row r="183" spans="1:6" ht="112" x14ac:dyDescent="0.2">
      <c r="A183" s="4" t="s">
        <v>3408</v>
      </c>
      <c r="B183">
        <v>33.854374999999997</v>
      </c>
      <c r="C183" s="7">
        <v>0.22114216281895505</v>
      </c>
      <c r="E183">
        <v>33.854374999999997</v>
      </c>
      <c r="F183">
        <f t="shared" si="2"/>
        <v>0.22114216281895505</v>
      </c>
    </row>
    <row r="184" spans="1:6" ht="112" x14ac:dyDescent="0.2">
      <c r="A184" s="4" t="s">
        <v>3410</v>
      </c>
      <c r="B184">
        <v>33.951376165472468</v>
      </c>
      <c r="C184" s="7">
        <v>0.22235722964763063</v>
      </c>
      <c r="E184">
        <v>33.951376165472468</v>
      </c>
      <c r="F184">
        <f t="shared" si="2"/>
        <v>0.22235722964763063</v>
      </c>
    </row>
    <row r="185" spans="1:6" ht="112" x14ac:dyDescent="0.2">
      <c r="A185" s="4" t="s">
        <v>3372</v>
      </c>
      <c r="B185">
        <v>34.086441006714125</v>
      </c>
      <c r="C185" s="7">
        <v>0.22357229647630619</v>
      </c>
      <c r="E185">
        <v>34.086441006714125</v>
      </c>
      <c r="F185">
        <f t="shared" si="2"/>
        <v>0.22357229647630619</v>
      </c>
    </row>
    <row r="186" spans="1:6" ht="112" x14ac:dyDescent="0.2">
      <c r="A186" s="4" t="s">
        <v>3370</v>
      </c>
      <c r="B186">
        <v>34.094522952213055</v>
      </c>
      <c r="C186" s="7">
        <v>0.22478736330498178</v>
      </c>
      <c r="E186">
        <v>34.094522952213055</v>
      </c>
      <c r="F186">
        <f t="shared" si="2"/>
        <v>0.22478736330498178</v>
      </c>
    </row>
    <row r="187" spans="1:6" ht="112" x14ac:dyDescent="0.2">
      <c r="A187" s="4" t="s">
        <v>3275</v>
      </c>
      <c r="B187">
        <v>34.185612999596657</v>
      </c>
      <c r="C187" s="7">
        <v>0.22600243013365734</v>
      </c>
      <c r="E187">
        <v>34.185612999596657</v>
      </c>
      <c r="F187">
        <f t="shared" si="2"/>
        <v>0.22600243013365734</v>
      </c>
    </row>
    <row r="188" spans="1:6" ht="112" x14ac:dyDescent="0.2">
      <c r="A188" s="4" t="s">
        <v>3402</v>
      </c>
      <c r="B188">
        <v>34.199229199246297</v>
      </c>
      <c r="C188" s="7">
        <v>0.22721749696233293</v>
      </c>
      <c r="E188">
        <v>34.199229199246297</v>
      </c>
      <c r="F188">
        <f t="shared" si="2"/>
        <v>0.22721749696233293</v>
      </c>
    </row>
    <row r="189" spans="1:6" ht="112" x14ac:dyDescent="0.2">
      <c r="A189" s="4" t="s">
        <v>3452</v>
      </c>
      <c r="B189">
        <v>34.209754833730862</v>
      </c>
      <c r="C189" s="7">
        <v>0.22843256379100851</v>
      </c>
      <c r="E189">
        <v>34.209754833730862</v>
      </c>
      <c r="F189">
        <f t="shared" si="2"/>
        <v>0.22843256379100851</v>
      </c>
    </row>
    <row r="190" spans="1:6" ht="112" x14ac:dyDescent="0.2">
      <c r="A190" s="4" t="s">
        <v>3404</v>
      </c>
      <c r="B190">
        <v>34.229074229091339</v>
      </c>
      <c r="C190" s="7">
        <v>0.22964763061968407</v>
      </c>
      <c r="E190">
        <v>34.229074229091339</v>
      </c>
      <c r="F190">
        <f t="shared" si="2"/>
        <v>0.22964763061968407</v>
      </c>
    </row>
    <row r="191" spans="1:6" ht="128" x14ac:dyDescent="0.2">
      <c r="A191" s="4" t="s">
        <v>3418</v>
      </c>
      <c r="B191">
        <v>34.291120132234987</v>
      </c>
      <c r="C191" s="7">
        <v>0.23086269744835966</v>
      </c>
      <c r="E191">
        <v>34.291120132234987</v>
      </c>
      <c r="F191">
        <f t="shared" si="2"/>
        <v>0.23086269744835966</v>
      </c>
    </row>
    <row r="192" spans="1:6" ht="112" x14ac:dyDescent="0.2">
      <c r="A192" s="4" t="s">
        <v>3386</v>
      </c>
      <c r="B192">
        <v>34.300431508461614</v>
      </c>
      <c r="C192" s="7">
        <v>0.23207776427703525</v>
      </c>
      <c r="E192">
        <v>34.300431508461614</v>
      </c>
      <c r="F192">
        <f t="shared" si="2"/>
        <v>0.23207776427703525</v>
      </c>
    </row>
    <row r="193" spans="1:6" ht="112" x14ac:dyDescent="0.2">
      <c r="A193" s="4" t="s">
        <v>3422</v>
      </c>
      <c r="B193">
        <v>34.454539240025028</v>
      </c>
      <c r="C193" s="7">
        <v>0.23329283110571081</v>
      </c>
      <c r="E193">
        <v>34.454539240025028</v>
      </c>
      <c r="F193">
        <f t="shared" si="2"/>
        <v>0.23329283110571081</v>
      </c>
    </row>
    <row r="194" spans="1:6" ht="96" x14ac:dyDescent="0.2">
      <c r="A194" s="4" t="s">
        <v>3406</v>
      </c>
      <c r="B194">
        <v>34.736942037962415</v>
      </c>
      <c r="C194" s="7">
        <v>0.23450789793438639</v>
      </c>
      <c r="E194">
        <v>34.736942037962415</v>
      </c>
      <c r="F194">
        <f t="shared" si="2"/>
        <v>0.23450789793438639</v>
      </c>
    </row>
    <row r="195" spans="1:6" ht="112" x14ac:dyDescent="0.2">
      <c r="A195" s="4" t="s">
        <v>3390</v>
      </c>
      <c r="B195">
        <v>35.053984726666826</v>
      </c>
      <c r="C195" s="7">
        <v>0.23572296476306198</v>
      </c>
      <c r="E195">
        <v>35.053984726666826</v>
      </c>
      <c r="F195">
        <f t="shared" ref="F195:F258" si="3">_xlfn.RANK.EQ(E195,$E$2:$E$824,1)/COUNT($E$2:$E$824)</f>
        <v>0.23572296476306198</v>
      </c>
    </row>
    <row r="196" spans="1:6" ht="128" x14ac:dyDescent="0.2">
      <c r="A196" s="4" t="s">
        <v>3333</v>
      </c>
      <c r="B196">
        <v>35.178230931530386</v>
      </c>
      <c r="C196" s="7">
        <v>0.23693803159173754</v>
      </c>
      <c r="E196">
        <v>35.178230931530386</v>
      </c>
      <c r="F196">
        <f t="shared" si="3"/>
        <v>0.23693803159173754</v>
      </c>
    </row>
    <row r="197" spans="1:6" ht="112" x14ac:dyDescent="0.2">
      <c r="A197" s="4" t="s">
        <v>3485</v>
      </c>
      <c r="B197">
        <v>35.295689313592128</v>
      </c>
      <c r="C197" s="7">
        <v>0.23815309842041313</v>
      </c>
      <c r="E197">
        <v>35.295689313592128</v>
      </c>
      <c r="F197">
        <f t="shared" si="3"/>
        <v>0.23815309842041313</v>
      </c>
    </row>
    <row r="198" spans="1:6" ht="96" x14ac:dyDescent="0.2">
      <c r="A198" s="4" t="s">
        <v>3536</v>
      </c>
      <c r="B198">
        <v>35.398002095061543</v>
      </c>
      <c r="C198" s="7">
        <v>0.23936816524908869</v>
      </c>
      <c r="E198">
        <v>35.398002095061543</v>
      </c>
      <c r="F198">
        <f t="shared" si="3"/>
        <v>0.23936816524908869</v>
      </c>
    </row>
    <row r="199" spans="1:6" ht="112" x14ac:dyDescent="0.2">
      <c r="A199" s="4" t="s">
        <v>3444</v>
      </c>
      <c r="B199">
        <v>35.577367414374621</v>
      </c>
      <c r="C199" s="7">
        <v>0.24058323207776428</v>
      </c>
      <c r="E199">
        <v>35.577367414374621</v>
      </c>
      <c r="F199">
        <f t="shared" si="3"/>
        <v>0.24058323207776428</v>
      </c>
    </row>
    <row r="200" spans="1:6" ht="112" x14ac:dyDescent="0.2">
      <c r="A200" s="4" t="s">
        <v>3394</v>
      </c>
      <c r="B200">
        <v>35.63460953728832</v>
      </c>
      <c r="C200" s="7">
        <v>0.24179829890643986</v>
      </c>
      <c r="E200">
        <v>35.63460953728832</v>
      </c>
      <c r="F200">
        <f t="shared" si="3"/>
        <v>0.24179829890643986</v>
      </c>
    </row>
    <row r="201" spans="1:6" ht="128" x14ac:dyDescent="0.2">
      <c r="A201" s="4" t="s">
        <v>3348</v>
      </c>
      <c r="B201">
        <v>35.752025963573026</v>
      </c>
      <c r="C201" s="7">
        <v>0.24301336573511542</v>
      </c>
      <c r="E201">
        <v>35.752025963573026</v>
      </c>
      <c r="F201">
        <f t="shared" si="3"/>
        <v>0.24301336573511542</v>
      </c>
    </row>
    <row r="202" spans="1:6" ht="112" x14ac:dyDescent="0.2">
      <c r="A202" s="4" t="s">
        <v>3388</v>
      </c>
      <c r="B202">
        <v>35.831700090333932</v>
      </c>
      <c r="C202" s="7">
        <v>0.24422843256379101</v>
      </c>
      <c r="E202">
        <v>35.831700090333932</v>
      </c>
      <c r="F202">
        <f t="shared" si="3"/>
        <v>0.24422843256379101</v>
      </c>
    </row>
    <row r="203" spans="1:6" ht="112" x14ac:dyDescent="0.2">
      <c r="A203" s="4" t="s">
        <v>3430</v>
      </c>
      <c r="B203">
        <v>35.838165838183755</v>
      </c>
      <c r="C203" s="7">
        <v>0.2454434993924666</v>
      </c>
      <c r="E203">
        <v>35.838165838183755</v>
      </c>
      <c r="F203">
        <f t="shared" si="3"/>
        <v>0.2454434993924666</v>
      </c>
    </row>
    <row r="204" spans="1:6" ht="112" x14ac:dyDescent="0.2">
      <c r="A204" s="4" t="s">
        <v>3392</v>
      </c>
      <c r="B204">
        <v>35.89237807795562</v>
      </c>
      <c r="C204" s="7">
        <v>0.24665856622114216</v>
      </c>
      <c r="E204">
        <v>35.89237807795562</v>
      </c>
      <c r="F204">
        <f t="shared" si="3"/>
        <v>0.24665856622114216</v>
      </c>
    </row>
    <row r="205" spans="1:6" ht="128" x14ac:dyDescent="0.2">
      <c r="A205" s="4" t="s">
        <v>3479</v>
      </c>
      <c r="B205">
        <v>35.912913322665702</v>
      </c>
      <c r="C205" s="7">
        <v>0.24787363304981774</v>
      </c>
      <c r="E205">
        <v>35.912913322665702</v>
      </c>
      <c r="F205">
        <f t="shared" si="3"/>
        <v>0.24787363304981774</v>
      </c>
    </row>
    <row r="206" spans="1:6" ht="112" x14ac:dyDescent="0.2">
      <c r="A206" s="4" t="s">
        <v>3454</v>
      </c>
      <c r="B206">
        <v>36.039446428069603</v>
      </c>
      <c r="C206" s="7">
        <v>0.24908869987849333</v>
      </c>
      <c r="E206">
        <v>36.039446428069603</v>
      </c>
      <c r="F206">
        <f t="shared" si="3"/>
        <v>0.24908869987849333</v>
      </c>
    </row>
    <row r="207" spans="1:6" ht="112" x14ac:dyDescent="0.2">
      <c r="A207" s="4" t="s">
        <v>3382</v>
      </c>
      <c r="B207">
        <v>36.099324376851101</v>
      </c>
      <c r="C207" s="7">
        <v>0.25030376670716892</v>
      </c>
      <c r="E207">
        <v>36.099324376851101</v>
      </c>
      <c r="F207">
        <f t="shared" si="3"/>
        <v>0.25030376670716892</v>
      </c>
    </row>
    <row r="208" spans="1:6" ht="112" x14ac:dyDescent="0.2">
      <c r="A208" s="4" t="s">
        <v>3481</v>
      </c>
      <c r="B208">
        <v>36.195371099784218</v>
      </c>
      <c r="C208" s="7">
        <v>0.25151883353584448</v>
      </c>
      <c r="E208">
        <v>36.195371099784218</v>
      </c>
      <c r="F208">
        <f t="shared" si="3"/>
        <v>0.25151883353584448</v>
      </c>
    </row>
    <row r="209" spans="1:6" ht="112" x14ac:dyDescent="0.2">
      <c r="A209" s="4" t="s">
        <v>3448</v>
      </c>
      <c r="B209">
        <v>36.198124999999997</v>
      </c>
      <c r="C209" s="7">
        <v>0.25273390036452004</v>
      </c>
      <c r="E209">
        <v>36.198124999999997</v>
      </c>
      <c r="F209">
        <f t="shared" si="3"/>
        <v>0.25273390036452004</v>
      </c>
    </row>
    <row r="210" spans="1:6" ht="96" x14ac:dyDescent="0.2">
      <c r="A210" s="4" t="s">
        <v>3554</v>
      </c>
      <c r="B210">
        <v>36.317797446382492</v>
      </c>
      <c r="C210" s="7">
        <v>0.25394896719319565</v>
      </c>
      <c r="E210">
        <v>36.317797446382492</v>
      </c>
      <c r="F210">
        <f t="shared" si="3"/>
        <v>0.25394896719319565</v>
      </c>
    </row>
    <row r="211" spans="1:6" ht="112" x14ac:dyDescent="0.2">
      <c r="A211" s="4" t="s">
        <v>3414</v>
      </c>
      <c r="B211">
        <v>36.321333333333335</v>
      </c>
      <c r="C211" s="7">
        <v>0.25516403402187121</v>
      </c>
      <c r="E211">
        <v>36.321333333333335</v>
      </c>
      <c r="F211">
        <f t="shared" si="3"/>
        <v>0.25516403402187121</v>
      </c>
    </row>
    <row r="212" spans="1:6" ht="112" x14ac:dyDescent="0.2">
      <c r="A212" s="4" t="s">
        <v>3432</v>
      </c>
      <c r="B212">
        <v>36.457139989285324</v>
      </c>
      <c r="C212" s="7">
        <v>0.25637910085054677</v>
      </c>
      <c r="E212">
        <v>36.457139989285324</v>
      </c>
      <c r="F212">
        <f t="shared" si="3"/>
        <v>0.25637910085054677</v>
      </c>
    </row>
    <row r="213" spans="1:6" ht="112" x14ac:dyDescent="0.2">
      <c r="A213" s="4" t="s">
        <v>3458</v>
      </c>
      <c r="B213">
        <v>36.536124077389836</v>
      </c>
      <c r="C213" s="7">
        <v>0.25759416767922233</v>
      </c>
      <c r="E213">
        <v>36.536124077389836</v>
      </c>
      <c r="F213">
        <f t="shared" si="3"/>
        <v>0.25759416767922233</v>
      </c>
    </row>
    <row r="214" spans="1:6" ht="112" x14ac:dyDescent="0.2">
      <c r="A214" s="4" t="s">
        <v>3490</v>
      </c>
      <c r="B214">
        <v>36.96985562343351</v>
      </c>
      <c r="C214" s="7">
        <v>0.25880923450789795</v>
      </c>
      <c r="E214">
        <v>36.96985562343351</v>
      </c>
      <c r="F214">
        <f t="shared" si="3"/>
        <v>0.25880923450789795</v>
      </c>
    </row>
    <row r="215" spans="1:6" ht="112" x14ac:dyDescent="0.2">
      <c r="A215" s="4" t="s">
        <v>3436</v>
      </c>
      <c r="B215">
        <v>37.229667785306056</v>
      </c>
      <c r="C215" s="7">
        <v>0.2600243013365735</v>
      </c>
      <c r="E215">
        <v>37.229667785306056</v>
      </c>
      <c r="F215">
        <f t="shared" si="3"/>
        <v>0.2600243013365735</v>
      </c>
    </row>
    <row r="216" spans="1:6" ht="112" x14ac:dyDescent="0.2">
      <c r="A216" s="4" t="s">
        <v>3456</v>
      </c>
      <c r="B216">
        <v>37.379764873413812</v>
      </c>
      <c r="C216" s="7">
        <v>0.26123936816524906</v>
      </c>
      <c r="E216">
        <v>37.379764873413812</v>
      </c>
      <c r="F216">
        <f t="shared" si="3"/>
        <v>0.26123936816524906</v>
      </c>
    </row>
    <row r="217" spans="1:6" ht="112" x14ac:dyDescent="0.2">
      <c r="A217" s="4" t="s">
        <v>3461</v>
      </c>
      <c r="B217">
        <v>37.385354430925567</v>
      </c>
      <c r="C217" s="7">
        <v>0.26245443499392468</v>
      </c>
      <c r="E217">
        <v>37.385354430925567</v>
      </c>
      <c r="F217">
        <f t="shared" si="3"/>
        <v>0.26245443499392468</v>
      </c>
    </row>
    <row r="218" spans="1:6" ht="96" x14ac:dyDescent="0.2">
      <c r="A218" s="4" t="s">
        <v>3424</v>
      </c>
      <c r="B218">
        <v>37.422587245682443</v>
      </c>
      <c r="C218" s="7">
        <v>0.26366950182260024</v>
      </c>
      <c r="E218">
        <v>37.422587245682443</v>
      </c>
      <c r="F218">
        <f t="shared" si="3"/>
        <v>0.26366950182260024</v>
      </c>
    </row>
    <row r="219" spans="1:6" ht="112" x14ac:dyDescent="0.2">
      <c r="A219" s="4" t="s">
        <v>3477</v>
      </c>
      <c r="B219">
        <v>37.892030204733516</v>
      </c>
      <c r="C219" s="7">
        <v>0.2648845686512758</v>
      </c>
      <c r="E219">
        <v>37.892030204733516</v>
      </c>
      <c r="F219">
        <f t="shared" si="3"/>
        <v>0.2648845686512758</v>
      </c>
    </row>
    <row r="220" spans="1:6" ht="112" x14ac:dyDescent="0.2">
      <c r="A220" s="4" t="s">
        <v>3442</v>
      </c>
      <c r="B220">
        <v>38.153974056226254</v>
      </c>
      <c r="C220" s="7">
        <v>0.26609963547995141</v>
      </c>
      <c r="E220">
        <v>38.153974056226254</v>
      </c>
      <c r="F220">
        <f t="shared" si="3"/>
        <v>0.26609963547995141</v>
      </c>
    </row>
    <row r="221" spans="1:6" ht="112" x14ac:dyDescent="0.2">
      <c r="A221" s="4" t="s">
        <v>3524</v>
      </c>
      <c r="B221">
        <v>38.160580269387289</v>
      </c>
      <c r="C221" s="7">
        <v>0.26731470230862697</v>
      </c>
      <c r="E221">
        <v>38.160580269387289</v>
      </c>
      <c r="F221">
        <f t="shared" si="3"/>
        <v>0.26731470230862697</v>
      </c>
    </row>
    <row r="222" spans="1:6" ht="112" x14ac:dyDescent="0.2">
      <c r="A222" s="4" t="s">
        <v>3631</v>
      </c>
      <c r="B222">
        <v>38.34625097409284</v>
      </c>
      <c r="C222" s="7">
        <v>0.26852976913730253</v>
      </c>
      <c r="E222">
        <v>38.34625097409284</v>
      </c>
      <c r="F222">
        <f t="shared" si="3"/>
        <v>0.26852976913730253</v>
      </c>
    </row>
    <row r="223" spans="1:6" ht="112" x14ac:dyDescent="0.2">
      <c r="A223" s="4" t="s">
        <v>3438</v>
      </c>
      <c r="B223">
        <v>38.488991926881006</v>
      </c>
      <c r="C223" s="7">
        <v>0.26974483596597815</v>
      </c>
      <c r="E223">
        <v>38.488991926881006</v>
      </c>
      <c r="F223">
        <f t="shared" si="3"/>
        <v>0.26974483596597815</v>
      </c>
    </row>
    <row r="224" spans="1:6" ht="112" x14ac:dyDescent="0.2">
      <c r="A224" s="4" t="s">
        <v>3360</v>
      </c>
      <c r="B224">
        <v>38.546717847544194</v>
      </c>
      <c r="C224" s="7">
        <v>0.27095990279465371</v>
      </c>
      <c r="E224">
        <v>38.546717847544194</v>
      </c>
      <c r="F224">
        <f t="shared" si="3"/>
        <v>0.27095990279465371</v>
      </c>
    </row>
    <row r="225" spans="1:6" ht="112" x14ac:dyDescent="0.2">
      <c r="A225" s="4" t="s">
        <v>3516</v>
      </c>
      <c r="B225">
        <v>38.583019215770442</v>
      </c>
      <c r="C225" s="7">
        <v>0.27217496962332927</v>
      </c>
      <c r="E225">
        <v>38.583019215770442</v>
      </c>
      <c r="F225">
        <f t="shared" si="3"/>
        <v>0.27217496962332927</v>
      </c>
    </row>
    <row r="226" spans="1:6" ht="96" x14ac:dyDescent="0.2">
      <c r="A226" s="4" t="s">
        <v>3556</v>
      </c>
      <c r="B226">
        <v>38.705660915760049</v>
      </c>
      <c r="C226" s="7">
        <v>0.27339003645200488</v>
      </c>
      <c r="E226">
        <v>38.705660915760049</v>
      </c>
      <c r="F226">
        <f t="shared" si="3"/>
        <v>0.27339003645200488</v>
      </c>
    </row>
    <row r="227" spans="1:6" ht="112" x14ac:dyDescent="0.2">
      <c r="A227" s="4" t="s">
        <v>3450</v>
      </c>
      <c r="B227">
        <v>38.78409183957551</v>
      </c>
      <c r="C227" s="7">
        <v>0.27460510328068044</v>
      </c>
      <c r="E227">
        <v>38.78409183957551</v>
      </c>
      <c r="F227">
        <f t="shared" si="3"/>
        <v>0.27460510328068044</v>
      </c>
    </row>
    <row r="228" spans="1:6" ht="112" x14ac:dyDescent="0.2">
      <c r="A228" s="4" t="s">
        <v>3467</v>
      </c>
      <c r="B228">
        <v>38.830256697804508</v>
      </c>
      <c r="C228" s="7">
        <v>0.275820170109356</v>
      </c>
      <c r="E228">
        <v>38.830256697804508</v>
      </c>
      <c r="F228">
        <f t="shared" si="3"/>
        <v>0.275820170109356</v>
      </c>
    </row>
    <row r="229" spans="1:6" ht="128" x14ac:dyDescent="0.2">
      <c r="A229" s="4" t="s">
        <v>3440</v>
      </c>
      <c r="B229">
        <v>38.888270748945857</v>
      </c>
      <c r="C229" s="7">
        <v>0.27703523693803161</v>
      </c>
      <c r="E229">
        <v>38.888270748945857</v>
      </c>
      <c r="F229">
        <f t="shared" si="3"/>
        <v>0.27703523693803161</v>
      </c>
    </row>
    <row r="230" spans="1:6" ht="112" x14ac:dyDescent="0.2">
      <c r="A230" s="4" t="s">
        <v>3471</v>
      </c>
      <c r="B230">
        <v>38.915316778872565</v>
      </c>
      <c r="C230" s="7">
        <v>0.27825030376670717</v>
      </c>
      <c r="E230">
        <v>38.915316778872565</v>
      </c>
      <c r="F230">
        <f t="shared" si="3"/>
        <v>0.27825030376670717</v>
      </c>
    </row>
    <row r="231" spans="1:6" ht="112" x14ac:dyDescent="0.2">
      <c r="A231" s="4" t="s">
        <v>3545</v>
      </c>
      <c r="B231">
        <v>38.951827719897665</v>
      </c>
      <c r="C231" s="7">
        <v>0.27946537059538273</v>
      </c>
      <c r="E231">
        <v>38.951827719897665</v>
      </c>
      <c r="F231">
        <f t="shared" si="3"/>
        <v>0.27946537059538273</v>
      </c>
    </row>
    <row r="232" spans="1:6" ht="112" x14ac:dyDescent="0.2">
      <c r="A232" s="4" t="s">
        <v>3420</v>
      </c>
      <c r="B232">
        <v>38.998984608481933</v>
      </c>
      <c r="C232" s="7">
        <v>0.28068043742405835</v>
      </c>
      <c r="E232">
        <v>38.998984608481933</v>
      </c>
      <c r="F232">
        <f t="shared" si="3"/>
        <v>0.28068043742405835</v>
      </c>
    </row>
    <row r="233" spans="1:6" ht="112" x14ac:dyDescent="0.2">
      <c r="A233" s="4" t="s">
        <v>3494</v>
      </c>
      <c r="B233">
        <v>39.084943151097178</v>
      </c>
      <c r="C233" s="7">
        <v>0.28189550425273391</v>
      </c>
      <c r="E233">
        <v>39.084943151097178</v>
      </c>
      <c r="F233">
        <f t="shared" si="3"/>
        <v>0.28189550425273391</v>
      </c>
    </row>
    <row r="234" spans="1:6" ht="112" x14ac:dyDescent="0.2">
      <c r="A234" s="4" t="s">
        <v>3400</v>
      </c>
      <c r="B234">
        <v>39.12682531939523</v>
      </c>
      <c r="C234" s="7">
        <v>0.28311057108140947</v>
      </c>
      <c r="E234">
        <v>39.12682531939523</v>
      </c>
      <c r="F234">
        <f t="shared" si="3"/>
        <v>0.28311057108140947</v>
      </c>
    </row>
    <row r="235" spans="1:6" ht="112" x14ac:dyDescent="0.2">
      <c r="A235" s="4" t="s">
        <v>3558</v>
      </c>
      <c r="B235">
        <v>39.17007654767734</v>
      </c>
      <c r="C235" s="7">
        <v>0.28432563791008503</v>
      </c>
      <c r="E235">
        <v>39.17007654767734</v>
      </c>
      <c r="F235">
        <f t="shared" si="3"/>
        <v>0.28432563791008503</v>
      </c>
    </row>
    <row r="236" spans="1:6" ht="112" x14ac:dyDescent="0.2">
      <c r="A236" s="4" t="s">
        <v>3393</v>
      </c>
      <c r="B236">
        <v>39.327822299710505</v>
      </c>
      <c r="C236" s="7">
        <v>0.28554070473876064</v>
      </c>
      <c r="E236">
        <v>39.327822299710505</v>
      </c>
      <c r="F236">
        <f t="shared" si="3"/>
        <v>0.28554070473876064</v>
      </c>
    </row>
    <row r="237" spans="1:6" ht="112" x14ac:dyDescent="0.2">
      <c r="A237" s="4" t="s">
        <v>3540</v>
      </c>
      <c r="B237">
        <v>39.438594906502871</v>
      </c>
      <c r="C237" s="7">
        <v>0.2867557715674362</v>
      </c>
      <c r="E237">
        <v>39.438594906502871</v>
      </c>
      <c r="F237">
        <f t="shared" si="3"/>
        <v>0.2867557715674362</v>
      </c>
    </row>
    <row r="238" spans="1:6" ht="96" x14ac:dyDescent="0.2">
      <c r="A238" s="4" t="s">
        <v>3571</v>
      </c>
      <c r="B238">
        <v>39.521436590512955</v>
      </c>
      <c r="C238" s="7">
        <v>0.28797083839611176</v>
      </c>
      <c r="E238">
        <v>39.521436590512955</v>
      </c>
      <c r="F238">
        <f t="shared" si="3"/>
        <v>0.28797083839611176</v>
      </c>
    </row>
    <row r="239" spans="1:6" ht="112" x14ac:dyDescent="0.2">
      <c r="A239" s="4" t="s">
        <v>3504</v>
      </c>
      <c r="B239">
        <v>39.526009476055314</v>
      </c>
      <c r="C239" s="7">
        <v>0.28918590522478738</v>
      </c>
      <c r="E239">
        <v>39.526009476055314</v>
      </c>
      <c r="F239">
        <f t="shared" si="3"/>
        <v>0.28918590522478738</v>
      </c>
    </row>
    <row r="240" spans="1:6" ht="112" x14ac:dyDescent="0.2">
      <c r="A240" s="4" t="s">
        <v>3511</v>
      </c>
      <c r="B240">
        <v>39.575889074232265</v>
      </c>
      <c r="C240" s="7">
        <v>0.29040097205346294</v>
      </c>
      <c r="E240">
        <v>39.575889074232265</v>
      </c>
      <c r="F240">
        <f t="shared" si="3"/>
        <v>0.29040097205346294</v>
      </c>
    </row>
    <row r="241" spans="1:6" ht="112" x14ac:dyDescent="0.2">
      <c r="A241" s="4" t="s">
        <v>3530</v>
      </c>
      <c r="B241">
        <v>39.590250656969985</v>
      </c>
      <c r="C241" s="7">
        <v>0.2916160388821385</v>
      </c>
      <c r="E241">
        <v>39.590250656969985</v>
      </c>
      <c r="F241">
        <f t="shared" si="3"/>
        <v>0.2916160388821385</v>
      </c>
    </row>
    <row r="242" spans="1:6" ht="112" x14ac:dyDescent="0.2">
      <c r="A242" s="4" t="s">
        <v>3500</v>
      </c>
      <c r="B242">
        <v>39.807659560325597</v>
      </c>
      <c r="C242" s="7">
        <v>0.29283110571081411</v>
      </c>
      <c r="E242">
        <v>39.807659560325597</v>
      </c>
      <c r="F242">
        <f t="shared" si="3"/>
        <v>0.29283110571081411</v>
      </c>
    </row>
    <row r="243" spans="1:6" ht="96" x14ac:dyDescent="0.2">
      <c r="A243" s="4" t="s">
        <v>3618</v>
      </c>
      <c r="B243">
        <v>39.959303899933026</v>
      </c>
      <c r="C243" s="7">
        <v>0.29404617253948967</v>
      </c>
      <c r="E243">
        <v>39.959303899933026</v>
      </c>
      <c r="F243">
        <f t="shared" si="3"/>
        <v>0.29404617253948967</v>
      </c>
    </row>
    <row r="244" spans="1:6" ht="112" x14ac:dyDescent="0.2">
      <c r="A244" s="4" t="s">
        <v>3498</v>
      </c>
      <c r="B244">
        <v>40.171994863437092</v>
      </c>
      <c r="C244" s="7">
        <v>0.29526123936816523</v>
      </c>
      <c r="E244">
        <v>40.171994863437092</v>
      </c>
      <c r="F244">
        <f t="shared" si="3"/>
        <v>0.29526123936816523</v>
      </c>
    </row>
    <row r="245" spans="1:6" ht="112" x14ac:dyDescent="0.2">
      <c r="A245" s="4" t="s">
        <v>3513</v>
      </c>
      <c r="B245">
        <v>40.195898086133361</v>
      </c>
      <c r="C245" s="7">
        <v>0.29647630619684084</v>
      </c>
      <c r="E245">
        <v>40.195898086133361</v>
      </c>
      <c r="F245">
        <f t="shared" si="3"/>
        <v>0.29647630619684084</v>
      </c>
    </row>
    <row r="246" spans="1:6" ht="112" x14ac:dyDescent="0.2">
      <c r="A246" s="4" t="s">
        <v>3475</v>
      </c>
      <c r="B246">
        <v>40.232110982751585</v>
      </c>
      <c r="C246" s="7">
        <v>0.2976913730255164</v>
      </c>
      <c r="E246">
        <v>40.232110982751585</v>
      </c>
      <c r="F246">
        <f t="shared" si="3"/>
        <v>0.2976913730255164</v>
      </c>
    </row>
    <row r="247" spans="1:6" ht="112" x14ac:dyDescent="0.2">
      <c r="A247" s="4" t="s">
        <v>3488</v>
      </c>
      <c r="B247">
        <v>40.26902489075411</v>
      </c>
      <c r="C247" s="7">
        <v>0.29890643985419196</v>
      </c>
      <c r="E247">
        <v>40.26902489075411</v>
      </c>
      <c r="F247">
        <f t="shared" si="3"/>
        <v>0.29890643985419196</v>
      </c>
    </row>
    <row r="248" spans="1:6" ht="112" x14ac:dyDescent="0.2">
      <c r="A248" s="4" t="s">
        <v>3465</v>
      </c>
      <c r="B248">
        <v>40.340485291095931</v>
      </c>
      <c r="C248" s="7">
        <v>0.30012150668286758</v>
      </c>
      <c r="E248">
        <v>40.340485291095931</v>
      </c>
      <c r="F248">
        <f t="shared" si="3"/>
        <v>0.30012150668286758</v>
      </c>
    </row>
    <row r="249" spans="1:6" ht="112" x14ac:dyDescent="0.2">
      <c r="A249" s="4" t="s">
        <v>3583</v>
      </c>
      <c r="B249">
        <v>40.37225432675838</v>
      </c>
      <c r="C249" s="7">
        <v>0.30133657351154314</v>
      </c>
      <c r="E249">
        <v>40.37225432675838</v>
      </c>
      <c r="F249">
        <f t="shared" si="3"/>
        <v>0.30133657351154314</v>
      </c>
    </row>
    <row r="250" spans="1:6" ht="112" x14ac:dyDescent="0.2">
      <c r="A250" s="4" t="s">
        <v>3439</v>
      </c>
      <c r="B250">
        <v>40.735145615159993</v>
      </c>
      <c r="C250" s="7">
        <v>0.3025516403402187</v>
      </c>
      <c r="E250">
        <v>40.735145615159993</v>
      </c>
      <c r="F250">
        <f t="shared" si="3"/>
        <v>0.3025516403402187</v>
      </c>
    </row>
    <row r="251" spans="1:6" ht="128" x14ac:dyDescent="0.2">
      <c r="A251" s="4" t="s">
        <v>3534</v>
      </c>
      <c r="B251">
        <v>40.758363003591185</v>
      </c>
      <c r="C251" s="7">
        <v>0.30376670716889431</v>
      </c>
      <c r="E251">
        <v>40.758363003591185</v>
      </c>
      <c r="F251">
        <f t="shared" si="3"/>
        <v>0.30376670716889431</v>
      </c>
    </row>
    <row r="252" spans="1:6" ht="96" x14ac:dyDescent="0.2">
      <c r="A252" s="4" t="s">
        <v>3522</v>
      </c>
      <c r="B252">
        <v>40.842517641305299</v>
      </c>
      <c r="C252" s="7">
        <v>0.30498177399756987</v>
      </c>
      <c r="E252">
        <v>40.842517641305299</v>
      </c>
      <c r="F252">
        <f t="shared" si="3"/>
        <v>0.30498177399756987</v>
      </c>
    </row>
    <row r="253" spans="1:6" ht="112" x14ac:dyDescent="0.2">
      <c r="A253" s="4" t="s">
        <v>3602</v>
      </c>
      <c r="B253">
        <v>41.217144451682991</v>
      </c>
      <c r="C253" s="7">
        <v>0.30619684082624543</v>
      </c>
      <c r="E253">
        <v>41.217144451682991</v>
      </c>
      <c r="F253">
        <f t="shared" si="3"/>
        <v>0.30619684082624543</v>
      </c>
    </row>
    <row r="254" spans="1:6" ht="112" x14ac:dyDescent="0.2">
      <c r="A254" s="4" t="s">
        <v>3538</v>
      </c>
      <c r="B254">
        <v>41.443686977080567</v>
      </c>
      <c r="C254" s="7">
        <v>0.30741190765492105</v>
      </c>
      <c r="E254">
        <v>41.443686977080567</v>
      </c>
      <c r="F254">
        <f t="shared" si="3"/>
        <v>0.30741190765492105</v>
      </c>
    </row>
    <row r="255" spans="1:6" ht="112" x14ac:dyDescent="0.2">
      <c r="A255" s="4" t="s">
        <v>3509</v>
      </c>
      <c r="B255">
        <v>41.457485489157449</v>
      </c>
      <c r="C255" s="7">
        <v>0.30862697448359661</v>
      </c>
      <c r="E255">
        <v>41.457485489157449</v>
      </c>
      <c r="F255">
        <f t="shared" si="3"/>
        <v>0.30862697448359661</v>
      </c>
    </row>
    <row r="256" spans="1:6" ht="96" x14ac:dyDescent="0.2">
      <c r="A256" s="4" t="s">
        <v>3543</v>
      </c>
      <c r="B256">
        <v>41.51355927117482</v>
      </c>
      <c r="C256" s="7">
        <v>0.30984204131227217</v>
      </c>
      <c r="E256">
        <v>41.51355927117482</v>
      </c>
      <c r="F256">
        <f t="shared" si="3"/>
        <v>0.30984204131227217</v>
      </c>
    </row>
    <row r="257" spans="1:6" ht="96" x14ac:dyDescent="0.2">
      <c r="A257" s="4" t="s">
        <v>3569</v>
      </c>
      <c r="B257">
        <v>41.55530398499949</v>
      </c>
      <c r="C257" s="7">
        <v>0.31105710814094772</v>
      </c>
      <c r="E257">
        <v>41.55530398499949</v>
      </c>
      <c r="F257">
        <f t="shared" si="3"/>
        <v>0.31105710814094772</v>
      </c>
    </row>
    <row r="258" spans="1:6" ht="112" x14ac:dyDescent="0.2">
      <c r="A258" s="4" t="s">
        <v>3518</v>
      </c>
      <c r="B258">
        <v>41.564707520976832</v>
      </c>
      <c r="C258" s="7">
        <v>0.31227217496962334</v>
      </c>
      <c r="E258">
        <v>41.564707520976832</v>
      </c>
      <c r="F258">
        <f t="shared" si="3"/>
        <v>0.31227217496962334</v>
      </c>
    </row>
    <row r="259" spans="1:6" ht="112" x14ac:dyDescent="0.2">
      <c r="A259" s="4" t="s">
        <v>3525</v>
      </c>
      <c r="B259">
        <v>41.660131272679685</v>
      </c>
      <c r="C259" s="7">
        <v>0.3134872417982989</v>
      </c>
      <c r="E259">
        <v>41.660131272679685</v>
      </c>
      <c r="F259">
        <f t="shared" ref="F259:F322" si="4">_xlfn.RANK.EQ(E259,$E$2:$E$824,1)/COUNT($E$2:$E$824)</f>
        <v>0.3134872417982989</v>
      </c>
    </row>
    <row r="260" spans="1:6" ht="128" x14ac:dyDescent="0.2">
      <c r="A260" s="4" t="s">
        <v>3581</v>
      </c>
      <c r="B260">
        <v>41.714121589696688</v>
      </c>
      <c r="C260" s="7">
        <v>0.31470230862697446</v>
      </c>
      <c r="E260">
        <v>41.714121589696688</v>
      </c>
      <c r="F260">
        <f t="shared" si="4"/>
        <v>0.31470230862697446</v>
      </c>
    </row>
    <row r="261" spans="1:6" ht="112" x14ac:dyDescent="0.2">
      <c r="A261" s="4" t="s">
        <v>3507</v>
      </c>
      <c r="B261">
        <v>41.714134637691195</v>
      </c>
      <c r="C261" s="7">
        <v>0.31591737545565007</v>
      </c>
      <c r="E261">
        <v>41.714134637691195</v>
      </c>
      <c r="F261">
        <f t="shared" si="4"/>
        <v>0.31591737545565007</v>
      </c>
    </row>
    <row r="262" spans="1:6" ht="112" x14ac:dyDescent="0.2">
      <c r="A262" s="4" t="s">
        <v>3547</v>
      </c>
      <c r="B262">
        <v>41.81605603346749</v>
      </c>
      <c r="C262" s="7">
        <v>0.31713244228432563</v>
      </c>
      <c r="E262">
        <v>41.81605603346749</v>
      </c>
      <c r="F262">
        <f t="shared" si="4"/>
        <v>0.31713244228432563</v>
      </c>
    </row>
    <row r="263" spans="1:6" ht="112" x14ac:dyDescent="0.2">
      <c r="A263" s="4" t="s">
        <v>3426</v>
      </c>
      <c r="B263">
        <v>41.871313895963453</v>
      </c>
      <c r="C263" s="7">
        <v>0.31834750911300119</v>
      </c>
      <c r="E263">
        <v>41.871313895963453</v>
      </c>
      <c r="F263">
        <f t="shared" si="4"/>
        <v>0.31834750911300119</v>
      </c>
    </row>
    <row r="264" spans="1:6" ht="112" x14ac:dyDescent="0.2">
      <c r="A264" s="4" t="s">
        <v>3510</v>
      </c>
      <c r="B264">
        <v>41.910303382199643</v>
      </c>
      <c r="C264" s="7">
        <v>0.31956257594167681</v>
      </c>
      <c r="E264">
        <v>41.910303382199643</v>
      </c>
      <c r="F264">
        <f t="shared" si="4"/>
        <v>0.31956257594167681</v>
      </c>
    </row>
    <row r="265" spans="1:6" ht="112" x14ac:dyDescent="0.2">
      <c r="A265" s="4" t="s">
        <v>3520</v>
      </c>
      <c r="B265">
        <v>41.936244994608039</v>
      </c>
      <c r="C265" s="7">
        <v>0.32077764277035237</v>
      </c>
      <c r="E265">
        <v>41.936244994608039</v>
      </c>
      <c r="F265">
        <f t="shared" si="4"/>
        <v>0.32077764277035237</v>
      </c>
    </row>
    <row r="266" spans="1:6" ht="112" x14ac:dyDescent="0.2">
      <c r="A266" s="4" t="s">
        <v>3446</v>
      </c>
      <c r="B266">
        <v>42.02731087351723</v>
      </c>
      <c r="C266" s="7">
        <v>0.32199270959902793</v>
      </c>
      <c r="E266">
        <v>42.02731087351723</v>
      </c>
      <c r="F266">
        <f t="shared" si="4"/>
        <v>0.32199270959902793</v>
      </c>
    </row>
    <row r="267" spans="1:6" ht="96" x14ac:dyDescent="0.2">
      <c r="A267" s="4" t="s">
        <v>3653</v>
      </c>
      <c r="B267">
        <v>42.047877537245633</v>
      </c>
      <c r="C267" s="7">
        <v>0.32320777642770354</v>
      </c>
      <c r="E267">
        <v>42.047877537245633</v>
      </c>
      <c r="F267">
        <f t="shared" si="4"/>
        <v>0.32320777642770354</v>
      </c>
    </row>
    <row r="268" spans="1:6" ht="96" x14ac:dyDescent="0.2">
      <c r="A268" s="4" t="s">
        <v>3612</v>
      </c>
      <c r="B268">
        <v>42.190074631899563</v>
      </c>
      <c r="C268" s="7">
        <v>0.3244228432563791</v>
      </c>
      <c r="E268">
        <v>42.190074631899563</v>
      </c>
      <c r="F268">
        <f t="shared" si="4"/>
        <v>0.3244228432563791</v>
      </c>
    </row>
    <row r="269" spans="1:6" ht="96" x14ac:dyDescent="0.2">
      <c r="A269" s="4" t="s">
        <v>3492</v>
      </c>
      <c r="B269">
        <v>42.253532168934399</v>
      </c>
      <c r="C269" s="7">
        <v>0.32563791008505466</v>
      </c>
      <c r="E269">
        <v>42.253532168934399</v>
      </c>
      <c r="F269">
        <f t="shared" si="4"/>
        <v>0.32563791008505466</v>
      </c>
    </row>
    <row r="270" spans="1:6" ht="128" x14ac:dyDescent="0.2">
      <c r="A270" s="4" t="s">
        <v>3574</v>
      </c>
      <c r="B270">
        <v>42.386109485631437</v>
      </c>
      <c r="C270" s="7">
        <v>0.32685297691373028</v>
      </c>
      <c r="E270">
        <v>42.386109485631437</v>
      </c>
      <c r="F270">
        <f t="shared" si="4"/>
        <v>0.32685297691373028</v>
      </c>
    </row>
    <row r="271" spans="1:6" ht="112" x14ac:dyDescent="0.2">
      <c r="A271" s="4" t="s">
        <v>3637</v>
      </c>
      <c r="B271">
        <v>42.38704648168541</v>
      </c>
      <c r="C271" s="7">
        <v>0.32806804374240583</v>
      </c>
      <c r="E271">
        <v>42.38704648168541</v>
      </c>
      <c r="F271">
        <f t="shared" si="4"/>
        <v>0.32806804374240583</v>
      </c>
    </row>
    <row r="272" spans="1:6" ht="112" x14ac:dyDescent="0.2">
      <c r="A272" s="4" t="s">
        <v>3502</v>
      </c>
      <c r="B272">
        <v>42.423342631150597</v>
      </c>
      <c r="C272" s="7">
        <v>0.32928311057108139</v>
      </c>
      <c r="E272">
        <v>42.423342631150597</v>
      </c>
      <c r="F272">
        <f t="shared" si="4"/>
        <v>0.32928311057108139</v>
      </c>
    </row>
    <row r="273" spans="1:6" ht="112" x14ac:dyDescent="0.2">
      <c r="A273" s="4" t="s">
        <v>3576</v>
      </c>
      <c r="B273">
        <v>42.43671071212114</v>
      </c>
      <c r="C273" s="7">
        <v>0.33049817739975701</v>
      </c>
      <c r="E273">
        <v>42.43671071212114</v>
      </c>
      <c r="F273">
        <f t="shared" si="4"/>
        <v>0.33049817739975701</v>
      </c>
    </row>
    <row r="274" spans="1:6" ht="112" x14ac:dyDescent="0.2">
      <c r="A274" s="4" t="s">
        <v>3613</v>
      </c>
      <c r="B274">
        <v>42.497261661405304</v>
      </c>
      <c r="C274" s="7">
        <v>0.33171324422843257</v>
      </c>
      <c r="E274">
        <v>42.497261661405304</v>
      </c>
      <c r="F274">
        <f t="shared" si="4"/>
        <v>0.33171324422843257</v>
      </c>
    </row>
    <row r="275" spans="1:6" ht="112" x14ac:dyDescent="0.2">
      <c r="A275" s="4" t="s">
        <v>3365</v>
      </c>
      <c r="B275">
        <v>42.534157056474676</v>
      </c>
      <c r="C275" s="7">
        <v>0.33292831105710813</v>
      </c>
      <c r="E275">
        <v>42.534157056474676</v>
      </c>
      <c r="F275">
        <f t="shared" si="4"/>
        <v>0.33292831105710813</v>
      </c>
    </row>
    <row r="276" spans="1:6" ht="96" x14ac:dyDescent="0.2">
      <c r="A276" s="4" t="s">
        <v>3699</v>
      </c>
      <c r="B276">
        <v>42.640268901145845</v>
      </c>
      <c r="C276" s="7">
        <v>0.33414337788578374</v>
      </c>
      <c r="E276">
        <v>42.640268901145845</v>
      </c>
      <c r="F276">
        <f t="shared" si="4"/>
        <v>0.33414337788578374</v>
      </c>
    </row>
    <row r="277" spans="1:6" ht="112" x14ac:dyDescent="0.2">
      <c r="A277" s="4" t="s">
        <v>3567</v>
      </c>
      <c r="B277">
        <v>42.734126882623549</v>
      </c>
      <c r="C277" s="7">
        <v>0.3353584447144593</v>
      </c>
      <c r="E277">
        <v>42.734126882623549</v>
      </c>
      <c r="F277">
        <f t="shared" si="4"/>
        <v>0.3353584447144593</v>
      </c>
    </row>
    <row r="278" spans="1:6" ht="112" x14ac:dyDescent="0.2">
      <c r="A278" s="4" t="s">
        <v>3528</v>
      </c>
      <c r="B278">
        <v>42.868783284287751</v>
      </c>
      <c r="C278" s="7">
        <v>0.33657351154313486</v>
      </c>
      <c r="E278">
        <v>42.868783284287751</v>
      </c>
      <c r="F278">
        <f t="shared" si="4"/>
        <v>0.33657351154313486</v>
      </c>
    </row>
    <row r="279" spans="1:6" ht="112" x14ac:dyDescent="0.2">
      <c r="A279" s="4" t="s">
        <v>3595</v>
      </c>
      <c r="B279">
        <v>42.94047079406338</v>
      </c>
      <c r="C279" s="7">
        <v>0.33778857837181048</v>
      </c>
      <c r="E279">
        <v>42.94047079406338</v>
      </c>
      <c r="F279">
        <f t="shared" si="4"/>
        <v>0.33778857837181048</v>
      </c>
    </row>
    <row r="280" spans="1:6" ht="112" x14ac:dyDescent="0.2">
      <c r="A280" s="4" t="s">
        <v>3579</v>
      </c>
      <c r="B280">
        <v>42.954452664287608</v>
      </c>
      <c r="C280" s="7">
        <v>0.33900364520048604</v>
      </c>
      <c r="E280">
        <v>42.954452664287608</v>
      </c>
      <c r="F280">
        <f t="shared" si="4"/>
        <v>0.33900364520048604</v>
      </c>
    </row>
    <row r="281" spans="1:6" ht="128" x14ac:dyDescent="0.2">
      <c r="A281" s="4" t="s">
        <v>3597</v>
      </c>
      <c r="B281">
        <v>43.038814541560704</v>
      </c>
      <c r="C281" s="7">
        <v>0.3402187120291616</v>
      </c>
      <c r="E281">
        <v>43.038814541560704</v>
      </c>
      <c r="F281">
        <f t="shared" si="4"/>
        <v>0.3402187120291616</v>
      </c>
    </row>
    <row r="282" spans="1:6" ht="112" x14ac:dyDescent="0.2">
      <c r="A282" s="4" t="s">
        <v>3589</v>
      </c>
      <c r="B282">
        <v>43.061999809576889</v>
      </c>
      <c r="C282" s="7">
        <v>0.34143377885783716</v>
      </c>
      <c r="E282">
        <v>43.061999809576889</v>
      </c>
      <c r="F282">
        <f t="shared" si="4"/>
        <v>0.34143377885783716</v>
      </c>
    </row>
    <row r="283" spans="1:6" ht="128" x14ac:dyDescent="0.2">
      <c r="A283" s="4" t="s">
        <v>3611</v>
      </c>
      <c r="B283">
        <v>43.395625000000003</v>
      </c>
      <c r="C283" s="7">
        <v>0.34264884568651277</v>
      </c>
      <c r="E283">
        <v>43.395625000000003</v>
      </c>
      <c r="F283">
        <f t="shared" si="4"/>
        <v>0.34264884568651277</v>
      </c>
    </row>
    <row r="284" spans="1:6" ht="96" x14ac:dyDescent="0.2">
      <c r="A284" s="4" t="s">
        <v>3622</v>
      </c>
      <c r="B284">
        <v>43.559723277532527</v>
      </c>
      <c r="C284" s="7">
        <v>0.34386391251518833</v>
      </c>
      <c r="E284">
        <v>43.559723277532527</v>
      </c>
      <c r="F284">
        <f t="shared" si="4"/>
        <v>0.34386391251518833</v>
      </c>
    </row>
    <row r="285" spans="1:6" ht="112" x14ac:dyDescent="0.2">
      <c r="A285" s="4" t="s">
        <v>3526</v>
      </c>
      <c r="B285">
        <v>43.605242694843362</v>
      </c>
      <c r="C285" s="7">
        <v>0.34507897934386389</v>
      </c>
      <c r="E285">
        <v>43.605242694843362</v>
      </c>
      <c r="F285">
        <f t="shared" si="4"/>
        <v>0.34507897934386389</v>
      </c>
    </row>
    <row r="286" spans="1:6" ht="112" x14ac:dyDescent="0.2">
      <c r="A286" s="4" t="s">
        <v>3552</v>
      </c>
      <c r="B286">
        <v>43.618847775686817</v>
      </c>
      <c r="C286" s="7">
        <v>0.3462940461725395</v>
      </c>
      <c r="E286">
        <v>43.618847775686817</v>
      </c>
      <c r="F286">
        <f t="shared" si="4"/>
        <v>0.3462940461725395</v>
      </c>
    </row>
    <row r="287" spans="1:6" ht="112" x14ac:dyDescent="0.2">
      <c r="A287" s="4" t="s">
        <v>3423</v>
      </c>
      <c r="B287">
        <v>43.657823279065759</v>
      </c>
      <c r="C287" s="7">
        <v>0.34750911300121506</v>
      </c>
      <c r="E287">
        <v>43.657823279065759</v>
      </c>
      <c r="F287">
        <f t="shared" si="4"/>
        <v>0.34750911300121506</v>
      </c>
    </row>
    <row r="288" spans="1:6" ht="112" x14ac:dyDescent="0.2">
      <c r="A288" s="4" t="s">
        <v>3600</v>
      </c>
      <c r="B288">
        <v>43.777738863490889</v>
      </c>
      <c r="C288" s="7">
        <v>0.34872417982989062</v>
      </c>
      <c r="E288">
        <v>43.777738863490889</v>
      </c>
      <c r="F288">
        <f t="shared" si="4"/>
        <v>0.34872417982989062</v>
      </c>
    </row>
    <row r="289" spans="1:6" ht="112" x14ac:dyDescent="0.2">
      <c r="A289" s="4" t="s">
        <v>3616</v>
      </c>
      <c r="B289">
        <v>43.883124310169507</v>
      </c>
      <c r="C289" s="7">
        <v>0.34993924665856624</v>
      </c>
      <c r="E289">
        <v>43.883124310169507</v>
      </c>
      <c r="F289">
        <f t="shared" si="4"/>
        <v>0.34993924665856624</v>
      </c>
    </row>
    <row r="290" spans="1:6" ht="112" x14ac:dyDescent="0.2">
      <c r="A290" s="4" t="s">
        <v>3655</v>
      </c>
      <c r="B290">
        <v>44.023853978469973</v>
      </c>
      <c r="C290" s="7">
        <v>0.3511543134872418</v>
      </c>
      <c r="E290">
        <v>44.023853978469973</v>
      </c>
      <c r="F290">
        <f t="shared" si="4"/>
        <v>0.3511543134872418</v>
      </c>
    </row>
    <row r="291" spans="1:6" ht="112" x14ac:dyDescent="0.2">
      <c r="A291" s="4" t="s">
        <v>3550</v>
      </c>
      <c r="B291">
        <v>44.027035215950455</v>
      </c>
      <c r="C291" s="7">
        <v>0.35236938031591736</v>
      </c>
      <c r="E291">
        <v>44.027035215950455</v>
      </c>
      <c r="F291">
        <f t="shared" si="4"/>
        <v>0.35236938031591736</v>
      </c>
    </row>
    <row r="292" spans="1:6" ht="112" x14ac:dyDescent="0.2">
      <c r="A292" s="4" t="s">
        <v>3627</v>
      </c>
      <c r="B292">
        <v>44.039582165335048</v>
      </c>
      <c r="C292" s="7">
        <v>0.35358444714459297</v>
      </c>
      <c r="E292">
        <v>44.039582165335048</v>
      </c>
      <c r="F292">
        <f t="shared" si="4"/>
        <v>0.35358444714459297</v>
      </c>
    </row>
    <row r="293" spans="1:6" ht="112" x14ac:dyDescent="0.2">
      <c r="A293" s="4" t="s">
        <v>3546</v>
      </c>
      <c r="B293">
        <v>44.171238532310383</v>
      </c>
      <c r="C293" s="7">
        <v>0.35479951397326853</v>
      </c>
      <c r="E293">
        <v>44.171238532310383</v>
      </c>
      <c r="F293">
        <f t="shared" si="4"/>
        <v>0.35479951397326853</v>
      </c>
    </row>
    <row r="294" spans="1:6" ht="112" x14ac:dyDescent="0.2">
      <c r="A294" s="4" t="s">
        <v>3496</v>
      </c>
      <c r="B294">
        <v>44.223674046305177</v>
      </c>
      <c r="C294" s="7">
        <v>0.35601458080194409</v>
      </c>
      <c r="E294">
        <v>44.223674046305177</v>
      </c>
      <c r="F294">
        <f t="shared" si="4"/>
        <v>0.35601458080194409</v>
      </c>
    </row>
    <row r="295" spans="1:6" ht="112" x14ac:dyDescent="0.2">
      <c r="A295" s="4" t="s">
        <v>3620</v>
      </c>
      <c r="B295">
        <v>44.410825578584195</v>
      </c>
      <c r="C295" s="7">
        <v>0.35722964763061971</v>
      </c>
      <c r="E295">
        <v>44.410825578584195</v>
      </c>
      <c r="F295">
        <f t="shared" si="4"/>
        <v>0.35722964763061971</v>
      </c>
    </row>
    <row r="296" spans="1:6" ht="112" x14ac:dyDescent="0.2">
      <c r="A296" s="4" t="s">
        <v>3685</v>
      </c>
      <c r="B296">
        <v>44.417618523911088</v>
      </c>
      <c r="C296" s="7">
        <v>0.35844471445929527</v>
      </c>
      <c r="E296">
        <v>44.417618523911088</v>
      </c>
      <c r="F296">
        <f t="shared" si="4"/>
        <v>0.35844471445929527</v>
      </c>
    </row>
    <row r="297" spans="1:6" ht="112" x14ac:dyDescent="0.2">
      <c r="A297" s="4" t="s">
        <v>3367</v>
      </c>
      <c r="B297">
        <v>44.443358708960481</v>
      </c>
      <c r="C297" s="7">
        <v>0.35965978128797083</v>
      </c>
      <c r="E297">
        <v>44.443358708960481</v>
      </c>
      <c r="F297">
        <f t="shared" si="4"/>
        <v>0.35965978128797083</v>
      </c>
    </row>
    <row r="298" spans="1:6" ht="112" x14ac:dyDescent="0.2">
      <c r="A298" s="4" t="s">
        <v>3690</v>
      </c>
      <c r="B298">
        <v>44.569585173470166</v>
      </c>
      <c r="C298" s="7">
        <v>0.36087484811664644</v>
      </c>
      <c r="E298">
        <v>44.569585173470166</v>
      </c>
      <c r="F298">
        <f t="shared" si="4"/>
        <v>0.36087484811664644</v>
      </c>
    </row>
    <row r="299" spans="1:6" ht="112" x14ac:dyDescent="0.2">
      <c r="A299" s="4" t="s">
        <v>3693</v>
      </c>
      <c r="B299">
        <v>44.678175695194909</v>
      </c>
      <c r="C299" s="7">
        <v>0.362089914945322</v>
      </c>
      <c r="E299">
        <v>44.678175695194909</v>
      </c>
      <c r="F299">
        <f t="shared" si="4"/>
        <v>0.362089914945322</v>
      </c>
    </row>
    <row r="300" spans="1:6" ht="112" x14ac:dyDescent="0.2">
      <c r="A300" s="4" t="s">
        <v>3559</v>
      </c>
      <c r="B300">
        <v>44.686637277531965</v>
      </c>
      <c r="C300" s="7">
        <v>0.36330498177399756</v>
      </c>
      <c r="E300">
        <v>44.686637277531965</v>
      </c>
      <c r="F300">
        <f t="shared" si="4"/>
        <v>0.36330498177399756</v>
      </c>
    </row>
    <row r="301" spans="1:6" ht="128" x14ac:dyDescent="0.2">
      <c r="A301" s="4" t="s">
        <v>3717</v>
      </c>
      <c r="B301">
        <v>44.781238441873846</v>
      </c>
      <c r="C301" s="7">
        <v>0.36452004860267317</v>
      </c>
      <c r="E301">
        <v>44.781238441873846</v>
      </c>
      <c r="F301">
        <f t="shared" si="4"/>
        <v>0.36452004860267317</v>
      </c>
    </row>
    <row r="302" spans="1:6" ht="112" x14ac:dyDescent="0.2">
      <c r="A302" s="4" t="s">
        <v>3623</v>
      </c>
      <c r="B302">
        <v>44.887559887582327</v>
      </c>
      <c r="C302" s="7">
        <v>0.36573511543134873</v>
      </c>
      <c r="E302">
        <v>44.887559887582327</v>
      </c>
      <c r="F302">
        <f t="shared" si="4"/>
        <v>0.36573511543134873</v>
      </c>
    </row>
    <row r="303" spans="1:6" ht="112" x14ac:dyDescent="0.2">
      <c r="A303" s="4" t="s">
        <v>3453</v>
      </c>
      <c r="B303">
        <v>44.8942494566097</v>
      </c>
      <c r="C303" s="7">
        <v>0.36695018226002429</v>
      </c>
      <c r="E303">
        <v>44.8942494566097</v>
      </c>
      <c r="F303">
        <f t="shared" si="4"/>
        <v>0.36695018226002429</v>
      </c>
    </row>
    <row r="304" spans="1:6" ht="112" x14ac:dyDescent="0.2">
      <c r="A304" s="4" t="s">
        <v>3586</v>
      </c>
      <c r="B304">
        <v>44.939216458660773</v>
      </c>
      <c r="C304" s="7">
        <v>0.36816524908869985</v>
      </c>
      <c r="E304">
        <v>44.939216458660773</v>
      </c>
      <c r="F304">
        <f t="shared" si="4"/>
        <v>0.36816524908869985</v>
      </c>
    </row>
    <row r="305" spans="1:6" ht="128" x14ac:dyDescent="0.2">
      <c r="A305" s="4" t="s">
        <v>3639</v>
      </c>
      <c r="B305">
        <v>45.009914725780668</v>
      </c>
      <c r="C305" s="7">
        <v>0.36938031591737547</v>
      </c>
      <c r="E305">
        <v>45.009914725780668</v>
      </c>
      <c r="F305">
        <f t="shared" si="4"/>
        <v>0.36938031591737547</v>
      </c>
    </row>
    <row r="306" spans="1:6" ht="112" x14ac:dyDescent="0.2">
      <c r="A306" s="4" t="s">
        <v>3678</v>
      </c>
      <c r="B306">
        <v>45.138305175511931</v>
      </c>
      <c r="C306" s="7">
        <v>0.37059538274605103</v>
      </c>
      <c r="E306">
        <v>45.138305175511931</v>
      </c>
      <c r="F306">
        <f t="shared" si="4"/>
        <v>0.37059538274605103</v>
      </c>
    </row>
    <row r="307" spans="1:6" ht="112" x14ac:dyDescent="0.2">
      <c r="A307" s="4" t="s">
        <v>3606</v>
      </c>
      <c r="B307">
        <v>45.378190131991516</v>
      </c>
      <c r="C307" s="7">
        <v>0.37181044957472659</v>
      </c>
      <c r="E307">
        <v>45.378190131991516</v>
      </c>
      <c r="F307">
        <f t="shared" si="4"/>
        <v>0.37181044957472659</v>
      </c>
    </row>
    <row r="308" spans="1:6" ht="112" x14ac:dyDescent="0.2">
      <c r="A308" s="4" t="s">
        <v>3542</v>
      </c>
      <c r="B308">
        <v>45.470579772783815</v>
      </c>
      <c r="C308" s="7">
        <v>0.3730255164034022</v>
      </c>
      <c r="E308">
        <v>45.470579772783815</v>
      </c>
      <c r="F308">
        <f t="shared" si="4"/>
        <v>0.3730255164034022</v>
      </c>
    </row>
    <row r="309" spans="1:6" ht="112" x14ac:dyDescent="0.2">
      <c r="A309" s="4" t="s">
        <v>3593</v>
      </c>
      <c r="B309">
        <v>45.517930263209777</v>
      </c>
      <c r="C309" s="7">
        <v>0.37424058323207776</v>
      </c>
      <c r="E309">
        <v>45.517930263209777</v>
      </c>
      <c r="F309">
        <f t="shared" si="4"/>
        <v>0.37424058323207776</v>
      </c>
    </row>
    <row r="310" spans="1:6" ht="112" x14ac:dyDescent="0.2">
      <c r="A310" s="4" t="s">
        <v>3712</v>
      </c>
      <c r="B310">
        <v>45.564068026107137</v>
      </c>
      <c r="C310" s="7">
        <v>0.37545565006075332</v>
      </c>
      <c r="E310">
        <v>45.564068026107137</v>
      </c>
      <c r="F310">
        <f t="shared" si="4"/>
        <v>0.37545565006075332</v>
      </c>
    </row>
    <row r="311" spans="1:6" ht="112" x14ac:dyDescent="0.2">
      <c r="A311" s="4" t="s">
        <v>3379</v>
      </c>
      <c r="B311">
        <v>45.61012561144134</v>
      </c>
      <c r="C311" s="7">
        <v>0.37667071688942894</v>
      </c>
      <c r="E311">
        <v>45.61012561144134</v>
      </c>
      <c r="F311">
        <f t="shared" si="4"/>
        <v>0.37667071688942894</v>
      </c>
    </row>
    <row r="312" spans="1:6" ht="112" x14ac:dyDescent="0.2">
      <c r="A312" s="4" t="s">
        <v>3120</v>
      </c>
      <c r="B312">
        <v>45.664143591581862</v>
      </c>
      <c r="C312" s="7">
        <v>0.3778857837181045</v>
      </c>
      <c r="E312">
        <v>45.664143591581862</v>
      </c>
      <c r="F312">
        <f t="shared" si="4"/>
        <v>0.3778857837181045</v>
      </c>
    </row>
    <row r="313" spans="1:6" ht="112" x14ac:dyDescent="0.2">
      <c r="A313" s="4" t="s">
        <v>3250</v>
      </c>
      <c r="B313">
        <v>45.817623111603027</v>
      </c>
      <c r="C313" s="7">
        <v>0.37910085054678005</v>
      </c>
      <c r="E313">
        <v>45.817623111603027</v>
      </c>
      <c r="F313">
        <f t="shared" si="4"/>
        <v>0.37910085054678005</v>
      </c>
    </row>
    <row r="314" spans="1:6" ht="112" x14ac:dyDescent="0.2">
      <c r="A314" s="4" t="s">
        <v>3591</v>
      </c>
      <c r="B314">
        <v>45.825834090998782</v>
      </c>
      <c r="C314" s="7">
        <v>0.38031591737545567</v>
      </c>
      <c r="E314">
        <v>45.825834090998782</v>
      </c>
      <c r="F314">
        <f t="shared" si="4"/>
        <v>0.38031591737545567</v>
      </c>
    </row>
    <row r="315" spans="1:6" ht="112" x14ac:dyDescent="0.2">
      <c r="A315" s="4" t="s">
        <v>3664</v>
      </c>
      <c r="B315">
        <v>45.853124999999999</v>
      </c>
      <c r="C315" s="7">
        <v>0.38153098420413123</v>
      </c>
      <c r="E315">
        <v>45.853124999999999</v>
      </c>
      <c r="F315">
        <f t="shared" si="4"/>
        <v>0.38153098420413123</v>
      </c>
    </row>
    <row r="316" spans="1:6" ht="128" x14ac:dyDescent="0.2">
      <c r="A316" s="4" t="s">
        <v>3665</v>
      </c>
      <c r="B316">
        <v>45.97175143285191</v>
      </c>
      <c r="C316" s="7">
        <v>0.38274605103280679</v>
      </c>
      <c r="E316">
        <v>45.97175143285191</v>
      </c>
      <c r="F316">
        <f t="shared" si="4"/>
        <v>0.38274605103280679</v>
      </c>
    </row>
    <row r="317" spans="1:6" ht="112" x14ac:dyDescent="0.2">
      <c r="A317" s="4" t="s">
        <v>3401</v>
      </c>
      <c r="B317">
        <v>45.991350593473172</v>
      </c>
      <c r="C317" s="7">
        <v>0.3839611178614824</v>
      </c>
      <c r="E317">
        <v>45.991350593473172</v>
      </c>
      <c r="F317">
        <f t="shared" si="4"/>
        <v>0.3839611178614824</v>
      </c>
    </row>
    <row r="318" spans="1:6" ht="112" x14ac:dyDescent="0.2">
      <c r="A318" s="4" t="s">
        <v>3531</v>
      </c>
      <c r="B318">
        <v>46.019304830625344</v>
      </c>
      <c r="C318" s="7">
        <v>0.38517618469015796</v>
      </c>
      <c r="E318">
        <v>46.019304830625344</v>
      </c>
      <c r="F318">
        <f t="shared" si="4"/>
        <v>0.38517618469015796</v>
      </c>
    </row>
    <row r="319" spans="1:6" ht="112" x14ac:dyDescent="0.2">
      <c r="A319" s="4" t="s">
        <v>3647</v>
      </c>
      <c r="B319">
        <v>46.045152640721227</v>
      </c>
      <c r="C319" s="7">
        <v>0.38639125151883352</v>
      </c>
      <c r="E319">
        <v>46.045152640721227</v>
      </c>
      <c r="F319">
        <f t="shared" si="4"/>
        <v>0.38639125151883352</v>
      </c>
    </row>
    <row r="320" spans="1:6" ht="128" x14ac:dyDescent="0.2">
      <c r="A320" s="4" t="s">
        <v>3609</v>
      </c>
      <c r="B320">
        <v>46.055760591922052</v>
      </c>
      <c r="C320" s="7">
        <v>0.38760631834750914</v>
      </c>
      <c r="E320">
        <v>46.055760591922052</v>
      </c>
      <c r="F320">
        <f t="shared" si="4"/>
        <v>0.38760631834750914</v>
      </c>
    </row>
    <row r="321" spans="1:6" ht="112" x14ac:dyDescent="0.2">
      <c r="A321" s="4" t="s">
        <v>3190</v>
      </c>
      <c r="B321">
        <v>46.114602488120418</v>
      </c>
      <c r="C321" s="7">
        <v>0.3888213851761847</v>
      </c>
      <c r="E321">
        <v>46.114602488120418</v>
      </c>
      <c r="F321">
        <f t="shared" si="4"/>
        <v>0.3888213851761847</v>
      </c>
    </row>
    <row r="322" spans="1:6" ht="128" x14ac:dyDescent="0.2">
      <c r="A322" s="4" t="s">
        <v>3473</v>
      </c>
      <c r="B322">
        <v>46.278970860450627</v>
      </c>
      <c r="C322" s="7">
        <v>0.39003645200486026</v>
      </c>
      <c r="E322">
        <v>46.278970860450627</v>
      </c>
      <c r="F322">
        <f t="shared" si="4"/>
        <v>0.39003645200486026</v>
      </c>
    </row>
    <row r="323" spans="1:6" ht="128" x14ac:dyDescent="0.2">
      <c r="A323" s="4" t="s">
        <v>3587</v>
      </c>
      <c r="B323">
        <v>46.319009553816144</v>
      </c>
      <c r="C323" s="7">
        <v>0.39125151883353587</v>
      </c>
      <c r="E323">
        <v>46.319009553816144</v>
      </c>
      <c r="F323">
        <f t="shared" ref="F323:F386" si="5">_xlfn.RANK.EQ(E323,$E$2:$E$824,1)/COUNT($E$2:$E$824)</f>
        <v>0.39125151883353587</v>
      </c>
    </row>
    <row r="324" spans="1:6" ht="112" x14ac:dyDescent="0.2">
      <c r="A324" s="4" t="s">
        <v>3607</v>
      </c>
      <c r="B324">
        <v>46.400373877221575</v>
      </c>
      <c r="C324" s="7">
        <v>0.39246658566221143</v>
      </c>
      <c r="E324">
        <v>46.400373877221575</v>
      </c>
      <c r="F324">
        <f t="shared" si="5"/>
        <v>0.39246658566221143</v>
      </c>
    </row>
    <row r="325" spans="1:6" ht="112" x14ac:dyDescent="0.2">
      <c r="A325" s="4" t="s">
        <v>3736</v>
      </c>
      <c r="B325">
        <v>46.437532407025159</v>
      </c>
      <c r="C325" s="7">
        <v>0.39368165249088699</v>
      </c>
      <c r="E325">
        <v>46.437532407025159</v>
      </c>
      <c r="F325">
        <f t="shared" si="5"/>
        <v>0.39368165249088699</v>
      </c>
    </row>
    <row r="326" spans="1:6" ht="112" x14ac:dyDescent="0.2">
      <c r="A326" s="4" t="s">
        <v>3701</v>
      </c>
      <c r="B326">
        <v>46.7606310028754</v>
      </c>
      <c r="C326" s="7">
        <v>0.39489671931956255</v>
      </c>
      <c r="E326">
        <v>46.7606310028754</v>
      </c>
      <c r="F326">
        <f t="shared" si="5"/>
        <v>0.39489671931956255</v>
      </c>
    </row>
    <row r="327" spans="1:6" ht="112" x14ac:dyDescent="0.2">
      <c r="A327" s="4" t="s">
        <v>3484</v>
      </c>
      <c r="B327">
        <v>46.76428571428572</v>
      </c>
      <c r="C327" s="7">
        <v>0.39611178614823817</v>
      </c>
      <c r="E327">
        <v>46.76428571428572</v>
      </c>
      <c r="F327">
        <f t="shared" si="5"/>
        <v>0.39611178614823817</v>
      </c>
    </row>
    <row r="328" spans="1:6" ht="112" x14ac:dyDescent="0.2">
      <c r="A328" s="4" t="s">
        <v>3621</v>
      </c>
      <c r="B328">
        <v>46.981993501327494</v>
      </c>
      <c r="C328" s="7">
        <v>0.39732685297691372</v>
      </c>
      <c r="E328">
        <v>46.981993501327494</v>
      </c>
      <c r="F328">
        <f t="shared" si="5"/>
        <v>0.39732685297691372</v>
      </c>
    </row>
    <row r="329" spans="1:6" ht="128" x14ac:dyDescent="0.2">
      <c r="A329" s="4" t="s">
        <v>3659</v>
      </c>
      <c r="B329">
        <v>47.008902726662889</v>
      </c>
      <c r="C329" s="7">
        <v>0.39854191980558928</v>
      </c>
      <c r="E329">
        <v>47.008902726662889</v>
      </c>
      <c r="F329">
        <f t="shared" si="5"/>
        <v>0.39854191980558928</v>
      </c>
    </row>
    <row r="330" spans="1:6" ht="112" x14ac:dyDescent="0.2">
      <c r="A330" s="4" t="s">
        <v>3604</v>
      </c>
      <c r="B330">
        <v>47.162909274848658</v>
      </c>
      <c r="C330" s="7">
        <v>0.3997569866342649</v>
      </c>
      <c r="E330">
        <v>47.162909274848658</v>
      </c>
      <c r="F330">
        <f t="shared" si="5"/>
        <v>0.3997569866342649</v>
      </c>
    </row>
    <row r="331" spans="1:6" ht="112" x14ac:dyDescent="0.2">
      <c r="A331" s="4" t="s">
        <v>3174</v>
      </c>
      <c r="B331">
        <v>47.176331964440038</v>
      </c>
      <c r="C331" s="7">
        <v>0.40097205346294046</v>
      </c>
      <c r="E331">
        <v>47.176331964440038</v>
      </c>
      <c r="F331">
        <f t="shared" si="5"/>
        <v>0.40097205346294046</v>
      </c>
    </row>
    <row r="332" spans="1:6" ht="112" x14ac:dyDescent="0.2">
      <c r="A332" s="4" t="s">
        <v>3657</v>
      </c>
      <c r="B332">
        <v>47.20228883547933</v>
      </c>
      <c r="C332" s="7">
        <v>0.40218712029161602</v>
      </c>
      <c r="E332">
        <v>47.20228883547933</v>
      </c>
      <c r="F332">
        <f t="shared" si="5"/>
        <v>0.40218712029161602</v>
      </c>
    </row>
    <row r="333" spans="1:6" ht="112" x14ac:dyDescent="0.2">
      <c r="A333" s="4" t="s">
        <v>3694</v>
      </c>
      <c r="B333">
        <v>47.22795736076872</v>
      </c>
      <c r="C333" s="7">
        <v>0.40340218712029163</v>
      </c>
      <c r="E333">
        <v>47.22795736076872</v>
      </c>
      <c r="F333">
        <f t="shared" si="5"/>
        <v>0.40340218712029163</v>
      </c>
    </row>
    <row r="334" spans="1:6" ht="112" x14ac:dyDescent="0.2">
      <c r="A334" s="4" t="s">
        <v>3417</v>
      </c>
      <c r="B334">
        <v>47.302478051407853</v>
      </c>
      <c r="C334" s="7">
        <v>0.40461725394896719</v>
      </c>
      <c r="E334">
        <v>47.302478051407853</v>
      </c>
      <c r="F334">
        <f t="shared" si="5"/>
        <v>0.40461725394896719</v>
      </c>
    </row>
    <row r="335" spans="1:6" ht="128" x14ac:dyDescent="0.2">
      <c r="A335" s="4" t="s">
        <v>3555</v>
      </c>
      <c r="B335">
        <v>47.418672418696126</v>
      </c>
      <c r="C335" s="7">
        <v>0.40583232077764275</v>
      </c>
      <c r="E335">
        <v>47.418672418696126</v>
      </c>
      <c r="F335">
        <f t="shared" si="5"/>
        <v>0.40583232077764275</v>
      </c>
    </row>
    <row r="336" spans="1:6" ht="112" x14ac:dyDescent="0.2">
      <c r="A336" s="4" t="s">
        <v>3722</v>
      </c>
      <c r="B336">
        <v>47.43216489932793</v>
      </c>
      <c r="C336" s="7">
        <v>0.40704738760631837</v>
      </c>
      <c r="E336">
        <v>47.43216489932793</v>
      </c>
      <c r="F336">
        <f t="shared" si="5"/>
        <v>0.40704738760631837</v>
      </c>
    </row>
    <row r="337" spans="1:6" ht="96" x14ac:dyDescent="0.2">
      <c r="A337" s="4" t="s">
        <v>3676</v>
      </c>
      <c r="B337">
        <v>47.433794721773175</v>
      </c>
      <c r="C337" s="7">
        <v>0.40826245443499393</v>
      </c>
      <c r="E337">
        <v>47.433794721773175</v>
      </c>
      <c r="F337">
        <f t="shared" si="5"/>
        <v>0.40826245443499393</v>
      </c>
    </row>
    <row r="338" spans="1:6" ht="112" x14ac:dyDescent="0.2">
      <c r="A338" s="4" t="s">
        <v>3228</v>
      </c>
      <c r="B338">
        <v>47.439333333333337</v>
      </c>
      <c r="C338" s="7">
        <v>0.40947752126366949</v>
      </c>
      <c r="E338">
        <v>47.439333333333337</v>
      </c>
      <c r="F338">
        <f t="shared" si="5"/>
        <v>0.40947752126366949</v>
      </c>
    </row>
    <row r="339" spans="1:6" ht="112" x14ac:dyDescent="0.2">
      <c r="A339" s="4" t="s">
        <v>3537</v>
      </c>
      <c r="B339">
        <v>47.463295977686826</v>
      </c>
      <c r="C339" s="7">
        <v>0.4106925880923451</v>
      </c>
      <c r="E339">
        <v>47.463295977686826</v>
      </c>
      <c r="F339">
        <f t="shared" si="5"/>
        <v>0.4106925880923451</v>
      </c>
    </row>
    <row r="340" spans="1:6" ht="112" x14ac:dyDescent="0.2">
      <c r="A340" s="4" t="s">
        <v>3651</v>
      </c>
      <c r="B340">
        <v>47.466848720636712</v>
      </c>
      <c r="C340" s="7">
        <v>0.41190765492102066</v>
      </c>
      <c r="E340">
        <v>47.466848720636712</v>
      </c>
      <c r="F340">
        <f t="shared" si="5"/>
        <v>0.41190765492102066</v>
      </c>
    </row>
    <row r="341" spans="1:6" ht="128" x14ac:dyDescent="0.2">
      <c r="A341" s="4" t="s">
        <v>3705</v>
      </c>
      <c r="B341">
        <v>47.494374999999998</v>
      </c>
      <c r="C341" s="7">
        <v>0.41312272174969622</v>
      </c>
      <c r="E341">
        <v>47.494374999999998</v>
      </c>
      <c r="F341">
        <f t="shared" si="5"/>
        <v>0.41312272174969622</v>
      </c>
    </row>
    <row r="342" spans="1:6" ht="112" x14ac:dyDescent="0.2">
      <c r="A342" s="4" t="s">
        <v>3584</v>
      </c>
      <c r="B342">
        <v>47.506647681844932</v>
      </c>
      <c r="C342" s="7">
        <v>0.41433778857837184</v>
      </c>
      <c r="E342">
        <v>47.506647681844932</v>
      </c>
      <c r="F342">
        <f t="shared" si="5"/>
        <v>0.41433778857837184</v>
      </c>
    </row>
    <row r="343" spans="1:6" ht="128" x14ac:dyDescent="0.2">
      <c r="A343" s="4" t="s">
        <v>3563</v>
      </c>
      <c r="B343">
        <v>47.554968194711272</v>
      </c>
      <c r="C343" s="7">
        <v>0.41555285540704739</v>
      </c>
      <c r="E343">
        <v>47.554968194711272</v>
      </c>
      <c r="F343">
        <f t="shared" si="5"/>
        <v>0.41555285540704739</v>
      </c>
    </row>
    <row r="344" spans="1:6" ht="112" x14ac:dyDescent="0.2">
      <c r="A344" s="4" t="s">
        <v>3114</v>
      </c>
      <c r="B344">
        <v>47.601563353895635</v>
      </c>
      <c r="C344" s="7">
        <v>0.41676792223572295</v>
      </c>
      <c r="E344">
        <v>47.601563353895635</v>
      </c>
      <c r="F344">
        <f t="shared" si="5"/>
        <v>0.41676792223572295</v>
      </c>
    </row>
    <row r="345" spans="1:6" ht="112" x14ac:dyDescent="0.2">
      <c r="A345" s="4" t="s">
        <v>3457</v>
      </c>
      <c r="B345">
        <v>47.712305879531826</v>
      </c>
      <c r="C345" s="7">
        <v>0.41798298906439857</v>
      </c>
      <c r="E345">
        <v>47.712305879531826</v>
      </c>
      <c r="F345">
        <f t="shared" si="5"/>
        <v>0.41798298906439857</v>
      </c>
    </row>
    <row r="346" spans="1:6" ht="96" x14ac:dyDescent="0.2">
      <c r="A346" s="4" t="s">
        <v>3532</v>
      </c>
      <c r="B346">
        <v>47.740045822571673</v>
      </c>
      <c r="C346" s="7">
        <v>0.41919805589307413</v>
      </c>
      <c r="E346">
        <v>47.740045822571673</v>
      </c>
      <c r="F346">
        <f t="shared" si="5"/>
        <v>0.41919805589307413</v>
      </c>
    </row>
    <row r="347" spans="1:6" ht="112" x14ac:dyDescent="0.2">
      <c r="A347" s="4" t="s">
        <v>3633</v>
      </c>
      <c r="B347">
        <v>47.742663254355989</v>
      </c>
      <c r="C347" s="7">
        <v>0.42041312272174969</v>
      </c>
      <c r="E347">
        <v>47.742663254355989</v>
      </c>
      <c r="F347">
        <f t="shared" si="5"/>
        <v>0.42041312272174969</v>
      </c>
    </row>
    <row r="348" spans="1:6" ht="112" x14ac:dyDescent="0.2">
      <c r="A348" s="4" t="s">
        <v>3306</v>
      </c>
      <c r="B348">
        <v>47.771779654557939</v>
      </c>
      <c r="C348" s="7">
        <v>0.42162818955042525</v>
      </c>
      <c r="E348">
        <v>47.771779654557939</v>
      </c>
      <c r="F348">
        <f t="shared" si="5"/>
        <v>0.42162818955042525</v>
      </c>
    </row>
    <row r="349" spans="1:6" ht="112" x14ac:dyDescent="0.2">
      <c r="A349" s="4" t="s">
        <v>3725</v>
      </c>
      <c r="B349">
        <v>47.817231454466679</v>
      </c>
      <c r="C349" s="7">
        <v>0.42284325637910086</v>
      </c>
      <c r="E349">
        <v>47.817231454466679</v>
      </c>
      <c r="F349">
        <f t="shared" si="5"/>
        <v>0.42284325637910086</v>
      </c>
    </row>
    <row r="350" spans="1:6" ht="112" x14ac:dyDescent="0.2">
      <c r="A350" s="4" t="s">
        <v>3381</v>
      </c>
      <c r="B350">
        <v>47.8441811089249</v>
      </c>
      <c r="C350" s="7">
        <v>0.42405832320777642</v>
      </c>
      <c r="E350">
        <v>47.8441811089249</v>
      </c>
      <c r="F350">
        <f t="shared" si="5"/>
        <v>0.42405832320777642</v>
      </c>
    </row>
    <row r="351" spans="1:6" ht="112" x14ac:dyDescent="0.2">
      <c r="A351" s="4" t="s">
        <v>3429</v>
      </c>
      <c r="B351">
        <v>47.864165233643355</v>
      </c>
      <c r="C351" s="7">
        <v>0.42527339003645198</v>
      </c>
      <c r="E351">
        <v>47.864165233643355</v>
      </c>
      <c r="F351">
        <f t="shared" si="5"/>
        <v>0.42527339003645198</v>
      </c>
    </row>
    <row r="352" spans="1:6" ht="112" x14ac:dyDescent="0.2">
      <c r="A352" s="4" t="s">
        <v>3094</v>
      </c>
      <c r="B352">
        <v>47.956439376137283</v>
      </c>
      <c r="C352" s="7">
        <v>0.4264884568651276</v>
      </c>
      <c r="E352">
        <v>47.956439376137283</v>
      </c>
      <c r="F352">
        <f t="shared" si="5"/>
        <v>0.4264884568651276</v>
      </c>
    </row>
    <row r="353" spans="1:6" ht="112" x14ac:dyDescent="0.2">
      <c r="A353" s="4" t="s">
        <v>3662</v>
      </c>
      <c r="B353">
        <v>47.964678562567158</v>
      </c>
      <c r="C353" s="7">
        <v>0.42770352369380316</v>
      </c>
      <c r="E353">
        <v>47.964678562567158</v>
      </c>
      <c r="F353">
        <f t="shared" si="5"/>
        <v>0.42770352369380316</v>
      </c>
    </row>
    <row r="354" spans="1:6" ht="112" x14ac:dyDescent="0.2">
      <c r="A354" s="4" t="s">
        <v>3272</v>
      </c>
      <c r="B354">
        <v>47.976552279160714</v>
      </c>
      <c r="C354" s="7">
        <v>0.42891859052247872</v>
      </c>
      <c r="E354">
        <v>47.976552279160714</v>
      </c>
      <c r="F354">
        <f t="shared" si="5"/>
        <v>0.42891859052247872</v>
      </c>
    </row>
    <row r="355" spans="1:6" ht="96" x14ac:dyDescent="0.2">
      <c r="A355" s="4" t="s">
        <v>3636</v>
      </c>
      <c r="B355">
        <v>47.987085332872581</v>
      </c>
      <c r="C355" s="7">
        <v>0.43013365735115433</v>
      </c>
      <c r="E355">
        <v>47.987085332872581</v>
      </c>
      <c r="F355">
        <f t="shared" si="5"/>
        <v>0.43013365735115433</v>
      </c>
    </row>
    <row r="356" spans="1:6" ht="96" x14ac:dyDescent="0.2">
      <c r="A356" s="4" t="s">
        <v>3667</v>
      </c>
      <c r="B356">
        <v>48.000077795521001</v>
      </c>
      <c r="C356" s="7">
        <v>0.43134872417982989</v>
      </c>
      <c r="E356">
        <v>48.000077795521001</v>
      </c>
      <c r="F356">
        <f t="shared" si="5"/>
        <v>0.43134872417982989</v>
      </c>
    </row>
    <row r="357" spans="1:6" ht="112" x14ac:dyDescent="0.2">
      <c r="A357" s="4" t="s">
        <v>3737</v>
      </c>
      <c r="B357">
        <v>48.100458158853073</v>
      </c>
      <c r="C357" s="7">
        <v>0.43256379100850545</v>
      </c>
      <c r="E357">
        <v>48.100458158853073</v>
      </c>
      <c r="F357">
        <f t="shared" si="5"/>
        <v>0.43256379100850545</v>
      </c>
    </row>
    <row r="358" spans="1:6" ht="96" x14ac:dyDescent="0.2">
      <c r="A358" s="4" t="s">
        <v>3761</v>
      </c>
      <c r="B358">
        <v>48.122741249301477</v>
      </c>
      <c r="C358" s="7">
        <v>0.43377885783718106</v>
      </c>
      <c r="E358">
        <v>48.122741249301477</v>
      </c>
      <c r="F358">
        <f t="shared" si="5"/>
        <v>0.43377885783718106</v>
      </c>
    </row>
    <row r="359" spans="1:6" ht="96" x14ac:dyDescent="0.2">
      <c r="A359" s="4" t="s">
        <v>3644</v>
      </c>
      <c r="B359">
        <v>48.125333333333337</v>
      </c>
      <c r="C359" s="7">
        <v>0.43499392466585662</v>
      </c>
      <c r="E359">
        <v>48.125333333333337</v>
      </c>
      <c r="F359">
        <f t="shared" si="5"/>
        <v>0.43499392466585662</v>
      </c>
    </row>
    <row r="360" spans="1:6" ht="112" x14ac:dyDescent="0.2">
      <c r="A360" s="4" t="s">
        <v>3648</v>
      </c>
      <c r="B360">
        <v>48.213004864125296</v>
      </c>
      <c r="C360" s="7">
        <v>0.43620899149453218</v>
      </c>
      <c r="E360">
        <v>48.213004864125296</v>
      </c>
      <c r="F360">
        <f t="shared" si="5"/>
        <v>0.43620899149453218</v>
      </c>
    </row>
    <row r="361" spans="1:6" ht="112" x14ac:dyDescent="0.2">
      <c r="A361" s="4" t="s">
        <v>3548</v>
      </c>
      <c r="B361">
        <v>48.300979841169074</v>
      </c>
      <c r="C361" s="7">
        <v>0.4374240583232078</v>
      </c>
      <c r="E361">
        <v>48.300979841169074</v>
      </c>
      <c r="F361">
        <f t="shared" si="5"/>
        <v>0.4374240583232078</v>
      </c>
    </row>
    <row r="362" spans="1:6" ht="96" x14ac:dyDescent="0.2">
      <c r="A362" s="4" t="s">
        <v>3821</v>
      </c>
      <c r="B362">
        <v>48.426935348284125</v>
      </c>
      <c r="C362" s="7">
        <v>0.43863912515188336</v>
      </c>
      <c r="E362">
        <v>48.426935348284125</v>
      </c>
      <c r="F362">
        <f t="shared" si="5"/>
        <v>0.43863912515188336</v>
      </c>
    </row>
    <row r="363" spans="1:6" ht="112" x14ac:dyDescent="0.2">
      <c r="A363" s="4" t="s">
        <v>3363</v>
      </c>
      <c r="B363">
        <v>48.434487132675514</v>
      </c>
      <c r="C363" s="7">
        <v>0.43985419198055892</v>
      </c>
      <c r="E363">
        <v>48.434487132675514</v>
      </c>
      <c r="F363">
        <f t="shared" si="5"/>
        <v>0.43985419198055892</v>
      </c>
    </row>
    <row r="364" spans="1:6" ht="112" x14ac:dyDescent="0.2">
      <c r="A364" s="4" t="s">
        <v>3763</v>
      </c>
      <c r="B364">
        <v>48.487616471104772</v>
      </c>
      <c r="C364" s="7">
        <v>0.44106925880923453</v>
      </c>
      <c r="E364">
        <v>48.487616471104772</v>
      </c>
      <c r="F364">
        <f t="shared" si="5"/>
        <v>0.44106925880923453</v>
      </c>
    </row>
    <row r="365" spans="1:6" ht="112" x14ac:dyDescent="0.2">
      <c r="A365" s="4" t="s">
        <v>3399</v>
      </c>
      <c r="B365">
        <v>48.543650477562593</v>
      </c>
      <c r="C365" s="7">
        <v>0.44228432563791009</v>
      </c>
      <c r="E365">
        <v>48.543650477562593</v>
      </c>
      <c r="F365">
        <f t="shared" si="5"/>
        <v>0.44228432563791009</v>
      </c>
    </row>
    <row r="366" spans="1:6" ht="112" x14ac:dyDescent="0.2">
      <c r="A366" s="4" t="s">
        <v>3431</v>
      </c>
      <c r="B366">
        <v>48.559980540785411</v>
      </c>
      <c r="C366" s="7">
        <v>0.44349939246658565</v>
      </c>
      <c r="E366">
        <v>48.559980540785411</v>
      </c>
      <c r="F366">
        <f t="shared" si="5"/>
        <v>0.44349939246658565</v>
      </c>
    </row>
    <row r="367" spans="1:6" ht="112" x14ac:dyDescent="0.2">
      <c r="A367" s="4" t="s">
        <v>3715</v>
      </c>
      <c r="B367">
        <v>48.581118866043838</v>
      </c>
      <c r="C367" s="7">
        <v>0.44471445929526127</v>
      </c>
      <c r="E367">
        <v>48.581118866043838</v>
      </c>
      <c r="F367">
        <f t="shared" si="5"/>
        <v>0.44471445929526127</v>
      </c>
    </row>
    <row r="368" spans="1:6" ht="112" x14ac:dyDescent="0.2">
      <c r="A368" s="4" t="s">
        <v>3565</v>
      </c>
      <c r="B368">
        <v>48.760121299283895</v>
      </c>
      <c r="C368" s="7">
        <v>0.44592952612393683</v>
      </c>
      <c r="E368">
        <v>48.760121299283895</v>
      </c>
      <c r="F368">
        <f t="shared" si="5"/>
        <v>0.44592952612393683</v>
      </c>
    </row>
    <row r="369" spans="1:6" ht="112" x14ac:dyDescent="0.2">
      <c r="A369" s="4" t="s">
        <v>3729</v>
      </c>
      <c r="B369">
        <v>48.797745282086382</v>
      </c>
      <c r="C369" s="7">
        <v>0.44714459295261239</v>
      </c>
      <c r="E369">
        <v>48.797745282086382</v>
      </c>
      <c r="F369">
        <f t="shared" si="5"/>
        <v>0.44714459295261239</v>
      </c>
    </row>
    <row r="370" spans="1:6" ht="96" x14ac:dyDescent="0.2">
      <c r="A370" s="4" t="s">
        <v>3745</v>
      </c>
      <c r="B370">
        <v>48.932874705284547</v>
      </c>
      <c r="C370" s="7">
        <v>0.44835965978128794</v>
      </c>
      <c r="E370">
        <v>48.932874705284547</v>
      </c>
      <c r="F370">
        <f t="shared" si="5"/>
        <v>0.44835965978128794</v>
      </c>
    </row>
    <row r="371" spans="1:6" ht="96" x14ac:dyDescent="0.2">
      <c r="A371" s="4" t="s">
        <v>3721</v>
      </c>
      <c r="B371">
        <v>48.985998197113318</v>
      </c>
      <c r="C371" s="7">
        <v>0.44957472660996356</v>
      </c>
      <c r="E371">
        <v>48.985998197113318</v>
      </c>
      <c r="F371">
        <f t="shared" si="5"/>
        <v>0.44957472660996356</v>
      </c>
    </row>
    <row r="372" spans="1:6" ht="112" x14ac:dyDescent="0.2">
      <c r="A372" s="4" t="s">
        <v>3276</v>
      </c>
      <c r="B372">
        <v>49.037034526862243</v>
      </c>
      <c r="C372" s="7">
        <v>0.45078979343863912</v>
      </c>
      <c r="E372">
        <v>49.037034526862243</v>
      </c>
      <c r="F372">
        <f t="shared" si="5"/>
        <v>0.45078979343863912</v>
      </c>
    </row>
    <row r="373" spans="1:6" ht="96" x14ac:dyDescent="0.2">
      <c r="A373" s="4" t="s">
        <v>3750</v>
      </c>
      <c r="B373">
        <v>49.041916060471706</v>
      </c>
      <c r="C373" s="7">
        <v>0.45200486026731468</v>
      </c>
      <c r="E373">
        <v>49.041916060471706</v>
      </c>
      <c r="F373">
        <f t="shared" si="5"/>
        <v>0.45200486026731468</v>
      </c>
    </row>
    <row r="374" spans="1:6" ht="128" x14ac:dyDescent="0.2">
      <c r="A374" s="4" t="s">
        <v>3625</v>
      </c>
      <c r="B374">
        <v>49.081953487744109</v>
      </c>
      <c r="C374" s="7">
        <v>0.45321992709599029</v>
      </c>
      <c r="E374">
        <v>49.081953487744109</v>
      </c>
      <c r="F374">
        <f t="shared" si="5"/>
        <v>0.45321992709599029</v>
      </c>
    </row>
    <row r="375" spans="1:6" ht="112" x14ac:dyDescent="0.2">
      <c r="A375" s="4" t="s">
        <v>3640</v>
      </c>
      <c r="B375">
        <v>49.08830541964106</v>
      </c>
      <c r="C375" s="7">
        <v>0.45443499392466585</v>
      </c>
      <c r="E375">
        <v>49.08830541964106</v>
      </c>
      <c r="F375">
        <f t="shared" si="5"/>
        <v>0.45443499392466585</v>
      </c>
    </row>
    <row r="376" spans="1:6" ht="112" x14ac:dyDescent="0.2">
      <c r="A376" s="4" t="s">
        <v>3570</v>
      </c>
      <c r="B376">
        <v>49.162690499308532</v>
      </c>
      <c r="C376" s="7">
        <v>0.45565006075334141</v>
      </c>
      <c r="E376">
        <v>49.162690499308532</v>
      </c>
      <c r="F376">
        <f t="shared" si="5"/>
        <v>0.45565006075334141</v>
      </c>
    </row>
    <row r="377" spans="1:6" ht="112" x14ac:dyDescent="0.2">
      <c r="A377" s="4" t="s">
        <v>3391</v>
      </c>
      <c r="B377">
        <v>49.228686763256071</v>
      </c>
      <c r="C377" s="7">
        <v>0.45686512758201703</v>
      </c>
      <c r="E377">
        <v>49.228686763256071</v>
      </c>
      <c r="F377">
        <f t="shared" si="5"/>
        <v>0.45686512758201703</v>
      </c>
    </row>
    <row r="378" spans="1:6" ht="112" x14ac:dyDescent="0.2">
      <c r="A378" s="4" t="s">
        <v>3561</v>
      </c>
      <c r="B378">
        <v>49.238627321089247</v>
      </c>
      <c r="C378" s="7">
        <v>0.45808019441069259</v>
      </c>
      <c r="E378">
        <v>49.238627321089247</v>
      </c>
      <c r="F378">
        <f t="shared" si="5"/>
        <v>0.45808019441069259</v>
      </c>
    </row>
    <row r="379" spans="1:6" ht="112" x14ac:dyDescent="0.2">
      <c r="A379" s="4" t="s">
        <v>3756</v>
      </c>
      <c r="B379">
        <v>49.277175616756949</v>
      </c>
      <c r="C379" s="7">
        <v>0.45929526123936815</v>
      </c>
      <c r="E379">
        <v>49.277175616756949</v>
      </c>
      <c r="F379">
        <f t="shared" si="5"/>
        <v>0.45929526123936815</v>
      </c>
    </row>
    <row r="380" spans="1:6" ht="112" x14ac:dyDescent="0.2">
      <c r="A380" s="4" t="s">
        <v>3688</v>
      </c>
      <c r="B380">
        <v>49.288495702554059</v>
      </c>
      <c r="C380" s="7">
        <v>0.46051032806804376</v>
      </c>
      <c r="E380">
        <v>49.288495702554059</v>
      </c>
      <c r="F380">
        <f t="shared" si="5"/>
        <v>0.46051032806804376</v>
      </c>
    </row>
    <row r="381" spans="1:6" ht="96" x14ac:dyDescent="0.2">
      <c r="A381" s="4" t="s">
        <v>3733</v>
      </c>
      <c r="B381">
        <v>49.471125500312979</v>
      </c>
      <c r="C381" s="7">
        <v>0.46172539489671932</v>
      </c>
      <c r="E381">
        <v>49.471125500312979</v>
      </c>
      <c r="F381">
        <f t="shared" si="5"/>
        <v>0.46172539489671932</v>
      </c>
    </row>
    <row r="382" spans="1:6" ht="112" x14ac:dyDescent="0.2">
      <c r="A382" s="4" t="s">
        <v>3719</v>
      </c>
      <c r="B382">
        <v>49.488956294730045</v>
      </c>
      <c r="C382" s="7">
        <v>0.46294046172539488</v>
      </c>
      <c r="E382">
        <v>49.488956294730045</v>
      </c>
      <c r="F382">
        <f t="shared" si="5"/>
        <v>0.46294046172539488</v>
      </c>
    </row>
    <row r="383" spans="1:6" ht="112" x14ac:dyDescent="0.2">
      <c r="A383" s="4" t="s">
        <v>3503</v>
      </c>
      <c r="B383">
        <v>49.624512230945832</v>
      </c>
      <c r="C383" s="7">
        <v>0.4641555285540705</v>
      </c>
      <c r="E383">
        <v>49.624512230945832</v>
      </c>
      <c r="F383">
        <f t="shared" si="5"/>
        <v>0.4641555285540705</v>
      </c>
    </row>
    <row r="384" spans="1:6" ht="112" x14ac:dyDescent="0.2">
      <c r="A384" s="4" t="s">
        <v>3661</v>
      </c>
      <c r="B384">
        <v>49.669679825997406</v>
      </c>
      <c r="C384" s="7">
        <v>0.46537059538274606</v>
      </c>
      <c r="E384">
        <v>49.669679825997406</v>
      </c>
      <c r="F384">
        <f t="shared" si="5"/>
        <v>0.46537059538274606</v>
      </c>
    </row>
    <row r="385" spans="1:6" ht="112" x14ac:dyDescent="0.2">
      <c r="A385" s="4" t="s">
        <v>3650</v>
      </c>
      <c r="B385">
        <v>49.817794454973388</v>
      </c>
      <c r="C385" s="7">
        <v>0.46658566221142161</v>
      </c>
      <c r="E385">
        <v>49.817794454973388</v>
      </c>
      <c r="F385">
        <f t="shared" si="5"/>
        <v>0.46658566221142161</v>
      </c>
    </row>
    <row r="386" spans="1:6" ht="112" x14ac:dyDescent="0.2">
      <c r="A386" s="4" t="s">
        <v>3689</v>
      </c>
      <c r="B386">
        <v>49.847598983395869</v>
      </c>
      <c r="C386" s="7">
        <v>0.46780072904009723</v>
      </c>
      <c r="E386">
        <v>49.847598983395869</v>
      </c>
      <c r="F386">
        <f t="shared" si="5"/>
        <v>0.46780072904009723</v>
      </c>
    </row>
    <row r="387" spans="1:6" ht="112" x14ac:dyDescent="0.2">
      <c r="A387" s="4" t="s">
        <v>3753</v>
      </c>
      <c r="B387">
        <v>49.852505911542472</v>
      </c>
      <c r="C387" s="7">
        <v>0.46901579586877279</v>
      </c>
      <c r="E387">
        <v>49.852505911542472</v>
      </c>
      <c r="F387">
        <f t="shared" ref="F387:F450" si="6">_xlfn.RANK.EQ(E387,$E$2:$E$824,1)/COUNT($E$2:$E$824)</f>
        <v>0.46901579586877279</v>
      </c>
    </row>
    <row r="388" spans="1:6" ht="96" x14ac:dyDescent="0.2">
      <c r="A388" s="4" t="s">
        <v>3649</v>
      </c>
      <c r="B388">
        <v>49.922102825063277</v>
      </c>
      <c r="C388" s="7">
        <v>0.47023086269744835</v>
      </c>
      <c r="E388">
        <v>49.922102825063277</v>
      </c>
      <c r="F388">
        <f t="shared" si="6"/>
        <v>0.47023086269744835</v>
      </c>
    </row>
    <row r="389" spans="1:6" ht="112" x14ac:dyDescent="0.2">
      <c r="A389" s="4" t="s">
        <v>3674</v>
      </c>
      <c r="B389">
        <v>50.026978194497488</v>
      </c>
      <c r="C389" s="7">
        <v>0.47144592952612396</v>
      </c>
      <c r="E389">
        <v>50.026978194497488</v>
      </c>
      <c r="F389">
        <f t="shared" si="6"/>
        <v>0.47144592952612396</v>
      </c>
    </row>
    <row r="390" spans="1:6" ht="112" x14ac:dyDescent="0.2">
      <c r="A390" s="4" t="s">
        <v>3421</v>
      </c>
      <c r="B390">
        <v>50.115668528091533</v>
      </c>
      <c r="C390" s="7">
        <v>0.47266099635479952</v>
      </c>
      <c r="E390">
        <v>50.115668528091533</v>
      </c>
      <c r="F390">
        <f t="shared" si="6"/>
        <v>0.47266099635479952</v>
      </c>
    </row>
    <row r="391" spans="1:6" ht="112" x14ac:dyDescent="0.2">
      <c r="A391" s="4" t="s">
        <v>3707</v>
      </c>
      <c r="B391">
        <v>50.165853647897009</v>
      </c>
      <c r="C391" s="7">
        <v>0.47387606318347508</v>
      </c>
      <c r="E391">
        <v>50.165853647897009</v>
      </c>
      <c r="F391">
        <f t="shared" si="6"/>
        <v>0.47387606318347508</v>
      </c>
    </row>
    <row r="392" spans="1:6" ht="96" x14ac:dyDescent="0.2">
      <c r="A392" s="4" t="s">
        <v>3749</v>
      </c>
      <c r="B392">
        <v>50.313843919168818</v>
      </c>
      <c r="C392" s="7">
        <v>0.47509113001215064</v>
      </c>
      <c r="E392">
        <v>50.313843919168818</v>
      </c>
      <c r="F392">
        <f t="shared" si="6"/>
        <v>0.47509113001215064</v>
      </c>
    </row>
    <row r="393" spans="1:6" ht="112" x14ac:dyDescent="0.2">
      <c r="A393" s="4" t="s">
        <v>3568</v>
      </c>
      <c r="B393">
        <v>50.379258571665865</v>
      </c>
      <c r="C393" s="7">
        <v>0.47630619684082626</v>
      </c>
      <c r="E393">
        <v>50.379258571665865</v>
      </c>
      <c r="F393">
        <f t="shared" si="6"/>
        <v>0.47630619684082626</v>
      </c>
    </row>
    <row r="394" spans="1:6" ht="112" x14ac:dyDescent="0.2">
      <c r="A394" s="4" t="s">
        <v>3804</v>
      </c>
      <c r="B394">
        <v>50.461082285972601</v>
      </c>
      <c r="C394" s="7">
        <v>0.47752126366950182</v>
      </c>
      <c r="E394">
        <v>50.461082285972601</v>
      </c>
      <c r="F394">
        <f t="shared" si="6"/>
        <v>0.47752126366950182</v>
      </c>
    </row>
    <row r="395" spans="1:6" ht="128" x14ac:dyDescent="0.2">
      <c r="A395" s="4" t="s">
        <v>3713</v>
      </c>
      <c r="B395">
        <v>50.714811126997795</v>
      </c>
      <c r="C395" s="7">
        <v>0.47873633049817738</v>
      </c>
      <c r="E395">
        <v>50.714811126997795</v>
      </c>
      <c r="F395">
        <f t="shared" si="6"/>
        <v>0.47873633049817738</v>
      </c>
    </row>
    <row r="396" spans="1:6" ht="112" x14ac:dyDescent="0.2">
      <c r="A396" s="4" t="s">
        <v>3634</v>
      </c>
      <c r="B396">
        <v>50.729249066103968</v>
      </c>
      <c r="C396" s="7">
        <v>0.47995139732685299</v>
      </c>
      <c r="E396">
        <v>50.729249066103968</v>
      </c>
      <c r="F396">
        <f t="shared" si="6"/>
        <v>0.47995139732685299</v>
      </c>
    </row>
    <row r="397" spans="1:6" ht="112" x14ac:dyDescent="0.2">
      <c r="A397" s="4" t="s">
        <v>3425</v>
      </c>
      <c r="B397">
        <v>50.937880178879688</v>
      </c>
      <c r="C397" s="7">
        <v>0.48116646415552855</v>
      </c>
      <c r="E397">
        <v>50.937880178879688</v>
      </c>
      <c r="F397">
        <f t="shared" si="6"/>
        <v>0.48116646415552855</v>
      </c>
    </row>
    <row r="398" spans="1:6" ht="112" x14ac:dyDescent="0.2">
      <c r="A398" s="4" t="s">
        <v>3483</v>
      </c>
      <c r="B398">
        <v>51.030961193792137</v>
      </c>
      <c r="C398" s="7">
        <v>0.48238153098420411</v>
      </c>
      <c r="E398">
        <v>51.030961193792137</v>
      </c>
      <c r="F398">
        <f t="shared" si="6"/>
        <v>0.48238153098420411</v>
      </c>
    </row>
    <row r="399" spans="1:6" ht="112" x14ac:dyDescent="0.2">
      <c r="A399" s="4" t="s">
        <v>3080</v>
      </c>
      <c r="B399">
        <v>51.034573468380493</v>
      </c>
      <c r="C399" s="7">
        <v>0.48359659781287972</v>
      </c>
      <c r="E399">
        <v>51.034573468380493</v>
      </c>
      <c r="F399">
        <f t="shared" si="6"/>
        <v>0.48359659781287972</v>
      </c>
    </row>
    <row r="400" spans="1:6" ht="112" x14ac:dyDescent="0.2">
      <c r="A400" s="4" t="s">
        <v>3578</v>
      </c>
      <c r="B400">
        <v>51.045632448530647</v>
      </c>
      <c r="C400" s="7">
        <v>0.48481166464155528</v>
      </c>
      <c r="E400">
        <v>51.045632448530647</v>
      </c>
      <c r="F400">
        <f t="shared" si="6"/>
        <v>0.48481166464155528</v>
      </c>
    </row>
    <row r="401" spans="1:6" ht="112" x14ac:dyDescent="0.2">
      <c r="A401" s="4" t="s">
        <v>3134</v>
      </c>
      <c r="B401">
        <v>51.067999999999998</v>
      </c>
      <c r="C401" s="7">
        <v>0.48602673147023084</v>
      </c>
      <c r="E401">
        <v>51.067999999999998</v>
      </c>
      <c r="F401">
        <f t="shared" si="6"/>
        <v>0.48602673147023084</v>
      </c>
    </row>
    <row r="402" spans="1:6" ht="112" x14ac:dyDescent="0.2">
      <c r="A402" s="4" t="s">
        <v>3594</v>
      </c>
      <c r="B402">
        <v>51.223114850270768</v>
      </c>
      <c r="C402" s="7">
        <v>0.48724179829890646</v>
      </c>
      <c r="E402">
        <v>51.223114850270768</v>
      </c>
      <c r="F402">
        <f t="shared" si="6"/>
        <v>0.48724179829890646</v>
      </c>
    </row>
    <row r="403" spans="1:6" ht="112" x14ac:dyDescent="0.2">
      <c r="A403" s="4" t="s">
        <v>3680</v>
      </c>
      <c r="B403">
        <v>51.300995255628422</v>
      </c>
      <c r="C403" s="7">
        <v>0.48845686512758202</v>
      </c>
      <c r="E403">
        <v>51.300995255628422</v>
      </c>
      <c r="F403">
        <f t="shared" si="6"/>
        <v>0.48845686512758202</v>
      </c>
    </row>
    <row r="404" spans="1:6" ht="112" x14ac:dyDescent="0.2">
      <c r="A404" s="4" t="s">
        <v>3776</v>
      </c>
      <c r="B404">
        <v>51.423005570063054</v>
      </c>
      <c r="C404" s="7">
        <v>0.48967193195625758</v>
      </c>
      <c r="E404">
        <v>51.423005570063054</v>
      </c>
      <c r="F404">
        <f t="shared" si="6"/>
        <v>0.48967193195625758</v>
      </c>
    </row>
    <row r="405" spans="1:6" ht="112" x14ac:dyDescent="0.2">
      <c r="A405" s="4" t="s">
        <v>3731</v>
      </c>
      <c r="B405">
        <v>51.566600832895972</v>
      </c>
      <c r="C405" s="7">
        <v>0.49088699878493319</v>
      </c>
      <c r="E405">
        <v>51.566600832895972</v>
      </c>
      <c r="F405">
        <f t="shared" si="6"/>
        <v>0.49088699878493319</v>
      </c>
    </row>
    <row r="406" spans="1:6" ht="96" x14ac:dyDescent="0.2">
      <c r="A406" s="4" t="s">
        <v>3801</v>
      </c>
      <c r="B406">
        <v>51.590400727035259</v>
      </c>
      <c r="C406" s="7">
        <v>0.49210206561360875</v>
      </c>
      <c r="E406">
        <v>51.590400727035259</v>
      </c>
      <c r="F406">
        <f t="shared" si="6"/>
        <v>0.49210206561360875</v>
      </c>
    </row>
    <row r="407" spans="1:6" ht="112" x14ac:dyDescent="0.2">
      <c r="A407" s="4" t="s">
        <v>3427</v>
      </c>
      <c r="B407">
        <v>51.669789557740373</v>
      </c>
      <c r="C407" s="7">
        <v>0.49331713244228431</v>
      </c>
      <c r="E407">
        <v>51.669789557740373</v>
      </c>
      <c r="F407">
        <f t="shared" si="6"/>
        <v>0.49331713244228431</v>
      </c>
    </row>
    <row r="408" spans="1:6" ht="112" x14ac:dyDescent="0.2">
      <c r="A408" s="4" t="s">
        <v>3765</v>
      </c>
      <c r="B408">
        <v>51.720191071059254</v>
      </c>
      <c r="C408" s="7">
        <v>0.49453219927095993</v>
      </c>
      <c r="E408">
        <v>51.720191071059254</v>
      </c>
      <c r="F408">
        <f t="shared" si="6"/>
        <v>0.49453219927095993</v>
      </c>
    </row>
    <row r="409" spans="1:6" ht="112" x14ac:dyDescent="0.2">
      <c r="A409" s="4" t="s">
        <v>3353</v>
      </c>
      <c r="B409">
        <v>51.736240956861728</v>
      </c>
      <c r="C409" s="7">
        <v>0.49574726609963549</v>
      </c>
      <c r="E409">
        <v>51.736240956861728</v>
      </c>
      <c r="F409">
        <f t="shared" si="6"/>
        <v>0.49574726609963549</v>
      </c>
    </row>
    <row r="410" spans="1:6" ht="112" x14ac:dyDescent="0.2">
      <c r="A410" s="4" t="s">
        <v>3743</v>
      </c>
      <c r="B410">
        <v>51.899595553637781</v>
      </c>
      <c r="C410" s="7">
        <v>0.49696233292831105</v>
      </c>
      <c r="E410">
        <v>51.899595553637781</v>
      </c>
      <c r="F410">
        <f t="shared" si="6"/>
        <v>0.49696233292831105</v>
      </c>
    </row>
    <row r="411" spans="1:6" ht="112" x14ac:dyDescent="0.2">
      <c r="A411" s="4" t="s">
        <v>3184</v>
      </c>
      <c r="B411">
        <v>51.93470641651831</v>
      </c>
      <c r="C411" s="7">
        <v>0.49817739975698666</v>
      </c>
      <c r="E411">
        <v>51.93470641651831</v>
      </c>
      <c r="F411">
        <f t="shared" si="6"/>
        <v>0.49817739975698666</v>
      </c>
    </row>
    <row r="412" spans="1:6" ht="112" x14ac:dyDescent="0.2">
      <c r="A412" s="4" t="s">
        <v>3751</v>
      </c>
      <c r="B412">
        <v>51.985500197940191</v>
      </c>
      <c r="C412" s="7">
        <v>0.49939246658566222</v>
      </c>
      <c r="E412">
        <v>51.985500197940191</v>
      </c>
      <c r="F412">
        <f t="shared" si="6"/>
        <v>0.49939246658566222</v>
      </c>
    </row>
    <row r="413" spans="1:6" ht="112" x14ac:dyDescent="0.2">
      <c r="A413" s="4" t="s">
        <v>3652</v>
      </c>
      <c r="B413">
        <v>51.998853049760299</v>
      </c>
      <c r="C413" s="7">
        <v>0.50060753341433784</v>
      </c>
      <c r="E413">
        <v>51.998853049760299</v>
      </c>
      <c r="F413">
        <f t="shared" si="6"/>
        <v>0.50060753341433784</v>
      </c>
    </row>
    <row r="414" spans="1:6" ht="112" x14ac:dyDescent="0.2">
      <c r="A414" s="4" t="s">
        <v>3136</v>
      </c>
      <c r="B414">
        <v>52.048010467222085</v>
      </c>
      <c r="C414" s="7">
        <v>0.50182260024301339</v>
      </c>
      <c r="E414">
        <v>52.048010467222085</v>
      </c>
      <c r="F414">
        <f t="shared" si="6"/>
        <v>0.50182260024301339</v>
      </c>
    </row>
    <row r="415" spans="1:6" ht="112" x14ac:dyDescent="0.2">
      <c r="A415" s="4" t="s">
        <v>3695</v>
      </c>
      <c r="B415">
        <v>52.063363418384554</v>
      </c>
      <c r="C415" s="7">
        <v>0.50303766707168895</v>
      </c>
      <c r="E415">
        <v>52.063363418384554</v>
      </c>
      <c r="F415">
        <f t="shared" si="6"/>
        <v>0.50303766707168895</v>
      </c>
    </row>
    <row r="416" spans="1:6" ht="96" x14ac:dyDescent="0.2">
      <c r="A416" s="4" t="s">
        <v>3771</v>
      </c>
      <c r="B416">
        <v>52.091911854146367</v>
      </c>
      <c r="C416" s="7">
        <v>0.50425273390036451</v>
      </c>
      <c r="E416">
        <v>52.091911854146367</v>
      </c>
      <c r="F416">
        <f t="shared" si="6"/>
        <v>0.50425273390036451</v>
      </c>
    </row>
    <row r="417" spans="1:6" ht="112" x14ac:dyDescent="0.2">
      <c r="A417" s="4" t="s">
        <v>3373</v>
      </c>
      <c r="B417">
        <v>52.258856561189411</v>
      </c>
      <c r="C417" s="7">
        <v>0.50546780072904007</v>
      </c>
      <c r="E417">
        <v>52.258856561189411</v>
      </c>
      <c r="F417">
        <f t="shared" si="6"/>
        <v>0.50546780072904007</v>
      </c>
    </row>
    <row r="418" spans="1:6" ht="112" x14ac:dyDescent="0.2">
      <c r="A418" s="4" t="s">
        <v>3759</v>
      </c>
      <c r="B418">
        <v>52.373470809447973</v>
      </c>
      <c r="C418" s="7">
        <v>0.50668286755771563</v>
      </c>
      <c r="E418">
        <v>52.373470809447973</v>
      </c>
      <c r="F418">
        <f t="shared" si="6"/>
        <v>0.50668286755771563</v>
      </c>
    </row>
    <row r="419" spans="1:6" ht="112" x14ac:dyDescent="0.2">
      <c r="A419" s="4" t="s">
        <v>3755</v>
      </c>
      <c r="B419">
        <v>52.390491221372095</v>
      </c>
      <c r="C419" s="7">
        <v>0.5078979343863913</v>
      </c>
      <c r="E419">
        <v>52.390491221372095</v>
      </c>
      <c r="F419">
        <f t="shared" si="6"/>
        <v>0.5078979343863913</v>
      </c>
    </row>
    <row r="420" spans="1:6" ht="112" x14ac:dyDescent="0.2">
      <c r="A420" s="4" t="s">
        <v>3278</v>
      </c>
      <c r="B420">
        <v>52.447142929178625</v>
      </c>
      <c r="C420" s="7">
        <v>0.50911300121506686</v>
      </c>
      <c r="E420">
        <v>52.447142929178625</v>
      </c>
      <c r="F420">
        <f t="shared" si="6"/>
        <v>0.50911300121506686</v>
      </c>
    </row>
    <row r="421" spans="1:6" ht="112" x14ac:dyDescent="0.2">
      <c r="A421" s="4" t="s">
        <v>3590</v>
      </c>
      <c r="B421">
        <v>52.476560272647255</v>
      </c>
      <c r="C421" s="7">
        <v>0.51032806804374242</v>
      </c>
      <c r="E421">
        <v>52.476560272647255</v>
      </c>
      <c r="F421">
        <f t="shared" si="6"/>
        <v>0.51032806804374242</v>
      </c>
    </row>
    <row r="422" spans="1:6" ht="112" x14ac:dyDescent="0.2">
      <c r="A422" s="4" t="s">
        <v>3728</v>
      </c>
      <c r="B422">
        <v>52.567402644760058</v>
      </c>
      <c r="C422" s="7">
        <v>0.51154313487241798</v>
      </c>
      <c r="E422">
        <v>52.567402644760058</v>
      </c>
      <c r="F422">
        <f t="shared" si="6"/>
        <v>0.51154313487241798</v>
      </c>
    </row>
    <row r="423" spans="1:6" ht="112" x14ac:dyDescent="0.2">
      <c r="A423" s="4" t="s">
        <v>3599</v>
      </c>
      <c r="B423">
        <v>52.608929621485053</v>
      </c>
      <c r="C423" s="7">
        <v>0.51275820170109354</v>
      </c>
      <c r="E423">
        <v>52.608929621485053</v>
      </c>
      <c r="F423">
        <f t="shared" si="6"/>
        <v>0.51275820170109354</v>
      </c>
    </row>
    <row r="424" spans="1:6" ht="112" x14ac:dyDescent="0.2">
      <c r="A424" s="4" t="s">
        <v>3514</v>
      </c>
      <c r="B424">
        <v>52.653529376189304</v>
      </c>
      <c r="C424" s="7">
        <v>0.5139732685297691</v>
      </c>
      <c r="E424">
        <v>52.653529376189304</v>
      </c>
      <c r="F424">
        <f t="shared" si="6"/>
        <v>0.5139732685297691</v>
      </c>
    </row>
    <row r="425" spans="1:6" ht="128" x14ac:dyDescent="0.2">
      <c r="A425" s="4" t="s">
        <v>3629</v>
      </c>
      <c r="B425">
        <v>52.663595683034778</v>
      </c>
      <c r="C425" s="7">
        <v>0.51518833535844466</v>
      </c>
      <c r="E425">
        <v>52.663595683034778</v>
      </c>
      <c r="F425">
        <f t="shared" si="6"/>
        <v>0.51518833535844466</v>
      </c>
    </row>
    <row r="426" spans="1:6" ht="112" x14ac:dyDescent="0.2">
      <c r="A426" s="4" t="s">
        <v>3742</v>
      </c>
      <c r="B426">
        <v>52.720106369886757</v>
      </c>
      <c r="C426" s="7">
        <v>0.51640340218712033</v>
      </c>
      <c r="E426">
        <v>52.720106369886757</v>
      </c>
      <c r="F426">
        <f t="shared" si="6"/>
        <v>0.51640340218712033</v>
      </c>
    </row>
    <row r="427" spans="1:6" ht="96" x14ac:dyDescent="0.2">
      <c r="A427" s="4" t="s">
        <v>3630</v>
      </c>
      <c r="B427">
        <v>52.760643861303855</v>
      </c>
      <c r="C427" s="7">
        <v>0.51761846901579589</v>
      </c>
      <c r="E427">
        <v>52.760643861303855</v>
      </c>
      <c r="F427">
        <f t="shared" si="6"/>
        <v>0.51761846901579589</v>
      </c>
    </row>
    <row r="428" spans="1:6" ht="112" x14ac:dyDescent="0.2">
      <c r="A428" s="4" t="s">
        <v>3769</v>
      </c>
      <c r="B428">
        <v>52.775145668843464</v>
      </c>
      <c r="C428" s="7">
        <v>0.51883353584447145</v>
      </c>
      <c r="E428">
        <v>52.775145668843464</v>
      </c>
      <c r="F428">
        <f t="shared" si="6"/>
        <v>0.51883353584447145</v>
      </c>
    </row>
    <row r="429" spans="1:6" ht="112" x14ac:dyDescent="0.2">
      <c r="A429" s="4" t="s">
        <v>3580</v>
      </c>
      <c r="B429">
        <v>52.889746219587913</v>
      </c>
      <c r="C429" s="7">
        <v>0.52004860267314701</v>
      </c>
      <c r="E429">
        <v>52.889746219587913</v>
      </c>
      <c r="F429">
        <f t="shared" si="6"/>
        <v>0.52004860267314701</v>
      </c>
    </row>
    <row r="430" spans="1:6" ht="112" x14ac:dyDescent="0.2">
      <c r="A430" s="4" t="s">
        <v>3389</v>
      </c>
      <c r="B430">
        <v>52.998558963005522</v>
      </c>
      <c r="C430" s="7">
        <v>0.52126366950182257</v>
      </c>
      <c r="E430">
        <v>52.998558963005522</v>
      </c>
      <c r="F430">
        <f t="shared" si="6"/>
        <v>0.52126366950182257</v>
      </c>
    </row>
    <row r="431" spans="1:6" ht="112" x14ac:dyDescent="0.2">
      <c r="A431" s="4" t="s">
        <v>3553</v>
      </c>
      <c r="B431">
        <v>53.053979940704153</v>
      </c>
      <c r="C431" s="7">
        <v>0.52247873633049813</v>
      </c>
      <c r="E431">
        <v>53.053979940704153</v>
      </c>
      <c r="F431">
        <f t="shared" si="6"/>
        <v>0.52247873633049813</v>
      </c>
    </row>
    <row r="432" spans="1:6" ht="112" x14ac:dyDescent="0.2">
      <c r="A432" s="4" t="s">
        <v>3122</v>
      </c>
      <c r="B432">
        <v>53.097864927997755</v>
      </c>
      <c r="C432" s="7">
        <v>0.5236938031591738</v>
      </c>
      <c r="E432">
        <v>53.097864927997755</v>
      </c>
      <c r="F432">
        <f t="shared" si="6"/>
        <v>0.5236938031591738</v>
      </c>
    </row>
    <row r="433" spans="1:6" ht="112" x14ac:dyDescent="0.2">
      <c r="A433" s="4" t="s">
        <v>3258</v>
      </c>
      <c r="B433">
        <v>53.109809762454574</v>
      </c>
      <c r="C433" s="7">
        <v>0.52490886998784936</v>
      </c>
      <c r="E433">
        <v>53.109809762454574</v>
      </c>
      <c r="F433">
        <f t="shared" si="6"/>
        <v>0.52490886998784936</v>
      </c>
    </row>
    <row r="434" spans="1:6" ht="112" x14ac:dyDescent="0.2">
      <c r="A434" s="4" t="s">
        <v>3466</v>
      </c>
      <c r="B434">
        <v>53.189609822816422</v>
      </c>
      <c r="C434" s="7">
        <v>0.52612393681652492</v>
      </c>
      <c r="E434">
        <v>53.189609822816422</v>
      </c>
      <c r="F434">
        <f t="shared" si="6"/>
        <v>0.52612393681652492</v>
      </c>
    </row>
    <row r="435" spans="1:6" ht="112" x14ac:dyDescent="0.2">
      <c r="A435" s="4" t="s">
        <v>3383</v>
      </c>
      <c r="B435">
        <v>53.320623381368847</v>
      </c>
      <c r="C435" s="7">
        <v>0.52733900364520048</v>
      </c>
      <c r="E435">
        <v>53.320623381368847</v>
      </c>
      <c r="F435">
        <f t="shared" si="6"/>
        <v>0.52733900364520048</v>
      </c>
    </row>
    <row r="436" spans="1:6" ht="112" x14ac:dyDescent="0.2">
      <c r="A436" s="4" t="s">
        <v>3437</v>
      </c>
      <c r="B436">
        <v>53.479980715036739</v>
      </c>
      <c r="C436" s="7">
        <v>0.52855407047387604</v>
      </c>
      <c r="E436">
        <v>53.479980715036739</v>
      </c>
      <c r="F436">
        <f t="shared" si="6"/>
        <v>0.52855407047387604</v>
      </c>
    </row>
    <row r="437" spans="1:6" ht="128" x14ac:dyDescent="0.2">
      <c r="A437" s="4" t="s">
        <v>3246</v>
      </c>
      <c r="B437">
        <v>53.490122099698596</v>
      </c>
      <c r="C437" s="7">
        <v>0.5297691373025516</v>
      </c>
      <c r="E437">
        <v>53.490122099698596</v>
      </c>
      <c r="F437">
        <f t="shared" si="6"/>
        <v>0.5297691373025516</v>
      </c>
    </row>
    <row r="438" spans="1:6" ht="112" x14ac:dyDescent="0.2">
      <c r="A438" s="4" t="s">
        <v>3140</v>
      </c>
      <c r="B438">
        <v>53.552153802840429</v>
      </c>
      <c r="C438" s="7">
        <v>0.53098420413122727</v>
      </c>
      <c r="E438">
        <v>53.552153802840429</v>
      </c>
      <c r="F438">
        <f t="shared" si="6"/>
        <v>0.53098420413122727</v>
      </c>
    </row>
    <row r="439" spans="1:6" ht="112" x14ac:dyDescent="0.2">
      <c r="A439" s="4" t="s">
        <v>3641</v>
      </c>
      <c r="B439">
        <v>53.557206270766329</v>
      </c>
      <c r="C439" s="7">
        <v>0.53219927095990283</v>
      </c>
      <c r="E439">
        <v>53.557206270766329</v>
      </c>
      <c r="F439">
        <f t="shared" si="6"/>
        <v>0.53219927095990283</v>
      </c>
    </row>
    <row r="440" spans="1:6" ht="112" x14ac:dyDescent="0.2">
      <c r="A440" s="4" t="s">
        <v>3782</v>
      </c>
      <c r="B440">
        <v>53.560085588560888</v>
      </c>
      <c r="C440" s="7">
        <v>0.53341433778857839</v>
      </c>
      <c r="E440">
        <v>53.560085588560888</v>
      </c>
      <c r="F440">
        <f t="shared" si="6"/>
        <v>0.53341433778857839</v>
      </c>
    </row>
    <row r="441" spans="1:6" ht="112" x14ac:dyDescent="0.2">
      <c r="A441" s="4" t="s">
        <v>3220</v>
      </c>
      <c r="B441">
        <v>53.630636930168421</v>
      </c>
      <c r="C441" s="7">
        <v>0.53462940461725394</v>
      </c>
      <c r="E441">
        <v>53.630636930168421</v>
      </c>
      <c r="F441">
        <f t="shared" si="6"/>
        <v>0.53462940461725394</v>
      </c>
    </row>
    <row r="442" spans="1:6" ht="112" x14ac:dyDescent="0.2">
      <c r="A442" s="4" t="s">
        <v>3673</v>
      </c>
      <c r="B442">
        <v>53.675967932401335</v>
      </c>
      <c r="C442" s="7">
        <v>0.5358444714459295</v>
      </c>
      <c r="E442">
        <v>53.675967932401335</v>
      </c>
      <c r="F442">
        <f t="shared" si="6"/>
        <v>0.5358444714459295</v>
      </c>
    </row>
    <row r="443" spans="1:6" ht="112" x14ac:dyDescent="0.2">
      <c r="A443" s="4" t="s">
        <v>3585</v>
      </c>
      <c r="B443">
        <v>53.693102961413956</v>
      </c>
      <c r="C443" s="7">
        <v>0.53705953827460506</v>
      </c>
      <c r="E443">
        <v>53.693102961413956</v>
      </c>
      <c r="F443">
        <f t="shared" si="6"/>
        <v>0.53705953827460506</v>
      </c>
    </row>
    <row r="444" spans="1:6" ht="112" x14ac:dyDescent="0.2">
      <c r="A444" s="4" t="s">
        <v>3375</v>
      </c>
      <c r="B444">
        <v>53.783124999999998</v>
      </c>
      <c r="C444" s="7">
        <v>0.53827460510328073</v>
      </c>
      <c r="E444">
        <v>53.783124999999998</v>
      </c>
      <c r="F444">
        <f t="shared" si="6"/>
        <v>0.53827460510328073</v>
      </c>
    </row>
    <row r="445" spans="1:6" ht="112" x14ac:dyDescent="0.2">
      <c r="A445" s="4" t="s">
        <v>3706</v>
      </c>
      <c r="B445">
        <v>53.783468032930799</v>
      </c>
      <c r="C445" s="7">
        <v>0.53948967193195629</v>
      </c>
      <c r="E445">
        <v>53.783468032930799</v>
      </c>
      <c r="F445">
        <f t="shared" si="6"/>
        <v>0.53948967193195629</v>
      </c>
    </row>
    <row r="446" spans="1:6" ht="112" x14ac:dyDescent="0.2">
      <c r="A446" s="4" t="s">
        <v>3779</v>
      </c>
      <c r="B446">
        <v>53.885684006892667</v>
      </c>
      <c r="C446" s="7">
        <v>0.54070473876063185</v>
      </c>
      <c r="E446">
        <v>53.885684006892667</v>
      </c>
      <c r="F446">
        <f t="shared" si="6"/>
        <v>0.54070473876063185</v>
      </c>
    </row>
    <row r="447" spans="1:6" ht="112" x14ac:dyDescent="0.2">
      <c r="A447" s="4" t="s">
        <v>3754</v>
      </c>
      <c r="B447">
        <v>53.946556244306784</v>
      </c>
      <c r="C447" s="7">
        <v>0.54191980558930741</v>
      </c>
      <c r="E447">
        <v>53.946556244306784</v>
      </c>
      <c r="F447">
        <f t="shared" si="6"/>
        <v>0.54191980558930741</v>
      </c>
    </row>
    <row r="448" spans="1:6" ht="112" x14ac:dyDescent="0.2">
      <c r="A448" s="4" t="s">
        <v>3236</v>
      </c>
      <c r="B448">
        <v>53.982818021886914</v>
      </c>
      <c r="C448" s="7">
        <v>0.54313487241798297</v>
      </c>
      <c r="E448">
        <v>53.982818021886914</v>
      </c>
      <c r="F448">
        <f t="shared" si="6"/>
        <v>0.54313487241798297</v>
      </c>
    </row>
    <row r="449" spans="1:6" ht="112" x14ac:dyDescent="0.2">
      <c r="A449" s="4" t="s">
        <v>3757</v>
      </c>
      <c r="B449">
        <v>54.210666666666661</v>
      </c>
      <c r="C449" s="7">
        <v>0.54434993924665853</v>
      </c>
      <c r="E449">
        <v>54.210666666666661</v>
      </c>
      <c r="F449">
        <f t="shared" si="6"/>
        <v>0.54434993924665853</v>
      </c>
    </row>
    <row r="450" spans="1:6" ht="112" x14ac:dyDescent="0.2">
      <c r="A450" s="4" t="s">
        <v>3050</v>
      </c>
      <c r="B450">
        <v>54.252973928483819</v>
      </c>
      <c r="C450" s="7">
        <v>0.54556500607533409</v>
      </c>
      <c r="E450">
        <v>54.252973928483819</v>
      </c>
      <c r="F450">
        <f t="shared" si="6"/>
        <v>0.54556500607533409</v>
      </c>
    </row>
    <row r="451" spans="1:6" ht="112" x14ac:dyDescent="0.2">
      <c r="A451" s="4" t="s">
        <v>3708</v>
      </c>
      <c r="B451">
        <v>54.355586578088385</v>
      </c>
      <c r="C451" s="7">
        <v>0.54678007290400976</v>
      </c>
      <c r="E451">
        <v>54.355586578088385</v>
      </c>
      <c r="F451">
        <f t="shared" ref="F451:F514" si="7">_xlfn.RANK.EQ(E451,$E$2:$E$824,1)/COUNT($E$2:$E$824)</f>
        <v>0.54678007290400976</v>
      </c>
    </row>
    <row r="452" spans="1:6" ht="112" x14ac:dyDescent="0.2">
      <c r="A452" s="4" t="s">
        <v>3740</v>
      </c>
      <c r="B452">
        <v>54.359722816173033</v>
      </c>
      <c r="C452" s="7">
        <v>0.54799513973268532</v>
      </c>
      <c r="E452">
        <v>54.359722816173033</v>
      </c>
      <c r="F452">
        <f t="shared" si="7"/>
        <v>0.54799513973268532</v>
      </c>
    </row>
    <row r="453" spans="1:6" ht="112" x14ac:dyDescent="0.2">
      <c r="A453" s="4" t="s">
        <v>3635</v>
      </c>
      <c r="B453">
        <v>54.387462248408539</v>
      </c>
      <c r="C453" s="7">
        <v>0.54921020656136088</v>
      </c>
      <c r="E453">
        <v>54.387462248408539</v>
      </c>
      <c r="F453">
        <f t="shared" si="7"/>
        <v>0.54921020656136088</v>
      </c>
    </row>
    <row r="454" spans="1:6" ht="112" x14ac:dyDescent="0.2">
      <c r="A454" s="4" t="s">
        <v>3489</v>
      </c>
      <c r="B454">
        <v>54.433105395181727</v>
      </c>
      <c r="C454" s="7">
        <v>0.55042527339003644</v>
      </c>
      <c r="E454">
        <v>54.433105395181727</v>
      </c>
      <c r="F454">
        <f t="shared" si="7"/>
        <v>0.55042527339003644</v>
      </c>
    </row>
    <row r="455" spans="1:6" ht="96" x14ac:dyDescent="0.2">
      <c r="A455" s="4" t="s">
        <v>3812</v>
      </c>
      <c r="B455">
        <v>54.490850611477143</v>
      </c>
      <c r="C455" s="7">
        <v>0.551640340218712</v>
      </c>
      <c r="E455">
        <v>54.490850611477143</v>
      </c>
      <c r="F455">
        <f t="shared" si="7"/>
        <v>0.551640340218712</v>
      </c>
    </row>
    <row r="456" spans="1:6" ht="112" x14ac:dyDescent="0.2">
      <c r="A456" s="4" t="s">
        <v>3154</v>
      </c>
      <c r="B456">
        <v>54.526198193049872</v>
      </c>
      <c r="C456" s="7">
        <v>0.55285540704738756</v>
      </c>
      <c r="E456">
        <v>54.526198193049872</v>
      </c>
      <c r="F456">
        <f t="shared" si="7"/>
        <v>0.55285540704738756</v>
      </c>
    </row>
    <row r="457" spans="1:6" ht="112" x14ac:dyDescent="0.2">
      <c r="A457" s="4" t="s">
        <v>3773</v>
      </c>
      <c r="B457">
        <v>54.746633531010133</v>
      </c>
      <c r="C457" s="7">
        <v>0.55407047387606323</v>
      </c>
      <c r="E457">
        <v>54.746633531010133</v>
      </c>
      <c r="F457">
        <f t="shared" si="7"/>
        <v>0.55407047387606323</v>
      </c>
    </row>
    <row r="458" spans="1:6" ht="112" x14ac:dyDescent="0.2">
      <c r="A458" s="4" t="s">
        <v>3486</v>
      </c>
      <c r="B458">
        <v>54.812997400387353</v>
      </c>
      <c r="C458" s="7">
        <v>0.55528554070473879</v>
      </c>
      <c r="E458">
        <v>54.812997400387353</v>
      </c>
      <c r="F458">
        <f t="shared" si="7"/>
        <v>0.55528554070473879</v>
      </c>
    </row>
    <row r="459" spans="1:6" ht="112" x14ac:dyDescent="0.2">
      <c r="A459" s="4" t="s">
        <v>3284</v>
      </c>
      <c r="B459">
        <v>54.891245315940886</v>
      </c>
      <c r="C459" s="7">
        <v>0.55650060753341435</v>
      </c>
      <c r="E459">
        <v>54.891245315940886</v>
      </c>
      <c r="F459">
        <f t="shared" si="7"/>
        <v>0.55650060753341435</v>
      </c>
    </row>
    <row r="460" spans="1:6" ht="96" x14ac:dyDescent="0.2">
      <c r="A460" s="4" t="s">
        <v>3816</v>
      </c>
      <c r="B460">
        <v>54.922551870926377</v>
      </c>
      <c r="C460" s="7">
        <v>0.55771567436208991</v>
      </c>
      <c r="E460">
        <v>54.922551870926377</v>
      </c>
      <c r="F460">
        <f t="shared" si="7"/>
        <v>0.55771567436208991</v>
      </c>
    </row>
    <row r="461" spans="1:6" ht="112" x14ac:dyDescent="0.2">
      <c r="A461" s="4" t="s">
        <v>3497</v>
      </c>
      <c r="B461">
        <v>54.945701227059907</v>
      </c>
      <c r="C461" s="7">
        <v>0.55893074119076547</v>
      </c>
      <c r="E461">
        <v>54.945701227059907</v>
      </c>
      <c r="F461">
        <f t="shared" si="7"/>
        <v>0.55893074119076547</v>
      </c>
    </row>
    <row r="462" spans="1:6" ht="112" x14ac:dyDescent="0.2">
      <c r="A462" s="4" t="s">
        <v>3775</v>
      </c>
      <c r="B462">
        <v>54.965425090599766</v>
      </c>
      <c r="C462" s="7">
        <v>0.56014580801944103</v>
      </c>
      <c r="E462">
        <v>54.965425090599766</v>
      </c>
      <c r="F462">
        <f t="shared" si="7"/>
        <v>0.56014580801944103</v>
      </c>
    </row>
    <row r="463" spans="1:6" ht="112" x14ac:dyDescent="0.2">
      <c r="A463" s="4" t="s">
        <v>3208</v>
      </c>
      <c r="B463">
        <v>54.969844533315509</v>
      </c>
      <c r="C463" s="7">
        <v>0.5613608748481167</v>
      </c>
      <c r="E463">
        <v>54.969844533315509</v>
      </c>
      <c r="F463">
        <f t="shared" si="7"/>
        <v>0.5613608748481167</v>
      </c>
    </row>
    <row r="464" spans="1:6" ht="112" x14ac:dyDescent="0.2">
      <c r="A464" s="4" t="s">
        <v>3762</v>
      </c>
      <c r="B464">
        <v>55.007056236896162</v>
      </c>
      <c r="C464" s="7">
        <v>0.56257594167679226</v>
      </c>
      <c r="E464">
        <v>55.007056236896162</v>
      </c>
      <c r="F464">
        <f t="shared" si="7"/>
        <v>0.56257594167679226</v>
      </c>
    </row>
    <row r="465" spans="1:6" ht="128" x14ac:dyDescent="0.2">
      <c r="A465" s="4" t="s">
        <v>3796</v>
      </c>
      <c r="B465">
        <v>55.040413473961252</v>
      </c>
      <c r="C465" s="7">
        <v>0.56379100850546782</v>
      </c>
      <c r="E465">
        <v>55.040413473961252</v>
      </c>
      <c r="F465">
        <f t="shared" si="7"/>
        <v>0.56379100850546782</v>
      </c>
    </row>
    <row r="466" spans="1:6" ht="112" x14ac:dyDescent="0.2">
      <c r="A466" s="4" t="s">
        <v>3797</v>
      </c>
      <c r="B466">
        <v>55.087556570711122</v>
      </c>
      <c r="C466" s="7">
        <v>0.56500607533414338</v>
      </c>
      <c r="E466">
        <v>55.087556570711122</v>
      </c>
      <c r="F466">
        <f t="shared" si="7"/>
        <v>0.56500607533414338</v>
      </c>
    </row>
    <row r="467" spans="1:6" ht="112" x14ac:dyDescent="0.2">
      <c r="A467" s="4" t="s">
        <v>3686</v>
      </c>
      <c r="B467">
        <v>55.102088017418275</v>
      </c>
      <c r="C467" s="7">
        <v>0.56622114216281894</v>
      </c>
      <c r="E467">
        <v>55.102088017418275</v>
      </c>
      <c r="F467">
        <f t="shared" si="7"/>
        <v>0.56622114216281894</v>
      </c>
    </row>
    <row r="468" spans="1:6" ht="112" x14ac:dyDescent="0.2">
      <c r="A468" s="4" t="s">
        <v>3572</v>
      </c>
      <c r="B468">
        <v>55.176893801468609</v>
      </c>
      <c r="C468" s="7">
        <v>0.5674362089914945</v>
      </c>
      <c r="E468">
        <v>55.176893801468609</v>
      </c>
      <c r="F468">
        <f t="shared" si="7"/>
        <v>0.5674362089914945</v>
      </c>
    </row>
    <row r="469" spans="1:6" ht="112" x14ac:dyDescent="0.2">
      <c r="A469" s="4" t="s">
        <v>3747</v>
      </c>
      <c r="B469">
        <v>55.205715880584769</v>
      </c>
      <c r="C469" s="7">
        <v>0.56865127582017005</v>
      </c>
      <c r="E469">
        <v>55.205715880584769</v>
      </c>
      <c r="F469">
        <f t="shared" si="7"/>
        <v>0.56865127582017005</v>
      </c>
    </row>
    <row r="470" spans="1:6" ht="112" x14ac:dyDescent="0.2">
      <c r="A470" s="4" t="s">
        <v>3286</v>
      </c>
      <c r="B470">
        <v>55.41536183741848</v>
      </c>
      <c r="C470" s="7">
        <v>0.56986634264884573</v>
      </c>
      <c r="E470">
        <v>55.41536183741848</v>
      </c>
      <c r="F470">
        <f t="shared" si="7"/>
        <v>0.56986634264884573</v>
      </c>
    </row>
    <row r="471" spans="1:6" ht="112" x14ac:dyDescent="0.2">
      <c r="A471" s="4" t="s">
        <v>3076</v>
      </c>
      <c r="B471">
        <v>55.440890162496935</v>
      </c>
      <c r="C471" s="7">
        <v>0.57108140947752128</v>
      </c>
      <c r="E471">
        <v>55.440890162496935</v>
      </c>
      <c r="F471">
        <f t="shared" si="7"/>
        <v>0.57108140947752128</v>
      </c>
    </row>
    <row r="472" spans="1:6" ht="112" x14ac:dyDescent="0.2">
      <c r="A472" s="4" t="s">
        <v>3792</v>
      </c>
      <c r="B472">
        <v>55.462810122339334</v>
      </c>
      <c r="C472" s="7">
        <v>0.57229647630619684</v>
      </c>
      <c r="E472">
        <v>55.462810122339334</v>
      </c>
      <c r="F472">
        <f t="shared" si="7"/>
        <v>0.57229647630619684</v>
      </c>
    </row>
    <row r="473" spans="1:6" ht="112" x14ac:dyDescent="0.2">
      <c r="A473" s="4" t="s">
        <v>3222</v>
      </c>
      <c r="B473">
        <v>55.627056936121342</v>
      </c>
      <c r="C473" s="7">
        <v>0.5735115431348724</v>
      </c>
      <c r="E473">
        <v>55.627056936121342</v>
      </c>
      <c r="F473">
        <f t="shared" si="7"/>
        <v>0.5735115431348724</v>
      </c>
    </row>
    <row r="474" spans="1:6" ht="96" x14ac:dyDescent="0.2">
      <c r="A474" s="4" t="s">
        <v>3813</v>
      </c>
      <c r="B474">
        <v>55.740750775081032</v>
      </c>
      <c r="C474" s="7">
        <v>0.57472660996354796</v>
      </c>
      <c r="E474">
        <v>55.740750775081032</v>
      </c>
      <c r="F474">
        <f t="shared" si="7"/>
        <v>0.57472660996354796</v>
      </c>
    </row>
    <row r="475" spans="1:6" ht="112" x14ac:dyDescent="0.2">
      <c r="A475" s="4" t="s">
        <v>3040</v>
      </c>
      <c r="B475">
        <v>55.805163028967634</v>
      </c>
      <c r="C475" s="7">
        <v>0.57594167679222352</v>
      </c>
      <c r="E475">
        <v>55.805163028967634</v>
      </c>
      <c r="F475">
        <f t="shared" si="7"/>
        <v>0.57594167679222352</v>
      </c>
    </row>
    <row r="476" spans="1:6" ht="112" x14ac:dyDescent="0.2">
      <c r="A476" s="4" t="s">
        <v>3160</v>
      </c>
      <c r="B476">
        <v>55.926322460746533</v>
      </c>
      <c r="C476" s="7">
        <v>0.57715674362089919</v>
      </c>
      <c r="E476">
        <v>55.926322460746533</v>
      </c>
      <c r="F476">
        <f t="shared" si="7"/>
        <v>0.57715674362089919</v>
      </c>
    </row>
    <row r="477" spans="1:6" ht="112" x14ac:dyDescent="0.2">
      <c r="A477" s="4" t="s">
        <v>3324</v>
      </c>
      <c r="B477">
        <v>55.940247506541454</v>
      </c>
      <c r="C477" s="7">
        <v>0.57837181044957475</v>
      </c>
      <c r="E477">
        <v>55.940247506541454</v>
      </c>
      <c r="F477">
        <f t="shared" si="7"/>
        <v>0.57837181044957475</v>
      </c>
    </row>
    <row r="478" spans="1:6" ht="112" x14ac:dyDescent="0.2">
      <c r="A478" s="4" t="s">
        <v>3551</v>
      </c>
      <c r="B478">
        <v>55.9551939395581</v>
      </c>
      <c r="C478" s="7">
        <v>0.57958687727825031</v>
      </c>
      <c r="E478">
        <v>55.9551939395581</v>
      </c>
      <c r="F478">
        <f t="shared" si="7"/>
        <v>0.57958687727825031</v>
      </c>
    </row>
    <row r="479" spans="1:6" ht="112" x14ac:dyDescent="0.2">
      <c r="A479" s="4" t="s">
        <v>3270</v>
      </c>
      <c r="B479">
        <v>56.022025080477476</v>
      </c>
      <c r="C479" s="7">
        <v>0.58080194410692587</v>
      </c>
      <c r="E479">
        <v>56.022025080477476</v>
      </c>
      <c r="F479">
        <f t="shared" si="7"/>
        <v>0.58080194410692587</v>
      </c>
    </row>
    <row r="480" spans="1:6" ht="112" x14ac:dyDescent="0.2">
      <c r="A480" s="4" t="s">
        <v>3232</v>
      </c>
      <c r="B480">
        <v>56.054429411098049</v>
      </c>
      <c r="C480" s="7">
        <v>0.58201701093560143</v>
      </c>
      <c r="E480">
        <v>56.054429411098049</v>
      </c>
      <c r="F480">
        <f t="shared" si="7"/>
        <v>0.58201701093560143</v>
      </c>
    </row>
    <row r="481" spans="1:6" ht="112" x14ac:dyDescent="0.2">
      <c r="A481" s="4" t="s">
        <v>3240</v>
      </c>
      <c r="B481">
        <v>56.090593454465015</v>
      </c>
      <c r="C481" s="7">
        <v>0.58323207776427699</v>
      </c>
      <c r="E481">
        <v>56.090593454465015</v>
      </c>
      <c r="F481">
        <f t="shared" si="7"/>
        <v>0.58323207776427699</v>
      </c>
    </row>
    <row r="482" spans="1:6" ht="112" x14ac:dyDescent="0.2">
      <c r="A482" s="4" t="s">
        <v>3806</v>
      </c>
      <c r="B482">
        <v>56.25</v>
      </c>
      <c r="C482" s="7">
        <v>0.58444714459295266</v>
      </c>
      <c r="E482">
        <v>56.25</v>
      </c>
      <c r="F482">
        <f t="shared" si="7"/>
        <v>0.58444714459295266</v>
      </c>
    </row>
    <row r="483" spans="1:6" ht="112" x14ac:dyDescent="0.2">
      <c r="A483" s="4" t="s">
        <v>3535</v>
      </c>
      <c r="B483">
        <v>56.273110118366674</v>
      </c>
      <c r="C483" s="7">
        <v>0.58566221142162822</v>
      </c>
      <c r="E483">
        <v>56.273110118366674</v>
      </c>
      <c r="F483">
        <f t="shared" si="7"/>
        <v>0.58566221142162822</v>
      </c>
    </row>
    <row r="484" spans="1:6" ht="96" x14ac:dyDescent="0.2">
      <c r="A484" s="4" t="s">
        <v>3785</v>
      </c>
      <c r="B484">
        <v>56.44712485087377</v>
      </c>
      <c r="C484" s="7">
        <v>0.58687727825030378</v>
      </c>
      <c r="E484">
        <v>56.44712485087377</v>
      </c>
      <c r="F484">
        <f t="shared" si="7"/>
        <v>0.58687727825030378</v>
      </c>
    </row>
    <row r="485" spans="1:6" ht="112" x14ac:dyDescent="0.2">
      <c r="A485" s="4" t="s">
        <v>3403</v>
      </c>
      <c r="B485">
        <v>56.498564780568998</v>
      </c>
      <c r="C485" s="7">
        <v>0.58809234507897934</v>
      </c>
      <c r="E485">
        <v>56.498564780568998</v>
      </c>
      <c r="F485">
        <f t="shared" si="7"/>
        <v>0.58809234507897934</v>
      </c>
    </row>
    <row r="486" spans="1:6" ht="112" x14ac:dyDescent="0.2">
      <c r="A486" s="4" t="s">
        <v>3671</v>
      </c>
      <c r="B486">
        <v>56.515806641899886</v>
      </c>
      <c r="C486" s="7">
        <v>0.5893074119076549</v>
      </c>
      <c r="E486">
        <v>56.515806641899886</v>
      </c>
      <c r="F486">
        <f t="shared" si="7"/>
        <v>0.5893074119076549</v>
      </c>
    </row>
    <row r="487" spans="1:6" ht="112" x14ac:dyDescent="0.2">
      <c r="A487" s="4" t="s">
        <v>3739</v>
      </c>
      <c r="B487">
        <v>56.628941780650123</v>
      </c>
      <c r="C487" s="7">
        <v>0.59052247873633046</v>
      </c>
      <c r="E487">
        <v>56.628941780650123</v>
      </c>
      <c r="F487">
        <f t="shared" si="7"/>
        <v>0.59052247873633046</v>
      </c>
    </row>
    <row r="488" spans="1:6" ht="112" x14ac:dyDescent="0.2">
      <c r="A488" s="4" t="s">
        <v>3480</v>
      </c>
      <c r="B488">
        <v>56.633887463171526</v>
      </c>
      <c r="C488" s="7">
        <v>0.59173754556500613</v>
      </c>
      <c r="E488">
        <v>56.633887463171526</v>
      </c>
      <c r="F488">
        <f t="shared" si="7"/>
        <v>0.59173754556500613</v>
      </c>
    </row>
    <row r="489" spans="1:6" ht="112" x14ac:dyDescent="0.2">
      <c r="A489" s="4" t="s">
        <v>3186</v>
      </c>
      <c r="B489">
        <v>56.673298343206028</v>
      </c>
      <c r="C489" s="7">
        <v>0.59295261239368169</v>
      </c>
      <c r="E489">
        <v>56.673298343206028</v>
      </c>
      <c r="F489">
        <f t="shared" si="7"/>
        <v>0.59295261239368169</v>
      </c>
    </row>
    <row r="490" spans="1:6" ht="96" x14ac:dyDescent="0.2">
      <c r="A490" s="4" t="s">
        <v>3819</v>
      </c>
      <c r="B490">
        <v>56.725425343355646</v>
      </c>
      <c r="C490" s="7">
        <v>0.59416767922235725</v>
      </c>
      <c r="E490">
        <v>56.725425343355646</v>
      </c>
      <c r="F490">
        <f t="shared" si="7"/>
        <v>0.59416767922235725</v>
      </c>
    </row>
    <row r="491" spans="1:6" ht="112" x14ac:dyDescent="0.2">
      <c r="A491" s="4" t="s">
        <v>3096</v>
      </c>
      <c r="B491">
        <v>56.772237181015207</v>
      </c>
      <c r="C491" s="7">
        <v>0.59538274605103281</v>
      </c>
      <c r="E491">
        <v>56.772237181015207</v>
      </c>
      <c r="F491">
        <f t="shared" si="7"/>
        <v>0.59538274605103281</v>
      </c>
    </row>
    <row r="492" spans="1:6" ht="112" x14ac:dyDescent="0.2">
      <c r="A492" s="4" t="s">
        <v>3052</v>
      </c>
      <c r="B492">
        <v>57.046566241974638</v>
      </c>
      <c r="C492" s="7">
        <v>0.59659781287970837</v>
      </c>
      <c r="E492">
        <v>57.046566241974638</v>
      </c>
      <c r="F492">
        <f t="shared" si="7"/>
        <v>0.59659781287970837</v>
      </c>
    </row>
    <row r="493" spans="1:6" ht="112" x14ac:dyDescent="0.2">
      <c r="A493" s="4" t="s">
        <v>3112</v>
      </c>
      <c r="B493">
        <v>57.150177694423682</v>
      </c>
      <c r="C493" s="7">
        <v>0.59781287970838393</v>
      </c>
      <c r="E493">
        <v>57.150177694423682</v>
      </c>
      <c r="F493">
        <f t="shared" si="7"/>
        <v>0.59781287970838393</v>
      </c>
    </row>
    <row r="494" spans="1:6" ht="112" x14ac:dyDescent="0.2">
      <c r="A494" s="4" t="s">
        <v>3642</v>
      </c>
      <c r="B494">
        <v>57.154056820045689</v>
      </c>
      <c r="C494" s="7">
        <v>0.59902794653705949</v>
      </c>
      <c r="E494">
        <v>57.154056820045689</v>
      </c>
      <c r="F494">
        <f t="shared" si="7"/>
        <v>0.59902794653705949</v>
      </c>
    </row>
    <row r="495" spans="1:6" ht="96" x14ac:dyDescent="0.2">
      <c r="A495" s="4" t="s">
        <v>3822</v>
      </c>
      <c r="B495">
        <v>57.334591194591951</v>
      </c>
      <c r="C495" s="7">
        <v>0.60024301336573516</v>
      </c>
      <c r="E495">
        <v>57.334591194591951</v>
      </c>
      <c r="F495">
        <f t="shared" si="7"/>
        <v>0.60024301336573516</v>
      </c>
    </row>
    <row r="496" spans="1:6" ht="112" x14ac:dyDescent="0.2">
      <c r="A496" s="4" t="s">
        <v>3262</v>
      </c>
      <c r="B496">
        <v>57.339333333333336</v>
      </c>
      <c r="C496" s="7">
        <v>0.60145808019441072</v>
      </c>
      <c r="E496">
        <v>57.339333333333336</v>
      </c>
      <c r="F496">
        <f t="shared" si="7"/>
        <v>0.60145808019441072</v>
      </c>
    </row>
    <row r="497" spans="1:6" ht="112" x14ac:dyDescent="0.2">
      <c r="A497" s="4" t="s">
        <v>3527</v>
      </c>
      <c r="B497">
        <v>57.412666666666667</v>
      </c>
      <c r="C497" s="7">
        <v>0.60267314702308628</v>
      </c>
      <c r="E497">
        <v>57.412666666666667</v>
      </c>
      <c r="F497">
        <f t="shared" si="7"/>
        <v>0.60267314702308628</v>
      </c>
    </row>
    <row r="498" spans="1:6" ht="112" x14ac:dyDescent="0.2">
      <c r="A498" s="4" t="s">
        <v>3359</v>
      </c>
      <c r="B498">
        <v>57.414747903850845</v>
      </c>
      <c r="C498" s="7">
        <v>0.60388821385176183</v>
      </c>
      <c r="E498">
        <v>57.414747903850845</v>
      </c>
      <c r="F498">
        <f t="shared" si="7"/>
        <v>0.60388821385176183</v>
      </c>
    </row>
    <row r="499" spans="1:6" ht="112" x14ac:dyDescent="0.2">
      <c r="A499" s="4" t="s">
        <v>3711</v>
      </c>
      <c r="B499">
        <v>57.419458834002427</v>
      </c>
      <c r="C499" s="7">
        <v>0.60510328068043739</v>
      </c>
      <c r="E499">
        <v>57.419458834002427</v>
      </c>
      <c r="F499">
        <f t="shared" si="7"/>
        <v>0.60510328068043739</v>
      </c>
    </row>
    <row r="500" spans="1:6" ht="112" x14ac:dyDescent="0.2">
      <c r="A500" s="4" t="s">
        <v>3656</v>
      </c>
      <c r="B500">
        <v>57.445967097305278</v>
      </c>
      <c r="C500" s="7">
        <v>0.60631834750911295</v>
      </c>
      <c r="E500">
        <v>57.445967097305278</v>
      </c>
      <c r="F500">
        <f t="shared" si="7"/>
        <v>0.60631834750911295</v>
      </c>
    </row>
    <row r="501" spans="1:6" ht="112" x14ac:dyDescent="0.2">
      <c r="A501" s="4" t="s">
        <v>3415</v>
      </c>
      <c r="B501">
        <v>57.452886289752719</v>
      </c>
      <c r="C501" s="7">
        <v>0.60753341433778862</v>
      </c>
      <c r="E501">
        <v>57.452886289752719</v>
      </c>
      <c r="F501">
        <f t="shared" si="7"/>
        <v>0.60753341433778862</v>
      </c>
    </row>
    <row r="502" spans="1:6" ht="112" x14ac:dyDescent="0.2">
      <c r="A502" s="4" t="s">
        <v>3048</v>
      </c>
      <c r="B502">
        <v>57.495866465261074</v>
      </c>
      <c r="C502" s="7">
        <v>0.60874848116646418</v>
      </c>
      <c r="E502">
        <v>57.495866465261074</v>
      </c>
      <c r="F502">
        <f t="shared" si="7"/>
        <v>0.60874848116646418</v>
      </c>
    </row>
    <row r="503" spans="1:6" ht="112" x14ac:dyDescent="0.2">
      <c r="A503" s="4" t="s">
        <v>3793</v>
      </c>
      <c r="B503">
        <v>57.505550426058193</v>
      </c>
      <c r="C503" s="7">
        <v>0.60996354799513974</v>
      </c>
      <c r="E503">
        <v>57.505550426058193</v>
      </c>
      <c r="F503">
        <f t="shared" si="7"/>
        <v>0.60996354799513974</v>
      </c>
    </row>
    <row r="504" spans="1:6" ht="112" x14ac:dyDescent="0.2">
      <c r="A504" s="4" t="s">
        <v>3377</v>
      </c>
      <c r="B504">
        <v>57.55712066512065</v>
      </c>
      <c r="C504" s="7">
        <v>0.6111786148238153</v>
      </c>
      <c r="E504">
        <v>57.55712066512065</v>
      </c>
      <c r="F504">
        <f t="shared" si="7"/>
        <v>0.6111786148238153</v>
      </c>
    </row>
    <row r="505" spans="1:6" ht="112" x14ac:dyDescent="0.2">
      <c r="A505" s="4" t="s">
        <v>3772</v>
      </c>
      <c r="B505">
        <v>57.558997559026338</v>
      </c>
      <c r="C505" s="7">
        <v>0.61239368165249086</v>
      </c>
      <c r="E505">
        <v>57.558997559026338</v>
      </c>
      <c r="F505">
        <f t="shared" si="7"/>
        <v>0.61239368165249086</v>
      </c>
    </row>
    <row r="506" spans="1:6" ht="112" x14ac:dyDescent="0.2">
      <c r="A506" s="4" t="s">
        <v>3280</v>
      </c>
      <c r="B506">
        <v>57.605899007294354</v>
      </c>
      <c r="C506" s="7">
        <v>0.61360874848116642</v>
      </c>
      <c r="E506">
        <v>57.605899007294354</v>
      </c>
      <c r="F506">
        <f t="shared" si="7"/>
        <v>0.61360874848116642</v>
      </c>
    </row>
    <row r="507" spans="1:6" ht="112" x14ac:dyDescent="0.2">
      <c r="A507" s="4" t="s">
        <v>3677</v>
      </c>
      <c r="B507">
        <v>57.911623185678366</v>
      </c>
      <c r="C507" s="7">
        <v>0.61482381530984209</v>
      </c>
      <c r="E507">
        <v>57.911623185678366</v>
      </c>
      <c r="F507">
        <f t="shared" si="7"/>
        <v>0.61482381530984209</v>
      </c>
    </row>
    <row r="508" spans="1:6" ht="112" x14ac:dyDescent="0.2">
      <c r="A508" s="4" t="s">
        <v>3326</v>
      </c>
      <c r="B508">
        <v>57.948290621595667</v>
      </c>
      <c r="C508" s="7">
        <v>0.61603888213851765</v>
      </c>
      <c r="E508">
        <v>57.948290621595667</v>
      </c>
      <c r="F508">
        <f t="shared" si="7"/>
        <v>0.61603888213851765</v>
      </c>
    </row>
    <row r="509" spans="1:6" ht="112" x14ac:dyDescent="0.2">
      <c r="A509" s="4" t="s">
        <v>3188</v>
      </c>
      <c r="B509">
        <v>57.981449026167752</v>
      </c>
      <c r="C509" s="7">
        <v>0.61725394896719321</v>
      </c>
      <c r="E509">
        <v>57.981449026167752</v>
      </c>
      <c r="F509">
        <f t="shared" si="7"/>
        <v>0.61725394896719321</v>
      </c>
    </row>
    <row r="510" spans="1:6" ht="112" x14ac:dyDescent="0.2">
      <c r="A510" s="4" t="s">
        <v>3575</v>
      </c>
      <c r="B510">
        <v>58.082186239844653</v>
      </c>
      <c r="C510" s="7">
        <v>0.61846901579586877</v>
      </c>
      <c r="E510">
        <v>58.082186239844653</v>
      </c>
      <c r="F510">
        <f t="shared" si="7"/>
        <v>0.61846901579586877</v>
      </c>
    </row>
    <row r="511" spans="1:6" ht="112" x14ac:dyDescent="0.2">
      <c r="A511" s="4" t="s">
        <v>3104</v>
      </c>
      <c r="B511">
        <v>58.095086304577592</v>
      </c>
      <c r="C511" s="7">
        <v>0.61968408262454433</v>
      </c>
      <c r="E511">
        <v>58.095086304577592</v>
      </c>
      <c r="F511">
        <f t="shared" si="7"/>
        <v>0.61968408262454433</v>
      </c>
    </row>
    <row r="512" spans="1:6" ht="112" x14ac:dyDescent="0.2">
      <c r="A512" s="4" t="s">
        <v>3683</v>
      </c>
      <c r="B512">
        <v>58.13559819788636</v>
      </c>
      <c r="C512" s="7">
        <v>0.62089914945321989</v>
      </c>
      <c r="E512">
        <v>58.13559819788636</v>
      </c>
      <c r="F512">
        <f t="shared" si="7"/>
        <v>0.62089914945321989</v>
      </c>
    </row>
    <row r="513" spans="1:6" ht="112" x14ac:dyDescent="0.2">
      <c r="A513" s="4" t="s">
        <v>3781</v>
      </c>
      <c r="B513">
        <v>58.164183304853069</v>
      </c>
      <c r="C513" s="7">
        <v>0.62211421628189545</v>
      </c>
      <c r="E513">
        <v>58.164183304853069</v>
      </c>
      <c r="F513">
        <f t="shared" si="7"/>
        <v>0.62211421628189545</v>
      </c>
    </row>
    <row r="514" spans="1:6" ht="112" x14ac:dyDescent="0.2">
      <c r="A514" s="4" t="s">
        <v>3044</v>
      </c>
      <c r="B514">
        <v>58.445255185943026</v>
      </c>
      <c r="C514" s="7">
        <v>0.62332928311057112</v>
      </c>
      <c r="E514">
        <v>58.445255185943026</v>
      </c>
      <c r="F514">
        <f t="shared" si="7"/>
        <v>0.62332928311057112</v>
      </c>
    </row>
    <row r="515" spans="1:6" ht="112" x14ac:dyDescent="0.2">
      <c r="A515" s="4" t="s">
        <v>3624</v>
      </c>
      <c r="B515">
        <v>58.552871563693863</v>
      </c>
      <c r="C515" s="7">
        <v>0.62454434993924668</v>
      </c>
      <c r="E515">
        <v>58.552871563693863</v>
      </c>
      <c r="F515">
        <f t="shared" ref="F515:F578" si="8">_xlfn.RANK.EQ(E515,$E$2:$E$824,1)/COUNT($E$2:$E$824)</f>
        <v>0.62454434993924668</v>
      </c>
    </row>
    <row r="516" spans="1:6" ht="112" x14ac:dyDescent="0.2">
      <c r="A516" s="4" t="s">
        <v>3148</v>
      </c>
      <c r="B516">
        <v>58.607705180236387</v>
      </c>
      <c r="C516" s="7">
        <v>0.62575941676792224</v>
      </c>
      <c r="E516">
        <v>58.607705180236387</v>
      </c>
      <c r="F516">
        <f t="shared" si="8"/>
        <v>0.62575941676792224</v>
      </c>
    </row>
    <row r="517" spans="1:6" ht="112" x14ac:dyDescent="0.2">
      <c r="A517" s="4" t="s">
        <v>3709</v>
      </c>
      <c r="B517">
        <v>58.614657223640464</v>
      </c>
      <c r="C517" s="7">
        <v>0.6269744835965978</v>
      </c>
      <c r="E517">
        <v>58.614657223640464</v>
      </c>
      <c r="F517">
        <f t="shared" si="8"/>
        <v>0.6269744835965978</v>
      </c>
    </row>
    <row r="518" spans="1:6" ht="112" x14ac:dyDescent="0.2">
      <c r="A518" s="4" t="s">
        <v>3626</v>
      </c>
      <c r="B518">
        <v>58.618155031468589</v>
      </c>
      <c r="C518" s="7">
        <v>0.62818955042527336</v>
      </c>
      <c r="E518">
        <v>58.618155031468589</v>
      </c>
      <c r="F518">
        <f t="shared" si="8"/>
        <v>0.62818955042527336</v>
      </c>
    </row>
    <row r="519" spans="1:6" ht="112" x14ac:dyDescent="0.2">
      <c r="A519" s="4" t="s">
        <v>3345</v>
      </c>
      <c r="B519">
        <v>58.744130306055659</v>
      </c>
      <c r="C519" s="7">
        <v>0.62940461725394892</v>
      </c>
      <c r="E519">
        <v>58.744130306055659</v>
      </c>
      <c r="F519">
        <f t="shared" si="8"/>
        <v>0.62940461725394892</v>
      </c>
    </row>
    <row r="520" spans="1:6" ht="112" x14ac:dyDescent="0.2">
      <c r="A520" s="4" t="s">
        <v>3347</v>
      </c>
      <c r="B520">
        <v>58.764261251139345</v>
      </c>
      <c r="C520" s="7">
        <v>0.63061968408262459</v>
      </c>
      <c r="E520">
        <v>58.764261251139345</v>
      </c>
      <c r="F520">
        <f t="shared" si="8"/>
        <v>0.63061968408262459</v>
      </c>
    </row>
    <row r="521" spans="1:6" ht="112" x14ac:dyDescent="0.2">
      <c r="A521" s="4" t="s">
        <v>3610</v>
      </c>
      <c r="B521">
        <v>58.810626107994167</v>
      </c>
      <c r="C521" s="7">
        <v>0.63183475091130015</v>
      </c>
      <c r="E521">
        <v>58.810626107994167</v>
      </c>
      <c r="F521">
        <f t="shared" si="8"/>
        <v>0.63183475091130015</v>
      </c>
    </row>
    <row r="522" spans="1:6" ht="128" x14ac:dyDescent="0.2">
      <c r="A522" s="4" t="s">
        <v>3387</v>
      </c>
      <c r="B522">
        <v>58.828082527015191</v>
      </c>
      <c r="C522" s="7">
        <v>0.63304981773997571</v>
      </c>
      <c r="E522">
        <v>58.828082527015191</v>
      </c>
      <c r="F522">
        <f t="shared" si="8"/>
        <v>0.63304981773997571</v>
      </c>
    </row>
    <row r="523" spans="1:6" ht="112" x14ac:dyDescent="0.2">
      <c r="A523" s="4" t="s">
        <v>3562</v>
      </c>
      <c r="B523">
        <v>58.853432229954969</v>
      </c>
      <c r="C523" s="7">
        <v>0.63426488456865127</v>
      </c>
      <c r="E523">
        <v>58.853432229954969</v>
      </c>
      <c r="F523">
        <f t="shared" si="8"/>
        <v>0.63426488456865127</v>
      </c>
    </row>
    <row r="524" spans="1:6" ht="112" x14ac:dyDescent="0.2">
      <c r="A524" s="4" t="s">
        <v>3519</v>
      </c>
      <c r="B524">
        <v>59.135240136624624</v>
      </c>
      <c r="C524" s="7">
        <v>0.63547995139732683</v>
      </c>
      <c r="E524">
        <v>59.135240136624624</v>
      </c>
      <c r="F524">
        <f t="shared" si="8"/>
        <v>0.63547995139732683</v>
      </c>
    </row>
    <row r="525" spans="1:6" ht="112" x14ac:dyDescent="0.2">
      <c r="A525" s="4" t="s">
        <v>3780</v>
      </c>
      <c r="B525">
        <v>59.196954072220407</v>
      </c>
      <c r="C525" s="7">
        <v>0.63669501822600238</v>
      </c>
      <c r="E525">
        <v>59.196954072220407</v>
      </c>
      <c r="F525">
        <f t="shared" si="8"/>
        <v>0.63669501822600238</v>
      </c>
    </row>
    <row r="526" spans="1:6" ht="112" x14ac:dyDescent="0.2">
      <c r="A526" s="4" t="s">
        <v>3214</v>
      </c>
      <c r="B526">
        <v>59.245292809502445</v>
      </c>
      <c r="C526" s="7">
        <v>0.63791008505467806</v>
      </c>
      <c r="E526">
        <v>59.245292809502445</v>
      </c>
      <c r="F526">
        <f t="shared" si="8"/>
        <v>0.63791008505467806</v>
      </c>
    </row>
    <row r="527" spans="1:6" ht="112" x14ac:dyDescent="0.2">
      <c r="A527" s="4" t="s">
        <v>3332</v>
      </c>
      <c r="B527">
        <v>59.437683356510838</v>
      </c>
      <c r="C527" s="7">
        <v>0.63912515188335361</v>
      </c>
      <c r="E527">
        <v>59.437683356510838</v>
      </c>
      <c r="F527">
        <f t="shared" si="8"/>
        <v>0.63912515188335361</v>
      </c>
    </row>
    <row r="528" spans="1:6" ht="112" x14ac:dyDescent="0.2">
      <c r="A528" s="4" t="s">
        <v>3700</v>
      </c>
      <c r="B528">
        <v>59.480058704363906</v>
      </c>
      <c r="C528" s="7">
        <v>0.64034021871202917</v>
      </c>
      <c r="E528">
        <v>59.480058704363906</v>
      </c>
      <c r="F528">
        <f t="shared" si="8"/>
        <v>0.64034021871202917</v>
      </c>
    </row>
    <row r="529" spans="1:6" ht="112" x14ac:dyDescent="0.2">
      <c r="A529" s="4" t="s">
        <v>3482</v>
      </c>
      <c r="B529">
        <v>59.59151028314426</v>
      </c>
      <c r="C529" s="7">
        <v>0.64155528554070473</v>
      </c>
      <c r="E529">
        <v>59.59151028314426</v>
      </c>
      <c r="F529">
        <f t="shared" si="8"/>
        <v>0.64155528554070473</v>
      </c>
    </row>
    <row r="530" spans="1:6" ht="112" x14ac:dyDescent="0.2">
      <c r="A530" s="4" t="s">
        <v>3126</v>
      </c>
      <c r="B530">
        <v>59.651710499120234</v>
      </c>
      <c r="C530" s="7">
        <v>0.64277035236938029</v>
      </c>
      <c r="E530">
        <v>59.651710499120234</v>
      </c>
      <c r="F530">
        <f t="shared" si="8"/>
        <v>0.64277035236938029</v>
      </c>
    </row>
    <row r="531" spans="1:6" ht="112" x14ac:dyDescent="0.2">
      <c r="A531" s="4" t="s">
        <v>3419</v>
      </c>
      <c r="B531">
        <v>59.661565728878081</v>
      </c>
      <c r="C531" s="7">
        <v>0.64398541919805585</v>
      </c>
      <c r="E531">
        <v>59.661565728878081</v>
      </c>
      <c r="F531">
        <f t="shared" si="8"/>
        <v>0.64398541919805585</v>
      </c>
    </row>
    <row r="532" spans="1:6" ht="96" x14ac:dyDescent="0.2">
      <c r="A532" s="4" t="s">
        <v>3835</v>
      </c>
      <c r="B532">
        <v>59.666024230301964</v>
      </c>
      <c r="C532" s="7">
        <v>0.64520048602673152</v>
      </c>
      <c r="E532">
        <v>59.666024230301964</v>
      </c>
      <c r="F532">
        <f t="shared" si="8"/>
        <v>0.64520048602673152</v>
      </c>
    </row>
    <row r="533" spans="1:6" ht="112" x14ac:dyDescent="0.2">
      <c r="A533" s="4" t="s">
        <v>3062</v>
      </c>
      <c r="B533">
        <v>59.708493254031012</v>
      </c>
      <c r="C533" s="7">
        <v>0.64641555285540708</v>
      </c>
      <c r="E533">
        <v>59.708493254031012</v>
      </c>
      <c r="F533">
        <f t="shared" si="8"/>
        <v>0.64641555285540708</v>
      </c>
    </row>
    <row r="534" spans="1:6" ht="112" x14ac:dyDescent="0.2">
      <c r="A534" s="4" t="s">
        <v>3046</v>
      </c>
      <c r="B534">
        <v>59.717070283674389</v>
      </c>
      <c r="C534" s="7">
        <v>0.64763061968408264</v>
      </c>
      <c r="E534">
        <v>59.717070283674389</v>
      </c>
      <c r="F534">
        <f t="shared" si="8"/>
        <v>0.64763061968408264</v>
      </c>
    </row>
    <row r="535" spans="1:6" ht="112" x14ac:dyDescent="0.2">
      <c r="A535" s="4" t="s">
        <v>3774</v>
      </c>
      <c r="B535">
        <v>59.735684047888839</v>
      </c>
      <c r="C535" s="7">
        <v>0.6488456865127582</v>
      </c>
      <c r="E535">
        <v>59.735684047888839</v>
      </c>
      <c r="F535">
        <f t="shared" si="8"/>
        <v>0.6488456865127582</v>
      </c>
    </row>
    <row r="536" spans="1:6" ht="128" x14ac:dyDescent="0.2">
      <c r="A536" s="4" t="s">
        <v>3166</v>
      </c>
      <c r="B536">
        <v>59.839406012595909</v>
      </c>
      <c r="C536" s="7">
        <v>0.65006075334143376</v>
      </c>
      <c r="E536">
        <v>59.839406012595909</v>
      </c>
      <c r="F536">
        <f t="shared" si="8"/>
        <v>0.65006075334143376</v>
      </c>
    </row>
    <row r="537" spans="1:6" ht="96" x14ac:dyDescent="0.2">
      <c r="A537" s="4" t="s">
        <v>3292</v>
      </c>
      <c r="B537">
        <v>59.890704624866146</v>
      </c>
      <c r="C537" s="7">
        <v>0.65127582017010932</v>
      </c>
      <c r="E537">
        <v>59.890704624866146</v>
      </c>
      <c r="F537">
        <f t="shared" si="8"/>
        <v>0.65127582017010932</v>
      </c>
    </row>
    <row r="538" spans="1:6" ht="112" x14ac:dyDescent="0.2">
      <c r="A538" s="4" t="s">
        <v>3472</v>
      </c>
      <c r="B538">
        <v>59.902694461005048</v>
      </c>
      <c r="C538" s="7">
        <v>0.65249088699878488</v>
      </c>
      <c r="E538">
        <v>59.902694461005048</v>
      </c>
      <c r="F538">
        <f t="shared" si="8"/>
        <v>0.65249088699878488</v>
      </c>
    </row>
    <row r="539" spans="1:6" ht="112" x14ac:dyDescent="0.2">
      <c r="A539" s="4" t="s">
        <v>3829</v>
      </c>
      <c r="B539">
        <v>60.032781724266272</v>
      </c>
      <c r="C539" s="7">
        <v>0.65370595382746055</v>
      </c>
      <c r="E539">
        <v>60.032781724266272</v>
      </c>
      <c r="F539">
        <f t="shared" si="8"/>
        <v>0.65370595382746055</v>
      </c>
    </row>
    <row r="540" spans="1:6" ht="112" x14ac:dyDescent="0.2">
      <c r="A540" s="4" t="s">
        <v>3068</v>
      </c>
      <c r="B540">
        <v>60.035738899327995</v>
      </c>
      <c r="C540" s="7">
        <v>0.65492102065613611</v>
      </c>
      <c r="E540">
        <v>60.035738899327995</v>
      </c>
      <c r="F540">
        <f t="shared" si="8"/>
        <v>0.65492102065613611</v>
      </c>
    </row>
    <row r="541" spans="1:6" ht="112" x14ac:dyDescent="0.2">
      <c r="A541" s="4" t="s">
        <v>3411</v>
      </c>
      <c r="B541">
        <v>60.060358842143991</v>
      </c>
      <c r="C541" s="7">
        <v>0.65613608748481167</v>
      </c>
      <c r="E541">
        <v>60.060358842143991</v>
      </c>
      <c r="F541">
        <f t="shared" si="8"/>
        <v>0.65613608748481167</v>
      </c>
    </row>
    <row r="542" spans="1:6" ht="112" x14ac:dyDescent="0.2">
      <c r="A542" s="4" t="s">
        <v>3339</v>
      </c>
      <c r="B542">
        <v>60.106586966797188</v>
      </c>
      <c r="C542" s="7">
        <v>0.65735115431348723</v>
      </c>
      <c r="E542">
        <v>60.106586966797188</v>
      </c>
      <c r="F542">
        <f t="shared" si="8"/>
        <v>0.65735115431348723</v>
      </c>
    </row>
    <row r="543" spans="1:6" ht="112" x14ac:dyDescent="0.2">
      <c r="A543" s="4" t="s">
        <v>3660</v>
      </c>
      <c r="B543">
        <v>60.111167784616192</v>
      </c>
      <c r="C543" s="7">
        <v>0.65856622114216279</v>
      </c>
      <c r="E543">
        <v>60.111167784616192</v>
      </c>
      <c r="F543">
        <f t="shared" si="8"/>
        <v>0.65856622114216279</v>
      </c>
    </row>
    <row r="544" spans="1:6" ht="112" x14ac:dyDescent="0.2">
      <c r="A544" s="4" t="s">
        <v>3274</v>
      </c>
      <c r="B544">
        <v>60.302788348208303</v>
      </c>
      <c r="C544" s="7">
        <v>0.65978128797083835</v>
      </c>
      <c r="E544">
        <v>60.302788348208303</v>
      </c>
      <c r="F544">
        <f t="shared" si="8"/>
        <v>0.65978128797083835</v>
      </c>
    </row>
    <row r="545" spans="1:6" ht="96" x14ac:dyDescent="0.2">
      <c r="A545" s="4" t="s">
        <v>3789</v>
      </c>
      <c r="B545">
        <v>60.410236004154704</v>
      </c>
      <c r="C545" s="7">
        <v>0.66099635479951402</v>
      </c>
      <c r="E545">
        <v>60.410236004154704</v>
      </c>
      <c r="F545">
        <f t="shared" si="8"/>
        <v>0.66099635479951402</v>
      </c>
    </row>
    <row r="546" spans="1:6" ht="112" x14ac:dyDescent="0.2">
      <c r="A546" s="4" t="s">
        <v>3343</v>
      </c>
      <c r="B546">
        <v>60.505731022689403</v>
      </c>
      <c r="C546" s="7">
        <v>0.66221142162818958</v>
      </c>
      <c r="E546">
        <v>60.505731022689403</v>
      </c>
      <c r="F546">
        <f t="shared" si="8"/>
        <v>0.66221142162818958</v>
      </c>
    </row>
    <row r="547" spans="1:6" ht="112" x14ac:dyDescent="0.2">
      <c r="A547" s="4" t="s">
        <v>3176</v>
      </c>
      <c r="B547">
        <v>60.650827598152418</v>
      </c>
      <c r="C547" s="7">
        <v>0.66342648845686514</v>
      </c>
      <c r="E547">
        <v>60.650827598152418</v>
      </c>
      <c r="F547">
        <f t="shared" si="8"/>
        <v>0.66342648845686514</v>
      </c>
    </row>
    <row r="548" spans="1:6" ht="96" x14ac:dyDescent="0.2">
      <c r="A548" s="4" t="s">
        <v>3794</v>
      </c>
      <c r="B548">
        <v>60.728495152847415</v>
      </c>
      <c r="C548" s="7">
        <v>0.6646415552855407</v>
      </c>
      <c r="E548">
        <v>60.728495152847415</v>
      </c>
      <c r="F548">
        <f t="shared" si="8"/>
        <v>0.6646415552855407</v>
      </c>
    </row>
    <row r="549" spans="1:6" ht="112" x14ac:dyDescent="0.2">
      <c r="A549" s="4" t="s">
        <v>3336</v>
      </c>
      <c r="B549">
        <v>60.751828609168619</v>
      </c>
      <c r="C549" s="7">
        <v>0.66585662211421626</v>
      </c>
      <c r="E549">
        <v>60.751828609168619</v>
      </c>
      <c r="F549">
        <f t="shared" si="8"/>
        <v>0.66585662211421626</v>
      </c>
    </row>
    <row r="550" spans="1:6" ht="112" x14ac:dyDescent="0.2">
      <c r="A550" s="4" t="s">
        <v>3312</v>
      </c>
      <c r="B550">
        <v>60.757423001819824</v>
      </c>
      <c r="C550" s="7">
        <v>0.66707168894289182</v>
      </c>
      <c r="E550">
        <v>60.757423001819824</v>
      </c>
      <c r="F550">
        <f t="shared" si="8"/>
        <v>0.66707168894289182</v>
      </c>
    </row>
    <row r="551" spans="1:6" ht="112" x14ac:dyDescent="0.2">
      <c r="A551" s="4" t="s">
        <v>3260</v>
      </c>
      <c r="B551">
        <v>60.856689740004022</v>
      </c>
      <c r="C551" s="7">
        <v>0.66828675577156749</v>
      </c>
      <c r="E551">
        <v>60.856689740004022</v>
      </c>
      <c r="F551">
        <f t="shared" si="8"/>
        <v>0.66828675577156749</v>
      </c>
    </row>
    <row r="552" spans="1:6" ht="112" x14ac:dyDescent="0.2">
      <c r="A552" s="4" t="s">
        <v>3808</v>
      </c>
      <c r="B552">
        <v>60.93056715827656</v>
      </c>
      <c r="C552" s="7">
        <v>0.66950182260024305</v>
      </c>
      <c r="E552">
        <v>60.93056715827656</v>
      </c>
      <c r="F552">
        <f t="shared" si="8"/>
        <v>0.66950182260024305</v>
      </c>
    </row>
    <row r="553" spans="1:6" ht="128" x14ac:dyDescent="0.2">
      <c r="A553" s="4" t="s">
        <v>3124</v>
      </c>
      <c r="B553">
        <v>60.984285714285718</v>
      </c>
      <c r="C553" s="7">
        <v>0.67071688942891861</v>
      </c>
      <c r="E553">
        <v>60.984285714285718</v>
      </c>
      <c r="F553">
        <f t="shared" si="8"/>
        <v>0.67071688942891861</v>
      </c>
    </row>
    <row r="554" spans="1:6" ht="112" x14ac:dyDescent="0.2">
      <c r="A554" s="4" t="s">
        <v>3397</v>
      </c>
      <c r="B554">
        <v>61.030546030576545</v>
      </c>
      <c r="C554" s="7">
        <v>0.67193195625759417</v>
      </c>
      <c r="E554">
        <v>61.030546030576545</v>
      </c>
      <c r="F554">
        <f t="shared" si="8"/>
        <v>0.67193195625759417</v>
      </c>
    </row>
    <row r="555" spans="1:6" ht="112" x14ac:dyDescent="0.2">
      <c r="A555" s="4" t="s">
        <v>3735</v>
      </c>
      <c r="B555">
        <v>61.071115444755613</v>
      </c>
      <c r="C555" s="7">
        <v>0.67314702308626972</v>
      </c>
      <c r="E555">
        <v>61.071115444755613</v>
      </c>
      <c r="F555">
        <f t="shared" si="8"/>
        <v>0.67314702308626972</v>
      </c>
    </row>
    <row r="556" spans="1:6" ht="128" x14ac:dyDescent="0.2">
      <c r="A556" s="4" t="s">
        <v>3266</v>
      </c>
      <c r="B556">
        <v>61.130758401111265</v>
      </c>
      <c r="C556" s="7">
        <v>0.67436208991494528</v>
      </c>
      <c r="E556">
        <v>61.130758401111265</v>
      </c>
      <c r="F556">
        <f t="shared" si="8"/>
        <v>0.67436208991494528</v>
      </c>
    </row>
    <row r="557" spans="1:6" ht="112" x14ac:dyDescent="0.2">
      <c r="A557" s="4" t="s">
        <v>3445</v>
      </c>
      <c r="B557">
        <v>61.16062942791531</v>
      </c>
      <c r="C557" s="7">
        <v>0.67557715674362095</v>
      </c>
      <c r="E557">
        <v>61.16062942791531</v>
      </c>
      <c r="F557">
        <f t="shared" si="8"/>
        <v>0.67557715674362095</v>
      </c>
    </row>
    <row r="558" spans="1:6" ht="112" x14ac:dyDescent="0.2">
      <c r="A558" s="4" t="s">
        <v>3815</v>
      </c>
      <c r="B558">
        <v>61.165464485290691</v>
      </c>
      <c r="C558" s="7">
        <v>0.67679222357229651</v>
      </c>
      <c r="E558">
        <v>61.165464485290691</v>
      </c>
      <c r="F558">
        <f t="shared" si="8"/>
        <v>0.67679222357229651</v>
      </c>
    </row>
    <row r="559" spans="1:6" ht="96" x14ac:dyDescent="0.2">
      <c r="A559" s="4" t="s">
        <v>3843</v>
      </c>
      <c r="B559">
        <v>61.302794636328613</v>
      </c>
      <c r="C559" s="7">
        <v>0.67800729040097207</v>
      </c>
      <c r="E559">
        <v>61.302794636328613</v>
      </c>
      <c r="F559">
        <f t="shared" si="8"/>
        <v>0.67800729040097207</v>
      </c>
    </row>
    <row r="560" spans="1:6" ht="112" x14ac:dyDescent="0.2">
      <c r="A560" s="4" t="s">
        <v>3810</v>
      </c>
      <c r="B560">
        <v>61.381134912841148</v>
      </c>
      <c r="C560" s="7">
        <v>0.67922235722964763</v>
      </c>
      <c r="E560">
        <v>61.381134912841148</v>
      </c>
      <c r="F560">
        <f t="shared" si="8"/>
        <v>0.67922235722964763</v>
      </c>
    </row>
    <row r="561" spans="1:6" ht="96" x14ac:dyDescent="0.2">
      <c r="A561" s="4" t="s">
        <v>3768</v>
      </c>
      <c r="B561">
        <v>61.42383622744962</v>
      </c>
      <c r="C561" s="7">
        <v>0.68043742405832319</v>
      </c>
      <c r="E561">
        <v>61.42383622744962</v>
      </c>
      <c r="F561">
        <f t="shared" si="8"/>
        <v>0.68043742405832319</v>
      </c>
    </row>
    <row r="562" spans="1:6" ht="112" x14ac:dyDescent="0.2">
      <c r="A562" s="4" t="s">
        <v>3106</v>
      </c>
      <c r="B562">
        <v>61.477155648799062</v>
      </c>
      <c r="C562" s="7">
        <v>0.68165249088699875</v>
      </c>
      <c r="E562">
        <v>61.477155648799062</v>
      </c>
      <c r="F562">
        <f t="shared" si="8"/>
        <v>0.68165249088699875</v>
      </c>
    </row>
    <row r="563" spans="1:6" ht="112" x14ac:dyDescent="0.2">
      <c r="A563" s="4" t="s">
        <v>3752</v>
      </c>
      <c r="B563">
        <v>61.478593395772705</v>
      </c>
      <c r="C563" s="7">
        <v>0.68286755771567431</v>
      </c>
      <c r="E563">
        <v>61.478593395772705</v>
      </c>
      <c r="F563">
        <f t="shared" si="8"/>
        <v>0.68286755771567431</v>
      </c>
    </row>
    <row r="564" spans="1:6" ht="112" x14ac:dyDescent="0.2">
      <c r="A564" s="4" t="s">
        <v>3703</v>
      </c>
      <c r="B564">
        <v>61.490668903539536</v>
      </c>
      <c r="C564" s="7">
        <v>0.68408262454434998</v>
      </c>
      <c r="E564">
        <v>61.490668903539536</v>
      </c>
      <c r="F564">
        <f t="shared" si="8"/>
        <v>0.68408262454434998</v>
      </c>
    </row>
    <row r="565" spans="1:6" ht="112" x14ac:dyDescent="0.2">
      <c r="A565" s="4" t="s">
        <v>3451</v>
      </c>
      <c r="B565">
        <v>61.542838404360651</v>
      </c>
      <c r="C565" s="7">
        <v>0.68529769137302554</v>
      </c>
      <c r="E565">
        <v>61.542838404360651</v>
      </c>
      <c r="F565">
        <f t="shared" si="8"/>
        <v>0.68529769137302554</v>
      </c>
    </row>
    <row r="566" spans="1:6" ht="112" x14ac:dyDescent="0.2">
      <c r="A566" s="4" t="s">
        <v>3682</v>
      </c>
      <c r="B566">
        <v>61.651949545173252</v>
      </c>
      <c r="C566" s="7">
        <v>0.6865127582017011</v>
      </c>
      <c r="E566">
        <v>61.651949545173252</v>
      </c>
      <c r="F566">
        <f t="shared" si="8"/>
        <v>0.6865127582017011</v>
      </c>
    </row>
    <row r="567" spans="1:6" ht="112" x14ac:dyDescent="0.2">
      <c r="A567" s="4" t="s">
        <v>3328</v>
      </c>
      <c r="B567">
        <v>61.673537875841113</v>
      </c>
      <c r="C567" s="7">
        <v>0.68772782503037666</v>
      </c>
      <c r="E567">
        <v>61.673537875841113</v>
      </c>
      <c r="F567">
        <f t="shared" si="8"/>
        <v>0.68772782503037666</v>
      </c>
    </row>
    <row r="568" spans="1:6" ht="112" x14ac:dyDescent="0.2">
      <c r="A568" s="4" t="s">
        <v>3244</v>
      </c>
      <c r="B568">
        <v>61.791502490229192</v>
      </c>
      <c r="C568" s="7">
        <v>0.68894289185905222</v>
      </c>
      <c r="E568">
        <v>61.791502490229192</v>
      </c>
      <c r="F568">
        <f t="shared" si="8"/>
        <v>0.68894289185905222</v>
      </c>
    </row>
    <row r="569" spans="1:6" ht="112" x14ac:dyDescent="0.2">
      <c r="A569" s="4" t="s">
        <v>3196</v>
      </c>
      <c r="B569">
        <v>61.844959013525219</v>
      </c>
      <c r="C569" s="7">
        <v>0.69015795868772778</v>
      </c>
      <c r="E569">
        <v>61.844959013525219</v>
      </c>
      <c r="F569">
        <f t="shared" si="8"/>
        <v>0.69015795868772778</v>
      </c>
    </row>
    <row r="570" spans="1:6" ht="112" x14ac:dyDescent="0.2">
      <c r="A570" s="4" t="s">
        <v>3310</v>
      </c>
      <c r="B570">
        <v>61.90729955815128</v>
      </c>
      <c r="C570" s="7">
        <v>0.69137302551640345</v>
      </c>
      <c r="E570">
        <v>61.90729955815128</v>
      </c>
      <c r="F570">
        <f t="shared" si="8"/>
        <v>0.69137302551640345</v>
      </c>
    </row>
    <row r="571" spans="1:6" ht="112" x14ac:dyDescent="0.2">
      <c r="A571" s="4" t="s">
        <v>3493</v>
      </c>
      <c r="B571">
        <v>61.914184965967216</v>
      </c>
      <c r="C571" s="7">
        <v>0.69258809234507901</v>
      </c>
      <c r="E571">
        <v>61.914184965967216</v>
      </c>
      <c r="F571">
        <f t="shared" si="8"/>
        <v>0.69258809234507901</v>
      </c>
    </row>
    <row r="572" spans="1:6" ht="128" x14ac:dyDescent="0.2">
      <c r="A572" s="4" t="s">
        <v>3836</v>
      </c>
      <c r="B572">
        <v>61.927824454042778</v>
      </c>
      <c r="C572" s="7">
        <v>0.69380315917375457</v>
      </c>
      <c r="E572">
        <v>61.927824454042778</v>
      </c>
      <c r="F572">
        <f t="shared" si="8"/>
        <v>0.69380315917375457</v>
      </c>
    </row>
    <row r="573" spans="1:6" ht="96" x14ac:dyDescent="0.2">
      <c r="A573" s="4" t="s">
        <v>3845</v>
      </c>
      <c r="B573">
        <v>61.928933613381126</v>
      </c>
      <c r="C573" s="7">
        <v>0.69501822600243013</v>
      </c>
      <c r="E573">
        <v>61.928933613381126</v>
      </c>
      <c r="F573">
        <f t="shared" si="8"/>
        <v>0.69501822600243013</v>
      </c>
    </row>
    <row r="574" spans="1:6" ht="112" x14ac:dyDescent="0.2">
      <c r="A574" s="4" t="s">
        <v>3084</v>
      </c>
      <c r="B574">
        <v>61.995730307040638</v>
      </c>
      <c r="C574" s="7">
        <v>0.69623329283110569</v>
      </c>
      <c r="E574">
        <v>61.995730307040638</v>
      </c>
      <c r="F574">
        <f t="shared" si="8"/>
        <v>0.69623329283110569</v>
      </c>
    </row>
    <row r="575" spans="1:6" ht="112" x14ac:dyDescent="0.2">
      <c r="A575" s="4" t="s">
        <v>3478</v>
      </c>
      <c r="B575">
        <v>62.152713709533458</v>
      </c>
      <c r="C575" s="7">
        <v>0.69744835965978125</v>
      </c>
      <c r="E575">
        <v>62.152713709533458</v>
      </c>
      <c r="F575">
        <f t="shared" si="8"/>
        <v>0.69744835965978125</v>
      </c>
    </row>
    <row r="576" spans="1:6" ht="112" x14ac:dyDescent="0.2">
      <c r="A576" s="4" t="s">
        <v>3508</v>
      </c>
      <c r="B576">
        <v>62.26920271089071</v>
      </c>
      <c r="C576" s="7">
        <v>0.69866342648845692</v>
      </c>
      <c r="E576">
        <v>62.26920271089071</v>
      </c>
      <c r="F576">
        <f t="shared" si="8"/>
        <v>0.69866342648845692</v>
      </c>
    </row>
    <row r="577" spans="1:6" ht="112" x14ac:dyDescent="0.2">
      <c r="A577" s="4" t="s">
        <v>3666</v>
      </c>
      <c r="B577">
        <v>62.502311568442018</v>
      </c>
      <c r="C577" s="7">
        <v>0.69987849331713248</v>
      </c>
      <c r="E577">
        <v>62.502311568442018</v>
      </c>
      <c r="F577">
        <f t="shared" si="8"/>
        <v>0.69987849331713248</v>
      </c>
    </row>
    <row r="578" spans="1:6" ht="96" x14ac:dyDescent="0.2">
      <c r="A578" s="4" t="s">
        <v>3802</v>
      </c>
      <c r="B578">
        <v>62.50802517473241</v>
      </c>
      <c r="C578" s="7">
        <v>0.70109356014580804</v>
      </c>
      <c r="E578">
        <v>62.50802517473241</v>
      </c>
      <c r="F578">
        <f t="shared" si="8"/>
        <v>0.70109356014580804</v>
      </c>
    </row>
    <row r="579" spans="1:6" ht="96" x14ac:dyDescent="0.2">
      <c r="A579" s="4" t="s">
        <v>3826</v>
      </c>
      <c r="B579">
        <v>62.59534954918923</v>
      </c>
      <c r="C579" s="7">
        <v>0.7023086269744836</v>
      </c>
      <c r="E579">
        <v>62.59534954918923</v>
      </c>
      <c r="F579">
        <f t="shared" ref="F579:F642" si="9">_xlfn.RANK.EQ(E579,$E$2:$E$824,1)/COUNT($E$2:$E$824)</f>
        <v>0.7023086269744836</v>
      </c>
    </row>
    <row r="580" spans="1:6" ht="112" x14ac:dyDescent="0.2">
      <c r="A580" s="4" t="s">
        <v>3447</v>
      </c>
      <c r="B580">
        <v>62.674935037975025</v>
      </c>
      <c r="C580" s="7">
        <v>0.70352369380315916</v>
      </c>
      <c r="E580">
        <v>62.674935037975025</v>
      </c>
      <c r="F580">
        <f t="shared" si="9"/>
        <v>0.70352369380315916</v>
      </c>
    </row>
    <row r="581" spans="1:6" ht="96" x14ac:dyDescent="0.2">
      <c r="A581" s="4" t="s">
        <v>3784</v>
      </c>
      <c r="B581">
        <v>62.713914508605669</v>
      </c>
      <c r="C581" s="7">
        <v>0.70473876063183472</v>
      </c>
      <c r="E581">
        <v>62.713914508605669</v>
      </c>
      <c r="F581">
        <f t="shared" si="9"/>
        <v>0.70473876063183472</v>
      </c>
    </row>
    <row r="582" spans="1:6" ht="112" x14ac:dyDescent="0.2">
      <c r="A582" s="4" t="s">
        <v>3811</v>
      </c>
      <c r="B582">
        <v>62.809677917982057</v>
      </c>
      <c r="C582" s="7">
        <v>0.70595382746051027</v>
      </c>
      <c r="E582">
        <v>62.809677917982057</v>
      </c>
      <c r="F582">
        <f t="shared" si="9"/>
        <v>0.70595382746051027</v>
      </c>
    </row>
    <row r="583" spans="1:6" ht="112" x14ac:dyDescent="0.2">
      <c r="A583" s="4" t="s">
        <v>3302</v>
      </c>
      <c r="B583">
        <v>62.898117267035154</v>
      </c>
      <c r="C583" s="7">
        <v>0.70716889428918595</v>
      </c>
      <c r="E583">
        <v>62.898117267035154</v>
      </c>
      <c r="F583">
        <f t="shared" si="9"/>
        <v>0.70716889428918595</v>
      </c>
    </row>
    <row r="584" spans="1:6" ht="112" x14ac:dyDescent="0.2">
      <c r="A584" s="4" t="s">
        <v>3334</v>
      </c>
      <c r="B584">
        <v>63.020625000000003</v>
      </c>
      <c r="C584" s="7">
        <v>0.7083839611178615</v>
      </c>
      <c r="E584">
        <v>63.020625000000003</v>
      </c>
      <c r="F584">
        <f t="shared" si="9"/>
        <v>0.7083839611178615</v>
      </c>
    </row>
    <row r="585" spans="1:6" ht="96" x14ac:dyDescent="0.2">
      <c r="A585" s="4" t="s">
        <v>3800</v>
      </c>
      <c r="B585">
        <v>63.129149227999918</v>
      </c>
      <c r="C585" s="7">
        <v>0.70959902794653706</v>
      </c>
      <c r="E585">
        <v>63.129149227999918</v>
      </c>
      <c r="F585">
        <f t="shared" si="9"/>
        <v>0.70959902794653706</v>
      </c>
    </row>
    <row r="586" spans="1:6" ht="112" x14ac:dyDescent="0.2">
      <c r="A586" s="4" t="s">
        <v>3369</v>
      </c>
      <c r="B586">
        <v>63.164815402506434</v>
      </c>
      <c r="C586" s="7">
        <v>0.71081409477521262</v>
      </c>
      <c r="E586">
        <v>63.164815402506434</v>
      </c>
      <c r="F586">
        <f t="shared" si="9"/>
        <v>0.71081409477521262</v>
      </c>
    </row>
    <row r="587" spans="1:6" ht="112" x14ac:dyDescent="0.2">
      <c r="A587" s="4" t="s">
        <v>3512</v>
      </c>
      <c r="B587">
        <v>63.234166666666674</v>
      </c>
      <c r="C587" s="7">
        <v>0.71202916160388818</v>
      </c>
      <c r="E587">
        <v>63.234166666666674</v>
      </c>
      <c r="F587">
        <f t="shared" si="9"/>
        <v>0.71202916160388818</v>
      </c>
    </row>
    <row r="588" spans="1:6" ht="128" x14ac:dyDescent="0.2">
      <c r="A588" s="4" t="s">
        <v>3098</v>
      </c>
      <c r="B588">
        <v>63.657840641239822</v>
      </c>
      <c r="C588" s="7">
        <v>0.71324422843256374</v>
      </c>
      <c r="E588">
        <v>63.657840641239822</v>
      </c>
      <c r="F588">
        <f t="shared" si="9"/>
        <v>0.71324422843256374</v>
      </c>
    </row>
    <row r="589" spans="1:6" ht="112" x14ac:dyDescent="0.2">
      <c r="A589" s="4" t="s">
        <v>3304</v>
      </c>
      <c r="B589">
        <v>63.723465222789002</v>
      </c>
      <c r="C589" s="7">
        <v>0.71445929526123941</v>
      </c>
      <c r="E589">
        <v>63.723465222789002</v>
      </c>
      <c r="F589">
        <f t="shared" si="9"/>
        <v>0.71445929526123941</v>
      </c>
    </row>
    <row r="590" spans="1:6" ht="112" x14ac:dyDescent="0.2">
      <c r="A590" s="4" t="s">
        <v>3684</v>
      </c>
      <c r="B590">
        <v>63.876959214122138</v>
      </c>
      <c r="C590" s="7">
        <v>0.71567436208991497</v>
      </c>
      <c r="E590">
        <v>63.876959214122138</v>
      </c>
      <c r="F590">
        <f t="shared" si="9"/>
        <v>0.71567436208991497</v>
      </c>
    </row>
    <row r="591" spans="1:6" ht="128" x14ac:dyDescent="0.2">
      <c r="A591" s="4" t="s">
        <v>3541</v>
      </c>
      <c r="B591">
        <v>64.006359423830745</v>
      </c>
      <c r="C591" s="7">
        <v>0.71688942891859053</v>
      </c>
      <c r="E591">
        <v>64.006359423830745</v>
      </c>
      <c r="F591">
        <f t="shared" si="9"/>
        <v>0.71688942891859053</v>
      </c>
    </row>
    <row r="592" spans="1:6" ht="112" x14ac:dyDescent="0.2">
      <c r="A592" s="4" t="s">
        <v>3178</v>
      </c>
      <c r="B592">
        <v>64.036232928600285</v>
      </c>
      <c r="C592" s="7">
        <v>0.71810449574726609</v>
      </c>
      <c r="E592">
        <v>64.036232928600285</v>
      </c>
      <c r="F592">
        <f t="shared" si="9"/>
        <v>0.71810449574726609</v>
      </c>
    </row>
    <row r="593" spans="1:6" ht="128" x14ac:dyDescent="0.2">
      <c r="A593" s="4" t="s">
        <v>3407</v>
      </c>
      <c r="B593">
        <v>64.046620365707497</v>
      </c>
      <c r="C593" s="7">
        <v>0.71931956257594165</v>
      </c>
      <c r="E593">
        <v>64.046620365707497</v>
      </c>
      <c r="F593">
        <f t="shared" si="9"/>
        <v>0.71931956257594165</v>
      </c>
    </row>
    <row r="594" spans="1:6" ht="112" x14ac:dyDescent="0.2">
      <c r="A594" s="4" t="s">
        <v>3296</v>
      </c>
      <c r="B594">
        <v>64.069958221553634</v>
      </c>
      <c r="C594" s="7">
        <v>0.72053462940461721</v>
      </c>
      <c r="E594">
        <v>64.069958221553634</v>
      </c>
      <c r="F594">
        <f t="shared" si="9"/>
        <v>0.72053462940461721</v>
      </c>
    </row>
    <row r="595" spans="1:6" ht="128" x14ac:dyDescent="0.2">
      <c r="A595" s="4" t="s">
        <v>3491</v>
      </c>
      <c r="B595">
        <v>64.279518120251097</v>
      </c>
      <c r="C595" s="7">
        <v>0.72174969623329288</v>
      </c>
      <c r="E595">
        <v>64.279518120251097</v>
      </c>
      <c r="F595">
        <f t="shared" si="9"/>
        <v>0.72174969623329288</v>
      </c>
    </row>
    <row r="596" spans="1:6" ht="128" x14ac:dyDescent="0.2">
      <c r="A596" s="4" t="s">
        <v>3760</v>
      </c>
      <c r="B596">
        <v>64.310139995571461</v>
      </c>
      <c r="C596" s="7">
        <v>0.72296476306196844</v>
      </c>
      <c r="E596">
        <v>64.310139995571461</v>
      </c>
      <c r="F596">
        <f t="shared" si="9"/>
        <v>0.72296476306196844</v>
      </c>
    </row>
    <row r="597" spans="1:6" ht="112" x14ac:dyDescent="0.2">
      <c r="A597" s="4" t="s">
        <v>3028</v>
      </c>
      <c r="B597">
        <v>64.458996067622721</v>
      </c>
      <c r="C597" s="7">
        <v>0.724179829890644</v>
      </c>
      <c r="E597">
        <v>64.458996067622721</v>
      </c>
      <c r="F597">
        <f t="shared" si="9"/>
        <v>0.724179829890644</v>
      </c>
    </row>
    <row r="598" spans="1:6" ht="112" x14ac:dyDescent="0.2">
      <c r="A598" s="4" t="s">
        <v>3608</v>
      </c>
      <c r="B598">
        <v>64.490326596593661</v>
      </c>
      <c r="C598" s="7">
        <v>0.72539489671931956</v>
      </c>
      <c r="E598">
        <v>64.490326596593661</v>
      </c>
      <c r="F598">
        <f t="shared" si="9"/>
        <v>0.72539489671931956</v>
      </c>
    </row>
    <row r="599" spans="1:6" ht="112" x14ac:dyDescent="0.2">
      <c r="A599" s="4" t="s">
        <v>3632</v>
      </c>
      <c r="B599">
        <v>64.521954273463635</v>
      </c>
      <c r="C599" s="7">
        <v>0.72660996354799512</v>
      </c>
      <c r="E599">
        <v>64.521954273463635</v>
      </c>
      <c r="F599">
        <f t="shared" si="9"/>
        <v>0.72660996354799512</v>
      </c>
    </row>
    <row r="600" spans="1:6" ht="112" x14ac:dyDescent="0.2">
      <c r="A600" s="4" t="s">
        <v>3681</v>
      </c>
      <c r="B600">
        <v>64.528844060081667</v>
      </c>
      <c r="C600" s="7">
        <v>0.72782503037667068</v>
      </c>
      <c r="E600">
        <v>64.528844060081667</v>
      </c>
      <c r="F600">
        <f t="shared" si="9"/>
        <v>0.72782503037667068</v>
      </c>
    </row>
    <row r="601" spans="1:6" ht="112" x14ac:dyDescent="0.2">
      <c r="A601" s="4" t="s">
        <v>3827</v>
      </c>
      <c r="B601">
        <v>64.627815060716571</v>
      </c>
      <c r="C601" s="7">
        <v>0.72904009720534635</v>
      </c>
      <c r="E601">
        <v>64.627815060716571</v>
      </c>
      <c r="F601">
        <f t="shared" si="9"/>
        <v>0.72904009720534635</v>
      </c>
    </row>
    <row r="602" spans="1:6" ht="112" x14ac:dyDescent="0.2">
      <c r="A602" s="4" t="s">
        <v>3672</v>
      </c>
      <c r="B602">
        <v>64.654494654526971</v>
      </c>
      <c r="C602" s="7">
        <v>0.73025516403402191</v>
      </c>
      <c r="E602">
        <v>64.654494654526971</v>
      </c>
      <c r="F602">
        <f t="shared" si="9"/>
        <v>0.73025516403402191</v>
      </c>
    </row>
    <row r="603" spans="1:6" ht="112" x14ac:dyDescent="0.2">
      <c r="A603" s="4" t="s">
        <v>3224</v>
      </c>
      <c r="B603">
        <v>64.661760009116932</v>
      </c>
      <c r="C603" s="7">
        <v>0.73147023086269747</v>
      </c>
      <c r="E603">
        <v>64.661760009116932</v>
      </c>
      <c r="F603">
        <f t="shared" si="9"/>
        <v>0.73147023086269747</v>
      </c>
    </row>
    <row r="604" spans="1:6" ht="96" x14ac:dyDescent="0.2">
      <c r="A604" s="4" t="s">
        <v>3758</v>
      </c>
      <c r="B604">
        <v>64.756674408006887</v>
      </c>
      <c r="C604" s="7">
        <v>0.73268529769137303</v>
      </c>
      <c r="E604">
        <v>64.756674408006887</v>
      </c>
      <c r="F604">
        <f t="shared" si="9"/>
        <v>0.73268529769137303</v>
      </c>
    </row>
    <row r="605" spans="1:6" ht="112" x14ac:dyDescent="0.2">
      <c r="A605" s="4" t="s">
        <v>3034</v>
      </c>
      <c r="B605">
        <v>64.813733298276759</v>
      </c>
      <c r="C605" s="7">
        <v>0.73390036452004859</v>
      </c>
      <c r="E605">
        <v>64.813733298276759</v>
      </c>
      <c r="F605">
        <f t="shared" si="9"/>
        <v>0.73390036452004859</v>
      </c>
    </row>
    <row r="606" spans="1:6" ht="112" x14ac:dyDescent="0.2">
      <c r="A606" s="4" t="s">
        <v>3385</v>
      </c>
      <c r="B606">
        <v>64.896249509445127</v>
      </c>
      <c r="C606" s="7">
        <v>0.73511543134872415</v>
      </c>
      <c r="E606">
        <v>64.896249509445127</v>
      </c>
      <c r="F606">
        <f t="shared" si="9"/>
        <v>0.73511543134872415</v>
      </c>
    </row>
    <row r="607" spans="1:6" ht="112" x14ac:dyDescent="0.2">
      <c r="A607" s="4" t="s">
        <v>3146</v>
      </c>
      <c r="B607">
        <v>64.948027142152625</v>
      </c>
      <c r="C607" s="7">
        <v>0.73633049817739971</v>
      </c>
      <c r="E607">
        <v>64.948027142152625</v>
      </c>
      <c r="F607">
        <f t="shared" si="9"/>
        <v>0.73633049817739971</v>
      </c>
    </row>
    <row r="608" spans="1:6" ht="112" x14ac:dyDescent="0.2">
      <c r="A608" s="4" t="s">
        <v>3539</v>
      </c>
      <c r="B608">
        <v>65.075875837857581</v>
      </c>
      <c r="C608" s="7">
        <v>0.73754556500607538</v>
      </c>
      <c r="E608">
        <v>65.075875837857581</v>
      </c>
      <c r="F608">
        <f t="shared" si="9"/>
        <v>0.73754556500607538</v>
      </c>
    </row>
    <row r="609" spans="1:6" ht="112" x14ac:dyDescent="0.2">
      <c r="A609" s="4" t="s">
        <v>3152</v>
      </c>
      <c r="B609">
        <v>65.08048572515591</v>
      </c>
      <c r="C609" s="7">
        <v>0.73876063183475094</v>
      </c>
      <c r="E609">
        <v>65.08048572515591</v>
      </c>
      <c r="F609">
        <f t="shared" si="9"/>
        <v>0.73876063183475094</v>
      </c>
    </row>
    <row r="610" spans="1:6" ht="112" x14ac:dyDescent="0.2">
      <c r="A610" s="4" t="s">
        <v>3566</v>
      </c>
      <c r="B610">
        <v>65.377616371795227</v>
      </c>
      <c r="C610" s="7">
        <v>0.7399756986634265</v>
      </c>
      <c r="E610">
        <v>65.377616371795227</v>
      </c>
      <c r="F610">
        <f t="shared" si="9"/>
        <v>0.7399756986634265</v>
      </c>
    </row>
    <row r="611" spans="1:6" ht="112" x14ac:dyDescent="0.2">
      <c r="A611" s="4" t="s">
        <v>3455</v>
      </c>
      <c r="B611">
        <v>65.392354582770523</v>
      </c>
      <c r="C611" s="7">
        <v>0.74119076549210205</v>
      </c>
      <c r="E611">
        <v>65.392354582770523</v>
      </c>
      <c r="F611">
        <f t="shared" si="9"/>
        <v>0.74119076549210205</v>
      </c>
    </row>
    <row r="612" spans="1:6" ht="128" x14ac:dyDescent="0.2">
      <c r="A612" s="4" t="s">
        <v>3786</v>
      </c>
      <c r="B612">
        <v>65.420312409430665</v>
      </c>
      <c r="C612" s="7">
        <v>0.74240583232077761</v>
      </c>
      <c r="E612">
        <v>65.420312409430665</v>
      </c>
      <c r="F612">
        <f t="shared" si="9"/>
        <v>0.74240583232077761</v>
      </c>
    </row>
    <row r="613" spans="1:6" ht="112" x14ac:dyDescent="0.2">
      <c r="A613" s="4" t="s">
        <v>3848</v>
      </c>
      <c r="B613">
        <v>65.42190484248512</v>
      </c>
      <c r="C613" s="7">
        <v>0.74362089914945317</v>
      </c>
      <c r="E613">
        <v>65.42190484248512</v>
      </c>
      <c r="F613">
        <f t="shared" si="9"/>
        <v>0.74362089914945317</v>
      </c>
    </row>
    <row r="614" spans="1:6" ht="112" x14ac:dyDescent="0.2">
      <c r="A614" s="4" t="s">
        <v>3226</v>
      </c>
      <c r="B614">
        <v>65.508697772171189</v>
      </c>
      <c r="C614" s="7">
        <v>0.74483596597812884</v>
      </c>
      <c r="E614">
        <v>65.508697772171189</v>
      </c>
      <c r="F614">
        <f t="shared" si="9"/>
        <v>0.74483596597812884</v>
      </c>
    </row>
    <row r="615" spans="1:6" ht="112" x14ac:dyDescent="0.2">
      <c r="A615" s="4" t="s">
        <v>3787</v>
      </c>
      <c r="B615">
        <v>65.626142923094349</v>
      </c>
      <c r="C615" s="7">
        <v>0.7460510328068044</v>
      </c>
      <c r="E615">
        <v>65.626142923094349</v>
      </c>
      <c r="F615">
        <f t="shared" si="9"/>
        <v>0.7460510328068044</v>
      </c>
    </row>
    <row r="616" spans="1:6" ht="112" x14ac:dyDescent="0.2">
      <c r="A616" s="4" t="s">
        <v>3086</v>
      </c>
      <c r="B616">
        <v>65.637652457928397</v>
      </c>
      <c r="C616" s="7">
        <v>0.74726609963547996</v>
      </c>
      <c r="E616">
        <v>65.637652457928397</v>
      </c>
      <c r="F616">
        <f t="shared" si="9"/>
        <v>0.74726609963547996</v>
      </c>
    </row>
    <row r="617" spans="1:6" ht="112" x14ac:dyDescent="0.2">
      <c r="A617" s="4" t="s">
        <v>3170</v>
      </c>
      <c r="B617">
        <v>65.71977794877553</v>
      </c>
      <c r="C617" s="7">
        <v>0.74848116646415552</v>
      </c>
      <c r="E617">
        <v>65.71977794877553</v>
      </c>
      <c r="F617">
        <f t="shared" si="9"/>
        <v>0.74848116646415552</v>
      </c>
    </row>
    <row r="618" spans="1:6" ht="112" x14ac:dyDescent="0.2">
      <c r="A618" s="4" t="s">
        <v>3670</v>
      </c>
      <c r="B618">
        <v>65.74949823900802</v>
      </c>
      <c r="C618" s="7">
        <v>0.74969623329283108</v>
      </c>
      <c r="E618">
        <v>65.74949823900802</v>
      </c>
      <c r="F618">
        <f t="shared" si="9"/>
        <v>0.74969623329283108</v>
      </c>
    </row>
    <row r="619" spans="1:6" ht="112" x14ac:dyDescent="0.2">
      <c r="A619" s="4" t="s">
        <v>3702</v>
      </c>
      <c r="B619">
        <v>65.916893904309788</v>
      </c>
      <c r="C619" s="7">
        <v>0.75091130012150664</v>
      </c>
      <c r="E619">
        <v>65.916893904309788</v>
      </c>
      <c r="F619">
        <f t="shared" si="9"/>
        <v>0.75091130012150664</v>
      </c>
    </row>
    <row r="620" spans="1:6" ht="112" x14ac:dyDescent="0.2">
      <c r="A620" s="4" t="s">
        <v>3766</v>
      </c>
      <c r="B620">
        <v>65.921980739472502</v>
      </c>
      <c r="C620" s="7">
        <v>0.75212636695018231</v>
      </c>
      <c r="E620">
        <v>65.921980739472502</v>
      </c>
      <c r="F620">
        <f t="shared" si="9"/>
        <v>0.75212636695018231</v>
      </c>
    </row>
    <row r="621" spans="1:6" ht="112" x14ac:dyDescent="0.2">
      <c r="A621" s="4" t="s">
        <v>3770</v>
      </c>
      <c r="B621">
        <v>66.052307588654756</v>
      </c>
      <c r="C621" s="7">
        <v>0.75334143377885787</v>
      </c>
      <c r="E621">
        <v>66.052307588654756</v>
      </c>
      <c r="F621">
        <f t="shared" si="9"/>
        <v>0.75334143377885787</v>
      </c>
    </row>
    <row r="622" spans="1:6" ht="112" x14ac:dyDescent="0.2">
      <c r="A622" s="4" t="s">
        <v>3102</v>
      </c>
      <c r="B622">
        <v>66.10152521448164</v>
      </c>
      <c r="C622" s="7">
        <v>0.75455650060753343</v>
      </c>
      <c r="E622">
        <v>66.10152521448164</v>
      </c>
      <c r="F622">
        <f t="shared" si="9"/>
        <v>0.75455650060753343</v>
      </c>
    </row>
    <row r="623" spans="1:6" ht="112" x14ac:dyDescent="0.2">
      <c r="A623" s="4" t="s">
        <v>3777</v>
      </c>
      <c r="B623">
        <v>66.172161188918508</v>
      </c>
      <c r="C623" s="7">
        <v>0.75577156743620899</v>
      </c>
      <c r="E623">
        <v>66.172161188918508</v>
      </c>
      <c r="F623">
        <f t="shared" si="9"/>
        <v>0.75577156743620899</v>
      </c>
    </row>
    <row r="624" spans="1:6" ht="112" x14ac:dyDescent="0.2">
      <c r="A624" s="4" t="s">
        <v>3288</v>
      </c>
      <c r="B624">
        <v>66.340543067118119</v>
      </c>
      <c r="C624" s="7">
        <v>0.75698663426488455</v>
      </c>
      <c r="E624">
        <v>66.340543067118119</v>
      </c>
      <c r="F624">
        <f t="shared" si="9"/>
        <v>0.75698663426488455</v>
      </c>
    </row>
    <row r="625" spans="1:6" ht="112" x14ac:dyDescent="0.2">
      <c r="A625" s="4" t="s">
        <v>3738</v>
      </c>
      <c r="B625">
        <v>66.418851573964531</v>
      </c>
      <c r="C625" s="7">
        <v>0.75820170109356011</v>
      </c>
      <c r="E625">
        <v>66.418851573964531</v>
      </c>
      <c r="F625">
        <f t="shared" si="9"/>
        <v>0.75820170109356011</v>
      </c>
    </row>
    <row r="626" spans="1:6" ht="128" x14ac:dyDescent="0.2">
      <c r="A626" s="4" t="s">
        <v>3588</v>
      </c>
      <c r="B626">
        <v>66.496400571255023</v>
      </c>
      <c r="C626" s="7">
        <v>0.75941676792223567</v>
      </c>
      <c r="E626">
        <v>66.496400571255023</v>
      </c>
      <c r="F626">
        <f t="shared" si="9"/>
        <v>0.75941676792223567</v>
      </c>
    </row>
    <row r="627" spans="1:6" ht="112" x14ac:dyDescent="0.2">
      <c r="A627" s="4" t="s">
        <v>3435</v>
      </c>
      <c r="B627">
        <v>66.508119097463222</v>
      </c>
      <c r="C627" s="7">
        <v>0.76063183475091134</v>
      </c>
      <c r="E627">
        <v>66.508119097463222</v>
      </c>
      <c r="F627">
        <f t="shared" si="9"/>
        <v>0.76063183475091134</v>
      </c>
    </row>
    <row r="628" spans="1:6" ht="128" x14ac:dyDescent="0.2">
      <c r="A628" s="4" t="s">
        <v>3506</v>
      </c>
      <c r="B628">
        <v>66.540829513443583</v>
      </c>
      <c r="C628" s="7">
        <v>0.7618469015795869</v>
      </c>
      <c r="E628">
        <v>66.540829513443583</v>
      </c>
      <c r="F628">
        <f t="shared" si="9"/>
        <v>0.7618469015795869</v>
      </c>
    </row>
    <row r="629" spans="1:6" ht="112" x14ac:dyDescent="0.2">
      <c r="A629" s="4" t="s">
        <v>3172</v>
      </c>
      <c r="B629">
        <v>66.646056871743923</v>
      </c>
      <c r="C629" s="7">
        <v>0.76306196840826246</v>
      </c>
      <c r="E629">
        <v>66.646056871743923</v>
      </c>
      <c r="F629">
        <f t="shared" si="9"/>
        <v>0.76306196840826246</v>
      </c>
    </row>
    <row r="630" spans="1:6" ht="112" x14ac:dyDescent="0.2">
      <c r="A630" s="4" t="s">
        <v>3730</v>
      </c>
      <c r="B630">
        <v>66.682741471868738</v>
      </c>
      <c r="C630" s="7">
        <v>0.76427703523693802</v>
      </c>
      <c r="E630">
        <v>66.682741471868738</v>
      </c>
      <c r="F630">
        <f t="shared" si="9"/>
        <v>0.76427703523693802</v>
      </c>
    </row>
    <row r="631" spans="1:6" ht="112" x14ac:dyDescent="0.2">
      <c r="A631" s="4" t="s">
        <v>3230</v>
      </c>
      <c r="B631">
        <v>66.795936642992388</v>
      </c>
      <c r="C631" s="7">
        <v>0.76549210206561358</v>
      </c>
      <c r="E631">
        <v>66.795936642992388</v>
      </c>
      <c r="F631">
        <f t="shared" si="9"/>
        <v>0.76549210206561358</v>
      </c>
    </row>
    <row r="632" spans="1:6" ht="112" x14ac:dyDescent="0.2">
      <c r="A632" s="4" t="s">
        <v>3036</v>
      </c>
      <c r="B632">
        <v>66.94264560054377</v>
      </c>
      <c r="C632" s="7">
        <v>0.76670716889428914</v>
      </c>
      <c r="E632">
        <v>66.94264560054377</v>
      </c>
      <c r="F632">
        <f t="shared" si="9"/>
        <v>0.76670716889428914</v>
      </c>
    </row>
    <row r="633" spans="1:6" ht="112" x14ac:dyDescent="0.2">
      <c r="A633" s="4" t="s">
        <v>3723</v>
      </c>
      <c r="B633">
        <v>67.093852323297256</v>
      </c>
      <c r="C633" s="7">
        <v>0.76792223572296481</v>
      </c>
      <c r="E633">
        <v>67.093852323297256</v>
      </c>
      <c r="F633">
        <f t="shared" si="9"/>
        <v>0.76792223572296481</v>
      </c>
    </row>
    <row r="634" spans="1:6" ht="96" x14ac:dyDescent="0.2">
      <c r="A634" s="4" t="s">
        <v>3850</v>
      </c>
      <c r="B634">
        <v>67.312157073032211</v>
      </c>
      <c r="C634" s="7">
        <v>0.76913730255164037</v>
      </c>
      <c r="E634">
        <v>67.312157073032211</v>
      </c>
      <c r="F634">
        <f t="shared" si="9"/>
        <v>0.76913730255164037</v>
      </c>
    </row>
    <row r="635" spans="1:6" ht="112" x14ac:dyDescent="0.2">
      <c r="A635" s="4" t="s">
        <v>3108</v>
      </c>
      <c r="B635">
        <v>67.553503068722463</v>
      </c>
      <c r="C635" s="7">
        <v>0.77035236938031593</v>
      </c>
      <c r="E635">
        <v>67.553503068722463</v>
      </c>
      <c r="F635">
        <f t="shared" si="9"/>
        <v>0.77035236938031593</v>
      </c>
    </row>
    <row r="636" spans="1:6" ht="112" x14ac:dyDescent="0.2">
      <c r="A636" s="4" t="s">
        <v>3549</v>
      </c>
      <c r="B636">
        <v>67.659485606159606</v>
      </c>
      <c r="C636" s="7">
        <v>0.77156743620899149</v>
      </c>
      <c r="E636">
        <v>67.659485606159606</v>
      </c>
      <c r="F636">
        <f t="shared" si="9"/>
        <v>0.77156743620899149</v>
      </c>
    </row>
    <row r="637" spans="1:6" ht="112" x14ac:dyDescent="0.2">
      <c r="A637" s="4" t="s">
        <v>3824</v>
      </c>
      <c r="B637">
        <v>67.714249568274738</v>
      </c>
      <c r="C637" s="7">
        <v>0.77278250303766705</v>
      </c>
      <c r="E637">
        <v>67.714249568274738</v>
      </c>
      <c r="F637">
        <f t="shared" si="9"/>
        <v>0.77278250303766705</v>
      </c>
    </row>
    <row r="638" spans="1:6" ht="112" x14ac:dyDescent="0.2">
      <c r="A638" s="4" t="s">
        <v>3409</v>
      </c>
      <c r="B638">
        <v>67.777208558629795</v>
      </c>
      <c r="C638" s="7">
        <v>0.77399756986634261</v>
      </c>
      <c r="E638">
        <v>67.777208558629795</v>
      </c>
      <c r="F638">
        <f t="shared" si="9"/>
        <v>0.77399756986634261</v>
      </c>
    </row>
    <row r="639" spans="1:6" ht="112" x14ac:dyDescent="0.2">
      <c r="A639" s="4" t="s">
        <v>3617</v>
      </c>
      <c r="B639">
        <v>67.833073245053001</v>
      </c>
      <c r="C639" s="7">
        <v>0.77521263669501828</v>
      </c>
      <c r="E639">
        <v>67.833073245053001</v>
      </c>
      <c r="F639">
        <f t="shared" si="9"/>
        <v>0.77521263669501828</v>
      </c>
    </row>
    <row r="640" spans="1:6" ht="112" x14ac:dyDescent="0.2">
      <c r="A640" s="4" t="s">
        <v>3072</v>
      </c>
      <c r="B640">
        <v>67.887797518467167</v>
      </c>
      <c r="C640" s="7">
        <v>0.77642770352369384</v>
      </c>
      <c r="E640">
        <v>67.887797518467167</v>
      </c>
      <c r="F640">
        <f t="shared" si="9"/>
        <v>0.77642770352369384</v>
      </c>
    </row>
    <row r="641" spans="1:6" ht="112" x14ac:dyDescent="0.2">
      <c r="A641" s="4" t="s">
        <v>3252</v>
      </c>
      <c r="B641">
        <v>67.974135423250956</v>
      </c>
      <c r="C641" s="7">
        <v>0.77764277035236939</v>
      </c>
      <c r="E641">
        <v>67.974135423250956</v>
      </c>
      <c r="F641">
        <f t="shared" si="9"/>
        <v>0.77764277035236939</v>
      </c>
    </row>
    <row r="642" spans="1:6" ht="96" x14ac:dyDescent="0.2">
      <c r="A642" s="4" t="s">
        <v>3844</v>
      </c>
      <c r="B642">
        <v>68.275442534877314</v>
      </c>
      <c r="C642" s="7">
        <v>0.77885783718104495</v>
      </c>
      <c r="E642">
        <v>68.275442534877314</v>
      </c>
      <c r="F642">
        <f t="shared" si="9"/>
        <v>0.77885783718104495</v>
      </c>
    </row>
    <row r="643" spans="1:6" ht="112" x14ac:dyDescent="0.2">
      <c r="A643" s="4" t="s">
        <v>3557</v>
      </c>
      <c r="B643">
        <v>68.338883163463549</v>
      </c>
      <c r="C643" s="7">
        <v>0.78007290400972051</v>
      </c>
      <c r="E643">
        <v>68.338883163463549</v>
      </c>
      <c r="F643">
        <f t="shared" ref="F643:F706" si="10">_xlfn.RANK.EQ(E643,$E$2:$E$824,1)/COUNT($E$2:$E$824)</f>
        <v>0.78007290400972051</v>
      </c>
    </row>
    <row r="644" spans="1:6" ht="112" x14ac:dyDescent="0.2">
      <c r="A644" s="4" t="s">
        <v>3501</v>
      </c>
      <c r="B644">
        <v>68.393124999999998</v>
      </c>
      <c r="C644" s="7">
        <v>0.78128797083839607</v>
      </c>
      <c r="E644">
        <v>68.393124999999998</v>
      </c>
      <c r="F644">
        <f t="shared" si="10"/>
        <v>0.78128797083839607</v>
      </c>
    </row>
    <row r="645" spans="1:6" ht="112" x14ac:dyDescent="0.2">
      <c r="A645" s="4" t="s">
        <v>3573</v>
      </c>
      <c r="B645">
        <v>68.395925941832331</v>
      </c>
      <c r="C645" s="7">
        <v>0.78250303766707174</v>
      </c>
      <c r="E645">
        <v>68.395925941832331</v>
      </c>
      <c r="F645">
        <f t="shared" si="10"/>
        <v>0.78250303766707174</v>
      </c>
    </row>
    <row r="646" spans="1:6" ht="112" x14ac:dyDescent="0.2">
      <c r="A646" s="4" t="s">
        <v>3544</v>
      </c>
      <c r="B646">
        <v>68.75513074206323</v>
      </c>
      <c r="C646" s="7">
        <v>0.7837181044957473</v>
      </c>
      <c r="E646">
        <v>68.75513074206323</v>
      </c>
      <c r="F646">
        <f t="shared" si="10"/>
        <v>0.7837181044957473</v>
      </c>
    </row>
    <row r="647" spans="1:6" ht="112" x14ac:dyDescent="0.2">
      <c r="A647" s="4" t="s">
        <v>3162</v>
      </c>
      <c r="B647">
        <v>68.813705605306978</v>
      </c>
      <c r="C647" s="7">
        <v>0.78493317132442286</v>
      </c>
      <c r="E647">
        <v>68.813705605306978</v>
      </c>
      <c r="F647">
        <f t="shared" si="10"/>
        <v>0.78493317132442286</v>
      </c>
    </row>
    <row r="648" spans="1:6" ht="112" x14ac:dyDescent="0.2">
      <c r="A648" s="4" t="s">
        <v>3054</v>
      </c>
      <c r="B648">
        <v>68.838300872736937</v>
      </c>
      <c r="C648" s="7">
        <v>0.78614823815309842</v>
      </c>
      <c r="E648">
        <v>68.838300872736937</v>
      </c>
      <c r="F648">
        <f t="shared" si="10"/>
        <v>0.78614823815309842</v>
      </c>
    </row>
    <row r="649" spans="1:6" ht="112" x14ac:dyDescent="0.2">
      <c r="A649" s="4" t="s">
        <v>3202</v>
      </c>
      <c r="B649">
        <v>68.843245182104752</v>
      </c>
      <c r="C649" s="7">
        <v>0.78736330498177398</v>
      </c>
      <c r="E649">
        <v>68.843245182104752</v>
      </c>
      <c r="F649">
        <f t="shared" si="10"/>
        <v>0.78736330498177398</v>
      </c>
    </row>
    <row r="650" spans="1:6" ht="112" x14ac:dyDescent="0.2">
      <c r="A650" s="4" t="s">
        <v>3078</v>
      </c>
      <c r="B650">
        <v>68.868710734133955</v>
      </c>
      <c r="C650" s="7">
        <v>0.78857837181044954</v>
      </c>
      <c r="E650">
        <v>68.868710734133955</v>
      </c>
      <c r="F650">
        <f t="shared" si="10"/>
        <v>0.78857837181044954</v>
      </c>
    </row>
    <row r="651" spans="1:6" ht="112" x14ac:dyDescent="0.2">
      <c r="A651" s="4" t="s">
        <v>3318</v>
      </c>
      <c r="B651">
        <v>68.891415079167672</v>
      </c>
      <c r="C651" s="7">
        <v>0.7897934386391251</v>
      </c>
      <c r="E651">
        <v>68.891415079167672</v>
      </c>
      <c r="F651">
        <f t="shared" si="10"/>
        <v>0.7897934386391251</v>
      </c>
    </row>
    <row r="652" spans="1:6" ht="128" x14ac:dyDescent="0.2">
      <c r="A652" s="4" t="s">
        <v>3144</v>
      </c>
      <c r="B652">
        <v>68.917512244536979</v>
      </c>
      <c r="C652" s="7">
        <v>0.79100850546780077</v>
      </c>
      <c r="E652">
        <v>68.917512244536979</v>
      </c>
      <c r="F652">
        <f t="shared" si="10"/>
        <v>0.79100850546780077</v>
      </c>
    </row>
    <row r="653" spans="1:6" ht="96" x14ac:dyDescent="0.2">
      <c r="A653" s="4" t="s">
        <v>3820</v>
      </c>
      <c r="B653">
        <v>68.945776676666867</v>
      </c>
      <c r="C653" s="7">
        <v>0.79222357229647633</v>
      </c>
      <c r="E653">
        <v>68.945776676666867</v>
      </c>
      <c r="F653">
        <f t="shared" si="10"/>
        <v>0.79222357229647633</v>
      </c>
    </row>
    <row r="654" spans="1:6" ht="96" x14ac:dyDescent="0.2">
      <c r="A654" s="4" t="s">
        <v>3764</v>
      </c>
      <c r="B654">
        <v>69.393620535346898</v>
      </c>
      <c r="C654" s="7">
        <v>0.79343863912515189</v>
      </c>
      <c r="E654">
        <v>69.393620535346898</v>
      </c>
      <c r="F654">
        <f t="shared" si="10"/>
        <v>0.79343863912515189</v>
      </c>
    </row>
    <row r="655" spans="1:6" ht="112" x14ac:dyDescent="0.2">
      <c r="A655" s="4" t="s">
        <v>3842</v>
      </c>
      <c r="B655">
        <v>69.493034185975304</v>
      </c>
      <c r="C655" s="7">
        <v>0.79465370595382745</v>
      </c>
      <c r="E655">
        <v>69.493034185975304</v>
      </c>
      <c r="F655">
        <f t="shared" si="10"/>
        <v>0.79465370595382745</v>
      </c>
    </row>
    <row r="656" spans="1:6" ht="112" x14ac:dyDescent="0.2">
      <c r="A656" s="4" t="s">
        <v>3200</v>
      </c>
      <c r="B656">
        <v>69.598071315210333</v>
      </c>
      <c r="C656" s="7">
        <v>0.79586877278250301</v>
      </c>
      <c r="E656">
        <v>69.598071315210333</v>
      </c>
      <c r="F656">
        <f t="shared" si="10"/>
        <v>0.79586877278250301</v>
      </c>
    </row>
    <row r="657" spans="1:6" ht="112" x14ac:dyDescent="0.2">
      <c r="A657" s="4" t="s">
        <v>3092</v>
      </c>
      <c r="B657">
        <v>69.685586036172637</v>
      </c>
      <c r="C657" s="7">
        <v>0.79708383961117857</v>
      </c>
      <c r="E657">
        <v>69.685586036172637</v>
      </c>
      <c r="F657">
        <f t="shared" si="10"/>
        <v>0.79708383961117857</v>
      </c>
    </row>
    <row r="658" spans="1:6" ht="112" x14ac:dyDescent="0.2">
      <c r="A658" s="4" t="s">
        <v>3395</v>
      </c>
      <c r="B658">
        <v>69.719574532170384</v>
      </c>
      <c r="C658" s="7">
        <v>0.79829890643985424</v>
      </c>
      <c r="E658">
        <v>69.719574532170384</v>
      </c>
      <c r="F658">
        <f t="shared" si="10"/>
        <v>0.79829890643985424</v>
      </c>
    </row>
    <row r="659" spans="1:6" ht="112" x14ac:dyDescent="0.2">
      <c r="A659" s="4" t="s">
        <v>3204</v>
      </c>
      <c r="B659">
        <v>69.789147011913016</v>
      </c>
      <c r="C659" s="7">
        <v>0.7995139732685298</v>
      </c>
      <c r="E659">
        <v>69.789147011913016</v>
      </c>
      <c r="F659">
        <f t="shared" si="10"/>
        <v>0.7995139732685298</v>
      </c>
    </row>
    <row r="660" spans="1:6" ht="112" x14ac:dyDescent="0.2">
      <c r="A660" s="4" t="s">
        <v>3142</v>
      </c>
      <c r="B660">
        <v>69.815912303876047</v>
      </c>
      <c r="C660" s="7">
        <v>0.80072904009720536</v>
      </c>
      <c r="E660">
        <v>69.815912303876047</v>
      </c>
      <c r="F660">
        <f t="shared" si="10"/>
        <v>0.80072904009720536</v>
      </c>
    </row>
    <row r="661" spans="1:6" ht="96" x14ac:dyDescent="0.2">
      <c r="A661" s="4" t="s">
        <v>3603</v>
      </c>
      <c r="B661">
        <v>69.831031975152712</v>
      </c>
      <c r="C661" s="7">
        <v>0.80194410692588092</v>
      </c>
      <c r="E661">
        <v>69.831031975152712</v>
      </c>
      <c r="F661">
        <f t="shared" si="10"/>
        <v>0.80194410692588092</v>
      </c>
    </row>
    <row r="662" spans="1:6" ht="112" x14ac:dyDescent="0.2">
      <c r="A662" s="4" t="s">
        <v>3182</v>
      </c>
      <c r="B662">
        <v>69.974277106103358</v>
      </c>
      <c r="C662" s="7">
        <v>0.80315917375455648</v>
      </c>
      <c r="E662">
        <v>69.974277106103358</v>
      </c>
      <c r="F662">
        <f t="shared" si="10"/>
        <v>0.80315917375455648</v>
      </c>
    </row>
    <row r="663" spans="1:6" ht="128" x14ac:dyDescent="0.2">
      <c r="A663" s="4" t="s">
        <v>3732</v>
      </c>
      <c r="B663">
        <v>69.989144258608334</v>
      </c>
      <c r="C663" s="7">
        <v>0.80437424058323204</v>
      </c>
      <c r="E663">
        <v>69.989144258608334</v>
      </c>
      <c r="F663">
        <f t="shared" si="10"/>
        <v>0.80437424058323204</v>
      </c>
    </row>
    <row r="664" spans="1:6" ht="112" x14ac:dyDescent="0.2">
      <c r="A664" s="4" t="s">
        <v>3212</v>
      </c>
      <c r="B664">
        <v>70.050623095724788</v>
      </c>
      <c r="C664" s="7">
        <v>0.80558930741190771</v>
      </c>
      <c r="E664">
        <v>70.050623095724788</v>
      </c>
      <c r="F664">
        <f t="shared" si="10"/>
        <v>0.80558930741190771</v>
      </c>
    </row>
    <row r="665" spans="1:6" ht="112" x14ac:dyDescent="0.2">
      <c r="A665" s="4" t="s">
        <v>3831</v>
      </c>
      <c r="B665">
        <v>70.382830709648729</v>
      </c>
      <c r="C665" s="7">
        <v>0.80680437424058327</v>
      </c>
      <c r="E665">
        <v>70.382830709648729</v>
      </c>
      <c r="F665">
        <f t="shared" si="10"/>
        <v>0.80680437424058327</v>
      </c>
    </row>
    <row r="666" spans="1:6" ht="112" x14ac:dyDescent="0.2">
      <c r="A666" s="4" t="s">
        <v>3234</v>
      </c>
      <c r="B666">
        <v>70.38900190419541</v>
      </c>
      <c r="C666" s="7">
        <v>0.80801944106925883</v>
      </c>
      <c r="E666">
        <v>70.38900190419541</v>
      </c>
      <c r="F666">
        <f t="shared" si="10"/>
        <v>0.80801944106925883</v>
      </c>
    </row>
    <row r="667" spans="1:6" ht="112" x14ac:dyDescent="0.2">
      <c r="A667" s="4" t="s">
        <v>3413</v>
      </c>
      <c r="B667">
        <v>70.539424419773397</v>
      </c>
      <c r="C667" s="7">
        <v>0.80923450789793439</v>
      </c>
      <c r="E667">
        <v>70.539424419773397</v>
      </c>
      <c r="F667">
        <f t="shared" si="10"/>
        <v>0.80923450789793439</v>
      </c>
    </row>
    <row r="668" spans="1:6" ht="96" x14ac:dyDescent="0.2">
      <c r="A668" s="4" t="s">
        <v>3790</v>
      </c>
      <c r="B668">
        <v>70.676688835719688</v>
      </c>
      <c r="C668" s="7">
        <v>0.81044957472660994</v>
      </c>
      <c r="E668">
        <v>70.676688835719688</v>
      </c>
      <c r="F668">
        <f t="shared" si="10"/>
        <v>0.81044957472660994</v>
      </c>
    </row>
    <row r="669" spans="1:6" ht="112" x14ac:dyDescent="0.2">
      <c r="A669" s="4" t="s">
        <v>3698</v>
      </c>
      <c r="B669">
        <v>70.763123903581587</v>
      </c>
      <c r="C669" s="7">
        <v>0.8116646415552855</v>
      </c>
      <c r="E669">
        <v>70.763123903581587</v>
      </c>
      <c r="F669">
        <f t="shared" si="10"/>
        <v>0.8116646415552855</v>
      </c>
    </row>
    <row r="670" spans="1:6" ht="112" x14ac:dyDescent="0.2">
      <c r="A670" s="4" t="s">
        <v>3206</v>
      </c>
      <c r="B670">
        <v>70.783779542970379</v>
      </c>
      <c r="C670" s="7">
        <v>0.81287970838396106</v>
      </c>
      <c r="E670">
        <v>70.783779542970379</v>
      </c>
      <c r="F670">
        <f t="shared" si="10"/>
        <v>0.81287970838396106</v>
      </c>
    </row>
    <row r="671" spans="1:6" ht="112" x14ac:dyDescent="0.2">
      <c r="A671" s="4" t="s">
        <v>3371</v>
      </c>
      <c r="B671">
        <v>70.861879824675057</v>
      </c>
      <c r="C671" s="7">
        <v>0.81409477521263673</v>
      </c>
      <c r="E671">
        <v>70.861879824675057</v>
      </c>
      <c r="F671">
        <f t="shared" si="10"/>
        <v>0.81409477521263673</v>
      </c>
    </row>
    <row r="672" spans="1:6" ht="112" x14ac:dyDescent="0.2">
      <c r="A672" s="4" t="s">
        <v>3638</v>
      </c>
      <c r="B672">
        <v>70.906996201399934</v>
      </c>
      <c r="C672" s="7">
        <v>0.81530984204131229</v>
      </c>
      <c r="E672">
        <v>70.906996201399934</v>
      </c>
      <c r="F672">
        <f t="shared" si="10"/>
        <v>0.81530984204131229</v>
      </c>
    </row>
    <row r="673" spans="1:6" ht="112" x14ac:dyDescent="0.2">
      <c r="A673" s="4" t="s">
        <v>3837</v>
      </c>
      <c r="B673">
        <v>70.967439738520525</v>
      </c>
      <c r="C673" s="7">
        <v>0.81652490886998785</v>
      </c>
      <c r="E673">
        <v>70.967439738520525</v>
      </c>
      <c r="F673">
        <f t="shared" si="10"/>
        <v>0.81652490886998785</v>
      </c>
    </row>
    <row r="674" spans="1:6" ht="112" x14ac:dyDescent="0.2">
      <c r="A674" s="4" t="s">
        <v>3294</v>
      </c>
      <c r="B674">
        <v>71.040094512735408</v>
      </c>
      <c r="C674" s="7">
        <v>0.81773997569866341</v>
      </c>
      <c r="E674">
        <v>71.040094512735408</v>
      </c>
      <c r="F674">
        <f t="shared" si="10"/>
        <v>0.81773997569866341</v>
      </c>
    </row>
    <row r="675" spans="1:6" ht="112" x14ac:dyDescent="0.2">
      <c r="A675" s="4" t="s">
        <v>3216</v>
      </c>
      <c r="B675">
        <v>71.353299963988462</v>
      </c>
      <c r="C675" s="7">
        <v>0.81895504252733897</v>
      </c>
      <c r="E675">
        <v>71.353299963988462</v>
      </c>
      <c r="F675">
        <f t="shared" si="10"/>
        <v>0.81895504252733897</v>
      </c>
    </row>
    <row r="676" spans="1:6" ht="112" x14ac:dyDescent="0.2">
      <c r="A676" s="4" t="s">
        <v>3474</v>
      </c>
      <c r="B676">
        <v>71.366908274828745</v>
      </c>
      <c r="C676" s="7">
        <v>0.82017010935601453</v>
      </c>
      <c r="E676">
        <v>71.366908274828745</v>
      </c>
      <c r="F676">
        <f t="shared" si="10"/>
        <v>0.82017010935601453</v>
      </c>
    </row>
    <row r="677" spans="1:6" ht="112" x14ac:dyDescent="0.2">
      <c r="A677" s="4" t="s">
        <v>3158</v>
      </c>
      <c r="B677">
        <v>71.390650123744564</v>
      </c>
      <c r="C677" s="7">
        <v>0.8213851761846902</v>
      </c>
      <c r="E677">
        <v>71.390650123744564</v>
      </c>
      <c r="F677">
        <f t="shared" si="10"/>
        <v>0.8213851761846902</v>
      </c>
    </row>
    <row r="678" spans="1:6" ht="112" x14ac:dyDescent="0.2">
      <c r="A678" s="4" t="s">
        <v>3668</v>
      </c>
      <c r="B678">
        <v>71.48552948830816</v>
      </c>
      <c r="C678" s="7">
        <v>0.82260024301336576</v>
      </c>
      <c r="E678">
        <v>71.48552948830816</v>
      </c>
      <c r="F678">
        <f t="shared" si="10"/>
        <v>0.82260024301336576</v>
      </c>
    </row>
    <row r="679" spans="1:6" ht="112" x14ac:dyDescent="0.2">
      <c r="A679" s="4" t="s">
        <v>3495</v>
      </c>
      <c r="B679">
        <v>71.84804848069696</v>
      </c>
      <c r="C679" s="7">
        <v>0.82381530984204132</v>
      </c>
      <c r="E679">
        <v>71.84804848069696</v>
      </c>
      <c r="F679">
        <f t="shared" si="10"/>
        <v>0.82381530984204132</v>
      </c>
    </row>
    <row r="680" spans="1:6" ht="112" x14ac:dyDescent="0.2">
      <c r="A680" s="4" t="s">
        <v>3783</v>
      </c>
      <c r="B680">
        <v>71.985398797830129</v>
      </c>
      <c r="C680" s="7">
        <v>0.82503037667071688</v>
      </c>
      <c r="E680">
        <v>71.985398797830129</v>
      </c>
      <c r="F680">
        <f t="shared" si="10"/>
        <v>0.82503037667071688</v>
      </c>
    </row>
    <row r="681" spans="1:6" ht="112" x14ac:dyDescent="0.2">
      <c r="A681" s="4" t="s">
        <v>3248</v>
      </c>
      <c r="B681">
        <v>72.097352576425521</v>
      </c>
      <c r="C681" s="7">
        <v>0.82624544349939244</v>
      </c>
      <c r="E681">
        <v>72.097352576425521</v>
      </c>
      <c r="F681">
        <f t="shared" si="10"/>
        <v>0.82624544349939244</v>
      </c>
    </row>
    <row r="682" spans="1:6" ht="112" x14ac:dyDescent="0.2">
      <c r="A682" s="4" t="s">
        <v>3254</v>
      </c>
      <c r="B682">
        <v>72.152277494011329</v>
      </c>
      <c r="C682" s="7">
        <v>0.827460510328068</v>
      </c>
      <c r="E682">
        <v>72.152277494011329</v>
      </c>
      <c r="F682">
        <f t="shared" si="10"/>
        <v>0.827460510328068</v>
      </c>
    </row>
    <row r="683" spans="1:6" ht="112" x14ac:dyDescent="0.2">
      <c r="A683" s="4" t="s">
        <v>3042</v>
      </c>
      <c r="B683">
        <v>72.159625059164796</v>
      </c>
      <c r="C683" s="7">
        <v>0.82867557715674367</v>
      </c>
      <c r="E683">
        <v>72.159625059164796</v>
      </c>
      <c r="F683">
        <f t="shared" si="10"/>
        <v>0.82867557715674367</v>
      </c>
    </row>
    <row r="684" spans="1:6" ht="112" x14ac:dyDescent="0.2">
      <c r="A684" s="4" t="s">
        <v>3132</v>
      </c>
      <c r="B684">
        <v>72.358811940009431</v>
      </c>
      <c r="C684" s="7">
        <v>0.82989064398541923</v>
      </c>
      <c r="E684">
        <v>72.358811940009431</v>
      </c>
      <c r="F684">
        <f t="shared" si="10"/>
        <v>0.82989064398541923</v>
      </c>
    </row>
    <row r="685" spans="1:6" ht="112" x14ac:dyDescent="0.2">
      <c r="A685" s="4" t="s">
        <v>3056</v>
      </c>
      <c r="B685">
        <v>72.565901297743466</v>
      </c>
      <c r="C685" s="7">
        <v>0.83110571081409479</v>
      </c>
      <c r="E685">
        <v>72.565901297743466</v>
      </c>
      <c r="F685">
        <f t="shared" si="10"/>
        <v>0.83110571081409479</v>
      </c>
    </row>
    <row r="686" spans="1:6" ht="112" x14ac:dyDescent="0.2">
      <c r="A686" s="4" t="s">
        <v>3320</v>
      </c>
      <c r="B686">
        <v>72.577070035044784</v>
      </c>
      <c r="C686" s="7">
        <v>0.83232077764277035</v>
      </c>
      <c r="E686">
        <v>72.577070035044784</v>
      </c>
      <c r="F686">
        <f t="shared" si="10"/>
        <v>0.83232077764277035</v>
      </c>
    </row>
    <row r="687" spans="1:6" ht="112" x14ac:dyDescent="0.2">
      <c r="A687" s="4" t="s">
        <v>3156</v>
      </c>
      <c r="B687">
        <v>72.78145973927468</v>
      </c>
      <c r="C687" s="7">
        <v>0.83353584447144591</v>
      </c>
      <c r="E687">
        <v>72.78145973927468</v>
      </c>
      <c r="F687">
        <f t="shared" si="10"/>
        <v>0.83353584447144591</v>
      </c>
    </row>
    <row r="688" spans="1:6" ht="112" x14ac:dyDescent="0.2">
      <c r="A688" s="4" t="s">
        <v>3460</v>
      </c>
      <c r="B688">
        <v>72.947928280278205</v>
      </c>
      <c r="C688" s="7">
        <v>0.83475091130012147</v>
      </c>
      <c r="E688">
        <v>72.947928280278205</v>
      </c>
      <c r="F688">
        <f t="shared" si="10"/>
        <v>0.83475091130012147</v>
      </c>
    </row>
    <row r="689" spans="1:6" ht="112" x14ac:dyDescent="0.2">
      <c r="A689" s="4" t="s">
        <v>3090</v>
      </c>
      <c r="B689">
        <v>72.997884903365261</v>
      </c>
      <c r="C689" s="7">
        <v>0.83596597812879714</v>
      </c>
      <c r="E689">
        <v>72.997884903365261</v>
      </c>
      <c r="F689">
        <f t="shared" si="10"/>
        <v>0.83596597812879714</v>
      </c>
    </row>
    <row r="690" spans="1:6" ht="96" x14ac:dyDescent="0.2">
      <c r="A690" s="4" t="s">
        <v>3807</v>
      </c>
      <c r="B690">
        <v>73.02098882009517</v>
      </c>
      <c r="C690" s="7">
        <v>0.8371810449574727</v>
      </c>
      <c r="E690">
        <v>73.02098882009517</v>
      </c>
      <c r="F690">
        <f t="shared" si="10"/>
        <v>0.8371810449574727</v>
      </c>
    </row>
    <row r="691" spans="1:6" ht="128" x14ac:dyDescent="0.2">
      <c r="A691" s="4" t="s">
        <v>3218</v>
      </c>
      <c r="B691">
        <v>73.02411764705883</v>
      </c>
      <c r="C691" s="7">
        <v>0.83839611178614826</v>
      </c>
      <c r="E691">
        <v>73.02411764705883</v>
      </c>
      <c r="F691">
        <f t="shared" si="10"/>
        <v>0.83839611178614826</v>
      </c>
    </row>
    <row r="692" spans="1:6" ht="112" x14ac:dyDescent="0.2">
      <c r="A692" s="4" t="s">
        <v>3443</v>
      </c>
      <c r="B692">
        <v>73.037110629691938</v>
      </c>
      <c r="C692" s="7">
        <v>0.83961117861482382</v>
      </c>
      <c r="E692">
        <v>73.037110629691938</v>
      </c>
      <c r="F692">
        <f t="shared" si="10"/>
        <v>0.83961117861482382</v>
      </c>
    </row>
    <row r="693" spans="1:6" ht="128" x14ac:dyDescent="0.2">
      <c r="A693" s="4" t="s">
        <v>3798</v>
      </c>
      <c r="B693">
        <v>73.45403018954751</v>
      </c>
      <c r="C693" s="7">
        <v>0.84082624544349938</v>
      </c>
      <c r="E693">
        <v>73.45403018954751</v>
      </c>
      <c r="F693">
        <f t="shared" si="10"/>
        <v>0.84082624544349938</v>
      </c>
    </row>
    <row r="694" spans="1:6" ht="112" x14ac:dyDescent="0.2">
      <c r="A694" s="4" t="s">
        <v>3060</v>
      </c>
      <c r="B694">
        <v>73.769346001369001</v>
      </c>
      <c r="C694" s="7">
        <v>0.84204131227217494</v>
      </c>
      <c r="E694">
        <v>73.769346001369001</v>
      </c>
      <c r="F694">
        <f t="shared" si="10"/>
        <v>0.84204131227217494</v>
      </c>
    </row>
    <row r="695" spans="1:6" ht="112" x14ac:dyDescent="0.2">
      <c r="A695" s="4" t="s">
        <v>3748</v>
      </c>
      <c r="B695">
        <v>74.087187086044651</v>
      </c>
      <c r="C695" s="7">
        <v>0.84325637910085049</v>
      </c>
      <c r="E695">
        <v>74.087187086044651</v>
      </c>
      <c r="F695">
        <f t="shared" si="10"/>
        <v>0.84325637910085049</v>
      </c>
    </row>
    <row r="696" spans="1:6" ht="96" x14ac:dyDescent="0.2">
      <c r="A696" s="4" t="s">
        <v>3823</v>
      </c>
      <c r="B696">
        <v>74.410047351300236</v>
      </c>
      <c r="C696" s="7">
        <v>0.84447144592952617</v>
      </c>
      <c r="E696">
        <v>74.410047351300236</v>
      </c>
      <c r="F696">
        <f t="shared" si="10"/>
        <v>0.84447144592952617</v>
      </c>
    </row>
    <row r="697" spans="1:6" ht="112" x14ac:dyDescent="0.2">
      <c r="A697" s="4" t="s">
        <v>3809</v>
      </c>
      <c r="B697">
        <v>74.429700770362345</v>
      </c>
      <c r="C697" s="7">
        <v>0.84568651275820172</v>
      </c>
      <c r="E697">
        <v>74.429700770362345</v>
      </c>
      <c r="F697">
        <f t="shared" si="10"/>
        <v>0.84568651275820172</v>
      </c>
    </row>
    <row r="698" spans="1:6" ht="112" x14ac:dyDescent="0.2">
      <c r="A698" s="4" t="s">
        <v>3330</v>
      </c>
      <c r="B698">
        <v>74.624216406220469</v>
      </c>
      <c r="C698" s="7">
        <v>0.84690157958687728</v>
      </c>
      <c r="E698">
        <v>74.624216406220469</v>
      </c>
      <c r="F698">
        <f t="shared" si="10"/>
        <v>0.84690157958687728</v>
      </c>
    </row>
    <row r="699" spans="1:6" ht="112" x14ac:dyDescent="0.2">
      <c r="A699" s="4" t="s">
        <v>3357</v>
      </c>
      <c r="B699">
        <v>74.64959234715819</v>
      </c>
      <c r="C699" s="7">
        <v>0.84811664641555284</v>
      </c>
      <c r="E699">
        <v>74.64959234715819</v>
      </c>
      <c r="F699">
        <f t="shared" si="10"/>
        <v>0.84811664641555284</v>
      </c>
    </row>
    <row r="700" spans="1:6" ht="128" x14ac:dyDescent="0.2">
      <c r="A700" s="4" t="s">
        <v>3517</v>
      </c>
      <c r="B700">
        <v>74.875817495773475</v>
      </c>
      <c r="C700" s="7">
        <v>0.8493317132442284</v>
      </c>
      <c r="E700">
        <v>74.875817495773475</v>
      </c>
      <c r="F700">
        <f t="shared" si="10"/>
        <v>0.8493317132442284</v>
      </c>
    </row>
    <row r="701" spans="1:6" ht="112" x14ac:dyDescent="0.2">
      <c r="A701" s="4" t="s">
        <v>3180</v>
      </c>
      <c r="B701">
        <v>75.190808537966632</v>
      </c>
      <c r="C701" s="7">
        <v>0.85054678007290396</v>
      </c>
      <c r="E701">
        <v>75.190808537966632</v>
      </c>
      <c r="F701">
        <f t="shared" si="10"/>
        <v>0.85054678007290396</v>
      </c>
    </row>
    <row r="702" spans="1:6" ht="112" x14ac:dyDescent="0.2">
      <c r="A702" s="4" t="s">
        <v>3646</v>
      </c>
      <c r="B702">
        <v>75.283205449124139</v>
      </c>
      <c r="C702" s="7">
        <v>0.85176184690157963</v>
      </c>
      <c r="E702">
        <v>75.283205449124139</v>
      </c>
      <c r="F702">
        <f t="shared" si="10"/>
        <v>0.85176184690157963</v>
      </c>
    </row>
    <row r="703" spans="1:6" ht="96" x14ac:dyDescent="0.2">
      <c r="A703" s="4" t="s">
        <v>3533</v>
      </c>
      <c r="B703">
        <v>75.290836177924973</v>
      </c>
      <c r="C703" s="7">
        <v>0.85297691373025519</v>
      </c>
      <c r="E703">
        <v>75.290836177924973</v>
      </c>
      <c r="F703">
        <f t="shared" si="10"/>
        <v>0.85297691373025519</v>
      </c>
    </row>
    <row r="704" spans="1:6" ht="112" x14ac:dyDescent="0.2">
      <c r="A704" s="4" t="s">
        <v>3564</v>
      </c>
      <c r="B704">
        <v>75.58906677574393</v>
      </c>
      <c r="C704" s="7">
        <v>0.85419198055893075</v>
      </c>
      <c r="E704">
        <v>75.58906677574393</v>
      </c>
      <c r="F704">
        <f t="shared" si="10"/>
        <v>0.85419198055893075</v>
      </c>
    </row>
    <row r="705" spans="1:6" ht="96" x14ac:dyDescent="0.2">
      <c r="A705" s="4" t="s">
        <v>3832</v>
      </c>
      <c r="B705">
        <v>75.665207158754455</v>
      </c>
      <c r="C705" s="7">
        <v>0.85540704738760631</v>
      </c>
      <c r="E705">
        <v>75.665207158754455</v>
      </c>
      <c r="F705">
        <f t="shared" si="10"/>
        <v>0.85540704738760631</v>
      </c>
    </row>
    <row r="706" spans="1:6" ht="112" x14ac:dyDescent="0.2">
      <c r="A706" s="4" t="s">
        <v>3058</v>
      </c>
      <c r="B706">
        <v>75.762151191406957</v>
      </c>
      <c r="C706" s="7">
        <v>0.85662211421628187</v>
      </c>
      <c r="E706">
        <v>75.762151191406957</v>
      </c>
      <c r="F706">
        <f t="shared" si="10"/>
        <v>0.85662211421628187</v>
      </c>
    </row>
    <row r="707" spans="1:6" ht="112" x14ac:dyDescent="0.2">
      <c r="A707" s="4" t="s">
        <v>3355</v>
      </c>
      <c r="B707">
        <v>75.996686530640034</v>
      </c>
      <c r="C707" s="7">
        <v>0.85783718104495743</v>
      </c>
      <c r="E707">
        <v>75.996686530640034</v>
      </c>
      <c r="F707">
        <f t="shared" ref="F707:F770" si="11">_xlfn.RANK.EQ(E707,$E$2:$E$824,1)/COUNT($E$2:$E$824)</f>
        <v>0.85783718104495743</v>
      </c>
    </row>
    <row r="708" spans="1:6" ht="112" x14ac:dyDescent="0.2">
      <c r="A708" s="4" t="s">
        <v>3476</v>
      </c>
      <c r="B708">
        <v>76.669509275084508</v>
      </c>
      <c r="C708" s="7">
        <v>0.8590522478736331</v>
      </c>
      <c r="E708">
        <v>76.669509275084508</v>
      </c>
      <c r="F708">
        <f t="shared" si="11"/>
        <v>0.8590522478736331</v>
      </c>
    </row>
    <row r="709" spans="1:6" ht="128" x14ac:dyDescent="0.2">
      <c r="A709" s="4" t="s">
        <v>3282</v>
      </c>
      <c r="B709">
        <v>77.292942360903623</v>
      </c>
      <c r="C709" s="7">
        <v>0.86026731470230866</v>
      </c>
      <c r="E709">
        <v>77.292942360903623</v>
      </c>
      <c r="F709">
        <f t="shared" si="11"/>
        <v>0.86026731470230866</v>
      </c>
    </row>
    <row r="710" spans="1:6" ht="112" x14ac:dyDescent="0.2">
      <c r="A710" s="4" t="s">
        <v>3449</v>
      </c>
      <c r="B710">
        <v>77.443524641497973</v>
      </c>
      <c r="C710" s="7">
        <v>0.86148238153098422</v>
      </c>
      <c r="E710">
        <v>77.443524641497973</v>
      </c>
      <c r="F710">
        <f t="shared" si="11"/>
        <v>0.86148238153098422</v>
      </c>
    </row>
    <row r="711" spans="1:6" ht="112" x14ac:dyDescent="0.2">
      <c r="A711" s="4" t="s">
        <v>3300</v>
      </c>
      <c r="B711">
        <v>77.813566074895292</v>
      </c>
      <c r="C711" s="7">
        <v>0.86269744835965978</v>
      </c>
      <c r="E711">
        <v>77.813566074895292</v>
      </c>
      <c r="F711">
        <f t="shared" si="11"/>
        <v>0.86269744835965978</v>
      </c>
    </row>
    <row r="712" spans="1:6" ht="128" x14ac:dyDescent="0.2">
      <c r="A712" s="4" t="s">
        <v>3499</v>
      </c>
      <c r="B712">
        <v>77.93235109512041</v>
      </c>
      <c r="C712" s="7">
        <v>0.86391251518833534</v>
      </c>
      <c r="E712">
        <v>77.93235109512041</v>
      </c>
      <c r="F712">
        <f t="shared" si="11"/>
        <v>0.86391251518833534</v>
      </c>
    </row>
    <row r="713" spans="1:6" ht="112" x14ac:dyDescent="0.2">
      <c r="A713" s="4" t="s">
        <v>3691</v>
      </c>
      <c r="B713">
        <v>78.154846976120467</v>
      </c>
      <c r="C713" s="7">
        <v>0.8651275820170109</v>
      </c>
      <c r="E713">
        <v>78.154846976120467</v>
      </c>
      <c r="F713">
        <f t="shared" si="11"/>
        <v>0.8651275820170109</v>
      </c>
    </row>
    <row r="714" spans="1:6" ht="96" x14ac:dyDescent="0.2">
      <c r="A714" s="4" t="s">
        <v>3825</v>
      </c>
      <c r="B714">
        <v>78.6691061794793</v>
      </c>
      <c r="C714" s="7">
        <v>0.86634264884568646</v>
      </c>
      <c r="E714">
        <v>78.6691061794793</v>
      </c>
      <c r="F714">
        <f t="shared" si="11"/>
        <v>0.86634264884568646</v>
      </c>
    </row>
    <row r="715" spans="1:6" ht="96" x14ac:dyDescent="0.2">
      <c r="A715" s="4" t="s">
        <v>3834</v>
      </c>
      <c r="B715">
        <v>78.71554344460445</v>
      </c>
      <c r="C715" s="7">
        <v>0.86755771567436213</v>
      </c>
      <c r="E715">
        <v>78.71554344460445</v>
      </c>
      <c r="F715">
        <f t="shared" si="11"/>
        <v>0.86755771567436213</v>
      </c>
    </row>
    <row r="716" spans="1:6" ht="112" x14ac:dyDescent="0.2">
      <c r="A716" s="4" t="s">
        <v>3164</v>
      </c>
      <c r="B716">
        <v>79.185371604459633</v>
      </c>
      <c r="C716" s="7">
        <v>0.86877278250303769</v>
      </c>
      <c r="E716">
        <v>79.185371604459633</v>
      </c>
      <c r="F716">
        <f t="shared" si="11"/>
        <v>0.86877278250303769</v>
      </c>
    </row>
    <row r="717" spans="1:6" ht="112" x14ac:dyDescent="0.2">
      <c r="A717" s="4" t="s">
        <v>3337</v>
      </c>
      <c r="B717">
        <v>79.191619947615266</v>
      </c>
      <c r="C717" s="7">
        <v>0.86998784933171325</v>
      </c>
      <c r="E717">
        <v>79.191619947615266</v>
      </c>
      <c r="F717">
        <f t="shared" si="11"/>
        <v>0.86998784933171325</v>
      </c>
    </row>
    <row r="718" spans="1:6" ht="128" x14ac:dyDescent="0.2">
      <c r="A718" s="4" t="s">
        <v>3064</v>
      </c>
      <c r="B718">
        <v>79.215205613356218</v>
      </c>
      <c r="C718" s="7">
        <v>0.87120291616038881</v>
      </c>
      <c r="E718">
        <v>79.215205613356218</v>
      </c>
      <c r="F718">
        <f t="shared" si="11"/>
        <v>0.87120291616038881</v>
      </c>
    </row>
    <row r="719" spans="1:6" ht="128" x14ac:dyDescent="0.2">
      <c r="A719" s="4" t="s">
        <v>3577</v>
      </c>
      <c r="B719">
        <v>79.347720946399932</v>
      </c>
      <c r="C719" s="7">
        <v>0.87241798298906437</v>
      </c>
      <c r="E719">
        <v>79.347720946399932</v>
      </c>
      <c r="F719">
        <f t="shared" si="11"/>
        <v>0.87241798298906437</v>
      </c>
    </row>
    <row r="720" spans="1:6" ht="112" x14ac:dyDescent="0.2">
      <c r="A720" s="4" t="s">
        <v>3601</v>
      </c>
      <c r="B720">
        <v>79.495843415680355</v>
      </c>
      <c r="C720" s="7">
        <v>0.87363304981773993</v>
      </c>
      <c r="E720">
        <v>79.495843415680355</v>
      </c>
      <c r="F720">
        <f t="shared" si="11"/>
        <v>0.87363304981773993</v>
      </c>
    </row>
    <row r="721" spans="1:6" ht="96" x14ac:dyDescent="0.2">
      <c r="A721" s="4" t="s">
        <v>3714</v>
      </c>
      <c r="B721">
        <v>79.78869288349533</v>
      </c>
      <c r="C721" s="7">
        <v>0.8748481166464156</v>
      </c>
      <c r="E721">
        <v>79.78869288349533</v>
      </c>
      <c r="F721">
        <f t="shared" si="11"/>
        <v>0.8748481166464156</v>
      </c>
    </row>
    <row r="722" spans="1:6" ht="112" x14ac:dyDescent="0.2">
      <c r="A722" s="4" t="s">
        <v>3128</v>
      </c>
      <c r="B722">
        <v>79.874668601687432</v>
      </c>
      <c r="C722" s="7">
        <v>0.87606318347509116</v>
      </c>
      <c r="E722">
        <v>79.874668601687432</v>
      </c>
      <c r="F722">
        <f t="shared" si="11"/>
        <v>0.87606318347509116</v>
      </c>
    </row>
    <row r="723" spans="1:6" ht="112" x14ac:dyDescent="0.2">
      <c r="A723" s="4" t="s">
        <v>3031</v>
      </c>
      <c r="B723">
        <v>79.951544679180714</v>
      </c>
      <c r="C723" s="7">
        <v>0.87727825030376672</v>
      </c>
      <c r="E723">
        <v>79.951544679180714</v>
      </c>
      <c r="F723">
        <f t="shared" si="11"/>
        <v>0.87727825030376672</v>
      </c>
    </row>
    <row r="724" spans="1:6" ht="112" x14ac:dyDescent="0.2">
      <c r="A724" s="4" t="s">
        <v>3596</v>
      </c>
      <c r="B724">
        <v>80.102155151563139</v>
      </c>
      <c r="C724" s="7">
        <v>0.87849331713244228</v>
      </c>
      <c r="E724">
        <v>80.102155151563139</v>
      </c>
      <c r="F724">
        <f t="shared" si="11"/>
        <v>0.87849331713244228</v>
      </c>
    </row>
    <row r="725" spans="1:6" ht="112" x14ac:dyDescent="0.2">
      <c r="A725" s="4" t="s">
        <v>3791</v>
      </c>
      <c r="B725">
        <v>80.225323143814208</v>
      </c>
      <c r="C725" s="7">
        <v>0.87970838396111783</v>
      </c>
      <c r="E725">
        <v>80.225323143814208</v>
      </c>
      <c r="F725">
        <f t="shared" si="11"/>
        <v>0.87970838396111783</v>
      </c>
    </row>
    <row r="726" spans="1:6" ht="112" x14ac:dyDescent="0.2">
      <c r="A726" s="4" t="s">
        <v>3088</v>
      </c>
      <c r="B726">
        <v>80.273836188208335</v>
      </c>
      <c r="C726" s="7">
        <v>0.88092345078979339</v>
      </c>
      <c r="E726">
        <v>80.273836188208335</v>
      </c>
      <c r="F726">
        <f t="shared" si="11"/>
        <v>0.88092345078979339</v>
      </c>
    </row>
    <row r="727" spans="1:6" ht="112" x14ac:dyDescent="0.2">
      <c r="A727" s="4" t="s">
        <v>3100</v>
      </c>
      <c r="B727">
        <v>80.503183460608682</v>
      </c>
      <c r="C727" s="7">
        <v>0.88213851761846906</v>
      </c>
      <c r="E727">
        <v>80.503183460608682</v>
      </c>
      <c r="F727">
        <f t="shared" si="11"/>
        <v>0.88213851761846906</v>
      </c>
    </row>
    <row r="728" spans="1:6" ht="96" x14ac:dyDescent="0.2">
      <c r="A728" s="4" t="s">
        <v>3744</v>
      </c>
      <c r="B728">
        <v>80.623934855570837</v>
      </c>
      <c r="C728" s="7">
        <v>0.88335358444714462</v>
      </c>
      <c r="E728">
        <v>80.623934855570837</v>
      </c>
      <c r="F728">
        <f t="shared" si="11"/>
        <v>0.88335358444714462</v>
      </c>
    </row>
    <row r="729" spans="1:6" ht="112" x14ac:dyDescent="0.2">
      <c r="A729" s="4" t="s">
        <v>3194</v>
      </c>
      <c r="B729">
        <v>80.805197460221365</v>
      </c>
      <c r="C729" s="7">
        <v>0.88456865127582018</v>
      </c>
      <c r="E729">
        <v>80.805197460221365</v>
      </c>
      <c r="F729">
        <f t="shared" si="11"/>
        <v>0.88456865127582018</v>
      </c>
    </row>
    <row r="730" spans="1:6" ht="128" x14ac:dyDescent="0.2">
      <c r="A730" s="4" t="s">
        <v>3645</v>
      </c>
      <c r="B730">
        <v>80.940745475471132</v>
      </c>
      <c r="C730" s="7">
        <v>0.88578371810449574</v>
      </c>
      <c r="E730">
        <v>80.940745475471132</v>
      </c>
      <c r="F730">
        <f t="shared" si="11"/>
        <v>0.88578371810449574</v>
      </c>
    </row>
    <row r="731" spans="1:6" ht="112" x14ac:dyDescent="0.2">
      <c r="A731" s="4" t="s">
        <v>3727</v>
      </c>
      <c r="B731">
        <v>80.996102237473309</v>
      </c>
      <c r="C731" s="7">
        <v>0.8869987849331713</v>
      </c>
      <c r="E731">
        <v>80.996102237473309</v>
      </c>
      <c r="F731">
        <f t="shared" si="11"/>
        <v>0.8869987849331713</v>
      </c>
    </row>
    <row r="732" spans="1:6" ht="96" x14ac:dyDescent="0.2">
      <c r="A732" s="4" t="s">
        <v>3718</v>
      </c>
      <c r="B732">
        <v>81.02368302504766</v>
      </c>
      <c r="C732" s="7">
        <v>0.88821385176184686</v>
      </c>
      <c r="E732">
        <v>81.02368302504766</v>
      </c>
      <c r="F732">
        <f t="shared" si="11"/>
        <v>0.88821385176184686</v>
      </c>
    </row>
    <row r="733" spans="1:6" ht="112" x14ac:dyDescent="0.2">
      <c r="A733" s="4" t="s">
        <v>3697</v>
      </c>
      <c r="B733">
        <v>81.085772175398176</v>
      </c>
      <c r="C733" s="7">
        <v>0.88942891859052253</v>
      </c>
      <c r="E733">
        <v>81.085772175398176</v>
      </c>
      <c r="F733">
        <f t="shared" si="11"/>
        <v>0.88942891859052253</v>
      </c>
    </row>
    <row r="734" spans="1:6" ht="112" x14ac:dyDescent="0.2">
      <c r="A734" s="4" t="s">
        <v>3847</v>
      </c>
      <c r="B734">
        <v>81.234558245449534</v>
      </c>
      <c r="C734" s="7">
        <v>0.89064398541919809</v>
      </c>
      <c r="E734">
        <v>81.234558245449534</v>
      </c>
      <c r="F734">
        <f t="shared" si="11"/>
        <v>0.89064398541919809</v>
      </c>
    </row>
    <row r="735" spans="1:6" ht="112" x14ac:dyDescent="0.2">
      <c r="A735" s="4" t="s">
        <v>3803</v>
      </c>
      <c r="B735">
        <v>81.387523611784019</v>
      </c>
      <c r="C735" s="7">
        <v>0.89185905224787365</v>
      </c>
      <c r="E735">
        <v>81.387523611784019</v>
      </c>
      <c r="F735">
        <f t="shared" si="11"/>
        <v>0.89185905224787365</v>
      </c>
    </row>
    <row r="736" spans="1:6" ht="112" x14ac:dyDescent="0.2">
      <c r="A736" s="4" t="s">
        <v>3238</v>
      </c>
      <c r="B736">
        <v>81.559717573107037</v>
      </c>
      <c r="C736" s="7">
        <v>0.89307411907654921</v>
      </c>
      <c r="E736">
        <v>81.559717573107037</v>
      </c>
      <c r="F736">
        <f t="shared" si="11"/>
        <v>0.89307411907654921</v>
      </c>
    </row>
    <row r="737" spans="1:6" ht="96" x14ac:dyDescent="0.2">
      <c r="A737" s="4" t="s">
        <v>3805</v>
      </c>
      <c r="B737">
        <v>82.481349902623194</v>
      </c>
      <c r="C737" s="7">
        <v>0.89428918590522477</v>
      </c>
      <c r="E737">
        <v>82.481349902623194</v>
      </c>
      <c r="F737">
        <f t="shared" si="11"/>
        <v>0.89428918590522477</v>
      </c>
    </row>
    <row r="738" spans="1:6" ht="112" x14ac:dyDescent="0.2">
      <c r="A738" s="4" t="s">
        <v>3025</v>
      </c>
      <c r="B738">
        <v>82.573414124012658</v>
      </c>
      <c r="C738" s="7">
        <v>0.89550425273390033</v>
      </c>
      <c r="E738">
        <v>82.573414124012658</v>
      </c>
      <c r="F738">
        <f t="shared" si="11"/>
        <v>0.89550425273390033</v>
      </c>
    </row>
    <row r="739" spans="1:6" ht="96" x14ac:dyDescent="0.2">
      <c r="A739" s="4" t="s">
        <v>3833</v>
      </c>
      <c r="B739">
        <v>82.65960420940543</v>
      </c>
      <c r="C739" s="7">
        <v>0.89671931956257589</v>
      </c>
      <c r="E739">
        <v>82.65960420940543</v>
      </c>
      <c r="F739">
        <f t="shared" si="11"/>
        <v>0.89671931956257589</v>
      </c>
    </row>
    <row r="740" spans="1:6" ht="112" x14ac:dyDescent="0.2">
      <c r="A740" s="4" t="s">
        <v>3788</v>
      </c>
      <c r="B740">
        <v>82.819146631795832</v>
      </c>
      <c r="C740" s="7">
        <v>0.89793438639125156</v>
      </c>
      <c r="E740">
        <v>82.819146631795832</v>
      </c>
      <c r="F740">
        <f t="shared" si="11"/>
        <v>0.89793438639125156</v>
      </c>
    </row>
    <row r="741" spans="1:6" ht="112" x14ac:dyDescent="0.2">
      <c r="A741" s="4" t="s">
        <v>3192</v>
      </c>
      <c r="B741">
        <v>82.889498753288578</v>
      </c>
      <c r="C741" s="7">
        <v>0.89914945321992712</v>
      </c>
      <c r="E741">
        <v>82.889498753288578</v>
      </c>
      <c r="F741">
        <f t="shared" si="11"/>
        <v>0.89914945321992712</v>
      </c>
    </row>
    <row r="742" spans="1:6" ht="96" x14ac:dyDescent="0.2">
      <c r="A742" s="4" t="s">
        <v>3710</v>
      </c>
      <c r="B742">
        <v>83.904393740352887</v>
      </c>
      <c r="C742" s="7">
        <v>0.90036452004860268</v>
      </c>
      <c r="E742">
        <v>83.904393740352887</v>
      </c>
      <c r="F742">
        <f t="shared" si="11"/>
        <v>0.90036452004860268</v>
      </c>
    </row>
    <row r="743" spans="1:6" ht="112" x14ac:dyDescent="0.2">
      <c r="A743" s="4" t="s">
        <v>3316</v>
      </c>
      <c r="B743">
        <v>84.187406130830183</v>
      </c>
      <c r="C743" s="7">
        <v>0.90157958687727824</v>
      </c>
      <c r="E743">
        <v>84.187406130830183</v>
      </c>
      <c r="F743">
        <f t="shared" si="11"/>
        <v>0.90157958687727824</v>
      </c>
    </row>
    <row r="744" spans="1:6" ht="112" x14ac:dyDescent="0.2">
      <c r="A744" s="4" t="s">
        <v>3614</v>
      </c>
      <c r="B744">
        <v>84.341270236509445</v>
      </c>
      <c r="C744" s="7">
        <v>0.9027946537059538</v>
      </c>
      <c r="E744">
        <v>84.341270236509445</v>
      </c>
      <c r="F744">
        <f t="shared" si="11"/>
        <v>0.9027946537059538</v>
      </c>
    </row>
    <row r="745" spans="1:6" ht="112" x14ac:dyDescent="0.2">
      <c r="A745" s="4" t="s">
        <v>3210</v>
      </c>
      <c r="B745">
        <v>84.577093066224776</v>
      </c>
      <c r="C745" s="7">
        <v>0.90400972053462936</v>
      </c>
      <c r="E745">
        <v>84.577093066224776</v>
      </c>
      <c r="F745">
        <f t="shared" si="11"/>
        <v>0.90400972053462936</v>
      </c>
    </row>
    <row r="746" spans="1:6" ht="96" x14ac:dyDescent="0.2">
      <c r="A746" s="4" t="s">
        <v>3669</v>
      </c>
      <c r="B746">
        <v>84.650605488770026</v>
      </c>
      <c r="C746" s="7">
        <v>0.90522478736330503</v>
      </c>
      <c r="E746">
        <v>84.650605488770026</v>
      </c>
      <c r="F746">
        <f t="shared" si="11"/>
        <v>0.90522478736330503</v>
      </c>
    </row>
    <row r="747" spans="1:6" ht="112" x14ac:dyDescent="0.2">
      <c r="A747" s="4" t="s">
        <v>3462</v>
      </c>
      <c r="B747">
        <v>84.68708521907709</v>
      </c>
      <c r="C747" s="7">
        <v>0.90643985419198059</v>
      </c>
      <c r="E747">
        <v>84.68708521907709</v>
      </c>
      <c r="F747">
        <f t="shared" si="11"/>
        <v>0.90643985419198059</v>
      </c>
    </row>
    <row r="748" spans="1:6" ht="96" x14ac:dyDescent="0.2">
      <c r="A748" s="4" t="s">
        <v>3851</v>
      </c>
      <c r="B748">
        <v>84.786152980826628</v>
      </c>
      <c r="C748" s="7">
        <v>0.90765492102065615</v>
      </c>
      <c r="E748">
        <v>84.786152980826628</v>
      </c>
      <c r="F748">
        <f t="shared" si="11"/>
        <v>0.90765492102065615</v>
      </c>
    </row>
    <row r="749" spans="1:6" ht="112" x14ac:dyDescent="0.2">
      <c r="A749" s="4" t="s">
        <v>3521</v>
      </c>
      <c r="B749">
        <v>85.249000799353283</v>
      </c>
      <c r="C749" s="7">
        <v>0.90886998784933171</v>
      </c>
      <c r="E749">
        <v>85.249000799353283</v>
      </c>
      <c r="F749">
        <f t="shared" si="11"/>
        <v>0.90886998784933171</v>
      </c>
    </row>
    <row r="750" spans="1:6" ht="96" x14ac:dyDescent="0.2">
      <c r="A750" s="4" t="s">
        <v>3560</v>
      </c>
      <c r="B750">
        <v>85.387021239919221</v>
      </c>
      <c r="C750" s="7">
        <v>0.91008505467800727</v>
      </c>
      <c r="E750">
        <v>85.387021239919221</v>
      </c>
      <c r="F750">
        <f t="shared" si="11"/>
        <v>0.91008505467800727</v>
      </c>
    </row>
    <row r="751" spans="1:6" ht="96" x14ac:dyDescent="0.2">
      <c r="A751" s="4" t="s">
        <v>3778</v>
      </c>
      <c r="B751">
        <v>85.844478901408721</v>
      </c>
      <c r="C751" s="7">
        <v>0.91130012150668283</v>
      </c>
      <c r="E751">
        <v>85.844478901408721</v>
      </c>
      <c r="F751">
        <f t="shared" si="11"/>
        <v>0.91130012150668283</v>
      </c>
    </row>
    <row r="752" spans="1:6" ht="96" x14ac:dyDescent="0.2">
      <c r="A752" s="4" t="s">
        <v>3817</v>
      </c>
      <c r="B752">
        <v>86.115844072691488</v>
      </c>
      <c r="C752" s="7">
        <v>0.9125151883353585</v>
      </c>
      <c r="E752">
        <v>86.115844072691488</v>
      </c>
      <c r="F752">
        <f t="shared" si="11"/>
        <v>0.9125151883353585</v>
      </c>
    </row>
    <row r="753" spans="1:6" ht="112" x14ac:dyDescent="0.2">
      <c r="A753" s="4" t="s">
        <v>3118</v>
      </c>
      <c r="B753">
        <v>86.127270357710003</v>
      </c>
      <c r="C753" s="7">
        <v>0.91373025516403406</v>
      </c>
      <c r="E753">
        <v>86.127270357710003</v>
      </c>
      <c r="F753">
        <f t="shared" si="11"/>
        <v>0.91373025516403406</v>
      </c>
    </row>
    <row r="754" spans="1:6" ht="112" x14ac:dyDescent="0.2">
      <c r="A754" s="4" t="s">
        <v>3138</v>
      </c>
      <c r="B754">
        <v>86.526492915223244</v>
      </c>
      <c r="C754" s="7">
        <v>0.91494532199270961</v>
      </c>
      <c r="E754">
        <v>86.526492915223244</v>
      </c>
      <c r="F754">
        <f t="shared" si="11"/>
        <v>0.91494532199270961</v>
      </c>
    </row>
    <row r="755" spans="1:6" ht="96" x14ac:dyDescent="0.2">
      <c r="A755" s="4" t="s">
        <v>3628</v>
      </c>
      <c r="B755">
        <v>86.632874253745044</v>
      </c>
      <c r="C755" s="7">
        <v>0.91616038882138517</v>
      </c>
      <c r="E755">
        <v>86.632874253745044</v>
      </c>
      <c r="F755">
        <f t="shared" si="11"/>
        <v>0.91616038882138517</v>
      </c>
    </row>
    <row r="756" spans="1:6" ht="96" x14ac:dyDescent="0.2">
      <c r="A756" s="4" t="s">
        <v>3849</v>
      </c>
      <c r="B756">
        <v>87.446934993975859</v>
      </c>
      <c r="C756" s="7">
        <v>0.91737545565006073</v>
      </c>
      <c r="E756">
        <v>87.446934993975859</v>
      </c>
      <c r="F756">
        <f t="shared" si="11"/>
        <v>0.91737545565006073</v>
      </c>
    </row>
    <row r="757" spans="1:6" ht="112" x14ac:dyDescent="0.2">
      <c r="A757" s="4" t="s">
        <v>3814</v>
      </c>
      <c r="B757">
        <v>88.122429307014102</v>
      </c>
      <c r="C757" s="7">
        <v>0.91859052247873629</v>
      </c>
      <c r="E757">
        <v>88.122429307014102</v>
      </c>
      <c r="F757">
        <f t="shared" si="11"/>
        <v>0.91859052247873629</v>
      </c>
    </row>
    <row r="758" spans="1:6" ht="112" x14ac:dyDescent="0.2">
      <c r="A758" s="4" t="s">
        <v>3070</v>
      </c>
      <c r="B758">
        <v>88.237229746026202</v>
      </c>
      <c r="C758" s="7">
        <v>0.91980558930741185</v>
      </c>
      <c r="E758">
        <v>88.237229746026202</v>
      </c>
      <c r="F758">
        <f t="shared" si="11"/>
        <v>0.91980558930741185</v>
      </c>
    </row>
    <row r="759" spans="1:6" ht="96" x14ac:dyDescent="0.2">
      <c r="A759" s="4" t="s">
        <v>3828</v>
      </c>
      <c r="B759">
        <v>88.688857492901704</v>
      </c>
      <c r="C759" s="7">
        <v>0.92102065613608752</v>
      </c>
      <c r="E759">
        <v>88.688857492901704</v>
      </c>
      <c r="F759">
        <f t="shared" si="11"/>
        <v>0.92102065613608752</v>
      </c>
    </row>
    <row r="760" spans="1:6" ht="112" x14ac:dyDescent="0.2">
      <c r="A760" s="4" t="s">
        <v>3487</v>
      </c>
      <c r="B760">
        <v>88.79119481014024</v>
      </c>
      <c r="C760" s="7">
        <v>0.92223572296476308</v>
      </c>
      <c r="E760">
        <v>88.79119481014024</v>
      </c>
      <c r="F760">
        <f t="shared" si="11"/>
        <v>0.92223572296476308</v>
      </c>
    </row>
    <row r="761" spans="1:6" ht="96" x14ac:dyDescent="0.2">
      <c r="A761" s="4" t="s">
        <v>3767</v>
      </c>
      <c r="B761">
        <v>89.569482412873995</v>
      </c>
      <c r="C761" s="7">
        <v>0.92345078979343864</v>
      </c>
      <c r="E761">
        <v>89.569482412873995</v>
      </c>
      <c r="F761">
        <f t="shared" si="11"/>
        <v>0.92345078979343864</v>
      </c>
    </row>
    <row r="762" spans="1:6" ht="112" x14ac:dyDescent="0.2">
      <c r="A762" s="4" t="s">
        <v>3074</v>
      </c>
      <c r="B762">
        <v>90.374835896969984</v>
      </c>
      <c r="C762" s="7">
        <v>0.9246658566221142</v>
      </c>
      <c r="E762">
        <v>90.374835896969984</v>
      </c>
      <c r="F762">
        <f t="shared" si="11"/>
        <v>0.9246658566221142</v>
      </c>
    </row>
    <row r="763" spans="1:6" ht="112" x14ac:dyDescent="0.2">
      <c r="A763" s="4" t="s">
        <v>3605</v>
      </c>
      <c r="B763">
        <v>90.470649540185107</v>
      </c>
      <c r="C763" s="7">
        <v>0.92588092345078976</v>
      </c>
      <c r="E763">
        <v>90.470649540185107</v>
      </c>
      <c r="F763">
        <f t="shared" si="11"/>
        <v>0.92588092345078976</v>
      </c>
    </row>
    <row r="764" spans="1:6" ht="96" x14ac:dyDescent="0.2">
      <c r="A764" s="4" t="s">
        <v>3619</v>
      </c>
      <c r="B764">
        <v>91.871865269866802</v>
      </c>
      <c r="C764" s="7">
        <v>0.92709599027946532</v>
      </c>
      <c r="E764">
        <v>91.871865269866802</v>
      </c>
      <c r="F764">
        <f t="shared" si="11"/>
        <v>0.92709599027946532</v>
      </c>
    </row>
    <row r="765" spans="1:6" ht="112" x14ac:dyDescent="0.2">
      <c r="A765" s="4" t="s">
        <v>3529</v>
      </c>
      <c r="B765">
        <v>92.086388815562259</v>
      </c>
      <c r="C765" s="7">
        <v>0.92831105710814099</v>
      </c>
      <c r="E765">
        <v>92.086388815562259</v>
      </c>
      <c r="F765">
        <f t="shared" si="11"/>
        <v>0.92831105710814099</v>
      </c>
    </row>
    <row r="766" spans="1:6" ht="112" x14ac:dyDescent="0.2">
      <c r="A766" s="4" t="s">
        <v>3290</v>
      </c>
      <c r="B766">
        <v>92.157944501241332</v>
      </c>
      <c r="C766" s="7">
        <v>0.92952612393681655</v>
      </c>
      <c r="E766">
        <v>92.157944501241332</v>
      </c>
      <c r="F766">
        <f t="shared" si="11"/>
        <v>0.92952612393681655</v>
      </c>
    </row>
    <row r="767" spans="1:6" ht="112" x14ac:dyDescent="0.2">
      <c r="A767" s="4" t="s">
        <v>3066</v>
      </c>
      <c r="B767">
        <v>92.375939648894828</v>
      </c>
      <c r="C767" s="7">
        <v>0.93074119076549211</v>
      </c>
      <c r="E767">
        <v>92.375939648894828</v>
      </c>
      <c r="F767">
        <f t="shared" si="11"/>
        <v>0.93074119076549211</v>
      </c>
    </row>
    <row r="768" spans="1:6" ht="112" x14ac:dyDescent="0.2">
      <c r="A768" s="4" t="s">
        <v>3242</v>
      </c>
      <c r="B768">
        <v>92.456329595709491</v>
      </c>
      <c r="C768" s="7">
        <v>0.93195625759416767</v>
      </c>
      <c r="E768">
        <v>92.456329595709491</v>
      </c>
      <c r="F768">
        <f t="shared" si="11"/>
        <v>0.93195625759416767</v>
      </c>
    </row>
    <row r="769" spans="1:6" ht="112" x14ac:dyDescent="0.2">
      <c r="A769" s="4" t="s">
        <v>3441</v>
      </c>
      <c r="B769">
        <v>92.674679659548872</v>
      </c>
      <c r="C769" s="7">
        <v>0.93317132442284323</v>
      </c>
      <c r="E769">
        <v>92.674679659548872</v>
      </c>
      <c r="F769">
        <f t="shared" si="11"/>
        <v>0.93317132442284323</v>
      </c>
    </row>
    <row r="770" spans="1:6" ht="96" x14ac:dyDescent="0.2">
      <c r="A770" s="4" t="s">
        <v>3679</v>
      </c>
      <c r="B770">
        <v>94.518635850698374</v>
      </c>
      <c r="C770" s="7">
        <v>0.93438639125151879</v>
      </c>
      <c r="E770">
        <v>94.518635850698374</v>
      </c>
      <c r="F770">
        <f t="shared" si="11"/>
        <v>0.93438639125151879</v>
      </c>
    </row>
    <row r="771" spans="1:6" ht="112" x14ac:dyDescent="0.2">
      <c r="A771" s="4" t="s">
        <v>3264</v>
      </c>
      <c r="B771">
        <v>95.306275912928044</v>
      </c>
      <c r="C771" s="7">
        <v>0.93560145808019446</v>
      </c>
      <c r="E771">
        <v>95.306275912928044</v>
      </c>
      <c r="F771">
        <f t="shared" ref="F771:F824" si="12">_xlfn.RANK.EQ(E771,$E$2:$E$824,1)/COUNT($E$2:$E$824)</f>
        <v>0.93560145808019446</v>
      </c>
    </row>
    <row r="772" spans="1:6" ht="112" x14ac:dyDescent="0.2">
      <c r="A772" s="4" t="s">
        <v>3839</v>
      </c>
      <c r="B772">
        <v>95.438972568432618</v>
      </c>
      <c r="C772" s="7">
        <v>0.93681652490887002</v>
      </c>
      <c r="E772">
        <v>95.438972568432618</v>
      </c>
      <c r="F772">
        <f t="shared" si="12"/>
        <v>0.93681652490887002</v>
      </c>
    </row>
    <row r="773" spans="1:6" ht="112" x14ac:dyDescent="0.2">
      <c r="A773" s="4" t="s">
        <v>3795</v>
      </c>
      <c r="B773">
        <v>96.084429244663411</v>
      </c>
      <c r="C773" s="7">
        <v>0.93803159173754558</v>
      </c>
      <c r="E773">
        <v>96.084429244663411</v>
      </c>
      <c r="F773">
        <f t="shared" si="12"/>
        <v>0.93803159173754558</v>
      </c>
    </row>
    <row r="774" spans="1:6" ht="96" x14ac:dyDescent="0.2">
      <c r="A774" s="4" t="s">
        <v>3341</v>
      </c>
      <c r="B774">
        <v>96.507647058823537</v>
      </c>
      <c r="C774" s="7">
        <v>0.93924665856622114</v>
      </c>
      <c r="E774">
        <v>96.507647058823537</v>
      </c>
      <c r="F774">
        <f t="shared" si="12"/>
        <v>0.93924665856622114</v>
      </c>
    </row>
    <row r="775" spans="1:6" ht="112" x14ac:dyDescent="0.2">
      <c r="A775" s="4" t="s">
        <v>3268</v>
      </c>
      <c r="B775">
        <v>97.220924535008734</v>
      </c>
      <c r="C775" s="7">
        <v>0.9404617253948967</v>
      </c>
      <c r="E775">
        <v>97.220924535008734</v>
      </c>
      <c r="F775">
        <f t="shared" si="12"/>
        <v>0.9404617253948967</v>
      </c>
    </row>
    <row r="776" spans="1:6" ht="112" x14ac:dyDescent="0.2">
      <c r="A776" s="4" t="s">
        <v>3704</v>
      </c>
      <c r="B776">
        <v>98.181176470588241</v>
      </c>
      <c r="C776" s="7">
        <v>0.94167679222357226</v>
      </c>
      <c r="E776">
        <v>98.181176470588241</v>
      </c>
      <c r="F776">
        <f t="shared" si="12"/>
        <v>0.94167679222357226</v>
      </c>
    </row>
    <row r="777" spans="1:6" ht="112" x14ac:dyDescent="0.2">
      <c r="A777" s="4" t="s">
        <v>3523</v>
      </c>
      <c r="B777">
        <v>98.64139597552338</v>
      </c>
      <c r="C777" s="7">
        <v>0.94289185905224793</v>
      </c>
      <c r="E777">
        <v>98.64139597552338</v>
      </c>
      <c r="F777">
        <f t="shared" si="12"/>
        <v>0.94289185905224793</v>
      </c>
    </row>
    <row r="778" spans="1:6" ht="96" x14ac:dyDescent="0.2">
      <c r="A778" s="4" t="s">
        <v>3838</v>
      </c>
      <c r="B778">
        <v>99.041420363659</v>
      </c>
      <c r="C778" s="7">
        <v>0.94410692588092349</v>
      </c>
      <c r="E778">
        <v>99.041420363659</v>
      </c>
      <c r="F778">
        <f t="shared" si="12"/>
        <v>0.94410692588092349</v>
      </c>
    </row>
    <row r="779" spans="1:6" ht="96" x14ac:dyDescent="0.2">
      <c r="A779" s="4" t="s">
        <v>3433</v>
      </c>
      <c r="B779">
        <v>100.9047848858375</v>
      </c>
      <c r="C779" s="7">
        <v>0.94532199270959905</v>
      </c>
      <c r="E779">
        <v>100.9047848858375</v>
      </c>
      <c r="F779">
        <f t="shared" si="12"/>
        <v>0.94532199270959905</v>
      </c>
    </row>
    <row r="780" spans="1:6" ht="96" x14ac:dyDescent="0.2">
      <c r="A780" s="4" t="s">
        <v>3692</v>
      </c>
      <c r="B780">
        <v>102.02894064549467</v>
      </c>
      <c r="C780" s="7">
        <v>0.94653705953827461</v>
      </c>
      <c r="E780">
        <v>102.02894064549467</v>
      </c>
      <c r="F780">
        <f t="shared" si="12"/>
        <v>0.94653705953827461</v>
      </c>
    </row>
    <row r="781" spans="1:6" ht="96" x14ac:dyDescent="0.2">
      <c r="A781" s="4" t="s">
        <v>3308</v>
      </c>
      <c r="B781">
        <v>102.69479725026349</v>
      </c>
      <c r="C781" s="7">
        <v>0.94775212636695016</v>
      </c>
      <c r="E781">
        <v>102.69479725026349</v>
      </c>
      <c r="F781">
        <f t="shared" si="12"/>
        <v>0.94775212636695016</v>
      </c>
    </row>
    <row r="782" spans="1:6" ht="112" x14ac:dyDescent="0.2">
      <c r="A782" s="4" t="s">
        <v>3582</v>
      </c>
      <c r="B782">
        <v>103.29923381766717</v>
      </c>
      <c r="C782" s="7">
        <v>0.94896719319562572</v>
      </c>
      <c r="E782">
        <v>103.29923381766717</v>
      </c>
      <c r="F782">
        <f t="shared" si="12"/>
        <v>0.94896719319562572</v>
      </c>
    </row>
    <row r="783" spans="1:6" ht="112" x14ac:dyDescent="0.2">
      <c r="A783" s="4" t="s">
        <v>3818</v>
      </c>
      <c r="B783">
        <v>103.3314783174169</v>
      </c>
      <c r="C783" s="7">
        <v>0.95018226002430128</v>
      </c>
      <c r="E783">
        <v>103.3314783174169</v>
      </c>
      <c r="F783">
        <f t="shared" si="12"/>
        <v>0.95018226002430128</v>
      </c>
    </row>
    <row r="784" spans="1:6" ht="112" x14ac:dyDescent="0.2">
      <c r="A784" s="4" t="s">
        <v>3038</v>
      </c>
      <c r="B784">
        <v>103.36341021250277</v>
      </c>
      <c r="C784" s="7">
        <v>0.95139732685297695</v>
      </c>
      <c r="E784">
        <v>103.36341021250277</v>
      </c>
      <c r="F784">
        <f t="shared" si="12"/>
        <v>0.95139732685297695</v>
      </c>
    </row>
    <row r="785" spans="1:6" ht="96" x14ac:dyDescent="0.2">
      <c r="A785" s="4" t="s">
        <v>3741</v>
      </c>
      <c r="B785">
        <v>103.64521496953242</v>
      </c>
      <c r="C785" s="7">
        <v>0.95261239368165251</v>
      </c>
      <c r="E785">
        <v>103.64521496953242</v>
      </c>
      <c r="F785">
        <f t="shared" si="12"/>
        <v>0.95261239368165251</v>
      </c>
    </row>
    <row r="786" spans="1:6" ht="96" x14ac:dyDescent="0.2">
      <c r="A786" s="4" t="s">
        <v>3598</v>
      </c>
      <c r="B786">
        <v>104.15029013664903</v>
      </c>
      <c r="C786" s="7">
        <v>0.95382746051032807</v>
      </c>
      <c r="E786">
        <v>104.15029013664903</v>
      </c>
      <c r="F786">
        <f t="shared" si="12"/>
        <v>0.95382746051032807</v>
      </c>
    </row>
    <row r="787" spans="1:6" ht="112" x14ac:dyDescent="0.2">
      <c r="A787" s="4" t="s">
        <v>3110</v>
      </c>
      <c r="B787">
        <v>106.12124551662593</v>
      </c>
      <c r="C787" s="7">
        <v>0.95504252733900363</v>
      </c>
      <c r="E787">
        <v>106.12124551662593</v>
      </c>
      <c r="F787">
        <f t="shared" si="12"/>
        <v>0.95504252733900363</v>
      </c>
    </row>
    <row r="788" spans="1:6" ht="112" x14ac:dyDescent="0.2">
      <c r="A788" s="4" t="s">
        <v>3615</v>
      </c>
      <c r="B788">
        <v>106.37405888296925</v>
      </c>
      <c r="C788" s="7">
        <v>0.95625759416767919</v>
      </c>
      <c r="E788">
        <v>106.37405888296925</v>
      </c>
      <c r="F788">
        <f t="shared" si="12"/>
        <v>0.95625759416767919</v>
      </c>
    </row>
    <row r="789" spans="1:6" ht="112" x14ac:dyDescent="0.2">
      <c r="A789" s="4" t="s">
        <v>3322</v>
      </c>
      <c r="B789">
        <v>106.6010963468423</v>
      </c>
      <c r="C789" s="7">
        <v>0.95747266099635475</v>
      </c>
      <c r="E789">
        <v>106.6010963468423</v>
      </c>
      <c r="F789">
        <f t="shared" si="12"/>
        <v>0.95747266099635475</v>
      </c>
    </row>
    <row r="790" spans="1:6" ht="96" x14ac:dyDescent="0.2">
      <c r="A790" s="4" t="s">
        <v>3841</v>
      </c>
      <c r="B790">
        <v>107.62365824095623</v>
      </c>
      <c r="C790" s="7">
        <v>0.95868772782503042</v>
      </c>
      <c r="E790">
        <v>107.62365824095623</v>
      </c>
      <c r="F790">
        <f t="shared" si="12"/>
        <v>0.95868772782503042</v>
      </c>
    </row>
    <row r="791" spans="1:6" ht="96" x14ac:dyDescent="0.2">
      <c r="A791" s="4" t="s">
        <v>3663</v>
      </c>
      <c r="B791">
        <v>107.89535584784839</v>
      </c>
      <c r="C791" s="7">
        <v>0.95990279465370598</v>
      </c>
      <c r="E791">
        <v>107.89535584784839</v>
      </c>
      <c r="F791">
        <f t="shared" si="12"/>
        <v>0.95990279465370598</v>
      </c>
    </row>
    <row r="792" spans="1:6" ht="112" x14ac:dyDescent="0.2">
      <c r="A792" s="4" t="s">
        <v>3116</v>
      </c>
      <c r="B792">
        <v>108.23952243868052</v>
      </c>
      <c r="C792" s="7">
        <v>0.96111786148238154</v>
      </c>
      <c r="E792">
        <v>108.23952243868052</v>
      </c>
      <c r="F792">
        <f t="shared" si="12"/>
        <v>0.96111786148238154</v>
      </c>
    </row>
    <row r="793" spans="1:6" ht="112" x14ac:dyDescent="0.2">
      <c r="A793" s="4" t="s">
        <v>3724</v>
      </c>
      <c r="B793">
        <v>109.84654753456368</v>
      </c>
      <c r="C793" s="7">
        <v>0.9623329283110571</v>
      </c>
      <c r="E793">
        <v>109.84654753456368</v>
      </c>
      <c r="F793">
        <f t="shared" si="12"/>
        <v>0.9623329283110571</v>
      </c>
    </row>
    <row r="794" spans="1:6" ht="112" x14ac:dyDescent="0.2">
      <c r="A794" s="4" t="s">
        <v>3168</v>
      </c>
      <c r="B794">
        <v>109.89689853060263</v>
      </c>
      <c r="C794" s="7">
        <v>0.96354799513973266</v>
      </c>
      <c r="E794">
        <v>109.89689853060263</v>
      </c>
      <c r="F794">
        <f t="shared" si="12"/>
        <v>0.96354799513973266</v>
      </c>
    </row>
    <row r="795" spans="1:6" ht="96" x14ac:dyDescent="0.2">
      <c r="A795" s="4" t="s">
        <v>3464</v>
      </c>
      <c r="B795">
        <v>111.95124160432925</v>
      </c>
      <c r="C795" s="7">
        <v>0.96476306196840822</v>
      </c>
      <c r="E795">
        <v>111.95124160432925</v>
      </c>
      <c r="F795">
        <f t="shared" si="12"/>
        <v>0.96476306196840822</v>
      </c>
    </row>
    <row r="796" spans="1:6" ht="96" x14ac:dyDescent="0.2">
      <c r="A796" s="4" t="s">
        <v>3734</v>
      </c>
      <c r="B796">
        <v>114.26141995022246</v>
      </c>
      <c r="C796" s="7">
        <v>0.96597812879708389</v>
      </c>
      <c r="E796">
        <v>114.26141995022246</v>
      </c>
      <c r="F796">
        <f t="shared" si="12"/>
        <v>0.96597812879708389</v>
      </c>
    </row>
    <row r="797" spans="1:6" ht="96" x14ac:dyDescent="0.2">
      <c r="A797" s="4" t="s">
        <v>3846</v>
      </c>
      <c r="B797">
        <v>115.24183291295107</v>
      </c>
      <c r="C797" s="7">
        <v>0.96719319562575945</v>
      </c>
      <c r="E797">
        <v>115.24183291295107</v>
      </c>
      <c r="F797">
        <f t="shared" si="12"/>
        <v>0.96719319562575945</v>
      </c>
    </row>
    <row r="798" spans="1:6" ht="96" x14ac:dyDescent="0.2">
      <c r="A798" s="4" t="s">
        <v>3696</v>
      </c>
      <c r="B798">
        <v>116.04505771285747</v>
      </c>
      <c r="C798" s="7">
        <v>0.96840826245443501</v>
      </c>
      <c r="E798">
        <v>116.04505771285747</v>
      </c>
      <c r="F798">
        <f t="shared" si="12"/>
        <v>0.96840826245443501</v>
      </c>
    </row>
    <row r="799" spans="1:6" ht="96" x14ac:dyDescent="0.2">
      <c r="A799" s="4" t="s">
        <v>3082</v>
      </c>
      <c r="B799">
        <v>116.73436524250872</v>
      </c>
      <c r="C799" s="7">
        <v>0.96962332928311057</v>
      </c>
      <c r="E799">
        <v>116.73436524250872</v>
      </c>
      <c r="F799">
        <f t="shared" si="12"/>
        <v>0.96962332928311057</v>
      </c>
    </row>
    <row r="800" spans="1:6" ht="96" x14ac:dyDescent="0.2">
      <c r="A800" s="4" t="s">
        <v>3716</v>
      </c>
      <c r="B800">
        <v>117.86582022081333</v>
      </c>
      <c r="C800" s="7">
        <v>0.97083839611178613</v>
      </c>
      <c r="E800">
        <v>117.86582022081333</v>
      </c>
      <c r="F800">
        <f t="shared" si="12"/>
        <v>0.97083839611178613</v>
      </c>
    </row>
    <row r="801" spans="1:6" ht="96" x14ac:dyDescent="0.2">
      <c r="A801" s="4" t="s">
        <v>3840</v>
      </c>
      <c r="B801">
        <v>118.30176316198965</v>
      </c>
      <c r="C801" s="7">
        <v>0.97205346294046169</v>
      </c>
      <c r="E801">
        <v>118.30176316198965</v>
      </c>
      <c r="F801">
        <f t="shared" si="12"/>
        <v>0.97205346294046169</v>
      </c>
    </row>
    <row r="802" spans="1:6" ht="96" x14ac:dyDescent="0.2">
      <c r="A802" s="4" t="s">
        <v>3654</v>
      </c>
      <c r="B802">
        <v>121.59851453932465</v>
      </c>
      <c r="C802" s="7">
        <v>0.97326852976913725</v>
      </c>
      <c r="E802">
        <v>121.59851453932465</v>
      </c>
      <c r="F802">
        <f t="shared" si="12"/>
        <v>0.97326852976913725</v>
      </c>
    </row>
    <row r="803" spans="1:6" ht="112" x14ac:dyDescent="0.2">
      <c r="A803" s="4" t="s">
        <v>3830</v>
      </c>
      <c r="B803">
        <v>123.83876263686008</v>
      </c>
      <c r="C803" s="7">
        <v>0.97448359659781292</v>
      </c>
      <c r="E803">
        <v>123.83876263686008</v>
      </c>
      <c r="F803">
        <f t="shared" si="12"/>
        <v>0.97448359659781292</v>
      </c>
    </row>
    <row r="804" spans="1:6" ht="96" x14ac:dyDescent="0.2">
      <c r="A804" s="4" t="s">
        <v>3799</v>
      </c>
      <c r="B804">
        <v>127.32089073977306</v>
      </c>
      <c r="C804" s="7">
        <v>0.97569866342648848</v>
      </c>
      <c r="E804">
        <v>127.32089073977306</v>
      </c>
      <c r="F804">
        <f t="shared" si="12"/>
        <v>0.97569866342648848</v>
      </c>
    </row>
    <row r="805" spans="1:6" ht="112" x14ac:dyDescent="0.2">
      <c r="A805" s="4" t="s">
        <v>3298</v>
      </c>
      <c r="B805">
        <v>130.63053526113902</v>
      </c>
      <c r="C805" s="7">
        <v>0.97691373025516404</v>
      </c>
      <c r="E805">
        <v>130.63053526113902</v>
      </c>
      <c r="F805">
        <f t="shared" si="12"/>
        <v>0.97691373025516404</v>
      </c>
    </row>
    <row r="806" spans="1:6" ht="96" x14ac:dyDescent="0.2">
      <c r="A806" s="4" t="s">
        <v>3349</v>
      </c>
      <c r="B806">
        <v>132.13463258558161</v>
      </c>
      <c r="C806" s="7">
        <v>0.9781287970838396</v>
      </c>
      <c r="E806">
        <v>132.13463258558161</v>
      </c>
      <c r="F806">
        <f t="shared" si="12"/>
        <v>0.9781287970838396</v>
      </c>
    </row>
    <row r="807" spans="1:6" ht="96" x14ac:dyDescent="0.2">
      <c r="A807" s="4" t="s">
        <v>3746</v>
      </c>
      <c r="B807">
        <v>135.78136164839211</v>
      </c>
      <c r="C807" s="7">
        <v>0.97934386391251516</v>
      </c>
      <c r="E807">
        <v>135.78136164839211</v>
      </c>
      <c r="F807">
        <f t="shared" si="12"/>
        <v>0.97934386391251516</v>
      </c>
    </row>
    <row r="808" spans="1:6" ht="96" x14ac:dyDescent="0.2">
      <c r="A808" s="4" t="s">
        <v>3198</v>
      </c>
      <c r="B808">
        <v>137.09686866044044</v>
      </c>
      <c r="C808" s="7">
        <v>0.98055893074119072</v>
      </c>
      <c r="E808">
        <v>137.09686866044044</v>
      </c>
      <c r="F808">
        <f t="shared" si="12"/>
        <v>0.98055893074119072</v>
      </c>
    </row>
    <row r="809" spans="1:6" ht="96" x14ac:dyDescent="0.2">
      <c r="A809" s="4" t="s">
        <v>3726</v>
      </c>
      <c r="B809">
        <v>137.20532498711293</v>
      </c>
      <c r="C809" s="7">
        <v>0.98177399756986639</v>
      </c>
      <c r="E809">
        <v>137.20532498711293</v>
      </c>
      <c r="F809">
        <f t="shared" si="12"/>
        <v>0.98177399756986639</v>
      </c>
    </row>
    <row r="810" spans="1:6" ht="96" x14ac:dyDescent="0.2">
      <c r="A810" s="4" t="s">
        <v>3592</v>
      </c>
      <c r="B810">
        <v>137.28859039003225</v>
      </c>
      <c r="C810" s="7">
        <v>0.98298906439854195</v>
      </c>
      <c r="E810">
        <v>137.28859039003225</v>
      </c>
      <c r="F810">
        <f t="shared" si="12"/>
        <v>0.98298906439854195</v>
      </c>
    </row>
    <row r="811" spans="1:6" ht="96" x14ac:dyDescent="0.2">
      <c r="A811" s="4" t="s">
        <v>3720</v>
      </c>
      <c r="B811">
        <v>137.62047064079508</v>
      </c>
      <c r="C811" s="7">
        <v>0.9842041312272175</v>
      </c>
      <c r="E811">
        <v>137.62047064079508</v>
      </c>
      <c r="F811">
        <f t="shared" si="12"/>
        <v>0.9842041312272175</v>
      </c>
    </row>
    <row r="812" spans="1:6" ht="96" x14ac:dyDescent="0.2">
      <c r="A812" s="4" t="s">
        <v>3468</v>
      </c>
      <c r="B812">
        <v>137.73850841862955</v>
      </c>
      <c r="C812" s="7">
        <v>0.98541919805589306</v>
      </c>
      <c r="E812">
        <v>137.73850841862955</v>
      </c>
      <c r="F812">
        <f t="shared" si="12"/>
        <v>0.98541919805589306</v>
      </c>
    </row>
    <row r="813" spans="1:6" ht="96" x14ac:dyDescent="0.2">
      <c r="A813" s="4" t="s">
        <v>3687</v>
      </c>
      <c r="B813">
        <v>139.75424859373686</v>
      </c>
      <c r="C813" s="7">
        <v>0.98663426488456862</v>
      </c>
      <c r="E813">
        <v>139.75424859373686</v>
      </c>
      <c r="F813">
        <f t="shared" si="12"/>
        <v>0.98663426488456862</v>
      </c>
    </row>
    <row r="814" spans="1:6" ht="112" x14ac:dyDescent="0.2">
      <c r="A814" s="4" t="s">
        <v>3675</v>
      </c>
      <c r="B814">
        <v>140.63598761575298</v>
      </c>
      <c r="C814" s="7">
        <v>0.98784933171324418</v>
      </c>
      <c r="E814">
        <v>140.63598761575298</v>
      </c>
      <c r="F814">
        <f t="shared" si="12"/>
        <v>0.98784933171324418</v>
      </c>
    </row>
    <row r="815" spans="1:6" ht="112" x14ac:dyDescent="0.2">
      <c r="A815" s="4" t="s">
        <v>3314</v>
      </c>
      <c r="B815">
        <v>140.63598761575298</v>
      </c>
      <c r="C815" s="7">
        <v>0.98784933171324418</v>
      </c>
      <c r="E815">
        <v>140.63598761575298</v>
      </c>
      <c r="F815">
        <f t="shared" si="12"/>
        <v>0.98784933171324418</v>
      </c>
    </row>
    <row r="816" spans="1:6" ht="96" x14ac:dyDescent="0.2">
      <c r="A816" s="4" t="s">
        <v>3351</v>
      </c>
      <c r="B816">
        <v>140.63598761575298</v>
      </c>
      <c r="C816" s="7">
        <v>0.98784933171324418</v>
      </c>
      <c r="E816">
        <v>140.63598761575298</v>
      </c>
      <c r="F816">
        <f t="shared" si="12"/>
        <v>0.98784933171324418</v>
      </c>
    </row>
    <row r="817" spans="1:6" ht="96" x14ac:dyDescent="0.2">
      <c r="A817" s="4" t="s">
        <v>3505</v>
      </c>
      <c r="B817">
        <v>140.66772497627164</v>
      </c>
      <c r="C817" s="7">
        <v>0.99149453219927097</v>
      </c>
      <c r="E817">
        <v>140.66772497627164</v>
      </c>
      <c r="F817">
        <f t="shared" si="12"/>
        <v>0.99149453219927097</v>
      </c>
    </row>
    <row r="818" spans="1:6" ht="96" x14ac:dyDescent="0.2">
      <c r="A818" s="4" t="s">
        <v>3470</v>
      </c>
      <c r="B818">
        <v>141.63849657421278</v>
      </c>
      <c r="C818" s="7">
        <v>0.99270959902794653</v>
      </c>
      <c r="E818">
        <v>141.63849657421278</v>
      </c>
      <c r="F818">
        <f t="shared" si="12"/>
        <v>0.99270959902794653</v>
      </c>
    </row>
    <row r="819" spans="1:6" ht="96" x14ac:dyDescent="0.2">
      <c r="A819" s="4" t="s">
        <v>3361</v>
      </c>
      <c r="B819">
        <v>141.69293882431555</v>
      </c>
      <c r="C819" s="7">
        <v>0.99392466585662209</v>
      </c>
      <c r="E819">
        <v>141.69293882431555</v>
      </c>
      <c r="F819">
        <f t="shared" si="12"/>
        <v>0.99392466585662209</v>
      </c>
    </row>
    <row r="820" spans="1:6" ht="96" x14ac:dyDescent="0.2">
      <c r="A820" s="4" t="s">
        <v>3658</v>
      </c>
      <c r="B820">
        <v>141.99045856176619</v>
      </c>
      <c r="C820" s="7">
        <v>0.99513973268529765</v>
      </c>
      <c r="E820">
        <v>141.99045856176619</v>
      </c>
      <c r="F820">
        <f t="shared" si="12"/>
        <v>0.99513973268529765</v>
      </c>
    </row>
    <row r="821" spans="1:6" ht="96" x14ac:dyDescent="0.2">
      <c r="A821" s="4" t="s">
        <v>3643</v>
      </c>
      <c r="B821">
        <v>143.14958357846706</v>
      </c>
      <c r="C821" s="7">
        <v>0.99635479951397332</v>
      </c>
      <c r="E821">
        <v>143.14958357846706</v>
      </c>
      <c r="F821">
        <f t="shared" si="12"/>
        <v>0.99635479951397332</v>
      </c>
    </row>
    <row r="822" spans="1:6" ht="96" x14ac:dyDescent="0.2">
      <c r="A822" s="4" t="s">
        <v>3150</v>
      </c>
      <c r="B822">
        <v>143.30009636211452</v>
      </c>
      <c r="C822" s="7">
        <v>0.99756986634264888</v>
      </c>
      <c r="E822">
        <v>143.30009636211452</v>
      </c>
      <c r="F822">
        <f t="shared" si="12"/>
        <v>0.99756986634264888</v>
      </c>
    </row>
    <row r="823" spans="1:6" ht="96" x14ac:dyDescent="0.2">
      <c r="A823" s="4" t="s">
        <v>3256</v>
      </c>
      <c r="B823">
        <v>144.76345119356122</v>
      </c>
      <c r="C823" s="7">
        <v>0.99878493317132444</v>
      </c>
      <c r="E823">
        <v>144.76345119356122</v>
      </c>
      <c r="F823">
        <f t="shared" si="12"/>
        <v>0.99878493317132444</v>
      </c>
    </row>
    <row r="824" spans="1:6" ht="96" x14ac:dyDescent="0.2">
      <c r="A824" s="4" t="s">
        <v>3405</v>
      </c>
      <c r="B824">
        <v>146.92671974701668</v>
      </c>
      <c r="C824" s="7">
        <v>1</v>
      </c>
      <c r="E824">
        <v>146.92671974701668</v>
      </c>
      <c r="F824">
        <f t="shared" si="12"/>
        <v>1</v>
      </c>
    </row>
  </sheetData>
  <sortState xmlns:xlrd2="http://schemas.microsoft.com/office/spreadsheetml/2017/richdata2" ref="A2:B824">
    <sortCondition ref="B2:B8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5C06-22EE-4FCC-8599-D6052C0334F8}">
  <sheetPr>
    <tabColor theme="9" tint="0.79998168889431442"/>
  </sheetPr>
  <dimension ref="A1"/>
  <sheetViews>
    <sheetView workbookViewId="0">
      <selection activeCell="Q35" sqref="Q35"/>
    </sheetView>
  </sheetViews>
  <sheetFormatPr baseColWidth="10" defaultColWidth="8.832031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E5BB3-B7E0-49DA-81BF-1B0A180196F9}">
  <sheetPr>
    <tabColor theme="9" tint="0.79998168889431442"/>
  </sheetPr>
  <dimension ref="A1:AA835"/>
  <sheetViews>
    <sheetView topLeftCell="D1" workbookViewId="0">
      <selection activeCell="G2" sqref="G2"/>
    </sheetView>
  </sheetViews>
  <sheetFormatPr baseColWidth="10" defaultColWidth="8.83203125" defaultRowHeight="15" x14ac:dyDescent="0.2"/>
  <cols>
    <col min="1" max="1" width="15.6640625" customWidth="1"/>
    <col min="2" max="2" width="29.1640625" customWidth="1"/>
    <col min="3" max="3" width="12.5" customWidth="1"/>
    <col min="4" max="4" width="22.33203125" customWidth="1"/>
    <col min="5" max="5" width="24.5" customWidth="1"/>
    <col min="6" max="6" width="22.33203125" style="7" bestFit="1" customWidth="1"/>
    <col min="7" max="7" width="18.1640625" customWidth="1"/>
    <col min="8" max="8" width="25.1640625" bestFit="1" customWidth="1"/>
    <col min="9" max="9" width="20.1640625" bestFit="1" customWidth="1"/>
    <col min="10" max="10" width="27.5" bestFit="1" customWidth="1"/>
    <col min="11" max="11" width="36.6640625" bestFit="1" customWidth="1"/>
    <col min="12" max="12" width="22.5" bestFit="1" customWidth="1"/>
    <col min="13" max="13" width="17.5" bestFit="1" customWidth="1"/>
  </cols>
  <sheetData>
    <row r="1" spans="1:27" s="5" customFormat="1" ht="48" x14ac:dyDescent="0.2">
      <c r="A1" s="140" t="s">
        <v>2712</v>
      </c>
      <c r="B1" s="140" t="s">
        <v>3866</v>
      </c>
      <c r="C1" s="140" t="s">
        <v>8</v>
      </c>
      <c r="D1" s="140" t="s">
        <v>3867</v>
      </c>
      <c r="E1" s="140" t="s">
        <v>3862</v>
      </c>
      <c r="F1" s="11" t="s">
        <v>3868</v>
      </c>
      <c r="G1" s="5" t="s">
        <v>1019</v>
      </c>
      <c r="H1" s="5" t="s">
        <v>3869</v>
      </c>
      <c r="I1" s="5" t="s">
        <v>3870</v>
      </c>
      <c r="J1" s="5" t="s">
        <v>3871</v>
      </c>
      <c r="K1" s="5" t="s">
        <v>3019</v>
      </c>
      <c r="L1" s="5" t="s">
        <v>3020</v>
      </c>
      <c r="M1" s="5" t="s">
        <v>3872</v>
      </c>
    </row>
    <row r="2" spans="1:27" ht="48" x14ac:dyDescent="0.2">
      <c r="A2" s="4" t="s">
        <v>3026</v>
      </c>
      <c r="B2">
        <v>9958</v>
      </c>
      <c r="C2">
        <v>3.24</v>
      </c>
      <c r="D2">
        <f t="shared" ref="D2:D65" si="0">(B2/(C2)^0.5)</f>
        <v>5532.2222222222217</v>
      </c>
      <c r="E2">
        <f t="shared" ref="E2:E65" si="1">D2/1000</f>
        <v>5.5322222222222219</v>
      </c>
      <c r="F2" s="7">
        <v>1.215066828675577E-3</v>
      </c>
      <c r="G2">
        <f>IF(F2&lt;0.2,1,IF(F2&lt;0.4,2,IF(F2&lt;0.6,3,IF(F2&lt;0.8,4,5))))</f>
        <v>1</v>
      </c>
      <c r="H2" s="7">
        <f>1-F2</f>
        <v>0.99878493317132444</v>
      </c>
      <c r="I2">
        <f>6-G2</f>
        <v>5</v>
      </c>
      <c r="J2">
        <f>VLOOKUP(A2,'Housing Cost Calc'!$A$2:$C$827,3,FALSE)</f>
        <v>433</v>
      </c>
      <c r="K2">
        <f>(J2*12)/D2</f>
        <v>0.93922474392448296</v>
      </c>
      <c r="Z2" t="s">
        <v>3873</v>
      </c>
    </row>
    <row r="3" spans="1:27" ht="48" x14ac:dyDescent="0.2">
      <c r="A3" s="4" t="s">
        <v>3029</v>
      </c>
      <c r="B3">
        <v>13410</v>
      </c>
      <c r="C3">
        <v>1.47</v>
      </c>
      <c r="D3">
        <f t="shared" si="0"/>
        <v>11060.381585475545</v>
      </c>
      <c r="E3">
        <f t="shared" si="1"/>
        <v>11.060381585475545</v>
      </c>
      <c r="F3" s="7">
        <v>2.4301336573511541E-3</v>
      </c>
      <c r="G3">
        <f t="shared" ref="G3:G66" si="2">IF(F3&lt;0.2,1,IF(F3&lt;0.4,2,IF(F3&lt;0.6,3,IF(F3&lt;0.8,4,5))))</f>
        <v>1</v>
      </c>
      <c r="H3" s="7">
        <f t="shared" ref="H3:H66" si="3">1-F3</f>
        <v>0.99756986634264888</v>
      </c>
      <c r="I3">
        <f t="shared" ref="I3:I66" si="4">6-G3</f>
        <v>5</v>
      </c>
      <c r="J3">
        <f>VLOOKUP(A3,'Housing Cost Calc'!$A$2:$C$827,3,FALSE)</f>
        <v>461</v>
      </c>
      <c r="K3">
        <f t="shared" ref="K3:K66" si="5">(J3*12)/D3</f>
        <v>0.50016357548320067</v>
      </c>
      <c r="Z3" t="s">
        <v>3874</v>
      </c>
    </row>
    <row r="4" spans="1:27" ht="48" x14ac:dyDescent="0.2">
      <c r="A4" s="4" t="s">
        <v>3043</v>
      </c>
      <c r="B4">
        <v>21895</v>
      </c>
      <c r="C4">
        <v>3.46</v>
      </c>
      <c r="D4">
        <f t="shared" si="0"/>
        <v>11770.824922840449</v>
      </c>
      <c r="E4">
        <f t="shared" si="1"/>
        <v>11.770824922840449</v>
      </c>
      <c r="F4" s="7">
        <v>3.6452004860267314E-3</v>
      </c>
      <c r="G4">
        <f t="shared" si="2"/>
        <v>1</v>
      </c>
      <c r="H4" s="7">
        <f t="shared" si="3"/>
        <v>0.99635479951397332</v>
      </c>
      <c r="I4">
        <f t="shared" si="4"/>
        <v>5</v>
      </c>
      <c r="J4">
        <f>VLOOKUP(A4,'Housing Cost Calc'!$A$2:$C$827,3,FALSE)</f>
        <v>1032</v>
      </c>
      <c r="K4">
        <f t="shared" si="5"/>
        <v>1.0520927871393047</v>
      </c>
      <c r="Z4" t="s">
        <v>3875</v>
      </c>
    </row>
    <row r="5" spans="1:27" ht="48" x14ac:dyDescent="0.2">
      <c r="A5" s="4" t="s">
        <v>3032</v>
      </c>
      <c r="B5">
        <v>15000</v>
      </c>
      <c r="C5">
        <v>1.4</v>
      </c>
      <c r="D5">
        <f t="shared" si="0"/>
        <v>12677.313820927749</v>
      </c>
      <c r="E5">
        <f t="shared" si="1"/>
        <v>12.677313820927749</v>
      </c>
      <c r="F5" s="7">
        <v>4.8602673147023082E-3</v>
      </c>
      <c r="G5">
        <f t="shared" si="2"/>
        <v>1</v>
      </c>
      <c r="H5" s="7">
        <f t="shared" si="3"/>
        <v>0.99513973268529765</v>
      </c>
      <c r="I5">
        <f t="shared" si="4"/>
        <v>5</v>
      </c>
      <c r="J5">
        <f>VLOOKUP(A5,'Housing Cost Calc'!$A$2:$C$827,3,FALSE)</f>
        <v>440</v>
      </c>
      <c r="K5">
        <f t="shared" si="5"/>
        <v>0.41649201673021297</v>
      </c>
      <c r="N5" s="6"/>
      <c r="AA5" t="s">
        <v>3876</v>
      </c>
    </row>
    <row r="6" spans="1:27" ht="48" x14ac:dyDescent="0.2">
      <c r="A6" s="4" t="s">
        <v>3045</v>
      </c>
      <c r="B6">
        <v>22449</v>
      </c>
      <c r="C6">
        <v>3.07</v>
      </c>
      <c r="D6">
        <f t="shared" si="0"/>
        <v>12812.321037123063</v>
      </c>
      <c r="E6">
        <f t="shared" si="1"/>
        <v>12.812321037123063</v>
      </c>
      <c r="F6" s="7">
        <v>6.0753341433778859E-3</v>
      </c>
      <c r="G6">
        <f t="shared" si="2"/>
        <v>1</v>
      </c>
      <c r="H6" s="7">
        <f t="shared" si="3"/>
        <v>0.99392466585662209</v>
      </c>
      <c r="I6">
        <f t="shared" si="4"/>
        <v>5</v>
      </c>
      <c r="J6">
        <f>VLOOKUP(A6,'Housing Cost Calc'!$A$2:$C$827,3,FALSE)</f>
        <v>937</v>
      </c>
      <c r="K6">
        <f t="shared" si="5"/>
        <v>0.87759274587493308</v>
      </c>
    </row>
    <row r="7" spans="1:27" ht="48" x14ac:dyDescent="0.2">
      <c r="A7" s="4" t="s">
        <v>3047</v>
      </c>
      <c r="B7">
        <v>22454</v>
      </c>
      <c r="C7">
        <v>2.87</v>
      </c>
      <c r="D7">
        <f t="shared" si="0"/>
        <v>13254.177120810849</v>
      </c>
      <c r="E7">
        <f t="shared" si="1"/>
        <v>13.25417712081085</v>
      </c>
      <c r="F7" s="7">
        <v>7.2904009720534627E-3</v>
      </c>
      <c r="G7">
        <f t="shared" si="2"/>
        <v>1</v>
      </c>
      <c r="H7" s="7">
        <f t="shared" si="3"/>
        <v>0.99270959902794653</v>
      </c>
      <c r="I7">
        <f t="shared" si="4"/>
        <v>5</v>
      </c>
      <c r="J7">
        <f>VLOOKUP(A7,'Housing Cost Calc'!$A$2:$C$827,3,FALSE)</f>
        <v>1004</v>
      </c>
      <c r="K7">
        <f t="shared" si="5"/>
        <v>0.90899645373555571</v>
      </c>
    </row>
    <row r="8" spans="1:27" ht="48" x14ac:dyDescent="0.2">
      <c r="A8" s="4" t="s">
        <v>3041</v>
      </c>
      <c r="B8">
        <v>21851</v>
      </c>
      <c r="C8">
        <v>2.69</v>
      </c>
      <c r="D8">
        <f t="shared" si="0"/>
        <v>13322.789835326628</v>
      </c>
      <c r="E8">
        <f t="shared" si="1"/>
        <v>13.322789835326628</v>
      </c>
      <c r="F8" s="7">
        <v>8.5054678007290396E-3</v>
      </c>
      <c r="G8">
        <f t="shared" si="2"/>
        <v>1</v>
      </c>
      <c r="H8" s="7">
        <f t="shared" si="3"/>
        <v>0.99149453219927097</v>
      </c>
      <c r="I8">
        <f t="shared" si="4"/>
        <v>5</v>
      </c>
      <c r="J8">
        <f>VLOOKUP(A8,'Housing Cost Calc'!$A$2:$C$827,3,FALSE)</f>
        <v>1109</v>
      </c>
      <c r="K8">
        <f t="shared" si="5"/>
        <v>0.998889884512971</v>
      </c>
    </row>
    <row r="9" spans="1:27" ht="48" x14ac:dyDescent="0.2">
      <c r="A9" s="4" t="s">
        <v>3035</v>
      </c>
      <c r="B9">
        <v>18304</v>
      </c>
      <c r="C9">
        <v>1.83</v>
      </c>
      <c r="D9">
        <f t="shared" si="0"/>
        <v>13530.706143552499</v>
      </c>
      <c r="E9">
        <f t="shared" si="1"/>
        <v>13.5307061435525</v>
      </c>
      <c r="F9" s="7">
        <v>9.7205346294046164E-3</v>
      </c>
      <c r="G9">
        <f t="shared" si="2"/>
        <v>1</v>
      </c>
      <c r="H9" s="7">
        <f t="shared" si="3"/>
        <v>0.99027946537059541</v>
      </c>
      <c r="I9">
        <f t="shared" si="4"/>
        <v>5</v>
      </c>
      <c r="J9">
        <f>VLOOKUP(A9,'Housing Cost Calc'!$A$2:$C$827,3,FALSE)</f>
        <v>783</v>
      </c>
      <c r="K9">
        <f t="shared" si="5"/>
        <v>0.69442052028284396</v>
      </c>
    </row>
    <row r="10" spans="1:27" ht="48" x14ac:dyDescent="0.2">
      <c r="A10" s="4" t="s">
        <v>3049</v>
      </c>
      <c r="B10">
        <v>22778</v>
      </c>
      <c r="C10">
        <v>2.82</v>
      </c>
      <c r="D10">
        <f t="shared" si="0"/>
        <v>13564.101609847572</v>
      </c>
      <c r="E10">
        <f t="shared" si="1"/>
        <v>13.564101609847572</v>
      </c>
      <c r="F10" s="7">
        <v>1.0935601458080195E-2</v>
      </c>
      <c r="G10">
        <f t="shared" si="2"/>
        <v>1</v>
      </c>
      <c r="H10" s="7">
        <f t="shared" si="3"/>
        <v>0.98906439854191985</v>
      </c>
      <c r="I10">
        <f t="shared" si="4"/>
        <v>5</v>
      </c>
      <c r="J10">
        <f>VLOOKUP(A10,'Housing Cost Calc'!$A$2:$C$827,3,FALSE)</f>
        <v>924</v>
      </c>
      <c r="K10">
        <f t="shared" si="5"/>
        <v>0.81745185335017578</v>
      </c>
    </row>
    <row r="11" spans="1:27" ht="48" x14ac:dyDescent="0.2">
      <c r="A11" s="4" t="s">
        <v>3039</v>
      </c>
      <c r="B11">
        <v>21633</v>
      </c>
      <c r="C11">
        <v>2.5099999999999998</v>
      </c>
      <c r="D11">
        <f t="shared" si="0"/>
        <v>13654.628522214776</v>
      </c>
      <c r="E11">
        <f t="shared" si="1"/>
        <v>13.654628522214777</v>
      </c>
      <c r="F11" s="7">
        <v>1.2150668286755772E-2</v>
      </c>
      <c r="G11">
        <f t="shared" si="2"/>
        <v>1</v>
      </c>
      <c r="H11" s="7">
        <f t="shared" si="3"/>
        <v>0.98784933171324418</v>
      </c>
      <c r="I11">
        <f t="shared" si="4"/>
        <v>5</v>
      </c>
      <c r="J11">
        <f>VLOOKUP(A11,'Housing Cost Calc'!$A$2:$C$827,3,FALSE)</f>
        <v>596</v>
      </c>
      <c r="K11">
        <f t="shared" si="5"/>
        <v>0.52377843808525282</v>
      </c>
    </row>
    <row r="12" spans="1:27" ht="48" x14ac:dyDescent="0.2">
      <c r="A12" s="4" t="s">
        <v>3059</v>
      </c>
      <c r="B12">
        <v>24271</v>
      </c>
      <c r="C12">
        <v>3.01</v>
      </c>
      <c r="D12">
        <f t="shared" si="0"/>
        <v>13989.571828099488</v>
      </c>
      <c r="E12">
        <f t="shared" si="1"/>
        <v>13.989571828099487</v>
      </c>
      <c r="F12" s="7">
        <v>1.3365735115431349E-2</v>
      </c>
      <c r="G12">
        <f t="shared" si="2"/>
        <v>1</v>
      </c>
      <c r="H12" s="7">
        <f t="shared" si="3"/>
        <v>0.98663426488456862</v>
      </c>
      <c r="I12">
        <f t="shared" si="4"/>
        <v>5</v>
      </c>
      <c r="J12">
        <f>VLOOKUP(A12,'Housing Cost Calc'!$A$2:$C$827,3,FALSE)</f>
        <v>1107</v>
      </c>
      <c r="K12">
        <f t="shared" si="5"/>
        <v>0.94956444437546872</v>
      </c>
    </row>
    <row r="13" spans="1:27" ht="64" x14ac:dyDescent="0.2">
      <c r="A13" s="4" t="s">
        <v>3037</v>
      </c>
      <c r="B13">
        <v>19593</v>
      </c>
      <c r="C13">
        <v>1.86</v>
      </c>
      <c r="D13">
        <f t="shared" si="0"/>
        <v>14366.284623066875</v>
      </c>
      <c r="E13">
        <f t="shared" si="1"/>
        <v>14.366284623066875</v>
      </c>
      <c r="F13" s="7">
        <v>1.4580801944106925E-2</v>
      </c>
      <c r="G13">
        <f t="shared" si="2"/>
        <v>1</v>
      </c>
      <c r="H13" s="7">
        <f t="shared" si="3"/>
        <v>0.98541919805589306</v>
      </c>
      <c r="I13">
        <f t="shared" si="4"/>
        <v>5</v>
      </c>
      <c r="J13">
        <f>VLOOKUP(A13,'Housing Cost Calc'!$A$2:$C$827,3,FALSE)</f>
        <v>715</v>
      </c>
      <c r="K13">
        <f t="shared" si="5"/>
        <v>0.59723165906261755</v>
      </c>
    </row>
    <row r="14" spans="1:27" ht="48" x14ac:dyDescent="0.2">
      <c r="A14" s="4" t="s">
        <v>3067</v>
      </c>
      <c r="B14">
        <v>24943</v>
      </c>
      <c r="C14">
        <v>2.87</v>
      </c>
      <c r="D14">
        <f t="shared" si="0"/>
        <v>14723.387366366127</v>
      </c>
      <c r="E14">
        <f t="shared" si="1"/>
        <v>14.723387366366127</v>
      </c>
      <c r="F14" s="7">
        <v>1.5795868772782502E-2</v>
      </c>
      <c r="G14">
        <f t="shared" si="2"/>
        <v>1</v>
      </c>
      <c r="H14" s="7">
        <f t="shared" si="3"/>
        <v>0.9842041312272175</v>
      </c>
      <c r="I14">
        <f t="shared" si="4"/>
        <v>5</v>
      </c>
      <c r="J14">
        <f>VLOOKUP(A14,'Housing Cost Calc'!$A$2:$C$827,3,FALSE)</f>
        <v>996</v>
      </c>
      <c r="K14">
        <f t="shared" si="5"/>
        <v>0.81176971729365488</v>
      </c>
    </row>
    <row r="15" spans="1:27" ht="48" x14ac:dyDescent="0.2">
      <c r="A15" s="4" t="s">
        <v>3051</v>
      </c>
      <c r="B15">
        <v>23480</v>
      </c>
      <c r="C15">
        <v>2.4700000000000002</v>
      </c>
      <c r="D15">
        <f t="shared" si="0"/>
        <v>14939.966234671261</v>
      </c>
      <c r="E15">
        <f t="shared" si="1"/>
        <v>14.939966234671262</v>
      </c>
      <c r="F15" s="7">
        <v>1.7010935601458079E-2</v>
      </c>
      <c r="G15">
        <f t="shared" si="2"/>
        <v>1</v>
      </c>
      <c r="H15" s="7">
        <f t="shared" si="3"/>
        <v>0.98298906439854195</v>
      </c>
      <c r="I15">
        <f t="shared" si="4"/>
        <v>5</v>
      </c>
      <c r="J15">
        <f>VLOOKUP(A15,'Housing Cost Calc'!$A$2:$C$827,3,FALSE)</f>
        <v>859</v>
      </c>
      <c r="K15">
        <f t="shared" si="5"/>
        <v>0.68996139871308193</v>
      </c>
    </row>
    <row r="16" spans="1:27" ht="48" x14ac:dyDescent="0.2">
      <c r="A16" s="4" t="s">
        <v>3053</v>
      </c>
      <c r="B16">
        <v>23500</v>
      </c>
      <c r="C16">
        <v>2.4700000000000002</v>
      </c>
      <c r="D16">
        <f t="shared" si="0"/>
        <v>14952.691929930777</v>
      </c>
      <c r="E16">
        <f t="shared" si="1"/>
        <v>14.952691929930777</v>
      </c>
      <c r="F16" s="7">
        <v>1.8226002430133656E-2</v>
      </c>
      <c r="G16">
        <f t="shared" si="2"/>
        <v>1</v>
      </c>
      <c r="H16" s="7">
        <f t="shared" si="3"/>
        <v>0.98177399756986639</v>
      </c>
      <c r="I16">
        <f t="shared" si="4"/>
        <v>5</v>
      </c>
      <c r="J16">
        <f>VLOOKUP(A16,'Housing Cost Calc'!$A$2:$C$827,3,FALSE)</f>
        <v>842</v>
      </c>
      <c r="K16">
        <f t="shared" si="5"/>
        <v>0.6757311691665927</v>
      </c>
    </row>
    <row r="17" spans="1:11" ht="48" x14ac:dyDescent="0.2">
      <c r="A17" s="4" t="s">
        <v>3087</v>
      </c>
      <c r="B17">
        <v>28029</v>
      </c>
      <c r="C17">
        <v>3.36</v>
      </c>
      <c r="D17">
        <f t="shared" si="0"/>
        <v>15291.073113561577</v>
      </c>
      <c r="E17">
        <f t="shared" si="1"/>
        <v>15.291073113561577</v>
      </c>
      <c r="F17" s="7">
        <v>1.9441069258809233E-2</v>
      </c>
      <c r="G17">
        <f t="shared" si="2"/>
        <v>1</v>
      </c>
      <c r="H17" s="7">
        <f t="shared" si="3"/>
        <v>0.98055893074119072</v>
      </c>
      <c r="I17">
        <f t="shared" si="4"/>
        <v>5</v>
      </c>
      <c r="J17">
        <f>VLOOKUP(A17,'Housing Cost Calc'!$A$2:$C$827,3,FALSE)</f>
        <v>986</v>
      </c>
      <c r="K17">
        <f t="shared" si="5"/>
        <v>0.77378480320692844</v>
      </c>
    </row>
    <row r="18" spans="1:11" ht="48" x14ac:dyDescent="0.2">
      <c r="A18" s="4" t="s">
        <v>3063</v>
      </c>
      <c r="B18">
        <v>24342</v>
      </c>
      <c r="C18">
        <v>2.52</v>
      </c>
      <c r="D18">
        <f t="shared" si="0"/>
        <v>15334.018669984349</v>
      </c>
      <c r="E18">
        <f t="shared" si="1"/>
        <v>15.334018669984349</v>
      </c>
      <c r="F18" s="7">
        <v>2.0656136087484813E-2</v>
      </c>
      <c r="G18">
        <f t="shared" si="2"/>
        <v>1</v>
      </c>
      <c r="H18" s="7">
        <f t="shared" si="3"/>
        <v>0.97934386391251516</v>
      </c>
      <c r="I18">
        <f t="shared" si="4"/>
        <v>5</v>
      </c>
      <c r="J18">
        <f>VLOOKUP(A18,'Housing Cost Calc'!$A$2:$C$827,3,FALSE)</f>
        <v>1275</v>
      </c>
      <c r="K18">
        <f t="shared" si="5"/>
        <v>0.99778149024619756</v>
      </c>
    </row>
    <row r="19" spans="1:11" ht="48" x14ac:dyDescent="0.2">
      <c r="A19" s="4" t="s">
        <v>3069</v>
      </c>
      <c r="B19">
        <v>25156</v>
      </c>
      <c r="C19">
        <v>2.64</v>
      </c>
      <c r="D19">
        <f t="shared" si="0"/>
        <v>15482.44773538047</v>
      </c>
      <c r="E19">
        <f t="shared" si="1"/>
        <v>15.48244773538047</v>
      </c>
      <c r="F19" s="7">
        <v>2.187120291616039E-2</v>
      </c>
      <c r="G19">
        <f t="shared" si="2"/>
        <v>1</v>
      </c>
      <c r="H19" s="7">
        <f t="shared" si="3"/>
        <v>0.9781287970838396</v>
      </c>
      <c r="I19">
        <f t="shared" si="4"/>
        <v>5</v>
      </c>
      <c r="J19">
        <f>VLOOKUP(A19,'Housing Cost Calc'!$A$2:$C$827,3,FALSE)</f>
        <v>869</v>
      </c>
      <c r="K19">
        <f t="shared" si="5"/>
        <v>0.67353690955274126</v>
      </c>
    </row>
    <row r="20" spans="1:11" ht="48" x14ac:dyDescent="0.2">
      <c r="A20" s="4" t="s">
        <v>3077</v>
      </c>
      <c r="B20">
        <v>26324</v>
      </c>
      <c r="C20">
        <v>2.89</v>
      </c>
      <c r="D20">
        <f t="shared" si="0"/>
        <v>15484.705882352942</v>
      </c>
      <c r="E20">
        <f t="shared" si="1"/>
        <v>15.484705882352943</v>
      </c>
      <c r="F20" s="7">
        <v>2.3086269744835967E-2</v>
      </c>
      <c r="G20">
        <f t="shared" si="2"/>
        <v>1</v>
      </c>
      <c r="H20" s="7">
        <f t="shared" si="3"/>
        <v>0.97691373025516404</v>
      </c>
      <c r="I20">
        <f t="shared" si="4"/>
        <v>5</v>
      </c>
      <c r="J20">
        <f>VLOOKUP(A20,'Housing Cost Calc'!$A$2:$C$827,3,FALSE)</f>
        <v>1082</v>
      </c>
      <c r="K20">
        <f t="shared" si="5"/>
        <v>0.83850478650660987</v>
      </c>
    </row>
    <row r="21" spans="1:11" ht="48" x14ac:dyDescent="0.2">
      <c r="A21" s="4" t="s">
        <v>3057</v>
      </c>
      <c r="B21">
        <v>23608</v>
      </c>
      <c r="C21">
        <v>2.2200000000000002</v>
      </c>
      <c r="D21">
        <f t="shared" si="0"/>
        <v>15844.652151492686</v>
      </c>
      <c r="E21">
        <f t="shared" si="1"/>
        <v>15.844652151492687</v>
      </c>
      <c r="F21" s="7">
        <v>2.4301336573511544E-2</v>
      </c>
      <c r="G21">
        <f t="shared" si="2"/>
        <v>1</v>
      </c>
      <c r="H21" s="7">
        <f t="shared" si="3"/>
        <v>0.97569866342648848</v>
      </c>
      <c r="I21">
        <f t="shared" si="4"/>
        <v>5</v>
      </c>
      <c r="J21">
        <f>VLOOKUP(A21,'Housing Cost Calc'!$A$2:$C$827,3,FALSE)</f>
        <v>914</v>
      </c>
      <c r="K21">
        <f t="shared" si="5"/>
        <v>0.69222093960369657</v>
      </c>
    </row>
    <row r="22" spans="1:11" ht="48" x14ac:dyDescent="0.2">
      <c r="A22" s="4" t="s">
        <v>3073</v>
      </c>
      <c r="B22">
        <v>25958</v>
      </c>
      <c r="C22">
        <v>2.65</v>
      </c>
      <c r="D22">
        <f t="shared" si="0"/>
        <v>15945.872642775705</v>
      </c>
      <c r="E22">
        <f t="shared" si="1"/>
        <v>15.945872642775704</v>
      </c>
      <c r="F22" s="7">
        <v>2.551640340218712E-2</v>
      </c>
      <c r="G22">
        <f t="shared" si="2"/>
        <v>1</v>
      </c>
      <c r="H22" s="7">
        <f t="shared" si="3"/>
        <v>0.97448359659781292</v>
      </c>
      <c r="I22">
        <f t="shared" si="4"/>
        <v>5</v>
      </c>
      <c r="J22">
        <f>VLOOKUP(A22,'Housing Cost Calc'!$A$2:$C$827,3,FALSE)</f>
        <v>976</v>
      </c>
      <c r="K22">
        <f t="shared" si="5"/>
        <v>0.7344847323427065</v>
      </c>
    </row>
    <row r="23" spans="1:11" ht="48" x14ac:dyDescent="0.2">
      <c r="A23" s="4" t="s">
        <v>3079</v>
      </c>
      <c r="B23">
        <v>26765</v>
      </c>
      <c r="C23">
        <v>2.74</v>
      </c>
      <c r="D23">
        <f t="shared" si="0"/>
        <v>16169.327827982186</v>
      </c>
      <c r="E23">
        <f t="shared" si="1"/>
        <v>16.169327827982187</v>
      </c>
      <c r="F23" s="7">
        <v>2.6731470230862697E-2</v>
      </c>
      <c r="G23">
        <f t="shared" si="2"/>
        <v>1</v>
      </c>
      <c r="H23" s="7">
        <f t="shared" si="3"/>
        <v>0.97326852976913725</v>
      </c>
      <c r="I23">
        <f t="shared" si="4"/>
        <v>5</v>
      </c>
      <c r="J23">
        <f>VLOOKUP(A23,'Housing Cost Calc'!$A$2:$C$827,3,FALSE)</f>
        <v>946</v>
      </c>
      <c r="K23">
        <f t="shared" si="5"/>
        <v>0.70207000073030534</v>
      </c>
    </row>
    <row r="24" spans="1:11" ht="48" x14ac:dyDescent="0.2">
      <c r="A24" s="4" t="s">
        <v>3097</v>
      </c>
      <c r="B24">
        <v>29167</v>
      </c>
      <c r="C24">
        <v>3.25</v>
      </c>
      <c r="D24">
        <f t="shared" si="0"/>
        <v>16178.940623301258</v>
      </c>
      <c r="E24">
        <f t="shared" si="1"/>
        <v>16.178940623301258</v>
      </c>
      <c r="F24" s="7">
        <v>2.7946537059538274E-2</v>
      </c>
      <c r="G24">
        <f t="shared" si="2"/>
        <v>1</v>
      </c>
      <c r="H24" s="7">
        <f t="shared" si="3"/>
        <v>0.97205346294046169</v>
      </c>
      <c r="I24">
        <f t="shared" si="4"/>
        <v>5</v>
      </c>
      <c r="J24">
        <f>VLOOKUP(A24,'Housing Cost Calc'!$A$2:$C$827,3,FALSE)</f>
        <v>1084</v>
      </c>
      <c r="K24">
        <f t="shared" si="5"/>
        <v>0.80400814261383713</v>
      </c>
    </row>
    <row r="25" spans="1:11" ht="48" x14ac:dyDescent="0.2">
      <c r="A25" s="4" t="s">
        <v>3085</v>
      </c>
      <c r="B25">
        <v>27964</v>
      </c>
      <c r="C25">
        <v>2.83</v>
      </c>
      <c r="D25">
        <f t="shared" si="0"/>
        <v>16622.872573039393</v>
      </c>
      <c r="E25">
        <f t="shared" si="1"/>
        <v>16.622872573039391</v>
      </c>
      <c r="F25" s="7">
        <v>2.9161603888213851E-2</v>
      </c>
      <c r="G25">
        <f t="shared" si="2"/>
        <v>1</v>
      </c>
      <c r="H25" s="7">
        <f t="shared" si="3"/>
        <v>0.97083839611178613</v>
      </c>
      <c r="I25">
        <f t="shared" si="4"/>
        <v>5</v>
      </c>
      <c r="J25">
        <f>VLOOKUP(A25,'Housing Cost Calc'!$A$2:$C$827,3,FALSE)</f>
        <v>1195</v>
      </c>
      <c r="K25">
        <f t="shared" si="5"/>
        <v>0.86266678259075513</v>
      </c>
    </row>
    <row r="26" spans="1:11" ht="48" x14ac:dyDescent="0.2">
      <c r="A26" s="4" t="s">
        <v>3075</v>
      </c>
      <c r="B26">
        <v>26250</v>
      </c>
      <c r="C26">
        <v>2.37</v>
      </c>
      <c r="D26">
        <f t="shared" si="0"/>
        <v>17051.207314617812</v>
      </c>
      <c r="E26">
        <f t="shared" si="1"/>
        <v>17.051207314617812</v>
      </c>
      <c r="F26" s="7">
        <v>3.0376670716889428E-2</v>
      </c>
      <c r="G26">
        <f t="shared" si="2"/>
        <v>1</v>
      </c>
      <c r="H26" s="7">
        <f t="shared" si="3"/>
        <v>0.96962332928311057</v>
      </c>
      <c r="I26">
        <f t="shared" si="4"/>
        <v>5</v>
      </c>
      <c r="J26">
        <f>VLOOKUP(A26,'Housing Cost Calc'!$A$2:$C$827,3,FALSE)</f>
        <v>648</v>
      </c>
      <c r="K26">
        <f t="shared" si="5"/>
        <v>0.45603808906444537</v>
      </c>
    </row>
    <row r="27" spans="1:11" ht="48" x14ac:dyDescent="0.2">
      <c r="A27" s="4" t="s">
        <v>3091</v>
      </c>
      <c r="B27">
        <v>28438</v>
      </c>
      <c r="C27">
        <v>2.73</v>
      </c>
      <c r="D27">
        <f t="shared" si="0"/>
        <v>17211.460574035405</v>
      </c>
      <c r="E27">
        <f t="shared" si="1"/>
        <v>17.211460574035407</v>
      </c>
      <c r="F27" s="7">
        <v>3.1591737545565005E-2</v>
      </c>
      <c r="G27">
        <f t="shared" si="2"/>
        <v>1</v>
      </c>
      <c r="H27" s="7">
        <f t="shared" si="3"/>
        <v>0.96840826245443501</v>
      </c>
      <c r="I27">
        <f t="shared" si="4"/>
        <v>5</v>
      </c>
      <c r="J27">
        <f>VLOOKUP(A27,'Housing Cost Calc'!$A$2:$C$827,3,FALSE)</f>
        <v>999</v>
      </c>
      <c r="K27">
        <f t="shared" si="5"/>
        <v>0.6965126491405772</v>
      </c>
    </row>
    <row r="28" spans="1:11" ht="64" x14ac:dyDescent="0.2">
      <c r="A28" s="4" t="s">
        <v>3065</v>
      </c>
      <c r="B28">
        <v>24805</v>
      </c>
      <c r="C28">
        <v>2.0499999999999998</v>
      </c>
      <c r="D28">
        <f t="shared" si="0"/>
        <v>17324.563486564388</v>
      </c>
      <c r="E28">
        <f t="shared" si="1"/>
        <v>17.324563486564386</v>
      </c>
      <c r="F28" s="7">
        <v>3.2806804374240585E-2</v>
      </c>
      <c r="G28">
        <f t="shared" si="2"/>
        <v>1</v>
      </c>
      <c r="H28" s="7">
        <f t="shared" si="3"/>
        <v>0.96719319562575945</v>
      </c>
      <c r="I28">
        <f t="shared" si="4"/>
        <v>5</v>
      </c>
      <c r="J28">
        <f>VLOOKUP(A28,'Housing Cost Calc'!$A$2:$C$827,3,FALSE)</f>
        <v>1001</v>
      </c>
      <c r="K28">
        <f t="shared" si="5"/>
        <v>0.69335080270943583</v>
      </c>
    </row>
    <row r="29" spans="1:11" ht="48" x14ac:dyDescent="0.2">
      <c r="A29" s="4" t="s">
        <v>3061</v>
      </c>
      <c r="B29">
        <v>24325</v>
      </c>
      <c r="C29">
        <v>1.97</v>
      </c>
      <c r="D29">
        <f t="shared" si="0"/>
        <v>17330.844909559022</v>
      </c>
      <c r="E29">
        <f t="shared" si="1"/>
        <v>17.330844909559023</v>
      </c>
      <c r="F29" s="7">
        <v>3.4021871202916158E-2</v>
      </c>
      <c r="G29">
        <f t="shared" si="2"/>
        <v>1</v>
      </c>
      <c r="H29" s="7">
        <f t="shared" si="3"/>
        <v>0.96597812879708389</v>
      </c>
      <c r="I29">
        <f t="shared" si="4"/>
        <v>5</v>
      </c>
      <c r="J29">
        <f>VLOOKUP(A29,'Housing Cost Calc'!$A$2:$C$827,3,FALSE)</f>
        <v>879</v>
      </c>
      <c r="K29">
        <f t="shared" si="5"/>
        <v>0.6086258376348479</v>
      </c>
    </row>
    <row r="30" spans="1:11" ht="48" x14ac:dyDescent="0.2">
      <c r="A30" s="4" t="s">
        <v>3081</v>
      </c>
      <c r="B30">
        <v>26840</v>
      </c>
      <c r="C30">
        <v>2.38</v>
      </c>
      <c r="D30">
        <f t="shared" si="0"/>
        <v>17397.787940140093</v>
      </c>
      <c r="E30">
        <f t="shared" si="1"/>
        <v>17.397787940140095</v>
      </c>
      <c r="F30" s="7">
        <v>3.5236938031591739E-2</v>
      </c>
      <c r="G30">
        <f t="shared" si="2"/>
        <v>1</v>
      </c>
      <c r="H30" s="7">
        <f t="shared" si="3"/>
        <v>0.96476306196840822</v>
      </c>
      <c r="I30">
        <f t="shared" si="4"/>
        <v>5</v>
      </c>
      <c r="J30">
        <f>VLOOKUP(A30,'Housing Cost Calc'!$A$2:$C$827,3,FALSE)</f>
        <v>710</v>
      </c>
      <c r="K30">
        <f t="shared" si="5"/>
        <v>0.48971743013045332</v>
      </c>
    </row>
    <row r="31" spans="1:11" ht="48" x14ac:dyDescent="0.2">
      <c r="A31" s="4" t="s">
        <v>3103</v>
      </c>
      <c r="B31">
        <v>30034</v>
      </c>
      <c r="C31">
        <v>2.96</v>
      </c>
      <c r="D31">
        <f t="shared" si="0"/>
        <v>17456.907910159342</v>
      </c>
      <c r="E31">
        <f t="shared" si="1"/>
        <v>17.456907910159341</v>
      </c>
      <c r="F31" s="7">
        <v>3.6452004860267312E-2</v>
      </c>
      <c r="G31">
        <f t="shared" si="2"/>
        <v>1</v>
      </c>
      <c r="H31" s="7">
        <f t="shared" si="3"/>
        <v>0.96354799513973266</v>
      </c>
      <c r="I31">
        <f t="shared" si="4"/>
        <v>5</v>
      </c>
      <c r="J31">
        <f>VLOOKUP(A31,'Housing Cost Calc'!$A$2:$C$827,3,FALSE)</f>
        <v>902</v>
      </c>
      <c r="K31">
        <f t="shared" si="5"/>
        <v>0.62004107804800823</v>
      </c>
    </row>
    <row r="32" spans="1:11" ht="48" x14ac:dyDescent="0.2">
      <c r="A32" s="4" t="s">
        <v>3119</v>
      </c>
      <c r="B32">
        <v>30987</v>
      </c>
      <c r="C32">
        <v>3.14</v>
      </c>
      <c r="D32">
        <f t="shared" si="0"/>
        <v>17486.975763052331</v>
      </c>
      <c r="E32">
        <f t="shared" si="1"/>
        <v>17.486975763052332</v>
      </c>
      <c r="F32" s="7">
        <v>3.7667071688942892E-2</v>
      </c>
      <c r="G32">
        <f t="shared" si="2"/>
        <v>1</v>
      </c>
      <c r="H32" s="7">
        <f t="shared" si="3"/>
        <v>0.9623329283110571</v>
      </c>
      <c r="I32">
        <f t="shared" si="4"/>
        <v>5</v>
      </c>
      <c r="J32">
        <f>VLOOKUP(A32,'Housing Cost Calc'!$A$2:$C$827,3,FALSE)</f>
        <v>1018</v>
      </c>
      <c r="K32">
        <f t="shared" si="5"/>
        <v>0.69857705331820685</v>
      </c>
    </row>
    <row r="33" spans="1:11" ht="48" x14ac:dyDescent="0.2">
      <c r="A33" s="4" t="s">
        <v>3083</v>
      </c>
      <c r="B33">
        <v>27072</v>
      </c>
      <c r="C33">
        <v>2.39</v>
      </c>
      <c r="D33">
        <f t="shared" si="0"/>
        <v>17511.421066904502</v>
      </c>
      <c r="E33">
        <f t="shared" si="1"/>
        <v>17.511421066904504</v>
      </c>
      <c r="F33" s="7">
        <v>3.8882138517618466E-2</v>
      </c>
      <c r="G33">
        <f t="shared" si="2"/>
        <v>1</v>
      </c>
      <c r="H33" s="7">
        <f t="shared" si="3"/>
        <v>0.96111786148238154</v>
      </c>
      <c r="I33">
        <f t="shared" si="4"/>
        <v>5</v>
      </c>
      <c r="J33">
        <f>VLOOKUP(A33,'Housing Cost Calc'!$A$2:$C$827,3,FALSE)</f>
        <v>1078</v>
      </c>
      <c r="K33">
        <f t="shared" si="5"/>
        <v>0.73871788877535682</v>
      </c>
    </row>
    <row r="34" spans="1:11" ht="48" x14ac:dyDescent="0.2">
      <c r="A34" s="4" t="s">
        <v>3117</v>
      </c>
      <c r="B34">
        <v>30855</v>
      </c>
      <c r="C34">
        <v>3.03</v>
      </c>
      <c r="D34">
        <f t="shared" si="0"/>
        <v>17725.734354769102</v>
      </c>
      <c r="E34">
        <f t="shared" si="1"/>
        <v>17.725734354769102</v>
      </c>
      <c r="F34" s="7">
        <v>4.0097205346294046E-2</v>
      </c>
      <c r="G34">
        <f t="shared" si="2"/>
        <v>1</v>
      </c>
      <c r="H34" s="7">
        <f t="shared" si="3"/>
        <v>0.95990279465370598</v>
      </c>
      <c r="I34">
        <f t="shared" si="4"/>
        <v>5</v>
      </c>
      <c r="J34">
        <f>VLOOKUP(A34,'Housing Cost Calc'!$A$2:$C$827,3,FALSE)</f>
        <v>710</v>
      </c>
      <c r="K34">
        <f t="shared" si="5"/>
        <v>0.48065709603211432</v>
      </c>
    </row>
    <row r="35" spans="1:11" ht="48" x14ac:dyDescent="0.2">
      <c r="A35" s="4" t="s">
        <v>3155</v>
      </c>
      <c r="B35">
        <v>34450</v>
      </c>
      <c r="C35">
        <v>3.53</v>
      </c>
      <c r="D35">
        <f t="shared" si="0"/>
        <v>18335.884876955439</v>
      </c>
      <c r="E35">
        <f t="shared" si="1"/>
        <v>18.33588487695544</v>
      </c>
      <c r="F35" s="7">
        <v>4.1312272174969626E-2</v>
      </c>
      <c r="G35">
        <f t="shared" si="2"/>
        <v>1</v>
      </c>
      <c r="H35" s="7">
        <f t="shared" si="3"/>
        <v>0.95868772782503042</v>
      </c>
      <c r="I35">
        <f t="shared" si="4"/>
        <v>5</v>
      </c>
      <c r="J35">
        <f>VLOOKUP(A35,'Housing Cost Calc'!$A$2:$C$827,3,FALSE)</f>
        <v>1202</v>
      </c>
      <c r="K35">
        <f t="shared" si="5"/>
        <v>0.78665415368789204</v>
      </c>
    </row>
    <row r="36" spans="1:11" ht="48" x14ac:dyDescent="0.2">
      <c r="A36" s="4" t="s">
        <v>3071</v>
      </c>
      <c r="B36">
        <v>25648</v>
      </c>
      <c r="C36">
        <v>1.93</v>
      </c>
      <c r="D36">
        <f t="shared" si="0"/>
        <v>18461.834375202518</v>
      </c>
      <c r="E36">
        <f t="shared" si="1"/>
        <v>18.461834375202518</v>
      </c>
      <c r="F36" s="7">
        <v>4.25273390036452E-2</v>
      </c>
      <c r="G36">
        <f t="shared" si="2"/>
        <v>1</v>
      </c>
      <c r="H36" s="7">
        <f t="shared" si="3"/>
        <v>0.95747266099635475</v>
      </c>
      <c r="I36">
        <f t="shared" si="4"/>
        <v>5</v>
      </c>
      <c r="J36">
        <f>VLOOKUP(A36,'Housing Cost Calc'!$A$2:$C$827,3,FALSE)</f>
        <v>969</v>
      </c>
      <c r="K36">
        <f t="shared" si="5"/>
        <v>0.62983990451232974</v>
      </c>
    </row>
    <row r="37" spans="1:11" ht="48" x14ac:dyDescent="0.2">
      <c r="A37" s="4" t="s">
        <v>3149</v>
      </c>
      <c r="B37">
        <v>33942</v>
      </c>
      <c r="C37">
        <v>3.38</v>
      </c>
      <c r="D37">
        <f t="shared" si="0"/>
        <v>18462.014128487535</v>
      </c>
      <c r="E37">
        <f t="shared" si="1"/>
        <v>18.462014128487535</v>
      </c>
      <c r="F37" s="7">
        <v>4.374240583232078E-2</v>
      </c>
      <c r="G37">
        <f t="shared" si="2"/>
        <v>1</v>
      </c>
      <c r="H37" s="7">
        <f t="shared" si="3"/>
        <v>0.95625759416767919</v>
      </c>
      <c r="I37">
        <f t="shared" si="4"/>
        <v>5</v>
      </c>
      <c r="J37">
        <f>VLOOKUP(A37,'Housing Cost Calc'!$A$2:$C$827,3,FALSE)</f>
        <v>1146</v>
      </c>
      <c r="K37">
        <f t="shared" si="5"/>
        <v>0.74488080792767797</v>
      </c>
    </row>
    <row r="38" spans="1:11" ht="48" x14ac:dyDescent="0.2">
      <c r="A38" s="4" t="s">
        <v>3123</v>
      </c>
      <c r="B38">
        <v>31179</v>
      </c>
      <c r="C38">
        <v>2.79</v>
      </c>
      <c r="D38">
        <f t="shared" si="0"/>
        <v>18666.379039642718</v>
      </c>
      <c r="E38">
        <f t="shared" si="1"/>
        <v>18.666379039642717</v>
      </c>
      <c r="F38" s="7">
        <v>4.4957472660996353E-2</v>
      </c>
      <c r="G38">
        <f t="shared" si="2"/>
        <v>1</v>
      </c>
      <c r="H38" s="7">
        <f t="shared" si="3"/>
        <v>0.95504252733900363</v>
      </c>
      <c r="I38">
        <f t="shared" si="4"/>
        <v>5</v>
      </c>
      <c r="J38">
        <f>VLOOKUP(A38,'Housing Cost Calc'!$A$2:$C$827,3,FALSE)</f>
        <v>1114</v>
      </c>
      <c r="K38">
        <f t="shared" si="5"/>
        <v>0.71615389206496416</v>
      </c>
    </row>
    <row r="39" spans="1:11" ht="48" x14ac:dyDescent="0.2">
      <c r="A39" s="4" t="s">
        <v>3099</v>
      </c>
      <c r="B39">
        <v>29281</v>
      </c>
      <c r="C39">
        <v>2.46</v>
      </c>
      <c r="D39">
        <f t="shared" si="0"/>
        <v>18668.883735207608</v>
      </c>
      <c r="E39">
        <f t="shared" si="1"/>
        <v>18.668883735207608</v>
      </c>
      <c r="F39" s="7">
        <v>4.6172539489671933E-2</v>
      </c>
      <c r="G39">
        <f t="shared" si="2"/>
        <v>1</v>
      </c>
      <c r="H39" s="7">
        <f t="shared" si="3"/>
        <v>0.95382746051032807</v>
      </c>
      <c r="I39">
        <f t="shared" si="4"/>
        <v>5</v>
      </c>
      <c r="J39">
        <f>VLOOKUP(A39,'Housing Cost Calc'!$A$2:$C$827,3,FALSE)</f>
        <v>1166</v>
      </c>
      <c r="K39">
        <f t="shared" si="5"/>
        <v>0.74948241139948379</v>
      </c>
    </row>
    <row r="40" spans="1:11" ht="48" x14ac:dyDescent="0.2">
      <c r="A40" s="4" t="s">
        <v>3133</v>
      </c>
      <c r="B40">
        <v>32052</v>
      </c>
      <c r="C40">
        <v>2.92</v>
      </c>
      <c r="D40">
        <f t="shared" si="0"/>
        <v>18757.014249651886</v>
      </c>
      <c r="E40">
        <f t="shared" si="1"/>
        <v>18.757014249651885</v>
      </c>
      <c r="F40" s="7">
        <v>4.7387606318347507E-2</v>
      </c>
      <c r="G40">
        <f t="shared" si="2"/>
        <v>1</v>
      </c>
      <c r="H40" s="7">
        <f t="shared" si="3"/>
        <v>0.95261239368165251</v>
      </c>
      <c r="I40">
        <f t="shared" si="4"/>
        <v>5</v>
      </c>
      <c r="J40">
        <f>VLOOKUP(A40,'Housing Cost Calc'!$A$2:$C$827,3,FALSE)</f>
        <v>903</v>
      </c>
      <c r="K40">
        <f t="shared" si="5"/>
        <v>0.57770388483876678</v>
      </c>
    </row>
    <row r="41" spans="1:11" ht="48" x14ac:dyDescent="0.2">
      <c r="A41" s="4" t="s">
        <v>3055</v>
      </c>
      <c r="B41">
        <v>23598</v>
      </c>
      <c r="C41">
        <v>1.57</v>
      </c>
      <c r="D41">
        <f t="shared" si="0"/>
        <v>18833.254299666947</v>
      </c>
      <c r="E41">
        <f t="shared" si="1"/>
        <v>18.833254299666947</v>
      </c>
      <c r="F41" s="7">
        <v>4.8602673147023087E-2</v>
      </c>
      <c r="G41">
        <f t="shared" si="2"/>
        <v>1</v>
      </c>
      <c r="H41" s="7">
        <f t="shared" si="3"/>
        <v>0.95139732685297695</v>
      </c>
      <c r="I41">
        <f t="shared" si="4"/>
        <v>5</v>
      </c>
      <c r="J41">
        <f>VLOOKUP(A41,'Housing Cost Calc'!$A$2:$C$827,3,FALSE)</f>
        <v>974</v>
      </c>
      <c r="K41">
        <f t="shared" si="5"/>
        <v>0.6206043742640216</v>
      </c>
    </row>
    <row r="42" spans="1:11" ht="48" x14ac:dyDescent="0.2">
      <c r="A42" s="4" t="s">
        <v>3109</v>
      </c>
      <c r="B42">
        <v>30293</v>
      </c>
      <c r="C42">
        <v>2.54</v>
      </c>
      <c r="D42">
        <f t="shared" si="0"/>
        <v>19007.518705050239</v>
      </c>
      <c r="E42">
        <f t="shared" si="1"/>
        <v>19.007518705050238</v>
      </c>
      <c r="F42" s="7">
        <v>4.9817739975698661E-2</v>
      </c>
      <c r="G42">
        <f t="shared" si="2"/>
        <v>1</v>
      </c>
      <c r="H42" s="7">
        <f t="shared" si="3"/>
        <v>0.95018226002430128</v>
      </c>
      <c r="I42">
        <f t="shared" si="4"/>
        <v>5</v>
      </c>
      <c r="J42">
        <f>VLOOKUP(A42,'Housing Cost Calc'!$A$2:$C$827,3,FALSE)</f>
        <v>1025</v>
      </c>
      <c r="K42">
        <f t="shared" si="5"/>
        <v>0.64711234490233216</v>
      </c>
    </row>
    <row r="43" spans="1:11" ht="48" x14ac:dyDescent="0.2">
      <c r="A43" s="4" t="s">
        <v>3105</v>
      </c>
      <c r="B43">
        <v>30125</v>
      </c>
      <c r="C43">
        <v>2.4900000000000002</v>
      </c>
      <c r="D43">
        <f t="shared" si="0"/>
        <v>19090.943047049899</v>
      </c>
      <c r="E43">
        <f t="shared" si="1"/>
        <v>19.090943047049898</v>
      </c>
      <c r="F43" s="7">
        <v>5.1032806804374241E-2</v>
      </c>
      <c r="G43">
        <f t="shared" si="2"/>
        <v>1</v>
      </c>
      <c r="H43" s="7">
        <f t="shared" si="3"/>
        <v>0.94896719319562572</v>
      </c>
      <c r="I43">
        <f t="shared" si="4"/>
        <v>5</v>
      </c>
      <c r="J43">
        <f>VLOOKUP(A43,'Housing Cost Calc'!$A$2:$C$827,3,FALSE)</f>
        <v>1975</v>
      </c>
      <c r="K43">
        <f t="shared" si="5"/>
        <v>1.2414263633593696</v>
      </c>
    </row>
    <row r="44" spans="1:11" ht="48" x14ac:dyDescent="0.2">
      <c r="A44" s="4" t="s">
        <v>3163</v>
      </c>
      <c r="B44">
        <v>35163</v>
      </c>
      <c r="C44">
        <v>3.27</v>
      </c>
      <c r="D44">
        <f t="shared" si="0"/>
        <v>19445.183432294907</v>
      </c>
      <c r="E44">
        <f t="shared" si="1"/>
        <v>19.445183432294908</v>
      </c>
      <c r="F44" s="7">
        <v>5.2247873633049821E-2</v>
      </c>
      <c r="G44">
        <f t="shared" si="2"/>
        <v>1</v>
      </c>
      <c r="H44" s="7">
        <f t="shared" si="3"/>
        <v>0.94775212636695016</v>
      </c>
      <c r="I44">
        <f t="shared" si="4"/>
        <v>5</v>
      </c>
      <c r="J44">
        <f>VLOOKUP(A44,'Housing Cost Calc'!$A$2:$C$827,3,FALSE)</f>
        <v>1256</v>
      </c>
      <c r="K44">
        <f t="shared" si="5"/>
        <v>0.7751019707516954</v>
      </c>
    </row>
    <row r="45" spans="1:11" ht="48" x14ac:dyDescent="0.2">
      <c r="A45" s="4" t="s">
        <v>3115</v>
      </c>
      <c r="B45">
        <v>30563</v>
      </c>
      <c r="C45">
        <v>2.4500000000000002</v>
      </c>
      <c r="D45">
        <f t="shared" si="0"/>
        <v>19525.984456093163</v>
      </c>
      <c r="E45">
        <f t="shared" si="1"/>
        <v>19.525984456093163</v>
      </c>
      <c r="F45" s="7">
        <v>5.3462940461725394E-2</v>
      </c>
      <c r="G45">
        <f t="shared" si="2"/>
        <v>1</v>
      </c>
      <c r="H45" s="7">
        <f t="shared" si="3"/>
        <v>0.94653705953827461</v>
      </c>
      <c r="I45">
        <f t="shared" si="4"/>
        <v>5</v>
      </c>
      <c r="J45">
        <f>VLOOKUP(A45,'Housing Cost Calc'!$A$2:$C$827,3,FALSE)</f>
        <v>947</v>
      </c>
      <c r="K45">
        <f t="shared" si="5"/>
        <v>0.58199370308593157</v>
      </c>
    </row>
    <row r="46" spans="1:11" ht="48" x14ac:dyDescent="0.2">
      <c r="A46" s="4" t="s">
        <v>3121</v>
      </c>
      <c r="B46">
        <v>30995</v>
      </c>
      <c r="C46">
        <v>2.4900000000000002</v>
      </c>
      <c r="D46">
        <f t="shared" si="0"/>
        <v>19642.283145006193</v>
      </c>
      <c r="E46">
        <f t="shared" si="1"/>
        <v>19.642283145006193</v>
      </c>
      <c r="F46" s="7">
        <v>5.4678007290400975E-2</v>
      </c>
      <c r="G46">
        <f t="shared" si="2"/>
        <v>1</v>
      </c>
      <c r="H46" s="7">
        <f t="shared" si="3"/>
        <v>0.94532199270959905</v>
      </c>
      <c r="I46">
        <f t="shared" si="4"/>
        <v>5</v>
      </c>
      <c r="J46">
        <f>VLOOKUP(A46,'Housing Cost Calc'!$A$2:$C$827,3,FALSE)</f>
        <v>1050</v>
      </c>
      <c r="K46">
        <f t="shared" si="5"/>
        <v>0.64147329040022483</v>
      </c>
    </row>
    <row r="47" spans="1:11" ht="48" x14ac:dyDescent="0.2">
      <c r="A47" s="4" t="s">
        <v>3131</v>
      </c>
      <c r="B47">
        <v>31972</v>
      </c>
      <c r="C47">
        <v>2.61</v>
      </c>
      <c r="D47">
        <f t="shared" si="0"/>
        <v>19790.171173989009</v>
      </c>
      <c r="E47">
        <f t="shared" si="1"/>
        <v>19.790171173989009</v>
      </c>
      <c r="F47" s="7">
        <v>5.5893074119076548E-2</v>
      </c>
      <c r="G47">
        <f t="shared" si="2"/>
        <v>1</v>
      </c>
      <c r="H47" s="7">
        <f t="shared" si="3"/>
        <v>0.94410692588092349</v>
      </c>
      <c r="I47">
        <f t="shared" si="4"/>
        <v>5</v>
      </c>
      <c r="J47">
        <f>VLOOKUP(A47,'Housing Cost Calc'!$A$2:$C$827,3,FALSE)</f>
        <v>998</v>
      </c>
      <c r="K47">
        <f t="shared" si="5"/>
        <v>0.6051488839945216</v>
      </c>
    </row>
    <row r="48" spans="1:11" ht="48" x14ac:dyDescent="0.2">
      <c r="A48" s="4" t="s">
        <v>3177</v>
      </c>
      <c r="B48">
        <v>36058</v>
      </c>
      <c r="C48">
        <v>3.28</v>
      </c>
      <c r="D48">
        <f t="shared" si="0"/>
        <v>19909.699836034084</v>
      </c>
      <c r="E48">
        <f t="shared" si="1"/>
        <v>19.909699836034083</v>
      </c>
      <c r="F48" s="7">
        <v>5.7108140947752128E-2</v>
      </c>
      <c r="G48">
        <f t="shared" si="2"/>
        <v>1</v>
      </c>
      <c r="H48" s="7">
        <f t="shared" si="3"/>
        <v>0.94289185905224793</v>
      </c>
      <c r="I48">
        <f t="shared" si="4"/>
        <v>5</v>
      </c>
      <c r="J48">
        <f>VLOOKUP(A48,'Housing Cost Calc'!$A$2:$C$827,3,FALSE)</f>
        <v>1247</v>
      </c>
      <c r="K48">
        <f t="shared" si="5"/>
        <v>0.75159345059120475</v>
      </c>
    </row>
    <row r="49" spans="1:11" ht="48" x14ac:dyDescent="0.2">
      <c r="A49" s="4" t="s">
        <v>3139</v>
      </c>
      <c r="B49">
        <v>32444</v>
      </c>
      <c r="C49">
        <v>2.61</v>
      </c>
      <c r="D49">
        <f t="shared" si="0"/>
        <v>20082.331839387571</v>
      </c>
      <c r="E49">
        <f t="shared" si="1"/>
        <v>20.082331839387571</v>
      </c>
      <c r="F49" s="7">
        <v>5.8323207776427702E-2</v>
      </c>
      <c r="G49">
        <f t="shared" si="2"/>
        <v>1</v>
      </c>
      <c r="H49" s="7">
        <f t="shared" si="3"/>
        <v>0.94167679222357226</v>
      </c>
      <c r="I49">
        <f t="shared" si="4"/>
        <v>5</v>
      </c>
      <c r="J49">
        <f>VLOOKUP(A49,'Housing Cost Calc'!$A$2:$C$827,3,FALSE)</f>
        <v>1213</v>
      </c>
      <c r="K49">
        <f t="shared" si="5"/>
        <v>0.72481622733925999</v>
      </c>
    </row>
    <row r="50" spans="1:11" ht="48" x14ac:dyDescent="0.2">
      <c r="A50" s="4" t="s">
        <v>3125</v>
      </c>
      <c r="B50">
        <v>31309</v>
      </c>
      <c r="C50">
        <v>2.4300000000000002</v>
      </c>
      <c r="D50">
        <f t="shared" si="0"/>
        <v>20084.732864508882</v>
      </c>
      <c r="E50">
        <f t="shared" si="1"/>
        <v>20.084732864508883</v>
      </c>
      <c r="F50" s="7">
        <v>5.9538274605103282E-2</v>
      </c>
      <c r="G50">
        <f t="shared" si="2"/>
        <v>1</v>
      </c>
      <c r="H50" s="7">
        <f t="shared" si="3"/>
        <v>0.9404617253948967</v>
      </c>
      <c r="I50">
        <f t="shared" si="4"/>
        <v>5</v>
      </c>
      <c r="J50">
        <f>VLOOKUP(A50,'Housing Cost Calc'!$A$2:$C$827,3,FALSE)</f>
        <v>1024</v>
      </c>
      <c r="K50">
        <f t="shared" si="5"/>
        <v>0.61180798783307444</v>
      </c>
    </row>
    <row r="51" spans="1:11" ht="48" x14ac:dyDescent="0.2">
      <c r="A51" s="4" t="s">
        <v>3173</v>
      </c>
      <c r="B51">
        <v>35492</v>
      </c>
      <c r="C51">
        <v>3.1</v>
      </c>
      <c r="D51">
        <f t="shared" si="0"/>
        <v>20158.101421096824</v>
      </c>
      <c r="E51">
        <f t="shared" si="1"/>
        <v>20.158101421096823</v>
      </c>
      <c r="F51" s="7">
        <v>6.0753341433778855E-2</v>
      </c>
      <c r="G51">
        <f t="shared" si="2"/>
        <v>1</v>
      </c>
      <c r="H51" s="7">
        <f t="shared" si="3"/>
        <v>0.93924665856622114</v>
      </c>
      <c r="I51">
        <f t="shared" si="4"/>
        <v>5</v>
      </c>
      <c r="J51">
        <f>VLOOKUP(A51,'Housing Cost Calc'!$A$2:$C$827,3,FALSE)</f>
        <v>1228</v>
      </c>
      <c r="K51">
        <f t="shared" si="5"/>
        <v>0.73102122527163071</v>
      </c>
    </row>
    <row r="52" spans="1:11" ht="48" x14ac:dyDescent="0.2">
      <c r="A52" s="4" t="s">
        <v>3143</v>
      </c>
      <c r="B52">
        <v>33056</v>
      </c>
      <c r="C52">
        <v>2.65</v>
      </c>
      <c r="D52">
        <f t="shared" si="0"/>
        <v>20306.139382063091</v>
      </c>
      <c r="E52">
        <f t="shared" si="1"/>
        <v>20.30613938206309</v>
      </c>
      <c r="F52" s="7">
        <v>6.1968408262454436E-2</v>
      </c>
      <c r="G52">
        <f t="shared" si="2"/>
        <v>1</v>
      </c>
      <c r="H52" s="7">
        <f t="shared" si="3"/>
        <v>0.93803159173754558</v>
      </c>
      <c r="I52">
        <f t="shared" si="4"/>
        <v>5</v>
      </c>
      <c r="J52">
        <f>VLOOKUP(A52,'Housing Cost Calc'!$A$2:$C$827,3,FALSE)</f>
        <v>1190</v>
      </c>
      <c r="K52">
        <f t="shared" si="5"/>
        <v>0.7032355944830101</v>
      </c>
    </row>
    <row r="53" spans="1:11" ht="48" x14ac:dyDescent="0.2">
      <c r="A53" s="4" t="s">
        <v>3093</v>
      </c>
      <c r="B53">
        <v>28636</v>
      </c>
      <c r="C53">
        <v>1.93</v>
      </c>
      <c r="D53">
        <f t="shared" si="0"/>
        <v>20612.643838439617</v>
      </c>
      <c r="E53">
        <f t="shared" si="1"/>
        <v>20.612643838439617</v>
      </c>
      <c r="F53" s="7">
        <v>6.3183475091130009E-2</v>
      </c>
      <c r="G53">
        <f t="shared" si="2"/>
        <v>1</v>
      </c>
      <c r="H53" s="7">
        <f t="shared" si="3"/>
        <v>0.93681652490887002</v>
      </c>
      <c r="I53">
        <f t="shared" si="4"/>
        <v>5</v>
      </c>
      <c r="J53">
        <f>VLOOKUP(A53,'Housing Cost Calc'!$A$2:$C$827,3,FALSE)</f>
        <v>887</v>
      </c>
      <c r="K53">
        <f t="shared" si="5"/>
        <v>0.51638208487115422</v>
      </c>
    </row>
    <row r="54" spans="1:11" ht="48" x14ac:dyDescent="0.2">
      <c r="A54" s="4" t="s">
        <v>3095</v>
      </c>
      <c r="B54">
        <v>28782</v>
      </c>
      <c r="C54">
        <v>1.94</v>
      </c>
      <c r="D54">
        <f t="shared" si="0"/>
        <v>20664.271721335739</v>
      </c>
      <c r="E54">
        <f t="shared" si="1"/>
        <v>20.664271721335741</v>
      </c>
      <c r="F54" s="7">
        <v>6.4398541919805583E-2</v>
      </c>
      <c r="G54">
        <f t="shared" si="2"/>
        <v>1</v>
      </c>
      <c r="H54" s="7">
        <f t="shared" si="3"/>
        <v>0.93560145808019446</v>
      </c>
      <c r="I54">
        <f t="shared" si="4"/>
        <v>5</v>
      </c>
      <c r="J54">
        <f>VLOOKUP(A54,'Housing Cost Calc'!$A$2:$C$827,3,FALSE)</f>
        <v>793</v>
      </c>
      <c r="K54">
        <f t="shared" si="5"/>
        <v>0.46050497827004405</v>
      </c>
    </row>
    <row r="55" spans="1:11" ht="48" x14ac:dyDescent="0.2">
      <c r="A55" s="4" t="s">
        <v>3185</v>
      </c>
      <c r="B55">
        <v>36540</v>
      </c>
      <c r="C55">
        <v>3.11</v>
      </c>
      <c r="D55">
        <f t="shared" si="0"/>
        <v>20719.933084101558</v>
      </c>
      <c r="E55">
        <f t="shared" si="1"/>
        <v>20.719933084101559</v>
      </c>
      <c r="F55" s="7">
        <v>6.561360874848117E-2</v>
      </c>
      <c r="G55">
        <f t="shared" si="2"/>
        <v>1</v>
      </c>
      <c r="H55" s="7">
        <f t="shared" si="3"/>
        <v>0.93438639125151879</v>
      </c>
      <c r="I55">
        <f t="shared" si="4"/>
        <v>5</v>
      </c>
      <c r="J55">
        <f>VLOOKUP(A55,'Housing Cost Calc'!$A$2:$C$827,3,FALSE)</f>
        <v>1129</v>
      </c>
      <c r="K55">
        <f t="shared" si="5"/>
        <v>0.65386311553271403</v>
      </c>
    </row>
    <row r="56" spans="1:11" ht="48" x14ac:dyDescent="0.2">
      <c r="A56" s="4" t="s">
        <v>3157</v>
      </c>
      <c r="B56">
        <v>34507</v>
      </c>
      <c r="C56">
        <v>2.77</v>
      </c>
      <c r="D56">
        <f t="shared" si="0"/>
        <v>20733.246892727664</v>
      </c>
      <c r="E56">
        <f t="shared" si="1"/>
        <v>20.733246892727664</v>
      </c>
      <c r="F56" s="7">
        <v>6.6828675577156743E-2</v>
      </c>
      <c r="G56">
        <f t="shared" si="2"/>
        <v>1</v>
      </c>
      <c r="H56" s="7">
        <f t="shared" si="3"/>
        <v>0.93317132442284323</v>
      </c>
      <c r="I56">
        <f t="shared" si="4"/>
        <v>5</v>
      </c>
      <c r="J56">
        <f>VLOOKUP(A56,'Housing Cost Calc'!$A$2:$C$827,3,FALSE)</f>
        <v>965</v>
      </c>
      <c r="K56">
        <f t="shared" si="5"/>
        <v>0.55852322889483208</v>
      </c>
    </row>
    <row r="57" spans="1:11" ht="48" x14ac:dyDescent="0.2">
      <c r="A57" s="4" t="s">
        <v>3137</v>
      </c>
      <c r="B57">
        <v>32378</v>
      </c>
      <c r="C57">
        <v>2.38</v>
      </c>
      <c r="D57">
        <f t="shared" si="0"/>
        <v>20987.540161171979</v>
      </c>
      <c r="E57">
        <f t="shared" si="1"/>
        <v>20.987540161171978</v>
      </c>
      <c r="F57" s="7">
        <v>6.8043742405832316E-2</v>
      </c>
      <c r="G57">
        <f t="shared" si="2"/>
        <v>1</v>
      </c>
      <c r="H57" s="7">
        <f t="shared" si="3"/>
        <v>0.93195625759416767</v>
      </c>
      <c r="I57">
        <f t="shared" si="4"/>
        <v>5</v>
      </c>
      <c r="J57">
        <f>VLOOKUP(A57,'Housing Cost Calc'!$A$2:$C$827,3,FALSE)</f>
        <v>1254</v>
      </c>
      <c r="K57">
        <f t="shared" si="5"/>
        <v>0.71699684119435625</v>
      </c>
    </row>
    <row r="58" spans="1:11" ht="48" x14ac:dyDescent="0.2">
      <c r="A58" s="4" t="s">
        <v>3113</v>
      </c>
      <c r="B58">
        <v>30417</v>
      </c>
      <c r="C58">
        <v>2.09</v>
      </c>
      <c r="D58">
        <f t="shared" si="0"/>
        <v>21039.878847414391</v>
      </c>
      <c r="E58">
        <f t="shared" si="1"/>
        <v>21.039878847414393</v>
      </c>
      <c r="F58" s="7">
        <v>6.9258809234507904E-2</v>
      </c>
      <c r="G58">
        <f t="shared" si="2"/>
        <v>1</v>
      </c>
      <c r="H58" s="7">
        <f t="shared" si="3"/>
        <v>0.93074119076549211</v>
      </c>
      <c r="I58">
        <f t="shared" si="4"/>
        <v>5</v>
      </c>
      <c r="J58">
        <f>VLOOKUP(A58,'Housing Cost Calc'!$A$2:$C$827,3,FALSE)</f>
        <v>874</v>
      </c>
      <c r="K58">
        <f t="shared" si="5"/>
        <v>0.49848195781264582</v>
      </c>
    </row>
    <row r="59" spans="1:11" ht="48" x14ac:dyDescent="0.2">
      <c r="A59" s="4" t="s">
        <v>3135</v>
      </c>
      <c r="B59">
        <v>32110</v>
      </c>
      <c r="C59">
        <v>2.3199999999999998</v>
      </c>
      <c r="D59">
        <f t="shared" si="0"/>
        <v>21081.247795628457</v>
      </c>
      <c r="E59">
        <f t="shared" si="1"/>
        <v>21.081247795628457</v>
      </c>
      <c r="F59" s="7">
        <v>7.0473876063183477E-2</v>
      </c>
      <c r="G59">
        <f t="shared" si="2"/>
        <v>1</v>
      </c>
      <c r="H59" s="7">
        <f t="shared" si="3"/>
        <v>0.92952612393681655</v>
      </c>
      <c r="I59">
        <f t="shared" si="4"/>
        <v>5</v>
      </c>
      <c r="J59">
        <f>VLOOKUP(A59,'Housing Cost Calc'!$A$2:$C$827,3,FALSE)</f>
        <v>1067</v>
      </c>
      <c r="K59">
        <f t="shared" si="5"/>
        <v>0.60736442757696341</v>
      </c>
    </row>
    <row r="60" spans="1:11" ht="48" x14ac:dyDescent="0.2">
      <c r="A60" s="4" t="s">
        <v>3183</v>
      </c>
      <c r="B60">
        <v>36495</v>
      </c>
      <c r="C60">
        <v>2.99</v>
      </c>
      <c r="D60">
        <f t="shared" si="0"/>
        <v>21105.603442107938</v>
      </c>
      <c r="E60">
        <f t="shared" si="1"/>
        <v>21.105603442107938</v>
      </c>
      <c r="F60" s="7">
        <v>7.168894289185905E-2</v>
      </c>
      <c r="G60">
        <f t="shared" si="2"/>
        <v>1</v>
      </c>
      <c r="H60" s="7">
        <f t="shared" si="3"/>
        <v>0.92831105710814099</v>
      </c>
      <c r="I60">
        <f t="shared" si="4"/>
        <v>5</v>
      </c>
      <c r="J60">
        <f>VLOOKUP(A60,'Housing Cost Calc'!$A$2:$C$827,3,FALSE)</f>
        <v>1081</v>
      </c>
      <c r="K60">
        <f t="shared" si="5"/>
        <v>0.61462350676595534</v>
      </c>
    </row>
    <row r="61" spans="1:11" ht="48" x14ac:dyDescent="0.2">
      <c r="A61" s="4" t="s">
        <v>3101</v>
      </c>
      <c r="B61">
        <v>29755</v>
      </c>
      <c r="C61">
        <v>1.97</v>
      </c>
      <c r="D61">
        <f t="shared" si="0"/>
        <v>21199.559723902516</v>
      </c>
      <c r="E61">
        <f t="shared" si="1"/>
        <v>21.199559723902517</v>
      </c>
      <c r="F61" s="7">
        <v>7.2904009720534624E-2</v>
      </c>
      <c r="G61">
        <f t="shared" si="2"/>
        <v>1</v>
      </c>
      <c r="H61" s="7">
        <f t="shared" si="3"/>
        <v>0.92709599027946532</v>
      </c>
      <c r="I61">
        <f t="shared" si="4"/>
        <v>5</v>
      </c>
      <c r="J61">
        <f>VLOOKUP(A61,'Housing Cost Calc'!$A$2:$C$827,3,FALSE)</f>
        <v>803</v>
      </c>
      <c r="K61">
        <f t="shared" si="5"/>
        <v>0.45453774160863369</v>
      </c>
    </row>
    <row r="62" spans="1:11" ht="48" x14ac:dyDescent="0.2">
      <c r="A62" s="4" t="s">
        <v>3141</v>
      </c>
      <c r="B62">
        <v>33049</v>
      </c>
      <c r="C62">
        <v>2.41</v>
      </c>
      <c r="D62">
        <f t="shared" si="0"/>
        <v>21288.732345921057</v>
      </c>
      <c r="E62">
        <f t="shared" si="1"/>
        <v>21.288732345921055</v>
      </c>
      <c r="F62" s="7">
        <v>7.4119076549210211E-2</v>
      </c>
      <c r="G62">
        <f t="shared" si="2"/>
        <v>1</v>
      </c>
      <c r="H62" s="7">
        <f t="shared" si="3"/>
        <v>0.92588092345078976</v>
      </c>
      <c r="I62">
        <f t="shared" si="4"/>
        <v>5</v>
      </c>
      <c r="J62">
        <f>VLOOKUP(A62,'Housing Cost Calc'!$A$2:$C$827,3,FALSE)</f>
        <v>1054</v>
      </c>
      <c r="K62">
        <f t="shared" si="5"/>
        <v>0.59411710356832825</v>
      </c>
    </row>
    <row r="63" spans="1:11" ht="48" x14ac:dyDescent="0.2">
      <c r="A63" s="4" t="s">
        <v>3153</v>
      </c>
      <c r="B63">
        <v>34172</v>
      </c>
      <c r="C63">
        <v>2.57</v>
      </c>
      <c r="D63">
        <f t="shared" si="0"/>
        <v>21315.907944948292</v>
      </c>
      <c r="E63">
        <f t="shared" si="1"/>
        <v>21.315907944948293</v>
      </c>
      <c r="F63" s="7">
        <v>7.5334143377885784E-2</v>
      </c>
      <c r="G63">
        <f t="shared" si="2"/>
        <v>1</v>
      </c>
      <c r="H63" s="7">
        <f t="shared" si="3"/>
        <v>0.9246658566221142</v>
      </c>
      <c r="I63">
        <f t="shared" si="4"/>
        <v>5</v>
      </c>
      <c r="J63">
        <f>VLOOKUP(A63,'Housing Cost Calc'!$A$2:$C$827,3,FALSE)</f>
        <v>1125</v>
      </c>
      <c r="K63">
        <f t="shared" si="5"/>
        <v>0.63332981334249927</v>
      </c>
    </row>
    <row r="64" spans="1:11" ht="48" x14ac:dyDescent="0.2">
      <c r="A64" s="4" t="s">
        <v>3187</v>
      </c>
      <c r="B64">
        <v>36743</v>
      </c>
      <c r="C64">
        <v>2.97</v>
      </c>
      <c r="D64">
        <f t="shared" si="0"/>
        <v>21320.451042600685</v>
      </c>
      <c r="E64">
        <f t="shared" si="1"/>
        <v>21.320451042600684</v>
      </c>
      <c r="F64" s="7">
        <v>7.6549210206561358E-2</v>
      </c>
      <c r="G64">
        <f t="shared" si="2"/>
        <v>1</v>
      </c>
      <c r="H64" s="7">
        <f t="shared" si="3"/>
        <v>0.92345078979343864</v>
      </c>
      <c r="I64">
        <f t="shared" si="4"/>
        <v>5</v>
      </c>
      <c r="J64">
        <f>VLOOKUP(A64,'Housing Cost Calc'!$A$2:$C$827,3,FALSE)</f>
        <v>1060</v>
      </c>
      <c r="K64">
        <f t="shared" si="5"/>
        <v>0.59661026751188306</v>
      </c>
    </row>
    <row r="65" spans="1:11" ht="48" x14ac:dyDescent="0.2">
      <c r="A65" s="4" t="s">
        <v>3111</v>
      </c>
      <c r="B65">
        <v>30383</v>
      </c>
      <c r="C65">
        <v>2.0299999999999998</v>
      </c>
      <c r="D65">
        <f t="shared" si="0"/>
        <v>21324.685491937489</v>
      </c>
      <c r="E65">
        <f t="shared" si="1"/>
        <v>21.32468549193749</v>
      </c>
      <c r="F65" s="7">
        <v>7.7764277035236931E-2</v>
      </c>
      <c r="G65">
        <f t="shared" si="2"/>
        <v>1</v>
      </c>
      <c r="H65" s="7">
        <f t="shared" si="3"/>
        <v>0.92223572296476308</v>
      </c>
      <c r="I65">
        <f t="shared" si="4"/>
        <v>5</v>
      </c>
      <c r="J65">
        <f>VLOOKUP(A65,'Housing Cost Calc'!$A$2:$C$827,3,FALSE)</f>
        <v>1040</v>
      </c>
      <c r="K65">
        <f t="shared" si="5"/>
        <v>0.58523723619363488</v>
      </c>
    </row>
    <row r="66" spans="1:11" ht="48" x14ac:dyDescent="0.2">
      <c r="A66" s="4" t="s">
        <v>3161</v>
      </c>
      <c r="B66">
        <v>35030</v>
      </c>
      <c r="C66">
        <v>2.65</v>
      </c>
      <c r="D66">
        <f t="shared" ref="D66:D129" si="6">(B66/(C66)^0.5)</f>
        <v>21518.757942693312</v>
      </c>
      <c r="E66">
        <f t="shared" ref="E66:E129" si="7">D66/1000</f>
        <v>21.518757942693313</v>
      </c>
      <c r="F66" s="7">
        <v>7.8979343863912518E-2</v>
      </c>
      <c r="G66">
        <f t="shared" si="2"/>
        <v>1</v>
      </c>
      <c r="H66" s="7">
        <f t="shared" si="3"/>
        <v>0.92102065613608752</v>
      </c>
      <c r="I66">
        <f t="shared" si="4"/>
        <v>5</v>
      </c>
      <c r="J66">
        <f>VLOOKUP(A66,'Housing Cost Calc'!$A$2:$C$827,3,FALSE)</f>
        <v>1127</v>
      </c>
      <c r="K66">
        <f t="shared" si="5"/>
        <v>0.62847493503183671</v>
      </c>
    </row>
    <row r="67" spans="1:11" ht="48" x14ac:dyDescent="0.2">
      <c r="A67" s="4" t="s">
        <v>3197</v>
      </c>
      <c r="B67">
        <v>37688</v>
      </c>
      <c r="C67">
        <v>3</v>
      </c>
      <c r="D67">
        <f t="shared" si="6"/>
        <v>21759.176945218616</v>
      </c>
      <c r="E67">
        <f t="shared" si="7"/>
        <v>21.759176945218616</v>
      </c>
      <c r="F67" s="7">
        <v>8.0194410692588092E-2</v>
      </c>
      <c r="G67">
        <f t="shared" ref="G67:G130" si="8">IF(F67&lt;0.2,1,IF(F67&lt;0.4,2,IF(F67&lt;0.6,3,IF(F67&lt;0.8,4,5))))</f>
        <v>1</v>
      </c>
      <c r="H67" s="7">
        <f t="shared" ref="H67:H130" si="9">1-F67</f>
        <v>0.91980558930741196</v>
      </c>
      <c r="I67">
        <f t="shared" ref="I67:I130" si="10">6-G67</f>
        <v>5</v>
      </c>
      <c r="J67">
        <f>VLOOKUP(A67,'Housing Cost Calc'!$A$2:$C$827,3,FALSE)</f>
        <v>970</v>
      </c>
      <c r="K67">
        <f t="shared" ref="K67:K130" si="11">(J67*12)/D67</f>
        <v>0.53494670452403237</v>
      </c>
    </row>
    <row r="68" spans="1:11" ht="48" x14ac:dyDescent="0.2">
      <c r="A68" s="4" t="s">
        <v>3145</v>
      </c>
      <c r="B68">
        <v>33221</v>
      </c>
      <c r="C68">
        <v>2.29</v>
      </c>
      <c r="D68">
        <f t="shared" si="6"/>
        <v>21953.054725718539</v>
      </c>
      <c r="E68">
        <f t="shared" si="7"/>
        <v>21.953054725718538</v>
      </c>
      <c r="F68" s="7">
        <v>8.1409477521263665E-2</v>
      </c>
      <c r="G68">
        <f t="shared" si="8"/>
        <v>1</v>
      </c>
      <c r="H68" s="7">
        <f t="shared" si="9"/>
        <v>0.91859052247873629</v>
      </c>
      <c r="I68">
        <f t="shared" si="10"/>
        <v>5</v>
      </c>
      <c r="J68">
        <f>VLOOKUP(A68,'Housing Cost Calc'!$A$2:$C$827,3,FALSE)</f>
        <v>1213</v>
      </c>
      <c r="K68">
        <f t="shared" si="11"/>
        <v>0.66305123281760381</v>
      </c>
    </row>
    <row r="69" spans="1:11" ht="48" x14ac:dyDescent="0.2">
      <c r="A69" s="4" t="s">
        <v>3191</v>
      </c>
      <c r="B69">
        <v>37403</v>
      </c>
      <c r="C69">
        <v>2.88</v>
      </c>
      <c r="D69">
        <f t="shared" si="6"/>
        <v>22039.929113933696</v>
      </c>
      <c r="E69">
        <f t="shared" si="7"/>
        <v>22.039929113933695</v>
      </c>
      <c r="F69" s="7">
        <v>8.2624544349939252E-2</v>
      </c>
      <c r="G69">
        <f t="shared" si="8"/>
        <v>1</v>
      </c>
      <c r="H69" s="7">
        <f t="shared" si="9"/>
        <v>0.91737545565006073</v>
      </c>
      <c r="I69">
        <f t="shared" si="10"/>
        <v>5</v>
      </c>
      <c r="J69">
        <f>VLOOKUP(A69,'Housing Cost Calc'!$A$2:$C$827,3,FALSE)</f>
        <v>1017</v>
      </c>
      <c r="K69">
        <f t="shared" si="11"/>
        <v>0.55372228907417864</v>
      </c>
    </row>
    <row r="70" spans="1:11" ht="48" x14ac:dyDescent="0.2">
      <c r="A70" s="4" t="s">
        <v>3209</v>
      </c>
      <c r="B70">
        <v>39737</v>
      </c>
      <c r="C70">
        <v>3.21</v>
      </c>
      <c r="D70">
        <f t="shared" si="6"/>
        <v>22179.030601953</v>
      </c>
      <c r="E70">
        <f t="shared" si="7"/>
        <v>22.179030601952999</v>
      </c>
      <c r="F70" s="7">
        <v>8.3839611178614826E-2</v>
      </c>
      <c r="G70">
        <f t="shared" si="8"/>
        <v>1</v>
      </c>
      <c r="H70" s="7">
        <f t="shared" si="9"/>
        <v>0.91616038882138517</v>
      </c>
      <c r="I70">
        <f t="shared" si="10"/>
        <v>5</v>
      </c>
      <c r="J70">
        <f>VLOOKUP(A70,'Housing Cost Calc'!$A$2:$C$827,3,FALSE)</f>
        <v>1228</v>
      </c>
      <c r="K70">
        <f t="shared" si="11"/>
        <v>0.66441136515237975</v>
      </c>
    </row>
    <row r="71" spans="1:11" ht="64" x14ac:dyDescent="0.2">
      <c r="A71" s="4" t="s">
        <v>3089</v>
      </c>
      <c r="B71">
        <v>28032</v>
      </c>
      <c r="C71">
        <v>1.59</v>
      </c>
      <c r="D71">
        <f t="shared" si="6"/>
        <v>22230.822050851013</v>
      </c>
      <c r="E71">
        <f t="shared" si="7"/>
        <v>22.230822050851014</v>
      </c>
      <c r="F71" s="7">
        <v>8.5054678007290399E-2</v>
      </c>
      <c r="G71">
        <f t="shared" si="8"/>
        <v>1</v>
      </c>
      <c r="H71" s="7">
        <f t="shared" si="9"/>
        <v>0.91494532199270961</v>
      </c>
      <c r="I71">
        <f t="shared" si="10"/>
        <v>5</v>
      </c>
      <c r="J71">
        <f>VLOOKUP(A71,'Housing Cost Calc'!$A$2:$C$827,3,FALSE)</f>
        <v>910</v>
      </c>
      <c r="K71">
        <f t="shared" si="11"/>
        <v>0.49120990555461597</v>
      </c>
    </row>
    <row r="72" spans="1:11" ht="48" x14ac:dyDescent="0.2">
      <c r="A72" s="4" t="s">
        <v>3201</v>
      </c>
      <c r="B72">
        <v>38560</v>
      </c>
      <c r="C72">
        <v>2.97</v>
      </c>
      <c r="D72">
        <f t="shared" si="6"/>
        <v>22374.781378839027</v>
      </c>
      <c r="E72">
        <f t="shared" si="7"/>
        <v>22.374781378839028</v>
      </c>
      <c r="F72" s="7">
        <v>8.6269744835965972E-2</v>
      </c>
      <c r="G72">
        <f t="shared" si="8"/>
        <v>1</v>
      </c>
      <c r="H72" s="7">
        <f t="shared" si="9"/>
        <v>0.91373025516403406</v>
      </c>
      <c r="I72">
        <f t="shared" si="10"/>
        <v>5</v>
      </c>
      <c r="J72">
        <f>VLOOKUP(A72,'Housing Cost Calc'!$A$2:$C$827,3,FALSE)</f>
        <v>1230</v>
      </c>
      <c r="K72">
        <f t="shared" si="11"/>
        <v>0.65967124997070525</v>
      </c>
    </row>
    <row r="73" spans="1:11" ht="48" x14ac:dyDescent="0.2">
      <c r="A73" s="4" t="s">
        <v>3147</v>
      </c>
      <c r="B73">
        <v>33750</v>
      </c>
      <c r="C73">
        <v>2.27</v>
      </c>
      <c r="D73">
        <f t="shared" si="6"/>
        <v>22400.661766499055</v>
      </c>
      <c r="E73">
        <f t="shared" si="7"/>
        <v>22.400661766499056</v>
      </c>
      <c r="F73" s="7">
        <v>8.748481166464156E-2</v>
      </c>
      <c r="G73">
        <f t="shared" si="8"/>
        <v>1</v>
      </c>
      <c r="H73" s="7">
        <f t="shared" si="9"/>
        <v>0.91251518833535838</v>
      </c>
      <c r="I73">
        <f t="shared" si="10"/>
        <v>5</v>
      </c>
      <c r="J73">
        <f>VLOOKUP(A73,'Housing Cost Calc'!$A$2:$C$827,3,FALSE)</f>
        <v>1069</v>
      </c>
      <c r="K73">
        <f t="shared" si="11"/>
        <v>0.5726616532010097</v>
      </c>
    </row>
    <row r="74" spans="1:11" ht="48" x14ac:dyDescent="0.2">
      <c r="A74" s="4" t="s">
        <v>3195</v>
      </c>
      <c r="B74">
        <v>37481</v>
      </c>
      <c r="C74">
        <v>2.76</v>
      </c>
      <c r="D74">
        <f t="shared" si="6"/>
        <v>22560.910797538578</v>
      </c>
      <c r="E74">
        <f t="shared" si="7"/>
        <v>22.560910797538579</v>
      </c>
      <c r="F74" s="7">
        <v>8.8699878493317133E-2</v>
      </c>
      <c r="G74">
        <f t="shared" si="8"/>
        <v>1</v>
      </c>
      <c r="H74" s="7">
        <f t="shared" si="9"/>
        <v>0.91130012150668283</v>
      </c>
      <c r="I74">
        <f t="shared" si="10"/>
        <v>5</v>
      </c>
      <c r="J74">
        <f>VLOOKUP(A74,'Housing Cost Calc'!$A$2:$C$827,3,FALSE)</f>
        <v>1269</v>
      </c>
      <c r="K74">
        <f t="shared" si="11"/>
        <v>0.67497274984400868</v>
      </c>
    </row>
    <row r="75" spans="1:11" ht="48" x14ac:dyDescent="0.2">
      <c r="A75" s="4" t="s">
        <v>3217</v>
      </c>
      <c r="B75">
        <v>40245</v>
      </c>
      <c r="C75">
        <v>3.16</v>
      </c>
      <c r="D75">
        <f t="shared" si="6"/>
        <v>22639.581286383916</v>
      </c>
      <c r="E75">
        <f t="shared" si="7"/>
        <v>22.639581286383915</v>
      </c>
      <c r="F75" s="7">
        <v>8.9914945321992706E-2</v>
      </c>
      <c r="G75">
        <f t="shared" si="8"/>
        <v>1</v>
      </c>
      <c r="H75" s="7">
        <f t="shared" si="9"/>
        <v>0.91008505467800727</v>
      </c>
      <c r="I75">
        <f t="shared" si="10"/>
        <v>5</v>
      </c>
      <c r="J75">
        <f>VLOOKUP(A75,'Housing Cost Calc'!$A$2:$C$827,3,FALSE)</f>
        <v>1131</v>
      </c>
      <c r="K75">
        <f t="shared" si="11"/>
        <v>0.59948105171726762</v>
      </c>
    </row>
    <row r="76" spans="1:11" ht="48" x14ac:dyDescent="0.2">
      <c r="A76" s="4" t="s">
        <v>3221</v>
      </c>
      <c r="B76">
        <v>40637</v>
      </c>
      <c r="C76">
        <v>3.2</v>
      </c>
      <c r="D76">
        <f t="shared" si="6"/>
        <v>22716.773600414737</v>
      </c>
      <c r="E76">
        <f t="shared" si="7"/>
        <v>22.716773600414736</v>
      </c>
      <c r="F76" s="7">
        <v>9.1130012150668294E-2</v>
      </c>
      <c r="G76">
        <f t="shared" si="8"/>
        <v>1</v>
      </c>
      <c r="H76" s="7">
        <f t="shared" si="9"/>
        <v>0.90886998784933171</v>
      </c>
      <c r="I76">
        <f t="shared" si="10"/>
        <v>5</v>
      </c>
      <c r="J76">
        <f>VLOOKUP(A76,'Housing Cost Calc'!$A$2:$C$827,3,FALSE)</f>
        <v>1182</v>
      </c>
      <c r="K76">
        <f t="shared" si="11"/>
        <v>0.62438444162427387</v>
      </c>
    </row>
    <row r="77" spans="1:11" ht="48" x14ac:dyDescent="0.2">
      <c r="A77" s="4" t="s">
        <v>3175</v>
      </c>
      <c r="B77">
        <v>35799</v>
      </c>
      <c r="C77">
        <v>2.48</v>
      </c>
      <c r="D77">
        <f t="shared" si="6"/>
        <v>22732.387732399096</v>
      </c>
      <c r="E77">
        <f t="shared" si="7"/>
        <v>22.732387732399097</v>
      </c>
      <c r="F77" s="7">
        <v>9.2345078979343867E-2</v>
      </c>
      <c r="G77">
        <f t="shared" si="8"/>
        <v>1</v>
      </c>
      <c r="H77" s="7">
        <f t="shared" si="9"/>
        <v>0.90765492102065615</v>
      </c>
      <c r="I77">
        <f t="shared" si="10"/>
        <v>5</v>
      </c>
      <c r="J77">
        <f>VLOOKUP(A77,'Housing Cost Calc'!$A$2:$C$827,3,FALSE)</f>
        <v>963</v>
      </c>
      <c r="K77">
        <f t="shared" si="11"/>
        <v>0.5083495907264477</v>
      </c>
    </row>
    <row r="78" spans="1:11" ht="48" x14ac:dyDescent="0.2">
      <c r="A78" s="4" t="s">
        <v>3171</v>
      </c>
      <c r="B78">
        <v>35463</v>
      </c>
      <c r="C78">
        <v>2.4</v>
      </c>
      <c r="D78">
        <f t="shared" si="6"/>
        <v>22891.268067758938</v>
      </c>
      <c r="E78">
        <f t="shared" si="7"/>
        <v>22.891268067758936</v>
      </c>
      <c r="F78" s="7">
        <v>9.356014580801944E-2</v>
      </c>
      <c r="G78">
        <f t="shared" si="8"/>
        <v>1</v>
      </c>
      <c r="H78" s="7">
        <f t="shared" si="9"/>
        <v>0.90643985419198059</v>
      </c>
      <c r="I78">
        <f t="shared" si="10"/>
        <v>5</v>
      </c>
      <c r="J78">
        <f>VLOOKUP(A78,'Housing Cost Calc'!$A$2:$C$827,3,FALSE)</f>
        <v>998</v>
      </c>
      <c r="K78">
        <f t="shared" si="11"/>
        <v>0.52316892033025997</v>
      </c>
    </row>
    <row r="79" spans="1:11" ht="48" x14ac:dyDescent="0.2">
      <c r="A79" s="4" t="s">
        <v>3151</v>
      </c>
      <c r="B79">
        <v>33958</v>
      </c>
      <c r="C79">
        <v>2.19</v>
      </c>
      <c r="D79">
        <f t="shared" si="6"/>
        <v>22946.689895689746</v>
      </c>
      <c r="E79">
        <f t="shared" si="7"/>
        <v>22.946689895689747</v>
      </c>
      <c r="F79" s="7">
        <v>9.4775212636695014E-2</v>
      </c>
      <c r="G79">
        <f t="shared" si="8"/>
        <v>1</v>
      </c>
      <c r="H79" s="7">
        <f t="shared" si="9"/>
        <v>0.90522478736330503</v>
      </c>
      <c r="I79">
        <f t="shared" si="10"/>
        <v>5</v>
      </c>
      <c r="J79">
        <f>VLOOKUP(A79,'Housing Cost Calc'!$A$2:$C$827,3,FALSE)</f>
        <v>896</v>
      </c>
      <c r="K79">
        <f t="shared" si="11"/>
        <v>0.46856431358405343</v>
      </c>
    </row>
    <row r="80" spans="1:11" ht="48" x14ac:dyDescent="0.2">
      <c r="A80" s="4" t="s">
        <v>3127</v>
      </c>
      <c r="B80">
        <v>31618</v>
      </c>
      <c r="C80">
        <v>1.84</v>
      </c>
      <c r="D80">
        <f t="shared" si="6"/>
        <v>23309.098848527687</v>
      </c>
      <c r="E80">
        <f t="shared" si="7"/>
        <v>23.309098848527686</v>
      </c>
      <c r="F80" s="7">
        <v>9.5990279465370601E-2</v>
      </c>
      <c r="G80">
        <f t="shared" si="8"/>
        <v>1</v>
      </c>
      <c r="H80" s="7">
        <f t="shared" si="9"/>
        <v>0.90400972053462936</v>
      </c>
      <c r="I80">
        <f t="shared" si="10"/>
        <v>5</v>
      </c>
      <c r="J80">
        <f>VLOOKUP(A80,'Housing Cost Calc'!$A$2:$C$827,3,FALSE)</f>
        <v>927</v>
      </c>
      <c r="K80">
        <f t="shared" si="11"/>
        <v>0.47723852699276037</v>
      </c>
    </row>
    <row r="81" spans="1:11" ht="48" x14ac:dyDescent="0.2">
      <c r="A81" s="4" t="s">
        <v>3203</v>
      </c>
      <c r="B81">
        <v>39167</v>
      </c>
      <c r="C81">
        <v>2.82</v>
      </c>
      <c r="D81">
        <f t="shared" si="6"/>
        <v>23323.609085648426</v>
      </c>
      <c r="E81">
        <f t="shared" si="7"/>
        <v>23.323609085648425</v>
      </c>
      <c r="F81" s="7">
        <v>9.7205346294046174E-2</v>
      </c>
      <c r="G81">
        <f t="shared" si="8"/>
        <v>1</v>
      </c>
      <c r="H81" s="7">
        <f t="shared" si="9"/>
        <v>0.9027946537059538</v>
      </c>
      <c r="I81">
        <f t="shared" si="10"/>
        <v>5</v>
      </c>
      <c r="J81">
        <f>VLOOKUP(A81,'Housing Cost Calc'!$A$2:$C$827,3,FALSE)</f>
        <v>1130</v>
      </c>
      <c r="K81">
        <f t="shared" si="11"/>
        <v>0.58138515142340441</v>
      </c>
    </row>
    <row r="82" spans="1:11" ht="48" x14ac:dyDescent="0.2">
      <c r="A82" s="4" t="s">
        <v>3159</v>
      </c>
      <c r="B82">
        <v>34788</v>
      </c>
      <c r="C82">
        <v>2.2200000000000002</v>
      </c>
      <c r="D82">
        <f t="shared" si="6"/>
        <v>23348.176848785479</v>
      </c>
      <c r="E82">
        <f t="shared" si="7"/>
        <v>23.348176848785478</v>
      </c>
      <c r="F82" s="7">
        <v>9.8420413122721748E-2</v>
      </c>
      <c r="G82">
        <f t="shared" si="8"/>
        <v>1</v>
      </c>
      <c r="H82" s="7">
        <f t="shared" si="9"/>
        <v>0.90157958687727824</v>
      </c>
      <c r="I82">
        <f t="shared" si="10"/>
        <v>5</v>
      </c>
      <c r="J82">
        <f>VLOOKUP(A82,'Housing Cost Calc'!$A$2:$C$827,3,FALSE)</f>
        <v>1092</v>
      </c>
      <c r="K82">
        <f t="shared" si="11"/>
        <v>0.56124296491619396</v>
      </c>
    </row>
    <row r="83" spans="1:11" ht="48" x14ac:dyDescent="0.2">
      <c r="A83" s="4" t="s">
        <v>3193</v>
      </c>
      <c r="B83">
        <v>37463</v>
      </c>
      <c r="C83">
        <v>2.5499999999999998</v>
      </c>
      <c r="D83">
        <f t="shared" si="6"/>
        <v>23460.240616922958</v>
      </c>
      <c r="E83">
        <f t="shared" si="7"/>
        <v>23.46024061692296</v>
      </c>
      <c r="F83" s="7">
        <v>9.9635479951397321E-2</v>
      </c>
      <c r="G83">
        <f t="shared" si="8"/>
        <v>1</v>
      </c>
      <c r="H83" s="7">
        <f t="shared" si="9"/>
        <v>0.90036452004860268</v>
      </c>
      <c r="I83">
        <f t="shared" si="10"/>
        <v>5</v>
      </c>
      <c r="J83">
        <f>VLOOKUP(A83,'Housing Cost Calc'!$A$2:$C$827,3,FALSE)</f>
        <v>946</v>
      </c>
      <c r="K83">
        <f t="shared" si="11"/>
        <v>0.48388250510147268</v>
      </c>
    </row>
    <row r="84" spans="1:11" ht="48" x14ac:dyDescent="0.2">
      <c r="A84" s="4" t="s">
        <v>3189</v>
      </c>
      <c r="B84">
        <v>37353</v>
      </c>
      <c r="C84">
        <v>2.5</v>
      </c>
      <c r="D84">
        <f t="shared" si="6"/>
        <v>23624.111488053892</v>
      </c>
      <c r="E84">
        <f t="shared" si="7"/>
        <v>23.624111488053892</v>
      </c>
      <c r="F84" s="7">
        <v>0.10085054678007291</v>
      </c>
      <c r="G84">
        <f t="shared" si="8"/>
        <v>1</v>
      </c>
      <c r="H84" s="7">
        <f t="shared" si="9"/>
        <v>0.89914945321992712</v>
      </c>
      <c r="I84">
        <f t="shared" si="10"/>
        <v>5</v>
      </c>
      <c r="J84">
        <f>VLOOKUP(A84,'Housing Cost Calc'!$A$2:$C$827,3,FALSE)</f>
        <v>1097</v>
      </c>
      <c r="K84">
        <f t="shared" si="11"/>
        <v>0.55722730595208614</v>
      </c>
    </row>
    <row r="85" spans="1:11" ht="48" x14ac:dyDescent="0.2">
      <c r="A85" s="4" t="s">
        <v>3233</v>
      </c>
      <c r="B85">
        <v>41881</v>
      </c>
      <c r="C85">
        <v>3.12</v>
      </c>
      <c r="D85">
        <f t="shared" si="6"/>
        <v>23710.447233504907</v>
      </c>
      <c r="E85">
        <f t="shared" si="7"/>
        <v>23.710447233504908</v>
      </c>
      <c r="F85" s="7">
        <v>0.10206561360874848</v>
      </c>
      <c r="G85">
        <f t="shared" si="8"/>
        <v>1</v>
      </c>
      <c r="H85" s="7">
        <f t="shared" si="9"/>
        <v>0.89793438639125156</v>
      </c>
      <c r="I85">
        <f t="shared" si="10"/>
        <v>5</v>
      </c>
      <c r="J85">
        <f>VLOOKUP(A85,'Housing Cost Calc'!$A$2:$C$827,3,FALSE)</f>
        <v>1365</v>
      </c>
      <c r="K85">
        <f t="shared" si="11"/>
        <v>0.69083471259258444</v>
      </c>
    </row>
    <row r="86" spans="1:11" ht="48" x14ac:dyDescent="0.2">
      <c r="A86" s="4" t="s">
        <v>3165</v>
      </c>
      <c r="B86">
        <v>35234</v>
      </c>
      <c r="C86">
        <v>2.1800000000000002</v>
      </c>
      <c r="D86">
        <f t="shared" si="6"/>
        <v>23863.475949736865</v>
      </c>
      <c r="E86">
        <f t="shared" si="7"/>
        <v>23.863475949736866</v>
      </c>
      <c r="F86" s="7">
        <v>0.10328068043742406</v>
      </c>
      <c r="G86">
        <f t="shared" si="8"/>
        <v>1</v>
      </c>
      <c r="H86" s="7">
        <f t="shared" si="9"/>
        <v>0.896719319562576</v>
      </c>
      <c r="I86">
        <f t="shared" si="10"/>
        <v>5</v>
      </c>
      <c r="J86">
        <f>VLOOKUP(A86,'Housing Cost Calc'!$A$2:$C$827,3,FALSE)</f>
        <v>1033</v>
      </c>
      <c r="K86">
        <f t="shared" si="11"/>
        <v>0.51945492040260322</v>
      </c>
    </row>
    <row r="87" spans="1:11" ht="48" x14ac:dyDescent="0.2">
      <c r="A87" s="4" t="s">
        <v>3107</v>
      </c>
      <c r="B87">
        <v>30206</v>
      </c>
      <c r="C87">
        <v>1.59</v>
      </c>
      <c r="D87">
        <f t="shared" si="6"/>
        <v>23954.91619820226</v>
      </c>
      <c r="E87">
        <f t="shared" si="7"/>
        <v>23.954916198202259</v>
      </c>
      <c r="F87" s="7">
        <v>0.10449574726609964</v>
      </c>
      <c r="G87">
        <f t="shared" si="8"/>
        <v>1</v>
      </c>
      <c r="H87" s="7">
        <f t="shared" si="9"/>
        <v>0.89550425273390033</v>
      </c>
      <c r="I87">
        <f t="shared" si="10"/>
        <v>5</v>
      </c>
      <c r="J87">
        <f>VLOOKUP(A87,'Housing Cost Calc'!$A$2:$C$827,3,FALSE)</f>
        <v>843</v>
      </c>
      <c r="K87">
        <f t="shared" si="11"/>
        <v>0.42229327442853559</v>
      </c>
    </row>
    <row r="88" spans="1:11" ht="48" x14ac:dyDescent="0.2">
      <c r="A88" s="4" t="s">
        <v>3181</v>
      </c>
      <c r="B88">
        <v>36304</v>
      </c>
      <c r="C88">
        <v>2.2200000000000002</v>
      </c>
      <c r="D88">
        <f t="shared" si="6"/>
        <v>24365.649428489938</v>
      </c>
      <c r="E88">
        <f t="shared" si="7"/>
        <v>24.365649428489938</v>
      </c>
      <c r="F88" s="7">
        <v>0.10571081409477522</v>
      </c>
      <c r="G88">
        <f t="shared" si="8"/>
        <v>1</v>
      </c>
      <c r="H88" s="7">
        <f t="shared" si="9"/>
        <v>0.89428918590522477</v>
      </c>
      <c r="I88">
        <f t="shared" si="10"/>
        <v>5</v>
      </c>
      <c r="J88">
        <f>VLOOKUP(A88,'Housing Cost Calc'!$A$2:$C$827,3,FALSE)</f>
        <v>1165</v>
      </c>
      <c r="K88">
        <f t="shared" si="11"/>
        <v>0.57375856289115179</v>
      </c>
    </row>
    <row r="89" spans="1:11" ht="48" x14ac:dyDescent="0.2">
      <c r="A89" s="4" t="s">
        <v>3213</v>
      </c>
      <c r="B89">
        <v>40075</v>
      </c>
      <c r="C89">
        <v>2.66</v>
      </c>
      <c r="D89">
        <f t="shared" si="6"/>
        <v>24571.559029860004</v>
      </c>
      <c r="E89">
        <f t="shared" si="7"/>
        <v>24.571559029860005</v>
      </c>
      <c r="F89" s="7">
        <v>0.10692588092345079</v>
      </c>
      <c r="G89">
        <f t="shared" si="8"/>
        <v>1</v>
      </c>
      <c r="H89" s="7">
        <f t="shared" si="9"/>
        <v>0.89307411907654921</v>
      </c>
      <c r="I89">
        <f t="shared" si="10"/>
        <v>5</v>
      </c>
      <c r="J89">
        <f>VLOOKUP(A89,'Housing Cost Calc'!$A$2:$C$827,3,FALSE)</f>
        <v>1314</v>
      </c>
      <c r="K89">
        <f t="shared" si="11"/>
        <v>0.64171752312656727</v>
      </c>
    </row>
    <row r="90" spans="1:11" ht="48" x14ac:dyDescent="0.2">
      <c r="A90" s="4" t="s">
        <v>3219</v>
      </c>
      <c r="B90">
        <v>40625</v>
      </c>
      <c r="C90">
        <v>2.71</v>
      </c>
      <c r="D90">
        <f t="shared" si="6"/>
        <v>24677.930031250722</v>
      </c>
      <c r="E90">
        <f t="shared" si="7"/>
        <v>24.677930031250721</v>
      </c>
      <c r="F90" s="7">
        <v>0.10814094775212636</v>
      </c>
      <c r="G90">
        <f t="shared" si="8"/>
        <v>1</v>
      </c>
      <c r="H90" s="7">
        <f t="shared" si="9"/>
        <v>0.89185905224787365</v>
      </c>
      <c r="I90">
        <f t="shared" si="10"/>
        <v>5</v>
      </c>
      <c r="J90">
        <f>VLOOKUP(A90,'Housing Cost Calc'!$A$2:$C$827,3,FALSE)</f>
        <v>1226</v>
      </c>
      <c r="K90">
        <f t="shared" si="11"/>
        <v>0.59616021203437897</v>
      </c>
    </row>
    <row r="91" spans="1:11" ht="48" x14ac:dyDescent="0.2">
      <c r="A91" s="4" t="s">
        <v>3251</v>
      </c>
      <c r="B91">
        <v>43357</v>
      </c>
      <c r="C91">
        <v>3.08</v>
      </c>
      <c r="D91">
        <f t="shared" si="6"/>
        <v>24704.943567802613</v>
      </c>
      <c r="E91">
        <f t="shared" si="7"/>
        <v>24.704943567802612</v>
      </c>
      <c r="F91" s="7">
        <v>0.10935601458080195</v>
      </c>
      <c r="G91">
        <f t="shared" si="8"/>
        <v>1</v>
      </c>
      <c r="H91" s="7">
        <f t="shared" si="9"/>
        <v>0.89064398541919809</v>
      </c>
      <c r="I91">
        <f t="shared" si="10"/>
        <v>5</v>
      </c>
      <c r="J91">
        <f>VLOOKUP(A91,'Housing Cost Calc'!$A$2:$C$827,3,FALSE)</f>
        <v>1564</v>
      </c>
      <c r="K91">
        <f t="shared" si="11"/>
        <v>0.75968600974502543</v>
      </c>
    </row>
    <row r="92" spans="1:11" ht="48" x14ac:dyDescent="0.2">
      <c r="A92" s="4" t="s">
        <v>3199</v>
      </c>
      <c r="B92">
        <v>37802</v>
      </c>
      <c r="C92">
        <v>2.34</v>
      </c>
      <c r="D92">
        <f t="shared" si="6"/>
        <v>24711.94046831211</v>
      </c>
      <c r="E92">
        <f t="shared" si="7"/>
        <v>24.711940468312111</v>
      </c>
      <c r="F92" s="7">
        <v>0.11057108140947752</v>
      </c>
      <c r="G92">
        <f t="shared" si="8"/>
        <v>1</v>
      </c>
      <c r="H92" s="7">
        <f t="shared" si="9"/>
        <v>0.88942891859052242</v>
      </c>
      <c r="I92">
        <f t="shared" si="10"/>
        <v>5</v>
      </c>
      <c r="J92">
        <f>VLOOKUP(A92,'Housing Cost Calc'!$A$2:$C$827,3,FALSE)</f>
        <v>1162</v>
      </c>
      <c r="K92">
        <f t="shared" si="11"/>
        <v>0.56426163772449434</v>
      </c>
    </row>
    <row r="93" spans="1:11" ht="48" x14ac:dyDescent="0.2">
      <c r="A93" s="4" t="s">
        <v>3207</v>
      </c>
      <c r="B93">
        <v>39545</v>
      </c>
      <c r="C93">
        <v>2.56</v>
      </c>
      <c r="D93">
        <f t="shared" si="6"/>
        <v>24715.625</v>
      </c>
      <c r="E93">
        <f t="shared" si="7"/>
        <v>24.715624999999999</v>
      </c>
      <c r="F93" s="7">
        <v>0.1117861482381531</v>
      </c>
      <c r="G93">
        <f t="shared" si="8"/>
        <v>1</v>
      </c>
      <c r="H93" s="7">
        <f t="shared" si="9"/>
        <v>0.88821385176184686</v>
      </c>
      <c r="I93">
        <f t="shared" si="10"/>
        <v>5</v>
      </c>
      <c r="J93">
        <f>VLOOKUP(A93,'Housing Cost Calc'!$A$2:$C$827,3,FALSE)</f>
        <v>1034</v>
      </c>
      <c r="K93">
        <f t="shared" si="11"/>
        <v>0.50203059805285122</v>
      </c>
    </row>
    <row r="94" spans="1:11" ht="48" x14ac:dyDescent="0.2">
      <c r="A94" s="4" t="s">
        <v>3245</v>
      </c>
      <c r="B94">
        <v>42826</v>
      </c>
      <c r="C94">
        <v>2.92</v>
      </c>
      <c r="D94">
        <f t="shared" si="6"/>
        <v>25062.020849107437</v>
      </c>
      <c r="E94">
        <f t="shared" si="7"/>
        <v>25.062020849107437</v>
      </c>
      <c r="F94" s="7">
        <v>0.11300121506682867</v>
      </c>
      <c r="G94">
        <f t="shared" si="8"/>
        <v>1</v>
      </c>
      <c r="H94" s="7">
        <f t="shared" si="9"/>
        <v>0.8869987849331713</v>
      </c>
      <c r="I94">
        <f t="shared" si="10"/>
        <v>5</v>
      </c>
      <c r="J94">
        <f>VLOOKUP(A94,'Housing Cost Calc'!$A$2:$C$827,3,FALSE)</f>
        <v>1318</v>
      </c>
      <c r="K94">
        <f t="shared" si="11"/>
        <v>0.63107440917172786</v>
      </c>
    </row>
    <row r="95" spans="1:11" ht="48" x14ac:dyDescent="0.2">
      <c r="A95" s="4" t="s">
        <v>3237</v>
      </c>
      <c r="B95">
        <v>42095</v>
      </c>
      <c r="C95">
        <v>2.79</v>
      </c>
      <c r="D95">
        <f t="shared" si="6"/>
        <v>25201.617296056964</v>
      </c>
      <c r="E95">
        <f t="shared" si="7"/>
        <v>25.201617296056963</v>
      </c>
      <c r="F95" s="7">
        <v>0.11421628189550426</v>
      </c>
      <c r="G95">
        <f t="shared" si="8"/>
        <v>1</v>
      </c>
      <c r="H95" s="7">
        <f t="shared" si="9"/>
        <v>0.88578371810449574</v>
      </c>
      <c r="I95">
        <f t="shared" si="10"/>
        <v>5</v>
      </c>
      <c r="J95">
        <f>VLOOKUP(A95,'Housing Cost Calc'!$A$2:$C$827,3,FALSE)</f>
        <v>1195</v>
      </c>
      <c r="K95">
        <f t="shared" si="11"/>
        <v>0.56901110081707462</v>
      </c>
    </row>
    <row r="96" spans="1:11" ht="48" x14ac:dyDescent="0.2">
      <c r="A96" s="4" t="s">
        <v>3179</v>
      </c>
      <c r="B96">
        <v>36120</v>
      </c>
      <c r="C96">
        <v>2.02</v>
      </c>
      <c r="D96">
        <f t="shared" si="6"/>
        <v>25413.943315658144</v>
      </c>
      <c r="E96">
        <f t="shared" si="7"/>
        <v>25.413943315658145</v>
      </c>
      <c r="F96" s="7">
        <v>0.11543134872417983</v>
      </c>
      <c r="G96">
        <f t="shared" si="8"/>
        <v>1</v>
      </c>
      <c r="H96" s="7">
        <f t="shared" si="9"/>
        <v>0.88456865127582018</v>
      </c>
      <c r="I96">
        <f t="shared" si="10"/>
        <v>5</v>
      </c>
      <c r="J96">
        <f>VLOOKUP(A96,'Housing Cost Calc'!$A$2:$C$827,3,FALSE)</f>
        <v>1020</v>
      </c>
      <c r="K96">
        <f t="shared" si="11"/>
        <v>0.48162537580142634</v>
      </c>
    </row>
    <row r="97" spans="1:11" ht="64" x14ac:dyDescent="0.2">
      <c r="A97" s="4" t="s">
        <v>3267</v>
      </c>
      <c r="B97">
        <v>44635</v>
      </c>
      <c r="C97">
        <v>3.08</v>
      </c>
      <c r="D97">
        <f t="shared" si="6"/>
        <v>25433.1516513797</v>
      </c>
      <c r="E97">
        <f t="shared" si="7"/>
        <v>25.433151651379699</v>
      </c>
      <c r="F97" s="7">
        <v>0.1166464155528554</v>
      </c>
      <c r="G97">
        <f t="shared" si="8"/>
        <v>1</v>
      </c>
      <c r="H97" s="7">
        <f t="shared" si="9"/>
        <v>0.88335358444714462</v>
      </c>
      <c r="I97">
        <f t="shared" si="10"/>
        <v>5</v>
      </c>
      <c r="J97">
        <f>VLOOKUP(A97,'Housing Cost Calc'!$A$2:$C$827,3,FALSE)</f>
        <v>1345</v>
      </c>
      <c r="K97">
        <f t="shared" si="11"/>
        <v>0.63460479539602932</v>
      </c>
    </row>
    <row r="98" spans="1:11" ht="48" x14ac:dyDescent="0.2">
      <c r="A98" s="4" t="s">
        <v>3205</v>
      </c>
      <c r="B98">
        <v>39196</v>
      </c>
      <c r="C98">
        <v>2.35</v>
      </c>
      <c r="D98">
        <f t="shared" si="6"/>
        <v>25568.651151402719</v>
      </c>
      <c r="E98">
        <f t="shared" si="7"/>
        <v>25.568651151402719</v>
      </c>
      <c r="F98" s="7">
        <v>0.11786148238153099</v>
      </c>
      <c r="G98">
        <f t="shared" si="8"/>
        <v>1</v>
      </c>
      <c r="H98" s="7">
        <f t="shared" si="9"/>
        <v>0.88213851761846906</v>
      </c>
      <c r="I98">
        <f t="shared" si="10"/>
        <v>5</v>
      </c>
      <c r="J98">
        <f>VLOOKUP(A98,'Housing Cost Calc'!$A$2:$C$827,3,FALSE)</f>
        <v>1097</v>
      </c>
      <c r="K98">
        <f t="shared" si="11"/>
        <v>0.51484921602044742</v>
      </c>
    </row>
    <row r="99" spans="1:11" ht="64" x14ac:dyDescent="0.2">
      <c r="A99" s="4" t="s">
        <v>3129</v>
      </c>
      <c r="B99">
        <v>31838</v>
      </c>
      <c r="C99">
        <v>1.55</v>
      </c>
      <c r="D99">
        <f t="shared" si="6"/>
        <v>25572.896993597758</v>
      </c>
      <c r="E99">
        <f t="shared" si="7"/>
        <v>25.572896993597759</v>
      </c>
      <c r="F99" s="7">
        <v>0.11907654921020656</v>
      </c>
      <c r="G99">
        <f t="shared" si="8"/>
        <v>1</v>
      </c>
      <c r="H99" s="7">
        <f t="shared" si="9"/>
        <v>0.88092345078979339</v>
      </c>
      <c r="I99">
        <f t="shared" si="10"/>
        <v>5</v>
      </c>
      <c r="J99">
        <f>VLOOKUP(A99,'Housing Cost Calc'!$A$2:$C$827,3,FALSE)</f>
        <v>1313</v>
      </c>
      <c r="K99">
        <f t="shared" si="11"/>
        <v>0.61612104424244762</v>
      </c>
    </row>
    <row r="100" spans="1:11" ht="48" x14ac:dyDescent="0.2">
      <c r="A100" s="4" t="s">
        <v>3315</v>
      </c>
      <c r="B100">
        <v>48500</v>
      </c>
      <c r="C100">
        <v>3.58</v>
      </c>
      <c r="D100">
        <f t="shared" si="6"/>
        <v>25633.046495211962</v>
      </c>
      <c r="E100">
        <f t="shared" si="7"/>
        <v>25.633046495211961</v>
      </c>
      <c r="F100" s="7">
        <v>0.12029161603888214</v>
      </c>
      <c r="G100">
        <f t="shared" si="8"/>
        <v>1</v>
      </c>
      <c r="H100" s="7">
        <f t="shared" si="9"/>
        <v>0.87970838396111783</v>
      </c>
      <c r="I100">
        <f t="shared" si="10"/>
        <v>5</v>
      </c>
      <c r="J100">
        <f>VLOOKUP(A100,'Housing Cost Calc'!$A$2:$C$827,3,FALSE)</f>
        <v>1271</v>
      </c>
      <c r="K100">
        <f t="shared" si="11"/>
        <v>0.59501316017387729</v>
      </c>
    </row>
    <row r="101" spans="1:11" ht="48" x14ac:dyDescent="0.2">
      <c r="A101" s="4" t="s">
        <v>3231</v>
      </c>
      <c r="B101">
        <v>41616</v>
      </c>
      <c r="C101">
        <v>2.63</v>
      </c>
      <c r="D101">
        <f t="shared" si="6"/>
        <v>25661.524927349081</v>
      </c>
      <c r="E101">
        <f t="shared" si="7"/>
        <v>25.661524927349081</v>
      </c>
      <c r="F101" s="7">
        <v>0.12150668286755771</v>
      </c>
      <c r="G101">
        <f t="shared" si="8"/>
        <v>1</v>
      </c>
      <c r="H101" s="7">
        <f t="shared" si="9"/>
        <v>0.87849331713244228</v>
      </c>
      <c r="I101">
        <f t="shared" si="10"/>
        <v>5</v>
      </c>
      <c r="J101">
        <f>VLOOKUP(A101,'Housing Cost Calc'!$A$2:$C$827,3,FALSE)</f>
        <v>886</v>
      </c>
      <c r="K101">
        <f t="shared" si="11"/>
        <v>0.41431676527799866</v>
      </c>
    </row>
    <row r="102" spans="1:11" ht="48" x14ac:dyDescent="0.2">
      <c r="A102" s="4" t="s">
        <v>3167</v>
      </c>
      <c r="B102">
        <v>35313</v>
      </c>
      <c r="C102">
        <v>1.86</v>
      </c>
      <c r="D102">
        <f t="shared" si="6"/>
        <v>25892.747863745244</v>
      </c>
      <c r="E102">
        <f t="shared" si="7"/>
        <v>25.892747863745242</v>
      </c>
      <c r="F102" s="7">
        <v>0.1227217496962333</v>
      </c>
      <c r="G102">
        <f t="shared" si="8"/>
        <v>1</v>
      </c>
      <c r="H102" s="7">
        <f t="shared" si="9"/>
        <v>0.87727825030376672</v>
      </c>
      <c r="I102">
        <f t="shared" si="10"/>
        <v>5</v>
      </c>
      <c r="J102">
        <f>VLOOKUP(A102,'Housing Cost Calc'!$A$2:$C$827,3,FALSE)</f>
        <v>912</v>
      </c>
      <c r="K102">
        <f t="shared" si="11"/>
        <v>0.42266661142302608</v>
      </c>
    </row>
    <row r="103" spans="1:11" ht="48" x14ac:dyDescent="0.2">
      <c r="A103" s="4" t="s">
        <v>3227</v>
      </c>
      <c r="B103">
        <v>41467</v>
      </c>
      <c r="C103">
        <v>2.5499999999999998</v>
      </c>
      <c r="D103">
        <f t="shared" si="6"/>
        <v>25967.642678427896</v>
      </c>
      <c r="E103">
        <f t="shared" si="7"/>
        <v>25.967642678427897</v>
      </c>
      <c r="F103" s="7">
        <v>0.12393681652490887</v>
      </c>
      <c r="G103">
        <f t="shared" si="8"/>
        <v>1</v>
      </c>
      <c r="H103" s="7">
        <f t="shared" si="9"/>
        <v>0.87606318347509116</v>
      </c>
      <c r="I103">
        <f t="shared" si="10"/>
        <v>5</v>
      </c>
      <c r="J103">
        <f>VLOOKUP(A103,'Housing Cost Calc'!$A$2:$C$827,3,FALSE)</f>
        <v>1077</v>
      </c>
      <c r="K103">
        <f t="shared" si="11"/>
        <v>0.49769631229315847</v>
      </c>
    </row>
    <row r="104" spans="1:11" ht="48" x14ac:dyDescent="0.2">
      <c r="A104" s="4" t="s">
        <v>3247</v>
      </c>
      <c r="B104">
        <v>42969</v>
      </c>
      <c r="C104">
        <v>2.7</v>
      </c>
      <c r="D104">
        <f t="shared" si="6"/>
        <v>26150.100637154977</v>
      </c>
      <c r="E104">
        <f t="shared" si="7"/>
        <v>26.150100637154978</v>
      </c>
      <c r="F104" s="7">
        <v>0.12515188335358446</v>
      </c>
      <c r="G104">
        <f t="shared" si="8"/>
        <v>1</v>
      </c>
      <c r="H104" s="7">
        <f t="shared" si="9"/>
        <v>0.87484811664641549</v>
      </c>
      <c r="I104">
        <f t="shared" si="10"/>
        <v>5</v>
      </c>
      <c r="J104">
        <f>VLOOKUP(A104,'Housing Cost Calc'!$A$2:$C$827,3,FALSE)</f>
        <v>1287</v>
      </c>
      <c r="K104">
        <f t="shared" si="11"/>
        <v>0.59059046136352622</v>
      </c>
    </row>
    <row r="105" spans="1:11" ht="64" x14ac:dyDescent="0.2">
      <c r="A105" s="4" t="s">
        <v>3223</v>
      </c>
      <c r="B105">
        <v>40913</v>
      </c>
      <c r="C105">
        <v>2.4</v>
      </c>
      <c r="D105">
        <f t="shared" si="6"/>
        <v>26409.227940564007</v>
      </c>
      <c r="E105">
        <f t="shared" si="7"/>
        <v>26.409227940564008</v>
      </c>
      <c r="F105" s="7">
        <v>0.12636695018226002</v>
      </c>
      <c r="G105">
        <f t="shared" si="8"/>
        <v>1</v>
      </c>
      <c r="H105" s="7">
        <f t="shared" si="9"/>
        <v>0.87363304981774004</v>
      </c>
      <c r="I105">
        <f t="shared" si="10"/>
        <v>5</v>
      </c>
      <c r="J105">
        <f>VLOOKUP(A105,'Housing Cost Calc'!$A$2:$C$827,3,FALSE)</f>
        <v>1104</v>
      </c>
      <c r="K105">
        <f t="shared" si="11"/>
        <v>0.50164283597444193</v>
      </c>
    </row>
    <row r="106" spans="1:11" ht="48" x14ac:dyDescent="0.2">
      <c r="A106" s="4" t="s">
        <v>3299</v>
      </c>
      <c r="B106">
        <v>46716</v>
      </c>
      <c r="C106">
        <v>3.11</v>
      </c>
      <c r="D106">
        <f t="shared" si="6"/>
        <v>26490.213299312763</v>
      </c>
      <c r="E106">
        <f t="shared" si="7"/>
        <v>26.490213299312764</v>
      </c>
      <c r="F106" s="7">
        <v>0.12758201701093561</v>
      </c>
      <c r="G106">
        <f t="shared" si="8"/>
        <v>1</v>
      </c>
      <c r="H106" s="7">
        <f t="shared" si="9"/>
        <v>0.87241798298906437</v>
      </c>
      <c r="I106">
        <f t="shared" si="10"/>
        <v>5</v>
      </c>
      <c r="J106">
        <f>VLOOKUP(A106,'Housing Cost Calc'!$A$2:$C$827,3,FALSE)</f>
        <v>1203</v>
      </c>
      <c r="K106">
        <f t="shared" si="11"/>
        <v>0.54495597437769649</v>
      </c>
    </row>
    <row r="107" spans="1:11" ht="48" x14ac:dyDescent="0.2">
      <c r="A107" s="4" t="s">
        <v>3249</v>
      </c>
      <c r="B107">
        <v>43175</v>
      </c>
      <c r="C107">
        <v>2.64</v>
      </c>
      <c r="D107">
        <f t="shared" si="6"/>
        <v>26572.375615163455</v>
      </c>
      <c r="E107">
        <f t="shared" si="7"/>
        <v>26.572375615163455</v>
      </c>
      <c r="F107" s="7">
        <v>0.12879708383961117</v>
      </c>
      <c r="G107">
        <f t="shared" si="8"/>
        <v>1</v>
      </c>
      <c r="H107" s="7">
        <f t="shared" si="9"/>
        <v>0.87120291616038881</v>
      </c>
      <c r="I107">
        <f t="shared" si="10"/>
        <v>5</v>
      </c>
      <c r="J107">
        <f>VLOOKUP(A107,'Housing Cost Calc'!$A$2:$C$827,3,FALSE)</f>
        <v>1238</v>
      </c>
      <c r="K107">
        <f t="shared" si="11"/>
        <v>0.55907684789471601</v>
      </c>
    </row>
    <row r="108" spans="1:11" ht="48" x14ac:dyDescent="0.2">
      <c r="A108" s="4" t="s">
        <v>3241</v>
      </c>
      <c r="B108">
        <v>42476</v>
      </c>
      <c r="C108">
        <v>2.5299999999999998</v>
      </c>
      <c r="D108">
        <f t="shared" si="6"/>
        <v>26704.432401409002</v>
      </c>
      <c r="E108">
        <f t="shared" si="7"/>
        <v>26.704432401409001</v>
      </c>
      <c r="F108" s="7">
        <v>0.13001215066828675</v>
      </c>
      <c r="G108">
        <f t="shared" si="8"/>
        <v>1</v>
      </c>
      <c r="H108" s="7">
        <f t="shared" si="9"/>
        <v>0.86998784933171325</v>
      </c>
      <c r="I108">
        <f t="shared" si="10"/>
        <v>5</v>
      </c>
      <c r="J108">
        <f>VLOOKUP(A108,'Housing Cost Calc'!$A$2:$C$827,3,FALSE)</f>
        <v>1025</v>
      </c>
      <c r="K108">
        <f t="shared" si="11"/>
        <v>0.46059769461158878</v>
      </c>
    </row>
    <row r="109" spans="1:11" ht="48" x14ac:dyDescent="0.2">
      <c r="A109" s="4" t="s">
        <v>3215</v>
      </c>
      <c r="B109">
        <v>40169</v>
      </c>
      <c r="C109">
        <v>2.2400000000000002</v>
      </c>
      <c r="D109">
        <f t="shared" si="6"/>
        <v>26839.042065950434</v>
      </c>
      <c r="E109">
        <f t="shared" si="7"/>
        <v>26.839042065950434</v>
      </c>
      <c r="F109" s="7">
        <v>0.13122721749696234</v>
      </c>
      <c r="G109">
        <f t="shared" si="8"/>
        <v>1</v>
      </c>
      <c r="H109" s="7">
        <f t="shared" si="9"/>
        <v>0.86877278250303769</v>
      </c>
      <c r="I109">
        <f t="shared" si="10"/>
        <v>5</v>
      </c>
      <c r="J109">
        <f>VLOOKUP(A109,'Housing Cost Calc'!$A$2:$C$827,3,FALSE)</f>
        <v>1058</v>
      </c>
      <c r="K109">
        <f t="shared" si="11"/>
        <v>0.47304221845186056</v>
      </c>
    </row>
    <row r="110" spans="1:11" ht="48" x14ac:dyDescent="0.2">
      <c r="A110" s="4" t="s">
        <v>3283</v>
      </c>
      <c r="B110">
        <v>46155</v>
      </c>
      <c r="C110">
        <v>2.95</v>
      </c>
      <c r="D110">
        <f t="shared" si="6"/>
        <v>26872.479937030406</v>
      </c>
      <c r="E110">
        <f t="shared" si="7"/>
        <v>26.872479937030405</v>
      </c>
      <c r="F110" s="7">
        <v>0.1324422843256379</v>
      </c>
      <c r="G110">
        <f t="shared" si="8"/>
        <v>1</v>
      </c>
      <c r="H110" s="7">
        <f t="shared" si="9"/>
        <v>0.86755771567436213</v>
      </c>
      <c r="I110">
        <f t="shared" si="10"/>
        <v>5</v>
      </c>
      <c r="J110">
        <f>VLOOKUP(A110,'Housing Cost Calc'!$A$2:$C$827,3,FALSE)</f>
        <v>1123</v>
      </c>
      <c r="K110">
        <f t="shared" si="11"/>
        <v>0.50147958177205698</v>
      </c>
    </row>
    <row r="111" spans="1:11" ht="48" x14ac:dyDescent="0.2">
      <c r="A111" s="4" t="s">
        <v>3265</v>
      </c>
      <c r="B111">
        <v>44473</v>
      </c>
      <c r="C111">
        <v>2.72</v>
      </c>
      <c r="D111">
        <f t="shared" si="6"/>
        <v>26965.71713060209</v>
      </c>
      <c r="E111">
        <f t="shared" si="7"/>
        <v>26.965717130602091</v>
      </c>
      <c r="F111" s="7">
        <v>0.13365735115431349</v>
      </c>
      <c r="G111">
        <f t="shared" si="8"/>
        <v>1</v>
      </c>
      <c r="H111" s="7">
        <f t="shared" si="9"/>
        <v>0.86634264884568646</v>
      </c>
      <c r="I111">
        <f t="shared" si="10"/>
        <v>5</v>
      </c>
      <c r="J111">
        <f>VLOOKUP(A111,'Housing Cost Calc'!$A$2:$C$827,3,FALSE)</f>
        <v>1045</v>
      </c>
      <c r="K111">
        <f t="shared" si="11"/>
        <v>0.46503491597369606</v>
      </c>
    </row>
    <row r="112" spans="1:11" ht="48" x14ac:dyDescent="0.2">
      <c r="A112" s="4" t="s">
        <v>3295</v>
      </c>
      <c r="B112">
        <v>46566</v>
      </c>
      <c r="C112">
        <v>2.98</v>
      </c>
      <c r="D112">
        <f t="shared" si="6"/>
        <v>26974.959529362379</v>
      </c>
      <c r="E112">
        <f t="shared" si="7"/>
        <v>26.97495952936238</v>
      </c>
      <c r="F112" s="7">
        <v>0.13487241798298907</v>
      </c>
      <c r="G112">
        <f t="shared" si="8"/>
        <v>1</v>
      </c>
      <c r="H112" s="7">
        <f t="shared" si="9"/>
        <v>0.8651275820170109</v>
      </c>
      <c r="I112">
        <f t="shared" si="10"/>
        <v>5</v>
      </c>
      <c r="J112">
        <f>VLOOKUP(A112,'Housing Cost Calc'!$A$2:$C$827,3,FALSE)</f>
        <v>1793</v>
      </c>
      <c r="K112">
        <f t="shared" si="11"/>
        <v>0.79762862949172275</v>
      </c>
    </row>
    <row r="113" spans="1:11" ht="48" x14ac:dyDescent="0.2">
      <c r="A113" s="4" t="s">
        <v>3225</v>
      </c>
      <c r="B113">
        <v>41218</v>
      </c>
      <c r="C113">
        <v>2.3199999999999998</v>
      </c>
      <c r="D113">
        <f t="shared" si="6"/>
        <v>27060.942748060224</v>
      </c>
      <c r="E113">
        <f t="shared" si="7"/>
        <v>27.060942748060224</v>
      </c>
      <c r="F113" s="7">
        <v>0.13608748481166463</v>
      </c>
      <c r="G113">
        <f t="shared" si="8"/>
        <v>1</v>
      </c>
      <c r="H113" s="7">
        <f t="shared" si="9"/>
        <v>0.86391251518833534</v>
      </c>
      <c r="I113">
        <f t="shared" si="10"/>
        <v>5</v>
      </c>
      <c r="J113">
        <f>VLOOKUP(A113,'Housing Cost Calc'!$A$2:$C$827,3,FALSE)</f>
        <v>1185</v>
      </c>
      <c r="K113">
        <f t="shared" si="11"/>
        <v>0.52548058404281994</v>
      </c>
    </row>
    <row r="114" spans="1:11" ht="48" x14ac:dyDescent="0.2">
      <c r="A114" s="4" t="s">
        <v>3311</v>
      </c>
      <c r="B114">
        <v>48148</v>
      </c>
      <c r="C114">
        <v>3.13</v>
      </c>
      <c r="D114">
        <f t="shared" si="6"/>
        <v>27214.858655326378</v>
      </c>
      <c r="E114">
        <f t="shared" si="7"/>
        <v>27.214858655326378</v>
      </c>
      <c r="F114" s="7">
        <v>0.13730255164034022</v>
      </c>
      <c r="G114">
        <f t="shared" si="8"/>
        <v>1</v>
      </c>
      <c r="H114" s="7">
        <f t="shared" si="9"/>
        <v>0.86269744835965978</v>
      </c>
      <c r="I114">
        <f t="shared" si="10"/>
        <v>5</v>
      </c>
      <c r="J114">
        <f>VLOOKUP(A114,'Housing Cost Calc'!$A$2:$C$827,3,FALSE)</f>
        <v>1323</v>
      </c>
      <c r="K114">
        <f t="shared" si="11"/>
        <v>0.58335779733666981</v>
      </c>
    </row>
    <row r="115" spans="1:11" ht="48" x14ac:dyDescent="0.2">
      <c r="A115" s="4" t="s">
        <v>3169</v>
      </c>
      <c r="B115">
        <v>35460</v>
      </c>
      <c r="C115">
        <v>1.65</v>
      </c>
      <c r="D115">
        <f t="shared" si="6"/>
        <v>27605.572559967604</v>
      </c>
      <c r="E115">
        <f t="shared" si="7"/>
        <v>27.605572559967605</v>
      </c>
      <c r="F115" s="7">
        <v>0.13851761846901581</v>
      </c>
      <c r="G115">
        <f t="shared" si="8"/>
        <v>1</v>
      </c>
      <c r="H115" s="7">
        <f t="shared" si="9"/>
        <v>0.86148238153098422</v>
      </c>
      <c r="I115">
        <f t="shared" si="10"/>
        <v>5</v>
      </c>
      <c r="J115">
        <f>VLOOKUP(A115,'Housing Cost Calc'!$A$2:$C$827,3,FALSE)</f>
        <v>859</v>
      </c>
      <c r="K115">
        <f t="shared" si="11"/>
        <v>0.37340286920721982</v>
      </c>
    </row>
    <row r="116" spans="1:11" ht="48" x14ac:dyDescent="0.2">
      <c r="A116" s="4" t="s">
        <v>3243</v>
      </c>
      <c r="B116">
        <v>42688</v>
      </c>
      <c r="C116">
        <v>2.37</v>
      </c>
      <c r="D116">
        <f t="shared" si="6"/>
        <v>27728.835727482099</v>
      </c>
      <c r="E116">
        <f t="shared" si="7"/>
        <v>27.7288357274821</v>
      </c>
      <c r="F116" s="7">
        <v>0.13973268529769137</v>
      </c>
      <c r="G116">
        <f t="shared" si="8"/>
        <v>1</v>
      </c>
      <c r="H116" s="7">
        <f t="shared" si="9"/>
        <v>0.86026731470230866</v>
      </c>
      <c r="I116">
        <f t="shared" si="10"/>
        <v>5</v>
      </c>
      <c r="J116">
        <f>VLOOKUP(A116,'Housing Cost Calc'!$A$2:$C$827,3,FALSE)</f>
        <v>1292</v>
      </c>
      <c r="K116">
        <f t="shared" si="11"/>
        <v>0.55912913734902892</v>
      </c>
    </row>
    <row r="117" spans="1:11" ht="48" x14ac:dyDescent="0.2">
      <c r="A117" s="4" t="s">
        <v>3255</v>
      </c>
      <c r="B117">
        <v>43600</v>
      </c>
      <c r="C117">
        <v>2.4700000000000002</v>
      </c>
      <c r="D117">
        <f t="shared" si="6"/>
        <v>27742.015665743911</v>
      </c>
      <c r="E117">
        <f t="shared" si="7"/>
        <v>27.74201566574391</v>
      </c>
      <c r="F117" s="7">
        <v>0.14094775212636695</v>
      </c>
      <c r="G117">
        <f t="shared" si="8"/>
        <v>1</v>
      </c>
      <c r="H117" s="7">
        <f t="shared" si="9"/>
        <v>0.8590522478736331</v>
      </c>
      <c r="I117">
        <f t="shared" si="10"/>
        <v>5</v>
      </c>
      <c r="J117">
        <f>VLOOKUP(A117,'Housing Cost Calc'!$A$2:$C$827,3,FALSE)</f>
        <v>1171</v>
      </c>
      <c r="K117">
        <f t="shared" si="11"/>
        <v>0.5065241174004359</v>
      </c>
    </row>
    <row r="118" spans="1:11" ht="64" x14ac:dyDescent="0.2">
      <c r="A118" s="4" t="s">
        <v>3211</v>
      </c>
      <c r="B118">
        <v>40066</v>
      </c>
      <c r="C118">
        <v>2.04</v>
      </c>
      <c r="D118">
        <f t="shared" si="6"/>
        <v>28051.81092333312</v>
      </c>
      <c r="E118">
        <f t="shared" si="7"/>
        <v>28.051810923333118</v>
      </c>
      <c r="F118" s="7">
        <v>0.14216281895504251</v>
      </c>
      <c r="G118">
        <f t="shared" si="8"/>
        <v>1</v>
      </c>
      <c r="H118" s="7">
        <f t="shared" si="9"/>
        <v>0.85783718104495743</v>
      </c>
      <c r="I118">
        <f t="shared" si="10"/>
        <v>5</v>
      </c>
      <c r="J118">
        <f>VLOOKUP(A118,'Housing Cost Calc'!$A$2:$C$827,3,FALSE)</f>
        <v>1014</v>
      </c>
      <c r="K118">
        <f t="shared" si="11"/>
        <v>0.43376878709384215</v>
      </c>
    </row>
    <row r="119" spans="1:11" ht="48" x14ac:dyDescent="0.2">
      <c r="A119" s="4" t="s">
        <v>3297</v>
      </c>
      <c r="B119">
        <v>46646</v>
      </c>
      <c r="C119">
        <v>2.76</v>
      </c>
      <c r="D119">
        <f t="shared" si="6"/>
        <v>28077.592515193952</v>
      </c>
      <c r="E119">
        <f t="shared" si="7"/>
        <v>28.077592515193952</v>
      </c>
      <c r="F119" s="7">
        <v>0.1433778857837181</v>
      </c>
      <c r="G119">
        <f t="shared" si="8"/>
        <v>1</v>
      </c>
      <c r="H119" s="7">
        <f t="shared" si="9"/>
        <v>0.85662211421628187</v>
      </c>
      <c r="I119">
        <f t="shared" si="10"/>
        <v>5</v>
      </c>
      <c r="J119">
        <f>VLOOKUP(A119,'Housing Cost Calc'!$A$2:$C$827,3,FALSE)</f>
        <v>1166</v>
      </c>
      <c r="K119">
        <f t="shared" si="11"/>
        <v>0.49833332371457228</v>
      </c>
    </row>
    <row r="120" spans="1:11" ht="48" x14ac:dyDescent="0.2">
      <c r="A120" s="4" t="s">
        <v>3277</v>
      </c>
      <c r="B120">
        <v>45828</v>
      </c>
      <c r="C120">
        <v>2.64</v>
      </c>
      <c r="D120">
        <f t="shared" si="6"/>
        <v>28205.184243004303</v>
      </c>
      <c r="E120">
        <f t="shared" si="7"/>
        <v>28.205184243004304</v>
      </c>
      <c r="F120" s="7">
        <v>0.14459295261239369</v>
      </c>
      <c r="G120">
        <f t="shared" si="8"/>
        <v>1</v>
      </c>
      <c r="H120" s="7">
        <f t="shared" si="9"/>
        <v>0.85540704738760631</v>
      </c>
      <c r="I120">
        <f t="shared" si="10"/>
        <v>5</v>
      </c>
      <c r="J120">
        <f>VLOOKUP(A120,'Housing Cost Calc'!$A$2:$C$827,3,FALSE)</f>
        <v>1129</v>
      </c>
      <c r="K120">
        <f t="shared" si="11"/>
        <v>0.48033722748541496</v>
      </c>
    </row>
    <row r="121" spans="1:11" ht="48" x14ac:dyDescent="0.2">
      <c r="A121" s="4" t="s">
        <v>3350</v>
      </c>
      <c r="B121">
        <v>50583</v>
      </c>
      <c r="C121">
        <v>3.2</v>
      </c>
      <c r="D121">
        <f t="shared" si="6"/>
        <v>28276.756626467966</v>
      </c>
      <c r="E121">
        <f t="shared" si="7"/>
        <v>28.276756626467968</v>
      </c>
      <c r="F121" s="7">
        <v>0.14580801944106925</v>
      </c>
      <c r="G121">
        <f t="shared" si="8"/>
        <v>1</v>
      </c>
      <c r="H121" s="7">
        <f t="shared" si="9"/>
        <v>0.85419198055893075</v>
      </c>
      <c r="I121">
        <f t="shared" si="10"/>
        <v>5</v>
      </c>
      <c r="J121">
        <f>VLOOKUP(A121,'Housing Cost Calc'!$A$2:$C$827,3,FALSE)</f>
        <v>1038</v>
      </c>
      <c r="K121">
        <f t="shared" si="11"/>
        <v>0.440503137065613</v>
      </c>
    </row>
    <row r="122" spans="1:11" ht="48" x14ac:dyDescent="0.2">
      <c r="A122" s="4" t="s">
        <v>3340</v>
      </c>
      <c r="B122">
        <v>49643</v>
      </c>
      <c r="C122">
        <v>3.05</v>
      </c>
      <c r="D122">
        <f t="shared" si="6"/>
        <v>28425.49911034336</v>
      </c>
      <c r="E122">
        <f t="shared" si="7"/>
        <v>28.42549911034336</v>
      </c>
      <c r="F122" s="7">
        <v>0.14702308626974483</v>
      </c>
      <c r="G122">
        <f t="shared" si="8"/>
        <v>1</v>
      </c>
      <c r="H122" s="7">
        <f t="shared" si="9"/>
        <v>0.85297691373025519</v>
      </c>
      <c r="I122">
        <f t="shared" si="10"/>
        <v>5</v>
      </c>
      <c r="J122">
        <f>VLOOKUP(A122,'Housing Cost Calc'!$A$2:$C$827,3,FALSE)</f>
        <v>1218</v>
      </c>
      <c r="K122">
        <f t="shared" si="11"/>
        <v>0.51418622214030307</v>
      </c>
    </row>
    <row r="123" spans="1:11" ht="48" x14ac:dyDescent="0.2">
      <c r="A123" s="4" t="s">
        <v>3352</v>
      </c>
      <c r="B123">
        <v>50729</v>
      </c>
      <c r="C123">
        <v>3.14</v>
      </c>
      <c r="D123">
        <f t="shared" si="6"/>
        <v>28628.030899534697</v>
      </c>
      <c r="E123">
        <f t="shared" si="7"/>
        <v>28.628030899534696</v>
      </c>
      <c r="F123" s="7">
        <v>0.14823815309842042</v>
      </c>
      <c r="G123">
        <f t="shared" si="8"/>
        <v>1</v>
      </c>
      <c r="H123" s="7">
        <f t="shared" si="9"/>
        <v>0.85176184690157952</v>
      </c>
      <c r="I123">
        <f t="shared" si="10"/>
        <v>5</v>
      </c>
      <c r="J123">
        <f>VLOOKUP(A123,'Housing Cost Calc'!$A$2:$C$827,3,FALSE)</f>
        <v>1422</v>
      </c>
      <c r="K123">
        <f t="shared" si="11"/>
        <v>0.59605915823841549</v>
      </c>
    </row>
    <row r="124" spans="1:11" ht="48" x14ac:dyDescent="0.2">
      <c r="A124" s="4" t="s">
        <v>3263</v>
      </c>
      <c r="B124">
        <v>44352</v>
      </c>
      <c r="C124">
        <v>2.4</v>
      </c>
      <c r="D124">
        <f t="shared" si="6"/>
        <v>28629.092895165224</v>
      </c>
      <c r="E124">
        <f t="shared" si="7"/>
        <v>28.629092895165225</v>
      </c>
      <c r="F124" s="7">
        <v>0.14945321992709598</v>
      </c>
      <c r="G124">
        <f t="shared" si="8"/>
        <v>1</v>
      </c>
      <c r="H124" s="7">
        <f t="shared" si="9"/>
        <v>0.85054678007290407</v>
      </c>
      <c r="I124">
        <f t="shared" si="10"/>
        <v>5</v>
      </c>
      <c r="J124">
        <f>VLOOKUP(A124,'Housing Cost Calc'!$A$2:$C$827,3,FALSE)</f>
        <v>1015</v>
      </c>
      <c r="K124">
        <f t="shared" si="11"/>
        <v>0.42544135242429959</v>
      </c>
    </row>
    <row r="125" spans="1:11" ht="48" x14ac:dyDescent="0.2">
      <c r="A125" s="4" t="s">
        <v>3239</v>
      </c>
      <c r="B125">
        <v>42188</v>
      </c>
      <c r="C125">
        <v>2.14</v>
      </c>
      <c r="D125">
        <f t="shared" si="6"/>
        <v>28839.12308931649</v>
      </c>
      <c r="E125">
        <f t="shared" si="7"/>
        <v>28.839123089316491</v>
      </c>
      <c r="F125" s="7">
        <v>0.15066828675577157</v>
      </c>
      <c r="G125">
        <f t="shared" si="8"/>
        <v>1</v>
      </c>
      <c r="H125" s="7">
        <f t="shared" si="9"/>
        <v>0.8493317132442284</v>
      </c>
      <c r="I125">
        <f t="shared" si="10"/>
        <v>5</v>
      </c>
      <c r="J125">
        <f>VLOOKUP(A125,'Housing Cost Calc'!$A$2:$C$827,3,FALSE)</f>
        <v>882</v>
      </c>
      <c r="K125">
        <f t="shared" si="11"/>
        <v>0.36700145032914899</v>
      </c>
    </row>
    <row r="126" spans="1:11" ht="48" x14ac:dyDescent="0.2">
      <c r="A126" s="4" t="s">
        <v>3269</v>
      </c>
      <c r="B126">
        <v>44815</v>
      </c>
      <c r="C126">
        <v>2.38</v>
      </c>
      <c r="D126">
        <f t="shared" si="6"/>
        <v>29049.24987099025</v>
      </c>
      <c r="E126">
        <f t="shared" si="7"/>
        <v>29.049249870990248</v>
      </c>
      <c r="F126" s="7">
        <v>0.15188335358444716</v>
      </c>
      <c r="G126">
        <f t="shared" si="8"/>
        <v>1</v>
      </c>
      <c r="H126" s="7">
        <f t="shared" si="9"/>
        <v>0.84811664641555284</v>
      </c>
      <c r="I126">
        <f t="shared" si="10"/>
        <v>5</v>
      </c>
      <c r="J126">
        <f>VLOOKUP(A126,'Housing Cost Calc'!$A$2:$C$827,3,FALSE)</f>
        <v>1308</v>
      </c>
      <c r="K126">
        <f t="shared" si="11"/>
        <v>0.54032376290978368</v>
      </c>
    </row>
    <row r="127" spans="1:11" ht="48" x14ac:dyDescent="0.2">
      <c r="A127" s="4" t="s">
        <v>3289</v>
      </c>
      <c r="B127">
        <v>46326</v>
      </c>
      <c r="C127">
        <v>2.54</v>
      </c>
      <c r="D127">
        <f t="shared" si="6"/>
        <v>29067.517628830334</v>
      </c>
      <c r="E127">
        <f t="shared" si="7"/>
        <v>29.067517628830334</v>
      </c>
      <c r="F127" s="7">
        <v>0.15309842041312272</v>
      </c>
      <c r="G127">
        <f t="shared" si="8"/>
        <v>1</v>
      </c>
      <c r="H127" s="7">
        <f t="shared" si="9"/>
        <v>0.84690157958687728</v>
      </c>
      <c r="I127">
        <f t="shared" si="10"/>
        <v>5</v>
      </c>
      <c r="J127">
        <f>VLOOKUP(A127,'Housing Cost Calc'!$A$2:$C$827,3,FALSE)</f>
        <v>1198</v>
      </c>
      <c r="K127">
        <f t="shared" si="11"/>
        <v>0.49457267674420552</v>
      </c>
    </row>
    <row r="128" spans="1:11" ht="48" x14ac:dyDescent="0.2">
      <c r="A128" s="4" t="s">
        <v>3271</v>
      </c>
      <c r="B128">
        <v>44915</v>
      </c>
      <c r="C128">
        <v>2.38</v>
      </c>
      <c r="D128">
        <f t="shared" si="6"/>
        <v>29114.070243345464</v>
      </c>
      <c r="E128">
        <f t="shared" si="7"/>
        <v>29.114070243345463</v>
      </c>
      <c r="F128" s="7">
        <v>0.1543134872417983</v>
      </c>
      <c r="G128">
        <f t="shared" si="8"/>
        <v>1</v>
      </c>
      <c r="H128" s="7">
        <f t="shared" si="9"/>
        <v>0.84568651275820172</v>
      </c>
      <c r="I128">
        <f t="shared" si="10"/>
        <v>5</v>
      </c>
      <c r="J128">
        <f>VLOOKUP(A128,'Housing Cost Calc'!$A$2:$C$827,3,FALSE)</f>
        <v>1226</v>
      </c>
      <c r="K128">
        <f t="shared" si="11"/>
        <v>0.50532267996305624</v>
      </c>
    </row>
    <row r="129" spans="1:11" ht="48" x14ac:dyDescent="0.2">
      <c r="A129" s="4" t="s">
        <v>3374</v>
      </c>
      <c r="B129">
        <v>52607</v>
      </c>
      <c r="C129">
        <v>3.26</v>
      </c>
      <c r="D129">
        <f t="shared" si="6"/>
        <v>29136.322539131368</v>
      </c>
      <c r="E129">
        <f t="shared" si="7"/>
        <v>29.136322539131367</v>
      </c>
      <c r="F129" s="7">
        <v>0.15552855407047386</v>
      </c>
      <c r="G129">
        <f t="shared" si="8"/>
        <v>1</v>
      </c>
      <c r="H129" s="7">
        <f t="shared" si="9"/>
        <v>0.84447144592952617</v>
      </c>
      <c r="I129">
        <f t="shared" si="10"/>
        <v>5</v>
      </c>
      <c r="J129">
        <f>VLOOKUP(A129,'Housing Cost Calc'!$A$2:$C$827,3,FALSE)</f>
        <v>1137</v>
      </c>
      <c r="K129">
        <f t="shared" si="11"/>
        <v>0.46828147174975515</v>
      </c>
    </row>
    <row r="130" spans="1:11" ht="48" x14ac:dyDescent="0.2">
      <c r="A130" s="4" t="s">
        <v>3279</v>
      </c>
      <c r="B130">
        <v>45875</v>
      </c>
      <c r="C130">
        <v>2.46</v>
      </c>
      <c r="D130">
        <f t="shared" ref="D130:D193" si="12">(B130/(C130)^0.5)</f>
        <v>29248.831711780644</v>
      </c>
      <c r="E130">
        <f t="shared" ref="E130:E193" si="13">D130/1000</f>
        <v>29.248831711780642</v>
      </c>
      <c r="F130" s="7">
        <v>0.15674362089914945</v>
      </c>
      <c r="G130">
        <f t="shared" si="8"/>
        <v>1</v>
      </c>
      <c r="H130" s="7">
        <f t="shared" si="9"/>
        <v>0.84325637910085049</v>
      </c>
      <c r="I130">
        <f t="shared" si="10"/>
        <v>5</v>
      </c>
      <c r="J130">
        <f>VLOOKUP(A130,'Housing Cost Calc'!$A$2:$C$827,3,FALSE)</f>
        <v>1230</v>
      </c>
      <c r="K130">
        <f t="shared" si="11"/>
        <v>0.5046355405045142</v>
      </c>
    </row>
    <row r="131" spans="1:11" ht="48" x14ac:dyDescent="0.2">
      <c r="A131" s="4" t="s">
        <v>3285</v>
      </c>
      <c r="B131">
        <v>46176</v>
      </c>
      <c r="C131">
        <v>2.4900000000000002</v>
      </c>
      <c r="D131">
        <f t="shared" si="12"/>
        <v>29262.850992218293</v>
      </c>
      <c r="E131">
        <f t="shared" si="13"/>
        <v>29.262850992218294</v>
      </c>
      <c r="F131" s="7">
        <v>0.15795868772782504</v>
      </c>
      <c r="G131">
        <f t="shared" ref="G131:G194" si="14">IF(F131&lt;0.2,1,IF(F131&lt;0.4,2,IF(F131&lt;0.6,3,IF(F131&lt;0.8,4,5))))</f>
        <v>1</v>
      </c>
      <c r="H131" s="7">
        <f t="shared" ref="H131:H194" si="15">1-F131</f>
        <v>0.84204131227217494</v>
      </c>
      <c r="I131">
        <f t="shared" ref="I131:I194" si="16">6-G131</f>
        <v>5</v>
      </c>
      <c r="J131">
        <f>VLOOKUP(A131,'Housing Cost Calc'!$A$2:$C$827,3,FALSE)</f>
        <v>1108</v>
      </c>
      <c r="K131">
        <f t="shared" ref="K131:K194" si="17">(J131*12)/D131</f>
        <v>0.45436447745763842</v>
      </c>
    </row>
    <row r="132" spans="1:11" ht="64" x14ac:dyDescent="0.2">
      <c r="A132" s="4" t="s">
        <v>3235</v>
      </c>
      <c r="B132">
        <v>42021</v>
      </c>
      <c r="C132">
        <v>2.06</v>
      </c>
      <c r="D132">
        <f t="shared" si="12"/>
        <v>29277.417993548064</v>
      </c>
      <c r="E132">
        <f t="shared" si="13"/>
        <v>29.277417993548063</v>
      </c>
      <c r="F132" s="7">
        <v>0.1591737545565006</v>
      </c>
      <c r="G132">
        <f t="shared" si="14"/>
        <v>1</v>
      </c>
      <c r="H132" s="7">
        <f t="shared" si="15"/>
        <v>0.84082624544349938</v>
      </c>
      <c r="I132">
        <f t="shared" si="16"/>
        <v>5</v>
      </c>
      <c r="J132">
        <f>VLOOKUP(A132,'Housing Cost Calc'!$A$2:$C$827,3,FALSE)</f>
        <v>1142</v>
      </c>
      <c r="K132">
        <f t="shared" si="17"/>
        <v>0.46807406319163747</v>
      </c>
    </row>
    <row r="133" spans="1:11" ht="64" x14ac:dyDescent="0.2">
      <c r="A133" s="4" t="s">
        <v>3291</v>
      </c>
      <c r="B133">
        <v>46326</v>
      </c>
      <c r="C133">
        <v>2.5</v>
      </c>
      <c r="D133">
        <f t="shared" si="12"/>
        <v>29299.134976992067</v>
      </c>
      <c r="E133">
        <f t="shared" si="13"/>
        <v>29.299134976992068</v>
      </c>
      <c r="F133" s="7">
        <v>0.16038882138517618</v>
      </c>
      <c r="G133">
        <f t="shared" si="14"/>
        <v>1</v>
      </c>
      <c r="H133" s="7">
        <f t="shared" si="15"/>
        <v>0.83961117861482382</v>
      </c>
      <c r="I133">
        <f t="shared" si="16"/>
        <v>5</v>
      </c>
      <c r="J133">
        <f>VLOOKUP(A133,'Housing Cost Calc'!$A$2:$C$827,3,FALSE)</f>
        <v>1172</v>
      </c>
      <c r="K133">
        <f t="shared" si="17"/>
        <v>0.48001417144376901</v>
      </c>
    </row>
    <row r="134" spans="1:11" ht="48" x14ac:dyDescent="0.2">
      <c r="A134" s="4" t="s">
        <v>3327</v>
      </c>
      <c r="B134">
        <v>49125</v>
      </c>
      <c r="C134">
        <v>2.8</v>
      </c>
      <c r="D134">
        <f t="shared" si="12"/>
        <v>29357.802716776045</v>
      </c>
      <c r="E134">
        <f t="shared" si="13"/>
        <v>29.357802716776046</v>
      </c>
      <c r="F134" s="7">
        <v>0.16160388821385177</v>
      </c>
      <c r="G134">
        <f t="shared" si="14"/>
        <v>1</v>
      </c>
      <c r="H134" s="7">
        <f t="shared" si="15"/>
        <v>0.83839611178614826</v>
      </c>
      <c r="I134">
        <f t="shared" si="16"/>
        <v>5</v>
      </c>
      <c r="J134">
        <f>VLOOKUP(A134,'Housing Cost Calc'!$A$2:$C$827,3,FALSE)</f>
        <v>1072</v>
      </c>
      <c r="K134">
        <f t="shared" si="17"/>
        <v>0.43817993206450268</v>
      </c>
    </row>
    <row r="135" spans="1:11" ht="48" x14ac:dyDescent="0.2">
      <c r="A135" s="4" t="s">
        <v>3261</v>
      </c>
      <c r="B135">
        <v>44015</v>
      </c>
      <c r="C135">
        <v>2.23</v>
      </c>
      <c r="D135">
        <f t="shared" si="12"/>
        <v>29474.624070979437</v>
      </c>
      <c r="E135">
        <f t="shared" si="13"/>
        <v>29.474624070979438</v>
      </c>
      <c r="F135" s="7">
        <v>0.16281895504252733</v>
      </c>
      <c r="G135">
        <f t="shared" si="14"/>
        <v>1</v>
      </c>
      <c r="H135" s="7">
        <f t="shared" si="15"/>
        <v>0.8371810449574727</v>
      </c>
      <c r="I135">
        <f t="shared" si="16"/>
        <v>5</v>
      </c>
      <c r="J135">
        <f>VLOOKUP(A135,'Housing Cost Calc'!$A$2:$C$827,3,FALSE)</f>
        <v>1189</v>
      </c>
      <c r="K135">
        <f t="shared" si="17"/>
        <v>0.48407742082275446</v>
      </c>
    </row>
    <row r="136" spans="1:11" ht="48" x14ac:dyDescent="0.2">
      <c r="A136" s="4" t="s">
        <v>3313</v>
      </c>
      <c r="B136">
        <v>48477</v>
      </c>
      <c r="C136">
        <v>2.69</v>
      </c>
      <c r="D136">
        <f t="shared" si="12"/>
        <v>29556.948553710539</v>
      </c>
      <c r="E136">
        <f t="shared" si="13"/>
        <v>29.556948553710541</v>
      </c>
      <c r="F136" s="7">
        <v>0.16403402187120292</v>
      </c>
      <c r="G136">
        <f t="shared" si="14"/>
        <v>1</v>
      </c>
      <c r="H136" s="7">
        <f t="shared" si="15"/>
        <v>0.83596597812879714</v>
      </c>
      <c r="I136">
        <f t="shared" si="16"/>
        <v>5</v>
      </c>
      <c r="J136">
        <f>VLOOKUP(A136,'Housing Cost Calc'!$A$2:$C$827,3,FALSE)</f>
        <v>1350</v>
      </c>
      <c r="K136">
        <f t="shared" si="17"/>
        <v>0.5480944682283948</v>
      </c>
    </row>
    <row r="137" spans="1:11" ht="48" x14ac:dyDescent="0.2">
      <c r="A137" s="4" t="s">
        <v>3305</v>
      </c>
      <c r="B137">
        <v>47183</v>
      </c>
      <c r="C137">
        <v>2.52</v>
      </c>
      <c r="D137">
        <f t="shared" si="12"/>
        <v>29722.49621665728</v>
      </c>
      <c r="E137">
        <f t="shared" si="13"/>
        <v>29.72249621665728</v>
      </c>
      <c r="F137" s="7">
        <v>0.1652490886998785</v>
      </c>
      <c r="G137">
        <f t="shared" si="14"/>
        <v>1</v>
      </c>
      <c r="H137" s="7">
        <f t="shared" si="15"/>
        <v>0.83475091130012147</v>
      </c>
      <c r="I137">
        <f t="shared" si="16"/>
        <v>5</v>
      </c>
      <c r="J137">
        <f>VLOOKUP(A137,'Housing Cost Calc'!$A$2:$C$827,3,FALSE)</f>
        <v>1210</v>
      </c>
      <c r="K137">
        <f t="shared" si="17"/>
        <v>0.48851886107273196</v>
      </c>
    </row>
    <row r="138" spans="1:11" ht="48" x14ac:dyDescent="0.2">
      <c r="A138" s="4" t="s">
        <v>3273</v>
      </c>
      <c r="B138">
        <v>45278</v>
      </c>
      <c r="C138">
        <v>2.2999999999999998</v>
      </c>
      <c r="D138">
        <f t="shared" si="12"/>
        <v>29855.429074414445</v>
      </c>
      <c r="E138">
        <f t="shared" si="13"/>
        <v>29.855429074414445</v>
      </c>
      <c r="F138" s="7">
        <v>0.16646415552855406</v>
      </c>
      <c r="G138">
        <f t="shared" si="14"/>
        <v>1</v>
      </c>
      <c r="H138" s="7">
        <f t="shared" si="15"/>
        <v>0.83353584447144591</v>
      </c>
      <c r="I138">
        <f t="shared" si="16"/>
        <v>5</v>
      </c>
      <c r="J138">
        <f>VLOOKUP(A138,'Housing Cost Calc'!$A$2:$C$827,3,FALSE)</f>
        <v>1049</v>
      </c>
      <c r="K138">
        <f t="shared" si="17"/>
        <v>0.42163185692707678</v>
      </c>
    </row>
    <row r="139" spans="1:11" ht="48" x14ac:dyDescent="0.2">
      <c r="A139" s="4" t="s">
        <v>3253</v>
      </c>
      <c r="B139">
        <v>43393</v>
      </c>
      <c r="C139">
        <v>2.1</v>
      </c>
      <c r="D139">
        <f t="shared" si="12"/>
        <v>29944.014816542774</v>
      </c>
      <c r="E139">
        <f t="shared" si="13"/>
        <v>29.944014816542776</v>
      </c>
      <c r="F139" s="7">
        <v>0.16767922235722965</v>
      </c>
      <c r="G139">
        <f t="shared" si="14"/>
        <v>1</v>
      </c>
      <c r="H139" s="7">
        <f t="shared" si="15"/>
        <v>0.83232077764277035</v>
      </c>
      <c r="I139">
        <f t="shared" si="16"/>
        <v>5</v>
      </c>
      <c r="J139">
        <f>VLOOKUP(A139,'Housing Cost Calc'!$A$2:$C$827,3,FALSE)</f>
        <v>1098</v>
      </c>
      <c r="K139">
        <f t="shared" si="17"/>
        <v>0.44002115550386478</v>
      </c>
    </row>
    <row r="140" spans="1:11" ht="48" x14ac:dyDescent="0.2">
      <c r="A140" s="4" t="s">
        <v>3356</v>
      </c>
      <c r="B140">
        <v>50915</v>
      </c>
      <c r="C140">
        <v>2.88</v>
      </c>
      <c r="D140">
        <f t="shared" si="12"/>
        <v>30001.951470094224</v>
      </c>
      <c r="E140">
        <f t="shared" si="13"/>
        <v>30.001951470094223</v>
      </c>
      <c r="F140" s="7">
        <v>0.16889428918590524</v>
      </c>
      <c r="G140">
        <f t="shared" si="14"/>
        <v>1</v>
      </c>
      <c r="H140" s="7">
        <f t="shared" si="15"/>
        <v>0.83110571081409479</v>
      </c>
      <c r="I140">
        <f t="shared" si="16"/>
        <v>5</v>
      </c>
      <c r="J140">
        <f>VLOOKUP(A140,'Housing Cost Calc'!$A$2:$C$827,3,FALSE)</f>
        <v>1269</v>
      </c>
      <c r="K140">
        <f t="shared" si="17"/>
        <v>0.50756698327371086</v>
      </c>
    </row>
    <row r="141" spans="1:11" ht="64" x14ac:dyDescent="0.2">
      <c r="A141" s="4" t="s">
        <v>3301</v>
      </c>
      <c r="B141">
        <v>46801</v>
      </c>
      <c r="C141">
        <v>2.4300000000000002</v>
      </c>
      <c r="D141">
        <f t="shared" si="12"/>
        <v>30022.855498159639</v>
      </c>
      <c r="E141">
        <f t="shared" si="13"/>
        <v>30.02285549815964</v>
      </c>
      <c r="F141" s="7">
        <v>0.1701093560145808</v>
      </c>
      <c r="G141">
        <f t="shared" si="14"/>
        <v>1</v>
      </c>
      <c r="H141" s="7">
        <f t="shared" si="15"/>
        <v>0.82989064398541923</v>
      </c>
      <c r="I141">
        <f t="shared" si="16"/>
        <v>5</v>
      </c>
      <c r="J141">
        <f>VLOOKUP(A141,'Housing Cost Calc'!$A$2:$C$827,3,FALSE)</f>
        <v>1073</v>
      </c>
      <c r="K141">
        <f t="shared" si="17"/>
        <v>0.42887326293094546</v>
      </c>
    </row>
    <row r="142" spans="1:11" ht="48" x14ac:dyDescent="0.2">
      <c r="A142" s="4" t="s">
        <v>3229</v>
      </c>
      <c r="B142">
        <v>41477</v>
      </c>
      <c r="C142">
        <v>1.9</v>
      </c>
      <c r="D142">
        <f t="shared" si="12"/>
        <v>30090.578425812957</v>
      </c>
      <c r="E142">
        <f t="shared" si="13"/>
        <v>30.090578425812957</v>
      </c>
      <c r="F142" s="7">
        <v>0.17132442284325639</v>
      </c>
      <c r="G142">
        <f t="shared" si="14"/>
        <v>1</v>
      </c>
      <c r="H142" s="7">
        <f t="shared" si="15"/>
        <v>0.82867557715674356</v>
      </c>
      <c r="I142">
        <f t="shared" si="16"/>
        <v>5</v>
      </c>
      <c r="J142">
        <f>VLOOKUP(A142,'Housing Cost Calc'!$A$2:$C$827,3,FALSE)</f>
        <v>1263</v>
      </c>
      <c r="K142">
        <f t="shared" si="17"/>
        <v>0.50367925087802734</v>
      </c>
    </row>
    <row r="143" spans="1:11" ht="64" x14ac:dyDescent="0.2">
      <c r="A143" s="4" t="s">
        <v>3257</v>
      </c>
      <c r="B143">
        <v>43716</v>
      </c>
      <c r="C143">
        <v>2.1</v>
      </c>
      <c r="D143">
        <f t="shared" si="12"/>
        <v>30166.905992210355</v>
      </c>
      <c r="E143">
        <f t="shared" si="13"/>
        <v>30.166905992210356</v>
      </c>
      <c r="F143" s="7">
        <v>0.17253948967193194</v>
      </c>
      <c r="G143">
        <f t="shared" si="14"/>
        <v>1</v>
      </c>
      <c r="H143" s="7">
        <f t="shared" si="15"/>
        <v>0.82746051032806811</v>
      </c>
      <c r="I143">
        <f t="shared" si="16"/>
        <v>5</v>
      </c>
      <c r="J143">
        <f>VLOOKUP(A143,'Housing Cost Calc'!$A$2:$C$827,3,FALSE)</f>
        <v>977</v>
      </c>
      <c r="K143">
        <f t="shared" si="17"/>
        <v>0.3886378007418908</v>
      </c>
    </row>
    <row r="144" spans="1:11" ht="64" x14ac:dyDescent="0.2">
      <c r="A144" s="4" t="s">
        <v>3317</v>
      </c>
      <c r="B144">
        <v>48519</v>
      </c>
      <c r="C144">
        <v>2.56</v>
      </c>
      <c r="D144">
        <f t="shared" si="12"/>
        <v>30324.375</v>
      </c>
      <c r="E144">
        <f t="shared" si="13"/>
        <v>30.324375</v>
      </c>
      <c r="F144" s="7">
        <v>0.17375455650060753</v>
      </c>
      <c r="G144">
        <f t="shared" si="14"/>
        <v>1</v>
      </c>
      <c r="H144" s="7">
        <f t="shared" si="15"/>
        <v>0.82624544349939244</v>
      </c>
      <c r="I144">
        <f t="shared" si="16"/>
        <v>5</v>
      </c>
      <c r="J144">
        <f>VLOOKUP(A144,'Housing Cost Calc'!$A$2:$C$827,3,FALSE)</f>
        <v>1124</v>
      </c>
      <c r="K144">
        <f t="shared" si="17"/>
        <v>0.4447907005502999</v>
      </c>
    </row>
    <row r="145" spans="1:11" ht="48" x14ac:dyDescent="0.2">
      <c r="A145" s="4" t="s">
        <v>3331</v>
      </c>
      <c r="B145">
        <v>49309</v>
      </c>
      <c r="C145">
        <v>2.64</v>
      </c>
      <c r="D145">
        <f t="shared" si="12"/>
        <v>30347.591643499589</v>
      </c>
      <c r="E145">
        <f t="shared" si="13"/>
        <v>30.347591643499587</v>
      </c>
      <c r="F145" s="7">
        <v>0.17496962332928312</v>
      </c>
      <c r="G145">
        <f t="shared" si="14"/>
        <v>1</v>
      </c>
      <c r="H145" s="7">
        <f t="shared" si="15"/>
        <v>0.82503037667071688</v>
      </c>
      <c r="I145">
        <f t="shared" si="16"/>
        <v>5</v>
      </c>
      <c r="J145">
        <f>VLOOKUP(A145,'Housing Cost Calc'!$A$2:$C$827,3,FALSE)</f>
        <v>1259</v>
      </c>
      <c r="K145">
        <f t="shared" si="17"/>
        <v>0.49783192608748944</v>
      </c>
    </row>
    <row r="146" spans="1:11" ht="48" x14ac:dyDescent="0.2">
      <c r="A146" s="4" t="s">
        <v>3364</v>
      </c>
      <c r="B146">
        <v>51489</v>
      </c>
      <c r="C146">
        <v>2.87</v>
      </c>
      <c r="D146">
        <f t="shared" si="12"/>
        <v>30392.995714502089</v>
      </c>
      <c r="E146">
        <f t="shared" si="13"/>
        <v>30.392995714502089</v>
      </c>
      <c r="F146" s="7">
        <v>0.17618469015795868</v>
      </c>
      <c r="G146">
        <f t="shared" si="14"/>
        <v>1</v>
      </c>
      <c r="H146" s="7">
        <f t="shared" si="15"/>
        <v>0.82381530984204132</v>
      </c>
      <c r="I146">
        <f t="shared" si="16"/>
        <v>5</v>
      </c>
      <c r="J146">
        <f>VLOOKUP(A146,'Housing Cost Calc'!$A$2:$C$827,3,FALSE)</f>
        <v>1400</v>
      </c>
      <c r="K146">
        <f t="shared" si="17"/>
        <v>0.55275893688833844</v>
      </c>
    </row>
    <row r="147" spans="1:11" ht="48" x14ac:dyDescent="0.2">
      <c r="A147" s="4" t="s">
        <v>3344</v>
      </c>
      <c r="B147">
        <v>50000</v>
      </c>
      <c r="C147">
        <v>2.67</v>
      </c>
      <c r="D147">
        <f t="shared" si="12"/>
        <v>30599.50306810523</v>
      </c>
      <c r="E147">
        <f t="shared" si="13"/>
        <v>30.599503068105232</v>
      </c>
      <c r="F147" s="7">
        <v>0.17739975698663427</v>
      </c>
      <c r="G147">
        <f t="shared" si="14"/>
        <v>1</v>
      </c>
      <c r="H147" s="7">
        <f t="shared" si="15"/>
        <v>0.82260024301336576</v>
      </c>
      <c r="I147">
        <f t="shared" si="16"/>
        <v>5</v>
      </c>
      <c r="J147">
        <f>VLOOKUP(A147,'Housing Cost Calc'!$A$2:$C$827,3,FALSE)</f>
        <v>1359</v>
      </c>
      <c r="K147">
        <f t="shared" si="17"/>
        <v>0.53294983136501695</v>
      </c>
    </row>
    <row r="148" spans="1:11" ht="48" x14ac:dyDescent="0.2">
      <c r="A148" s="4" t="s">
        <v>3281</v>
      </c>
      <c r="B148">
        <v>45903</v>
      </c>
      <c r="C148">
        <v>2.25</v>
      </c>
      <c r="D148">
        <f t="shared" si="12"/>
        <v>30602</v>
      </c>
      <c r="E148">
        <f t="shared" si="13"/>
        <v>30.602</v>
      </c>
      <c r="F148" s="7">
        <v>0.17861482381530985</v>
      </c>
      <c r="G148">
        <f t="shared" si="14"/>
        <v>1</v>
      </c>
      <c r="H148" s="7">
        <f t="shared" si="15"/>
        <v>0.8213851761846902</v>
      </c>
      <c r="I148">
        <f t="shared" si="16"/>
        <v>5</v>
      </c>
      <c r="J148">
        <f>VLOOKUP(A148,'Housing Cost Calc'!$A$2:$C$827,3,FALSE)</f>
        <v>993</v>
      </c>
      <c r="K148">
        <f t="shared" si="17"/>
        <v>0.38938631461995948</v>
      </c>
    </row>
    <row r="149" spans="1:11" ht="48" x14ac:dyDescent="0.2">
      <c r="A149" s="4" t="s">
        <v>3287</v>
      </c>
      <c r="B149">
        <v>46184</v>
      </c>
      <c r="C149">
        <v>2.2599999999999998</v>
      </c>
      <c r="D149">
        <f t="shared" si="12"/>
        <v>30721.139820299755</v>
      </c>
      <c r="E149">
        <f t="shared" si="13"/>
        <v>30.721139820299754</v>
      </c>
      <c r="F149" s="7">
        <v>0.17982989064398541</v>
      </c>
      <c r="G149">
        <f t="shared" si="14"/>
        <v>1</v>
      </c>
      <c r="H149" s="7">
        <f t="shared" si="15"/>
        <v>0.82017010935601453</v>
      </c>
      <c r="I149">
        <f t="shared" si="16"/>
        <v>5</v>
      </c>
      <c r="J149">
        <f>VLOOKUP(A149,'Housing Cost Calc'!$A$2:$C$827,3,FALSE)</f>
        <v>1164</v>
      </c>
      <c r="K149">
        <f t="shared" si="17"/>
        <v>0.4546706301167347</v>
      </c>
    </row>
    <row r="150" spans="1:11" ht="48" x14ac:dyDescent="0.2">
      <c r="A150" s="4" t="s">
        <v>3463</v>
      </c>
      <c r="B150">
        <v>58516</v>
      </c>
      <c r="C150">
        <v>3.62</v>
      </c>
      <c r="D150">
        <f t="shared" si="12"/>
        <v>30755.326790116389</v>
      </c>
      <c r="E150">
        <f t="shared" si="13"/>
        <v>30.755326790116388</v>
      </c>
      <c r="F150" s="7">
        <v>0.181044957472661</v>
      </c>
      <c r="G150">
        <f t="shared" si="14"/>
        <v>1</v>
      </c>
      <c r="H150" s="7">
        <f t="shared" si="15"/>
        <v>0.81895504252733897</v>
      </c>
      <c r="I150">
        <f t="shared" si="16"/>
        <v>5</v>
      </c>
      <c r="J150">
        <f>VLOOKUP(A150,'Housing Cost Calc'!$A$2:$C$827,3,FALSE)</f>
        <v>1264</v>
      </c>
      <c r="K150">
        <f t="shared" si="17"/>
        <v>0.49318285913562226</v>
      </c>
    </row>
    <row r="151" spans="1:11" ht="48" x14ac:dyDescent="0.2">
      <c r="A151" s="4" t="s">
        <v>3380</v>
      </c>
      <c r="B151">
        <v>52917</v>
      </c>
      <c r="C151">
        <v>2.95</v>
      </c>
      <c r="D151">
        <f t="shared" si="12"/>
        <v>30809.468547889461</v>
      </c>
      <c r="E151">
        <f t="shared" si="13"/>
        <v>30.809468547889459</v>
      </c>
      <c r="F151" s="7">
        <v>0.18226002430133659</v>
      </c>
      <c r="G151">
        <f t="shared" si="14"/>
        <v>1</v>
      </c>
      <c r="H151" s="7">
        <f t="shared" si="15"/>
        <v>0.81773997569866341</v>
      </c>
      <c r="I151">
        <f t="shared" si="16"/>
        <v>5</v>
      </c>
      <c r="J151">
        <f>VLOOKUP(A151,'Housing Cost Calc'!$A$2:$C$827,3,FALSE)</f>
        <v>1497</v>
      </c>
      <c r="K151">
        <f t="shared" si="17"/>
        <v>0.58306750640885652</v>
      </c>
    </row>
    <row r="152" spans="1:11" ht="64" x14ac:dyDescent="0.2">
      <c r="A152" s="4" t="s">
        <v>3323</v>
      </c>
      <c r="B152">
        <v>48981</v>
      </c>
      <c r="C152">
        <v>2.52</v>
      </c>
      <c r="D152">
        <f t="shared" si="12"/>
        <v>30855.129754108264</v>
      </c>
      <c r="E152">
        <f t="shared" si="13"/>
        <v>30.855129754108265</v>
      </c>
      <c r="F152" s="7">
        <v>0.18347509113001215</v>
      </c>
      <c r="G152">
        <f t="shared" si="14"/>
        <v>1</v>
      </c>
      <c r="H152" s="7">
        <f t="shared" si="15"/>
        <v>0.81652490886998785</v>
      </c>
      <c r="I152">
        <f t="shared" si="16"/>
        <v>5</v>
      </c>
      <c r="J152">
        <f>VLOOKUP(A152,'Housing Cost Calc'!$A$2:$C$827,3,FALSE)</f>
        <v>1052</v>
      </c>
      <c r="K152">
        <f t="shared" si="17"/>
        <v>0.40913780303643527</v>
      </c>
    </row>
    <row r="153" spans="1:11" ht="48" x14ac:dyDescent="0.2">
      <c r="A153" s="4" t="s">
        <v>3368</v>
      </c>
      <c r="B153">
        <v>52352</v>
      </c>
      <c r="C153">
        <v>2.87</v>
      </c>
      <c r="D153">
        <f t="shared" si="12"/>
        <v>30902.408507557211</v>
      </c>
      <c r="E153">
        <f t="shared" si="13"/>
        <v>30.902408507557212</v>
      </c>
      <c r="F153" s="7">
        <v>0.18469015795868773</v>
      </c>
      <c r="G153">
        <f t="shared" si="14"/>
        <v>1</v>
      </c>
      <c r="H153" s="7">
        <f t="shared" si="15"/>
        <v>0.81530984204131229</v>
      </c>
      <c r="I153">
        <f t="shared" si="16"/>
        <v>5</v>
      </c>
      <c r="J153">
        <f>VLOOKUP(A153,'Housing Cost Calc'!$A$2:$C$827,3,FALSE)</f>
        <v>1418</v>
      </c>
      <c r="K153">
        <f t="shared" si="17"/>
        <v>0.55063669214775679</v>
      </c>
    </row>
    <row r="154" spans="1:11" ht="64" x14ac:dyDescent="0.2">
      <c r="A154" s="4" t="s">
        <v>3346</v>
      </c>
      <c r="B154">
        <v>50000</v>
      </c>
      <c r="C154">
        <v>2.61</v>
      </c>
      <c r="D154">
        <f t="shared" si="12"/>
        <v>30949.223029508645</v>
      </c>
      <c r="E154">
        <f t="shared" si="13"/>
        <v>30.949223029508644</v>
      </c>
      <c r="F154" s="7">
        <v>0.18590522478736329</v>
      </c>
      <c r="G154">
        <f t="shared" si="14"/>
        <v>1</v>
      </c>
      <c r="H154" s="7">
        <f t="shared" si="15"/>
        <v>0.81409477521263673</v>
      </c>
      <c r="I154">
        <f t="shared" si="16"/>
        <v>5</v>
      </c>
      <c r="J154">
        <f>VLOOKUP(A154,'Housing Cost Calc'!$A$2:$C$827,3,FALSE)</f>
        <v>1248</v>
      </c>
      <c r="K154">
        <f t="shared" si="17"/>
        <v>0.48388936890987799</v>
      </c>
    </row>
    <row r="155" spans="1:11" ht="48" x14ac:dyDescent="0.2">
      <c r="A155" s="4" t="s">
        <v>3325</v>
      </c>
      <c r="B155">
        <v>49074</v>
      </c>
      <c r="C155">
        <v>2.5099999999999998</v>
      </c>
      <c r="D155">
        <f t="shared" si="12"/>
        <v>30975.234137621595</v>
      </c>
      <c r="E155">
        <f t="shared" si="13"/>
        <v>30.975234137621594</v>
      </c>
      <c r="F155" s="7">
        <v>0.18712029161603888</v>
      </c>
      <c r="G155">
        <f t="shared" si="14"/>
        <v>1</v>
      </c>
      <c r="H155" s="7">
        <f t="shared" si="15"/>
        <v>0.81287970838396117</v>
      </c>
      <c r="I155">
        <f t="shared" si="16"/>
        <v>5</v>
      </c>
      <c r="J155">
        <f>VLOOKUP(A155,'Housing Cost Calc'!$A$2:$C$827,3,FALSE)</f>
        <v>1170</v>
      </c>
      <c r="K155">
        <f t="shared" si="17"/>
        <v>0.45326533893564452</v>
      </c>
    </row>
    <row r="156" spans="1:11" ht="48" x14ac:dyDescent="0.2">
      <c r="A156" s="4" t="s">
        <v>3358</v>
      </c>
      <c r="B156">
        <v>51094</v>
      </c>
      <c r="C156">
        <v>2.72</v>
      </c>
      <c r="D156">
        <f t="shared" si="12"/>
        <v>30980.288064015993</v>
      </c>
      <c r="E156">
        <f t="shared" si="13"/>
        <v>30.980288064015994</v>
      </c>
      <c r="F156" s="7">
        <v>0.18833535844471447</v>
      </c>
      <c r="G156">
        <f t="shared" si="14"/>
        <v>1</v>
      </c>
      <c r="H156" s="7">
        <f t="shared" si="15"/>
        <v>0.8116646415552855</v>
      </c>
      <c r="I156">
        <f t="shared" si="16"/>
        <v>5</v>
      </c>
      <c r="J156">
        <f>VLOOKUP(A156,'Housing Cost Calc'!$A$2:$C$827,3,FALSE)</f>
        <v>1131</v>
      </c>
      <c r="K156">
        <f t="shared" si="17"/>
        <v>0.43808501625148072</v>
      </c>
    </row>
    <row r="157" spans="1:11" ht="48" x14ac:dyDescent="0.2">
      <c r="A157" s="4" t="s">
        <v>3378</v>
      </c>
      <c r="B157">
        <v>52909</v>
      </c>
      <c r="C157">
        <v>2.89</v>
      </c>
      <c r="D157">
        <f t="shared" si="12"/>
        <v>31122.941176470587</v>
      </c>
      <c r="E157">
        <f t="shared" si="13"/>
        <v>31.122941176470587</v>
      </c>
      <c r="F157" s="7">
        <v>0.18955042527339003</v>
      </c>
      <c r="G157">
        <f t="shared" si="14"/>
        <v>1</v>
      </c>
      <c r="H157" s="7">
        <f t="shared" si="15"/>
        <v>0.81044957472660994</v>
      </c>
      <c r="I157">
        <f t="shared" si="16"/>
        <v>5</v>
      </c>
      <c r="J157">
        <f>VLOOKUP(A157,'Housing Cost Calc'!$A$2:$C$827,3,FALSE)</f>
        <v>1386</v>
      </c>
      <c r="K157">
        <f t="shared" si="17"/>
        <v>0.53439679449621047</v>
      </c>
    </row>
    <row r="158" spans="1:11" ht="48" x14ac:dyDescent="0.2">
      <c r="A158" s="4" t="s">
        <v>3293</v>
      </c>
      <c r="B158">
        <v>46429</v>
      </c>
      <c r="C158">
        <v>2.2200000000000002</v>
      </c>
      <c r="D158">
        <f t="shared" si="12"/>
        <v>31161.104487531935</v>
      </c>
      <c r="E158">
        <f t="shared" si="13"/>
        <v>31.161104487531937</v>
      </c>
      <c r="F158" s="7">
        <v>0.19076549210206561</v>
      </c>
      <c r="G158">
        <f t="shared" si="14"/>
        <v>1</v>
      </c>
      <c r="H158" s="7">
        <f t="shared" si="15"/>
        <v>0.80923450789793439</v>
      </c>
      <c r="I158">
        <f t="shared" si="16"/>
        <v>5</v>
      </c>
      <c r="J158">
        <f>VLOOKUP(A158,'Housing Cost Calc'!$A$2:$C$827,3,FALSE)</f>
        <v>1233</v>
      </c>
      <c r="K158">
        <f t="shared" si="17"/>
        <v>0.47482270745313665</v>
      </c>
    </row>
    <row r="159" spans="1:11" ht="48" x14ac:dyDescent="0.2">
      <c r="A159" s="4" t="s">
        <v>3303</v>
      </c>
      <c r="B159">
        <v>47036</v>
      </c>
      <c r="C159">
        <v>2.2599999999999998</v>
      </c>
      <c r="D159">
        <f t="shared" si="12"/>
        <v>31287.88178996231</v>
      </c>
      <c r="E159">
        <f t="shared" si="13"/>
        <v>31.287881789962309</v>
      </c>
      <c r="F159" s="7">
        <v>0.1919805589307412</v>
      </c>
      <c r="G159">
        <f t="shared" si="14"/>
        <v>1</v>
      </c>
      <c r="H159" s="7">
        <f t="shared" si="15"/>
        <v>0.80801944106925883</v>
      </c>
      <c r="I159">
        <f t="shared" si="16"/>
        <v>5</v>
      </c>
      <c r="J159">
        <f>VLOOKUP(A159,'Housing Cost Calc'!$A$2:$C$827,3,FALSE)</f>
        <v>1102</v>
      </c>
      <c r="K159">
        <f t="shared" si="17"/>
        <v>0.42265564951867357</v>
      </c>
    </row>
    <row r="160" spans="1:11" ht="48" x14ac:dyDescent="0.2">
      <c r="A160" s="4" t="s">
        <v>3335</v>
      </c>
      <c r="B160">
        <v>49402</v>
      </c>
      <c r="C160">
        <v>2.4900000000000002</v>
      </c>
      <c r="D160">
        <f t="shared" si="12"/>
        <v>31307.245424410259</v>
      </c>
      <c r="E160">
        <f t="shared" si="13"/>
        <v>31.307245424410258</v>
      </c>
      <c r="F160" s="7">
        <v>0.19319562575941676</v>
      </c>
      <c r="G160">
        <f t="shared" si="14"/>
        <v>1</v>
      </c>
      <c r="H160" s="7">
        <f t="shared" si="15"/>
        <v>0.80680437424058327</v>
      </c>
      <c r="I160">
        <f t="shared" si="16"/>
        <v>5</v>
      </c>
      <c r="J160">
        <f>VLOOKUP(A160,'Housing Cost Calc'!$A$2:$C$827,3,FALSE)</f>
        <v>1641</v>
      </c>
      <c r="K160">
        <f t="shared" si="17"/>
        <v>0.62899177915685123</v>
      </c>
    </row>
    <row r="161" spans="1:11" ht="48" x14ac:dyDescent="0.2">
      <c r="A161" s="4" t="s">
        <v>3396</v>
      </c>
      <c r="B161">
        <v>53607</v>
      </c>
      <c r="C161">
        <v>2.93</v>
      </c>
      <c r="D161">
        <f t="shared" si="12"/>
        <v>31317.543791727308</v>
      </c>
      <c r="E161">
        <f t="shared" si="13"/>
        <v>31.31754379172731</v>
      </c>
      <c r="F161" s="7">
        <v>0.19441069258809235</v>
      </c>
      <c r="G161">
        <f t="shared" si="14"/>
        <v>1</v>
      </c>
      <c r="H161" s="7">
        <f t="shared" si="15"/>
        <v>0.8055893074119076</v>
      </c>
      <c r="I161">
        <f t="shared" si="16"/>
        <v>5</v>
      </c>
      <c r="J161">
        <f>VLOOKUP(A161,'Housing Cost Calc'!$A$2:$C$827,3,FALSE)</f>
        <v>1342</v>
      </c>
      <c r="K161">
        <f t="shared" si="17"/>
        <v>0.51421657161549028</v>
      </c>
    </row>
    <row r="162" spans="1:11" ht="48" x14ac:dyDescent="0.2">
      <c r="A162" s="4" t="s">
        <v>3321</v>
      </c>
      <c r="B162">
        <v>48824</v>
      </c>
      <c r="C162">
        <v>2.42</v>
      </c>
      <c r="D162">
        <f t="shared" si="12"/>
        <v>31385.255895138176</v>
      </c>
      <c r="E162">
        <f t="shared" si="13"/>
        <v>31.385255895138176</v>
      </c>
      <c r="F162" s="7">
        <v>0.19562575941676794</v>
      </c>
      <c r="G162">
        <f t="shared" si="14"/>
        <v>1</v>
      </c>
      <c r="H162" s="7">
        <f t="shared" si="15"/>
        <v>0.80437424058323204</v>
      </c>
      <c r="I162">
        <f t="shared" si="16"/>
        <v>5</v>
      </c>
      <c r="J162">
        <f>VLOOKUP(A162,'Housing Cost Calc'!$A$2:$C$827,3,FALSE)</f>
        <v>1157</v>
      </c>
      <c r="K162">
        <f t="shared" si="17"/>
        <v>0.44237332479900987</v>
      </c>
    </row>
    <row r="163" spans="1:11" ht="48" x14ac:dyDescent="0.2">
      <c r="A163" s="4" t="s">
        <v>3259</v>
      </c>
      <c r="B163">
        <v>43750</v>
      </c>
      <c r="C163">
        <v>1.9</v>
      </c>
      <c r="D163">
        <f t="shared" si="12"/>
        <v>31739.585942313013</v>
      </c>
      <c r="E163">
        <f t="shared" si="13"/>
        <v>31.739585942313013</v>
      </c>
      <c r="F163" s="7">
        <v>0.1968408262454435</v>
      </c>
      <c r="G163">
        <f t="shared" si="14"/>
        <v>1</v>
      </c>
      <c r="H163" s="7">
        <f t="shared" si="15"/>
        <v>0.80315917375455648</v>
      </c>
      <c r="I163">
        <f t="shared" si="16"/>
        <v>5</v>
      </c>
      <c r="J163">
        <f>VLOOKUP(A163,'Housing Cost Calc'!$A$2:$C$827,3,FALSE)</f>
        <v>958</v>
      </c>
      <c r="K163">
        <f t="shared" si="17"/>
        <v>0.36219754160920953</v>
      </c>
    </row>
    <row r="164" spans="1:11" ht="48" x14ac:dyDescent="0.2">
      <c r="A164" s="4" t="s">
        <v>3338</v>
      </c>
      <c r="B164">
        <v>49583</v>
      </c>
      <c r="C164">
        <v>2.44</v>
      </c>
      <c r="D164">
        <f t="shared" si="12"/>
        <v>31742.263088563905</v>
      </c>
      <c r="E164">
        <f t="shared" si="13"/>
        <v>31.742263088563906</v>
      </c>
      <c r="F164" s="7">
        <v>0.19805589307411908</v>
      </c>
      <c r="G164">
        <f t="shared" si="14"/>
        <v>1</v>
      </c>
      <c r="H164" s="7">
        <f t="shared" si="15"/>
        <v>0.80194410692588092</v>
      </c>
      <c r="I164">
        <f t="shared" si="16"/>
        <v>5</v>
      </c>
      <c r="J164">
        <f>VLOOKUP(A164,'Housing Cost Calc'!$A$2:$C$827,3,FALSE)</f>
        <v>1087</v>
      </c>
      <c r="K164">
        <f t="shared" si="17"/>
        <v>0.41093478318184218</v>
      </c>
    </row>
    <row r="165" spans="1:11" ht="48" x14ac:dyDescent="0.2">
      <c r="A165" s="4" t="s">
        <v>3412</v>
      </c>
      <c r="B165">
        <v>54280</v>
      </c>
      <c r="C165">
        <v>2.9</v>
      </c>
      <c r="D165">
        <f t="shared" si="12"/>
        <v>31874.313515258109</v>
      </c>
      <c r="E165">
        <f t="shared" si="13"/>
        <v>31.874313515258109</v>
      </c>
      <c r="F165" s="7">
        <v>0.19927095990279464</v>
      </c>
      <c r="G165">
        <f t="shared" si="14"/>
        <v>1</v>
      </c>
      <c r="H165" s="7">
        <f t="shared" si="15"/>
        <v>0.80072904009720536</v>
      </c>
      <c r="I165">
        <f t="shared" si="16"/>
        <v>5</v>
      </c>
      <c r="J165">
        <f>VLOOKUP(A165,'Housing Cost Calc'!$A$2:$C$827,3,FALSE)</f>
        <v>1185</v>
      </c>
      <c r="K165">
        <f t="shared" si="17"/>
        <v>0.44612725520168273</v>
      </c>
    </row>
    <row r="166" spans="1:11" ht="48" x14ac:dyDescent="0.2">
      <c r="A166" s="4" t="s">
        <v>3376</v>
      </c>
      <c r="B166">
        <v>52860</v>
      </c>
      <c r="C166">
        <v>2.74</v>
      </c>
      <c r="D166">
        <f t="shared" si="12"/>
        <v>31933.893853433154</v>
      </c>
      <c r="E166">
        <f t="shared" si="13"/>
        <v>31.933893853433155</v>
      </c>
      <c r="F166" s="7">
        <v>0.20048602673147023</v>
      </c>
      <c r="G166">
        <f t="shared" si="14"/>
        <v>2</v>
      </c>
      <c r="H166" s="7">
        <f t="shared" si="15"/>
        <v>0.7995139732685298</v>
      </c>
      <c r="I166">
        <f t="shared" si="16"/>
        <v>4</v>
      </c>
      <c r="J166">
        <f>VLOOKUP(A166,'Housing Cost Calc'!$A$2:$C$827,3,FALSE)</f>
        <v>1123</v>
      </c>
      <c r="K166">
        <f t="shared" si="17"/>
        <v>0.42199676813140091</v>
      </c>
    </row>
    <row r="167" spans="1:11" ht="64" x14ac:dyDescent="0.2">
      <c r="A167" s="4" t="s">
        <v>3329</v>
      </c>
      <c r="B167">
        <v>49183</v>
      </c>
      <c r="C167">
        <v>2.37</v>
      </c>
      <c r="D167">
        <f t="shared" si="12"/>
        <v>31947.791594470389</v>
      </c>
      <c r="E167">
        <f t="shared" si="13"/>
        <v>31.947791594470388</v>
      </c>
      <c r="F167" s="7">
        <v>0.20170109356014582</v>
      </c>
      <c r="G167">
        <f t="shared" si="14"/>
        <v>2</v>
      </c>
      <c r="H167" s="7">
        <f t="shared" si="15"/>
        <v>0.79829890643985424</v>
      </c>
      <c r="I167">
        <f t="shared" si="16"/>
        <v>4</v>
      </c>
      <c r="J167">
        <f>VLOOKUP(A167,'Housing Cost Calc'!$A$2:$C$827,3,FALSE)</f>
        <v>1165</v>
      </c>
      <c r="K167">
        <f t="shared" si="17"/>
        <v>0.43758893188785219</v>
      </c>
    </row>
    <row r="168" spans="1:11" ht="48" x14ac:dyDescent="0.2">
      <c r="A168" s="4" t="s">
        <v>3366</v>
      </c>
      <c r="B168">
        <v>51875</v>
      </c>
      <c r="C168">
        <v>2.57</v>
      </c>
      <c r="D168">
        <f t="shared" si="12"/>
        <v>32358.735942999905</v>
      </c>
      <c r="E168">
        <f t="shared" si="13"/>
        <v>32.358735942999907</v>
      </c>
      <c r="F168" s="7">
        <v>0.20291616038882138</v>
      </c>
      <c r="G168">
        <f t="shared" si="14"/>
        <v>2</v>
      </c>
      <c r="H168" s="7">
        <f t="shared" si="15"/>
        <v>0.79708383961117857</v>
      </c>
      <c r="I168">
        <f t="shared" si="16"/>
        <v>4</v>
      </c>
      <c r="J168">
        <f>VLOOKUP(A168,'Housing Cost Calc'!$A$2:$C$827,3,FALSE)</f>
        <v>1494</v>
      </c>
      <c r="K168">
        <f t="shared" si="17"/>
        <v>0.5540389473674211</v>
      </c>
    </row>
    <row r="169" spans="1:11" ht="64" x14ac:dyDescent="0.2">
      <c r="A169" s="4" t="s">
        <v>3354</v>
      </c>
      <c r="B169">
        <v>50799</v>
      </c>
      <c r="C169">
        <v>2.46</v>
      </c>
      <c r="D169">
        <f t="shared" si="12"/>
        <v>32388.259446904522</v>
      </c>
      <c r="E169">
        <f t="shared" si="13"/>
        <v>32.38825944690452</v>
      </c>
      <c r="F169" s="7">
        <v>0.20413122721749696</v>
      </c>
      <c r="G169">
        <f t="shared" si="14"/>
        <v>2</v>
      </c>
      <c r="H169" s="7">
        <f t="shared" si="15"/>
        <v>0.79586877278250301</v>
      </c>
      <c r="I169">
        <f t="shared" si="16"/>
        <v>4</v>
      </c>
      <c r="J169">
        <f>VLOOKUP(A169,'Housing Cost Calc'!$A$2:$C$827,3,FALSE)</f>
        <v>1107</v>
      </c>
      <c r="K169">
        <f t="shared" si="17"/>
        <v>0.41014862258273055</v>
      </c>
    </row>
    <row r="170" spans="1:11" ht="48" x14ac:dyDescent="0.2">
      <c r="A170" s="4" t="s">
        <v>3130</v>
      </c>
      <c r="B170">
        <v>49446</v>
      </c>
      <c r="C170">
        <v>2.31</v>
      </c>
      <c r="D170">
        <f t="shared" si="12"/>
        <v>32533.07950898074</v>
      </c>
      <c r="E170">
        <f t="shared" si="13"/>
        <v>32.533079508980741</v>
      </c>
      <c r="F170" s="7">
        <v>0.20534629404617255</v>
      </c>
      <c r="G170">
        <f t="shared" si="14"/>
        <v>2</v>
      </c>
      <c r="H170" s="7">
        <f t="shared" si="15"/>
        <v>0.79465370595382745</v>
      </c>
      <c r="I170">
        <f t="shared" si="16"/>
        <v>4</v>
      </c>
      <c r="J170">
        <f>VLOOKUP(A170,'Housing Cost Calc'!$A$2:$C$827,3,FALSE)</f>
        <v>730</v>
      </c>
      <c r="K170">
        <f t="shared" si="17"/>
        <v>0.26926439587687379</v>
      </c>
    </row>
    <row r="171" spans="1:11" ht="48" x14ac:dyDescent="0.2">
      <c r="A171" s="4" t="s">
        <v>3428</v>
      </c>
      <c r="B171">
        <v>56292</v>
      </c>
      <c r="C171">
        <v>2.99</v>
      </c>
      <c r="D171">
        <f t="shared" si="12"/>
        <v>32554.504150243596</v>
      </c>
      <c r="E171">
        <f t="shared" si="13"/>
        <v>32.554504150243595</v>
      </c>
      <c r="F171" s="7">
        <v>0.20656136087484811</v>
      </c>
      <c r="G171">
        <f t="shared" si="14"/>
        <v>2</v>
      </c>
      <c r="H171" s="7">
        <f t="shared" si="15"/>
        <v>0.79343863912515189</v>
      </c>
      <c r="I171">
        <f t="shared" si="16"/>
        <v>4</v>
      </c>
      <c r="J171">
        <f>VLOOKUP(A171,'Housing Cost Calc'!$A$2:$C$827,3,FALSE)</f>
        <v>1185</v>
      </c>
      <c r="K171">
        <f t="shared" si="17"/>
        <v>0.43680591583802686</v>
      </c>
    </row>
    <row r="172" spans="1:11" ht="48" x14ac:dyDescent="0.2">
      <c r="A172" s="4" t="s">
        <v>3398</v>
      </c>
      <c r="B172">
        <v>53617</v>
      </c>
      <c r="C172">
        <v>2.71</v>
      </c>
      <c r="D172">
        <f t="shared" si="12"/>
        <v>32570.007987337107</v>
      </c>
      <c r="E172">
        <f t="shared" si="13"/>
        <v>32.570007987337107</v>
      </c>
      <c r="F172" s="7">
        <v>0.2077764277035237</v>
      </c>
      <c r="G172">
        <f t="shared" si="14"/>
        <v>2</v>
      </c>
      <c r="H172" s="7">
        <f t="shared" si="15"/>
        <v>0.79222357229647633</v>
      </c>
      <c r="I172">
        <f t="shared" si="16"/>
        <v>4</v>
      </c>
      <c r="J172">
        <f>VLOOKUP(A172,'Housing Cost Calc'!$A$2:$C$827,3,FALSE)</f>
        <v>1244</v>
      </c>
      <c r="K172">
        <f t="shared" si="17"/>
        <v>0.45833577952464294</v>
      </c>
    </row>
    <row r="173" spans="1:11" ht="64" x14ac:dyDescent="0.2">
      <c r="A173" s="4" t="s">
        <v>3309</v>
      </c>
      <c r="B173">
        <v>48022</v>
      </c>
      <c r="C173">
        <v>2.15</v>
      </c>
      <c r="D173">
        <f t="shared" si="12"/>
        <v>32750.732170051077</v>
      </c>
      <c r="E173">
        <f t="shared" si="13"/>
        <v>32.75073217005108</v>
      </c>
      <c r="F173" s="7">
        <v>0.20899149453219928</v>
      </c>
      <c r="G173">
        <f t="shared" si="14"/>
        <v>2</v>
      </c>
      <c r="H173" s="7">
        <f t="shared" si="15"/>
        <v>0.79100850546780066</v>
      </c>
      <c r="I173">
        <f t="shared" si="16"/>
        <v>4</v>
      </c>
      <c r="J173">
        <f>VLOOKUP(A173,'Housing Cost Calc'!$A$2:$C$827,3,FALSE)</f>
        <v>1005</v>
      </c>
      <c r="K173">
        <f t="shared" si="17"/>
        <v>0.36823604239993979</v>
      </c>
    </row>
    <row r="174" spans="1:11" ht="48" x14ac:dyDescent="0.2">
      <c r="A174" s="4" t="s">
        <v>3469</v>
      </c>
      <c r="B174">
        <v>59014</v>
      </c>
      <c r="C174">
        <v>3.24</v>
      </c>
      <c r="D174">
        <f t="shared" si="12"/>
        <v>32785.555555555555</v>
      </c>
      <c r="E174">
        <f t="shared" si="13"/>
        <v>32.785555555555554</v>
      </c>
      <c r="F174" s="7">
        <v>0.21020656136087484</v>
      </c>
      <c r="G174">
        <f t="shared" si="14"/>
        <v>2</v>
      </c>
      <c r="H174" s="7">
        <f t="shared" si="15"/>
        <v>0.78979343863912521</v>
      </c>
      <c r="I174">
        <f t="shared" si="16"/>
        <v>4</v>
      </c>
      <c r="J174">
        <f>VLOOKUP(A174,'Housing Cost Calc'!$A$2:$C$827,3,FALSE)</f>
        <v>1532</v>
      </c>
      <c r="K174">
        <f t="shared" si="17"/>
        <v>0.56073474090893682</v>
      </c>
    </row>
    <row r="175" spans="1:11" ht="48" x14ac:dyDescent="0.2">
      <c r="A175" s="4" t="s">
        <v>3384</v>
      </c>
      <c r="B175">
        <v>53083</v>
      </c>
      <c r="C175">
        <v>2.61</v>
      </c>
      <c r="D175">
        <f t="shared" si="12"/>
        <v>32857.552121508146</v>
      </c>
      <c r="E175">
        <f t="shared" si="13"/>
        <v>32.857552121508149</v>
      </c>
      <c r="F175" s="7">
        <v>0.21142162818955043</v>
      </c>
      <c r="G175">
        <f t="shared" si="14"/>
        <v>2</v>
      </c>
      <c r="H175" s="7">
        <f t="shared" si="15"/>
        <v>0.78857837181044954</v>
      </c>
      <c r="I175">
        <f t="shared" si="16"/>
        <v>4</v>
      </c>
      <c r="J175">
        <f>VLOOKUP(A175,'Housing Cost Calc'!$A$2:$C$827,3,FALSE)</f>
        <v>1192</v>
      </c>
      <c r="K175">
        <f t="shared" si="17"/>
        <v>0.43533370797384441</v>
      </c>
    </row>
    <row r="176" spans="1:11" ht="64" x14ac:dyDescent="0.2">
      <c r="A176" s="4" t="s">
        <v>3434</v>
      </c>
      <c r="B176">
        <v>56932</v>
      </c>
      <c r="C176">
        <v>2.99</v>
      </c>
      <c r="D176">
        <f t="shared" si="12"/>
        <v>32924.625706701991</v>
      </c>
      <c r="E176">
        <f t="shared" si="13"/>
        <v>32.924625706701988</v>
      </c>
      <c r="F176" s="7">
        <v>0.21263669501822599</v>
      </c>
      <c r="G176">
        <f t="shared" si="14"/>
        <v>2</v>
      </c>
      <c r="H176" s="7">
        <f t="shared" si="15"/>
        <v>0.78736330498177398</v>
      </c>
      <c r="I176">
        <f t="shared" si="16"/>
        <v>4</v>
      </c>
      <c r="J176">
        <f>VLOOKUP(A176,'Housing Cost Calc'!$A$2:$C$827,3,FALSE)</f>
        <v>1483</v>
      </c>
      <c r="K176">
        <f t="shared" si="17"/>
        <v>0.54050728347012078</v>
      </c>
    </row>
    <row r="177" spans="1:11" ht="48" x14ac:dyDescent="0.2">
      <c r="A177" s="4" t="s">
        <v>3307</v>
      </c>
      <c r="B177">
        <v>47578</v>
      </c>
      <c r="C177">
        <v>2.08</v>
      </c>
      <c r="D177">
        <f t="shared" si="12"/>
        <v>32989.407420004936</v>
      </c>
      <c r="E177">
        <f t="shared" si="13"/>
        <v>32.989407420004937</v>
      </c>
      <c r="F177" s="7">
        <v>0.21385176184690158</v>
      </c>
      <c r="G177">
        <f t="shared" si="14"/>
        <v>2</v>
      </c>
      <c r="H177" s="7">
        <f t="shared" si="15"/>
        <v>0.78614823815309842</v>
      </c>
      <c r="I177">
        <f t="shared" si="16"/>
        <v>4</v>
      </c>
      <c r="J177">
        <f>VLOOKUP(A177,'Housing Cost Calc'!$A$2:$C$827,3,FALSE)</f>
        <v>992</v>
      </c>
      <c r="K177">
        <f t="shared" si="17"/>
        <v>0.3608430987693752</v>
      </c>
    </row>
    <row r="178" spans="1:11" ht="48" x14ac:dyDescent="0.2">
      <c r="A178" s="4" t="s">
        <v>3319</v>
      </c>
      <c r="B178">
        <v>48750</v>
      </c>
      <c r="C178">
        <v>2.1800000000000002</v>
      </c>
      <c r="D178">
        <f t="shared" si="12"/>
        <v>33017.666247081572</v>
      </c>
      <c r="E178">
        <f t="shared" si="13"/>
        <v>33.017666247081571</v>
      </c>
      <c r="F178" s="7">
        <v>0.21506682867557717</v>
      </c>
      <c r="G178">
        <f t="shared" si="14"/>
        <v>2</v>
      </c>
      <c r="H178" s="7">
        <f t="shared" si="15"/>
        <v>0.78493317132442286</v>
      </c>
      <c r="I178">
        <f t="shared" si="16"/>
        <v>4</v>
      </c>
      <c r="J178">
        <f>VLOOKUP(A178,'Housing Cost Calc'!$A$2:$C$827,3,FALSE)</f>
        <v>1284</v>
      </c>
      <c r="K178">
        <f t="shared" si="17"/>
        <v>0.4666592691529769</v>
      </c>
    </row>
    <row r="179" spans="1:11" ht="48" x14ac:dyDescent="0.2">
      <c r="A179" s="4" t="s">
        <v>3459</v>
      </c>
      <c r="B179">
        <v>58273</v>
      </c>
      <c r="C179">
        <v>3.07</v>
      </c>
      <c r="D179">
        <f t="shared" si="12"/>
        <v>33258.157770781429</v>
      </c>
      <c r="E179">
        <f t="shared" si="13"/>
        <v>33.25815777078143</v>
      </c>
      <c r="F179" s="7">
        <v>0.21628189550425272</v>
      </c>
      <c r="G179">
        <f t="shared" si="14"/>
        <v>2</v>
      </c>
      <c r="H179" s="7">
        <f t="shared" si="15"/>
        <v>0.7837181044957473</v>
      </c>
      <c r="I179">
        <f t="shared" si="16"/>
        <v>4</v>
      </c>
      <c r="J179">
        <f>VLOOKUP(A179,'Housing Cost Calc'!$A$2:$C$827,3,FALSE)</f>
        <v>1834</v>
      </c>
      <c r="K179">
        <f t="shared" si="17"/>
        <v>0.66173238312480664</v>
      </c>
    </row>
    <row r="180" spans="1:11" ht="64" x14ac:dyDescent="0.2">
      <c r="A180" s="4" t="s">
        <v>3342</v>
      </c>
      <c r="B180">
        <v>49783</v>
      </c>
      <c r="C180">
        <v>2.2200000000000002</v>
      </c>
      <c r="D180">
        <f t="shared" si="12"/>
        <v>33412.161896719772</v>
      </c>
      <c r="E180">
        <f t="shared" si="13"/>
        <v>33.412161896719773</v>
      </c>
      <c r="F180" s="7">
        <v>0.21749696233292831</v>
      </c>
      <c r="G180">
        <f t="shared" si="14"/>
        <v>2</v>
      </c>
      <c r="H180" s="7">
        <f t="shared" si="15"/>
        <v>0.78250303766707163</v>
      </c>
      <c r="I180">
        <f t="shared" si="16"/>
        <v>4</v>
      </c>
      <c r="J180">
        <f>VLOOKUP(A180,'Housing Cost Calc'!$A$2:$C$827,3,FALSE)</f>
        <v>999</v>
      </c>
      <c r="K180">
        <f t="shared" si="17"/>
        <v>0.35879150942270865</v>
      </c>
    </row>
    <row r="181" spans="1:11" ht="64" x14ac:dyDescent="0.2">
      <c r="A181" s="4" t="s">
        <v>3362</v>
      </c>
      <c r="B181">
        <v>51426</v>
      </c>
      <c r="C181">
        <v>2.33</v>
      </c>
      <c r="D181">
        <f t="shared" si="12"/>
        <v>33690.292765267593</v>
      </c>
      <c r="E181">
        <f t="shared" si="13"/>
        <v>33.690292765267593</v>
      </c>
      <c r="F181" s="7">
        <v>0.2187120291616039</v>
      </c>
      <c r="G181">
        <f t="shared" si="14"/>
        <v>2</v>
      </c>
      <c r="H181" s="7">
        <f t="shared" si="15"/>
        <v>0.78128797083839607</v>
      </c>
      <c r="I181">
        <f t="shared" si="16"/>
        <v>4</v>
      </c>
      <c r="J181">
        <f>VLOOKUP(A181,'Housing Cost Calc'!$A$2:$C$827,3,FALSE)</f>
        <v>1264</v>
      </c>
      <c r="K181">
        <f t="shared" si="17"/>
        <v>0.45021870559810567</v>
      </c>
    </row>
    <row r="182" spans="1:11" ht="48" x14ac:dyDescent="0.2">
      <c r="A182" s="4" t="s">
        <v>3416</v>
      </c>
      <c r="B182">
        <v>54908</v>
      </c>
      <c r="C182">
        <v>2.64</v>
      </c>
      <c r="D182">
        <f t="shared" si="12"/>
        <v>33793.53793346601</v>
      </c>
      <c r="E182">
        <f t="shared" si="13"/>
        <v>33.793537933466013</v>
      </c>
      <c r="F182" s="7">
        <v>0.21992709599027946</v>
      </c>
      <c r="G182">
        <f t="shared" si="14"/>
        <v>2</v>
      </c>
      <c r="H182" s="7">
        <f t="shared" si="15"/>
        <v>0.78007290400972051</v>
      </c>
      <c r="I182">
        <f t="shared" si="16"/>
        <v>4</v>
      </c>
      <c r="J182">
        <f>VLOOKUP(A182,'Housing Cost Calc'!$A$2:$C$827,3,FALSE)</f>
        <v>1182</v>
      </c>
      <c r="K182">
        <f t="shared" si="17"/>
        <v>0.41972521574763771</v>
      </c>
    </row>
    <row r="183" spans="1:11" ht="48" x14ac:dyDescent="0.2">
      <c r="A183" s="4" t="s">
        <v>3408</v>
      </c>
      <c r="B183">
        <v>54167</v>
      </c>
      <c r="C183">
        <v>2.56</v>
      </c>
      <c r="D183">
        <f t="shared" si="12"/>
        <v>33854.375</v>
      </c>
      <c r="E183">
        <f t="shared" si="13"/>
        <v>33.854374999999997</v>
      </c>
      <c r="F183" s="7">
        <v>0.22114216281895505</v>
      </c>
      <c r="G183">
        <f t="shared" si="14"/>
        <v>2</v>
      </c>
      <c r="H183" s="7">
        <f t="shared" si="15"/>
        <v>0.77885783718104495</v>
      </c>
      <c r="I183">
        <f t="shared" si="16"/>
        <v>4</v>
      </c>
      <c r="J183">
        <f>VLOOKUP(A183,'Housing Cost Calc'!$A$2:$C$827,3,FALSE)</f>
        <v>1373</v>
      </c>
      <c r="K183">
        <f t="shared" si="17"/>
        <v>0.48667269739878521</v>
      </c>
    </row>
    <row r="184" spans="1:11" ht="48" x14ac:dyDescent="0.2">
      <c r="A184" s="4" t="s">
        <v>3410</v>
      </c>
      <c r="B184">
        <v>54216</v>
      </c>
      <c r="C184">
        <v>2.5499999999999998</v>
      </c>
      <c r="D184">
        <f t="shared" si="12"/>
        <v>33951.376165472466</v>
      </c>
      <c r="E184">
        <f t="shared" si="13"/>
        <v>33.951376165472468</v>
      </c>
      <c r="F184" s="7">
        <v>0.22235722964763063</v>
      </c>
      <c r="G184">
        <f t="shared" si="14"/>
        <v>2</v>
      </c>
      <c r="H184" s="7">
        <f t="shared" si="15"/>
        <v>0.77764277035236939</v>
      </c>
      <c r="I184">
        <f t="shared" si="16"/>
        <v>4</v>
      </c>
      <c r="J184">
        <f>VLOOKUP(A184,'Housing Cost Calc'!$A$2:$C$827,3,FALSE)</f>
        <v>1492</v>
      </c>
      <c r="K184">
        <f t="shared" si="17"/>
        <v>0.52734239439189012</v>
      </c>
    </row>
    <row r="185" spans="1:11" ht="48" x14ac:dyDescent="0.2">
      <c r="A185" s="4" t="s">
        <v>3372</v>
      </c>
      <c r="B185">
        <v>52586</v>
      </c>
      <c r="C185">
        <v>2.38</v>
      </c>
      <c r="D185">
        <f t="shared" si="12"/>
        <v>34086.441006714122</v>
      </c>
      <c r="E185">
        <f t="shared" si="13"/>
        <v>34.086441006714125</v>
      </c>
      <c r="F185" s="7">
        <v>0.22357229647630619</v>
      </c>
      <c r="G185">
        <f t="shared" si="14"/>
        <v>2</v>
      </c>
      <c r="H185" s="7">
        <f t="shared" si="15"/>
        <v>0.77642770352369384</v>
      </c>
      <c r="I185">
        <f t="shared" si="16"/>
        <v>4</v>
      </c>
      <c r="J185">
        <f>VLOOKUP(A185,'Housing Cost Calc'!$A$2:$C$827,3,FALSE)</f>
        <v>1151</v>
      </c>
      <c r="K185">
        <f t="shared" si="17"/>
        <v>0.4052051077224344</v>
      </c>
    </row>
    <row r="186" spans="1:11" ht="64" x14ac:dyDescent="0.2">
      <c r="A186" s="4" t="s">
        <v>3370</v>
      </c>
      <c r="B186">
        <v>52377</v>
      </c>
      <c r="C186">
        <v>2.36</v>
      </c>
      <c r="D186">
        <f t="shared" si="12"/>
        <v>34094.522952213054</v>
      </c>
      <c r="E186">
        <f t="shared" si="13"/>
        <v>34.094522952213055</v>
      </c>
      <c r="F186" s="7">
        <v>0.22478736330498178</v>
      </c>
      <c r="G186">
        <f t="shared" si="14"/>
        <v>2</v>
      </c>
      <c r="H186" s="7">
        <f t="shared" si="15"/>
        <v>0.77521263669501828</v>
      </c>
      <c r="I186">
        <f t="shared" si="16"/>
        <v>4</v>
      </c>
      <c r="J186">
        <f>VLOOKUP(A186,'Housing Cost Calc'!$A$2:$C$827,3,FALSE)</f>
        <v>1109</v>
      </c>
      <c r="K186">
        <f t="shared" si="17"/>
        <v>0.39032662280251046</v>
      </c>
    </row>
    <row r="187" spans="1:11" ht="48" x14ac:dyDescent="0.2">
      <c r="A187" s="4" t="s">
        <v>3275</v>
      </c>
      <c r="B187">
        <v>45481</v>
      </c>
      <c r="C187">
        <v>1.77</v>
      </c>
      <c r="D187">
        <f t="shared" si="12"/>
        <v>34185.612999596655</v>
      </c>
      <c r="E187">
        <f t="shared" si="13"/>
        <v>34.185612999596657</v>
      </c>
      <c r="F187" s="7">
        <v>0.22600243013365734</v>
      </c>
      <c r="G187">
        <f t="shared" si="14"/>
        <v>2</v>
      </c>
      <c r="H187" s="7">
        <f t="shared" si="15"/>
        <v>0.77399756986634261</v>
      </c>
      <c r="I187">
        <f t="shared" si="16"/>
        <v>4</v>
      </c>
      <c r="J187">
        <f>VLOOKUP(A187,'Housing Cost Calc'!$A$2:$C$827,3,FALSE)</f>
        <v>1051</v>
      </c>
      <c r="K187">
        <f t="shared" si="17"/>
        <v>0.36892712733127836</v>
      </c>
    </row>
    <row r="188" spans="1:11" ht="48" x14ac:dyDescent="0.2">
      <c r="A188" s="4" t="s">
        <v>3402</v>
      </c>
      <c r="B188">
        <v>53857</v>
      </c>
      <c r="C188">
        <v>2.48</v>
      </c>
      <c r="D188">
        <f t="shared" si="12"/>
        <v>34199.2291992463</v>
      </c>
      <c r="E188">
        <f t="shared" si="13"/>
        <v>34.199229199246297</v>
      </c>
      <c r="F188" s="7">
        <v>0.22721749696233293</v>
      </c>
      <c r="G188">
        <f t="shared" si="14"/>
        <v>2</v>
      </c>
      <c r="H188" s="7">
        <f t="shared" si="15"/>
        <v>0.77278250303766705</v>
      </c>
      <c r="I188">
        <f t="shared" si="16"/>
        <v>4</v>
      </c>
      <c r="J188">
        <f>VLOOKUP(A188,'Housing Cost Calc'!$A$2:$C$827,3,FALSE)</f>
        <v>1156</v>
      </c>
      <c r="K188">
        <f t="shared" si="17"/>
        <v>0.40562317703656658</v>
      </c>
    </row>
    <row r="189" spans="1:11" ht="48" x14ac:dyDescent="0.2">
      <c r="A189" s="4" t="s">
        <v>3452</v>
      </c>
      <c r="B189">
        <v>57955</v>
      </c>
      <c r="C189">
        <v>2.87</v>
      </c>
      <c r="D189">
        <f t="shared" si="12"/>
        <v>34209.754833730862</v>
      </c>
      <c r="E189">
        <f t="shared" si="13"/>
        <v>34.209754833730862</v>
      </c>
      <c r="F189" s="7">
        <v>0.22843256379100851</v>
      </c>
      <c r="G189">
        <f t="shared" si="14"/>
        <v>2</v>
      </c>
      <c r="H189" s="7">
        <f t="shared" si="15"/>
        <v>0.77156743620899149</v>
      </c>
      <c r="I189">
        <f t="shared" si="16"/>
        <v>4</v>
      </c>
      <c r="J189">
        <f>VLOOKUP(A189,'Housing Cost Calc'!$A$2:$C$827,3,FALSE)</f>
        <v>1260</v>
      </c>
      <c r="K189">
        <f t="shared" si="17"/>
        <v>0.44197919784831841</v>
      </c>
    </row>
    <row r="190" spans="1:11" ht="48" x14ac:dyDescent="0.2">
      <c r="A190" s="4" t="s">
        <v>3404</v>
      </c>
      <c r="B190">
        <v>53904</v>
      </c>
      <c r="C190">
        <v>2.48</v>
      </c>
      <c r="D190">
        <f t="shared" si="12"/>
        <v>34229.07422909134</v>
      </c>
      <c r="E190">
        <f t="shared" si="13"/>
        <v>34.229074229091339</v>
      </c>
      <c r="F190" s="7">
        <v>0.22964763061968407</v>
      </c>
      <c r="G190">
        <f t="shared" si="14"/>
        <v>2</v>
      </c>
      <c r="H190" s="7">
        <f t="shared" si="15"/>
        <v>0.77035236938031593</v>
      </c>
      <c r="I190">
        <f t="shared" si="16"/>
        <v>4</v>
      </c>
      <c r="J190">
        <f>VLOOKUP(A190,'Housing Cost Calc'!$A$2:$C$827,3,FALSE)</f>
        <v>1120</v>
      </c>
      <c r="K190">
        <f t="shared" si="17"/>
        <v>0.39264865622854983</v>
      </c>
    </row>
    <row r="191" spans="1:11" ht="64" x14ac:dyDescent="0.2">
      <c r="A191" s="4" t="s">
        <v>3418</v>
      </c>
      <c r="B191">
        <v>55399</v>
      </c>
      <c r="C191">
        <v>2.61</v>
      </c>
      <c r="D191">
        <f t="shared" si="12"/>
        <v>34291.120132234988</v>
      </c>
      <c r="E191">
        <f t="shared" si="13"/>
        <v>34.291120132234987</v>
      </c>
      <c r="F191" s="7">
        <v>0.23086269744835966</v>
      </c>
      <c r="G191">
        <f t="shared" si="14"/>
        <v>2</v>
      </c>
      <c r="H191" s="7">
        <f t="shared" si="15"/>
        <v>0.76913730255164037</v>
      </c>
      <c r="I191">
        <f t="shared" si="16"/>
        <v>4</v>
      </c>
      <c r="J191">
        <f>VLOOKUP(A191,'Housing Cost Calc'!$A$2:$C$827,3,FALSE)</f>
        <v>1198</v>
      </c>
      <c r="K191">
        <f t="shared" si="17"/>
        <v>0.41923389917164006</v>
      </c>
    </row>
    <row r="192" spans="1:11" ht="48" x14ac:dyDescent="0.2">
      <c r="A192" s="4" t="s">
        <v>3386</v>
      </c>
      <c r="B192">
        <v>53138</v>
      </c>
      <c r="C192">
        <v>2.4</v>
      </c>
      <c r="D192">
        <f t="shared" si="12"/>
        <v>34300.431508461617</v>
      </c>
      <c r="E192">
        <f t="shared" si="13"/>
        <v>34.300431508461614</v>
      </c>
      <c r="F192" s="7">
        <v>0.23207776427703525</v>
      </c>
      <c r="G192">
        <f t="shared" si="14"/>
        <v>2</v>
      </c>
      <c r="H192" s="7">
        <f t="shared" si="15"/>
        <v>0.7679222357229647</v>
      </c>
      <c r="I192">
        <f t="shared" si="16"/>
        <v>4</v>
      </c>
      <c r="J192">
        <f>VLOOKUP(A192,'Housing Cost Calc'!$A$2:$C$827,3,FALSE)</f>
        <v>1128</v>
      </c>
      <c r="K192">
        <f t="shared" si="17"/>
        <v>0.39463060389373783</v>
      </c>
    </row>
    <row r="193" spans="1:11" ht="64" x14ac:dyDescent="0.2">
      <c r="A193" s="4" t="s">
        <v>3422</v>
      </c>
      <c r="B193">
        <v>55982</v>
      </c>
      <c r="C193">
        <v>2.64</v>
      </c>
      <c r="D193">
        <f t="shared" si="12"/>
        <v>34454.539240025028</v>
      </c>
      <c r="E193">
        <f t="shared" si="13"/>
        <v>34.454539240025028</v>
      </c>
      <c r="F193" s="7">
        <v>0.23329283110571081</v>
      </c>
      <c r="G193">
        <f t="shared" si="14"/>
        <v>2</v>
      </c>
      <c r="H193" s="7">
        <f t="shared" si="15"/>
        <v>0.76670716889428925</v>
      </c>
      <c r="I193">
        <f t="shared" si="16"/>
        <v>4</v>
      </c>
      <c r="J193">
        <f>VLOOKUP(A193,'Housing Cost Calc'!$A$2:$C$827,3,FALSE)</f>
        <v>1617</v>
      </c>
      <c r="K193">
        <f t="shared" si="17"/>
        <v>0.56317688258210197</v>
      </c>
    </row>
    <row r="194" spans="1:11" ht="48" x14ac:dyDescent="0.2">
      <c r="A194" s="4" t="s">
        <v>3406</v>
      </c>
      <c r="B194">
        <v>54038</v>
      </c>
      <c r="C194">
        <v>2.42</v>
      </c>
      <c r="D194">
        <f t="shared" ref="D194:D257" si="18">(B194/(C194)^0.5)</f>
        <v>34736.942037962413</v>
      </c>
      <c r="E194">
        <f t="shared" ref="E194:E257" si="19">D194/1000</f>
        <v>34.736942037962415</v>
      </c>
      <c r="F194" s="7">
        <v>0.23450789793438639</v>
      </c>
      <c r="G194">
        <f t="shared" si="14"/>
        <v>2</v>
      </c>
      <c r="H194" s="7">
        <f t="shared" si="15"/>
        <v>0.76549210206561358</v>
      </c>
      <c r="I194">
        <f t="shared" si="16"/>
        <v>4</v>
      </c>
      <c r="J194">
        <f>VLOOKUP(A194,'Housing Cost Calc'!$A$2:$C$827,3,FALSE)</f>
        <v>1575</v>
      </c>
      <c r="K194">
        <f t="shared" si="17"/>
        <v>0.54408934382724461</v>
      </c>
    </row>
    <row r="195" spans="1:11" ht="48" x14ac:dyDescent="0.2">
      <c r="A195" s="4" t="s">
        <v>3390</v>
      </c>
      <c r="B195">
        <v>53162</v>
      </c>
      <c r="C195">
        <v>2.2999999999999998</v>
      </c>
      <c r="D195">
        <f t="shared" si="18"/>
        <v>35053.984726666829</v>
      </c>
      <c r="E195">
        <f t="shared" si="19"/>
        <v>35.053984726666826</v>
      </c>
      <c r="F195" s="7">
        <v>0.23572296476306198</v>
      </c>
      <c r="G195">
        <f t="shared" ref="G195:G258" si="20">IF(F195&lt;0.2,1,IF(F195&lt;0.4,2,IF(F195&lt;0.6,3,IF(F195&lt;0.8,4,5))))</f>
        <v>2</v>
      </c>
      <c r="H195" s="7">
        <f t="shared" ref="H195:H258" si="21">1-F195</f>
        <v>0.76427703523693802</v>
      </c>
      <c r="I195">
        <f t="shared" ref="I195:I258" si="22">6-G195</f>
        <v>4</v>
      </c>
      <c r="J195">
        <f>VLOOKUP(A195,'Housing Cost Calc'!$A$2:$C$827,3,FALSE)</f>
        <v>1289</v>
      </c>
      <c r="K195">
        <f t="shared" ref="K195:K258" si="23">(J195*12)/D195</f>
        <v>0.44126224509457651</v>
      </c>
    </row>
    <row r="196" spans="1:11" ht="64" x14ac:dyDescent="0.2">
      <c r="A196" s="4" t="s">
        <v>3333</v>
      </c>
      <c r="B196">
        <v>49375</v>
      </c>
      <c r="C196">
        <v>1.97</v>
      </c>
      <c r="D196">
        <f t="shared" si="18"/>
        <v>35178.230931530386</v>
      </c>
      <c r="E196">
        <f t="shared" si="19"/>
        <v>35.178230931530386</v>
      </c>
      <c r="F196" s="7">
        <v>0.23693803159173754</v>
      </c>
      <c r="G196">
        <f t="shared" si="20"/>
        <v>2</v>
      </c>
      <c r="H196" s="7">
        <f t="shared" si="21"/>
        <v>0.76306196840826246</v>
      </c>
      <c r="I196">
        <f t="shared" si="22"/>
        <v>4</v>
      </c>
      <c r="J196">
        <f>VLOOKUP(A196,'Housing Cost Calc'!$A$2:$C$827,3,FALSE)</f>
        <v>1510</v>
      </c>
      <c r="K196">
        <f t="shared" si="23"/>
        <v>0.51509128003816051</v>
      </c>
    </row>
    <row r="197" spans="1:11" ht="48" x14ac:dyDescent="0.2">
      <c r="A197" s="4" t="s">
        <v>3485</v>
      </c>
      <c r="B197">
        <v>60725</v>
      </c>
      <c r="C197">
        <v>2.96</v>
      </c>
      <c r="D197">
        <f t="shared" si="18"/>
        <v>35295.689313592127</v>
      </c>
      <c r="E197">
        <f t="shared" si="19"/>
        <v>35.295689313592128</v>
      </c>
      <c r="F197" s="7">
        <v>0.23815309842041313</v>
      </c>
      <c r="G197">
        <f t="shared" si="20"/>
        <v>2</v>
      </c>
      <c r="H197" s="7">
        <f t="shared" si="21"/>
        <v>0.7618469015795869</v>
      </c>
      <c r="I197">
        <f t="shared" si="22"/>
        <v>4</v>
      </c>
      <c r="J197">
        <f>VLOOKUP(A197,'Housing Cost Calc'!$A$2:$C$827,3,FALSE)</f>
        <v>1634</v>
      </c>
      <c r="K197">
        <f t="shared" si="23"/>
        <v>0.55553526170826462</v>
      </c>
    </row>
    <row r="198" spans="1:11" ht="48" x14ac:dyDescent="0.2">
      <c r="A198" s="4" t="s">
        <v>3536</v>
      </c>
      <c r="B198">
        <v>63618</v>
      </c>
      <c r="C198">
        <v>3.23</v>
      </c>
      <c r="D198">
        <f t="shared" si="18"/>
        <v>35398.002095061544</v>
      </c>
      <c r="E198">
        <f t="shared" si="19"/>
        <v>35.398002095061543</v>
      </c>
      <c r="F198" s="7">
        <v>0.23936816524908869</v>
      </c>
      <c r="G198">
        <f t="shared" si="20"/>
        <v>2</v>
      </c>
      <c r="H198" s="7">
        <f t="shared" si="21"/>
        <v>0.76063183475091134</v>
      </c>
      <c r="I198">
        <f t="shared" si="22"/>
        <v>4</v>
      </c>
      <c r="J198">
        <f>VLOOKUP(A198,'Housing Cost Calc'!$A$2:$C$827,3,FALSE)</f>
        <v>1641</v>
      </c>
      <c r="K198">
        <f t="shared" si="23"/>
        <v>0.55630258304174962</v>
      </c>
    </row>
    <row r="199" spans="1:11" ht="48" x14ac:dyDescent="0.2">
      <c r="A199" s="4" t="s">
        <v>3444</v>
      </c>
      <c r="B199">
        <v>57587</v>
      </c>
      <c r="C199">
        <v>2.62</v>
      </c>
      <c r="D199">
        <f t="shared" si="18"/>
        <v>35577.367414374618</v>
      </c>
      <c r="E199">
        <f t="shared" si="19"/>
        <v>35.577367414374621</v>
      </c>
      <c r="F199" s="7">
        <v>0.24058323207776428</v>
      </c>
      <c r="G199">
        <f t="shared" si="20"/>
        <v>2</v>
      </c>
      <c r="H199" s="7">
        <f t="shared" si="21"/>
        <v>0.75941676792223567</v>
      </c>
      <c r="I199">
        <f t="shared" si="22"/>
        <v>4</v>
      </c>
      <c r="J199">
        <f>VLOOKUP(A199,'Housing Cost Calc'!$A$2:$C$827,3,FALSE)</f>
        <v>1181</v>
      </c>
      <c r="K199">
        <f t="shared" si="23"/>
        <v>0.39834313300747404</v>
      </c>
    </row>
    <row r="200" spans="1:11" ht="48" x14ac:dyDescent="0.2">
      <c r="A200" s="4" t="s">
        <v>3394</v>
      </c>
      <c r="B200">
        <v>53333</v>
      </c>
      <c r="C200">
        <v>2.2400000000000002</v>
      </c>
      <c r="D200">
        <f t="shared" si="18"/>
        <v>35634.609537288321</v>
      </c>
      <c r="E200">
        <f t="shared" si="19"/>
        <v>35.63460953728832</v>
      </c>
      <c r="F200" s="7">
        <v>0.24179829890643986</v>
      </c>
      <c r="G200">
        <f t="shared" si="20"/>
        <v>2</v>
      </c>
      <c r="H200" s="7">
        <f t="shared" si="21"/>
        <v>0.75820170109356011</v>
      </c>
      <c r="I200">
        <f t="shared" si="22"/>
        <v>4</v>
      </c>
      <c r="J200">
        <f>VLOOKUP(A200,'Housing Cost Calc'!$A$2:$C$827,3,FALSE)</f>
        <v>1127</v>
      </c>
      <c r="K200">
        <f t="shared" si="23"/>
        <v>0.37951868073223549</v>
      </c>
    </row>
    <row r="201" spans="1:11" ht="64" x14ac:dyDescent="0.2">
      <c r="A201" s="4" t="s">
        <v>3348</v>
      </c>
      <c r="B201">
        <v>50561</v>
      </c>
      <c r="C201">
        <v>2</v>
      </c>
      <c r="D201">
        <f t="shared" si="18"/>
        <v>35752.025963573025</v>
      </c>
      <c r="E201">
        <f t="shared" si="19"/>
        <v>35.752025963573026</v>
      </c>
      <c r="F201" s="7">
        <v>0.24301336573511542</v>
      </c>
      <c r="G201">
        <f t="shared" si="20"/>
        <v>2</v>
      </c>
      <c r="H201" s="7">
        <f t="shared" si="21"/>
        <v>0.75698663426488455</v>
      </c>
      <c r="I201">
        <f t="shared" si="22"/>
        <v>4</v>
      </c>
      <c r="J201">
        <f>VLOOKUP(A201,'Housing Cost Calc'!$A$2:$C$827,3,FALSE)</f>
        <v>1058</v>
      </c>
      <c r="K201">
        <f t="shared" si="23"/>
        <v>0.35511274278374272</v>
      </c>
    </row>
    <row r="202" spans="1:11" ht="48" x14ac:dyDescent="0.2">
      <c r="A202" s="4" t="s">
        <v>3388</v>
      </c>
      <c r="B202">
        <v>53147</v>
      </c>
      <c r="C202">
        <v>2.2000000000000002</v>
      </c>
      <c r="D202">
        <f t="shared" si="18"/>
        <v>35831.700090333929</v>
      </c>
      <c r="E202">
        <f t="shared" si="19"/>
        <v>35.831700090333932</v>
      </c>
      <c r="F202" s="7">
        <v>0.24422843256379101</v>
      </c>
      <c r="G202">
        <f t="shared" si="20"/>
        <v>2</v>
      </c>
      <c r="H202" s="7">
        <f t="shared" si="21"/>
        <v>0.75577156743620899</v>
      </c>
      <c r="I202">
        <f t="shared" si="22"/>
        <v>4</v>
      </c>
      <c r="J202">
        <f>VLOOKUP(A202,'Housing Cost Calc'!$A$2:$C$827,3,FALSE)</f>
        <v>1138</v>
      </c>
      <c r="K202">
        <f t="shared" si="23"/>
        <v>0.38111504521338313</v>
      </c>
    </row>
    <row r="203" spans="1:11" ht="48" x14ac:dyDescent="0.2">
      <c r="A203" s="4" t="s">
        <v>3430</v>
      </c>
      <c r="B203">
        <v>56438</v>
      </c>
      <c r="C203">
        <v>2.48</v>
      </c>
      <c r="D203">
        <f t="shared" si="18"/>
        <v>35838.165838183755</v>
      </c>
      <c r="E203">
        <f t="shared" si="19"/>
        <v>35.838165838183755</v>
      </c>
      <c r="F203" s="7">
        <v>0.2454434993924666</v>
      </c>
      <c r="G203">
        <f t="shared" si="20"/>
        <v>2</v>
      </c>
      <c r="H203" s="7">
        <f t="shared" si="21"/>
        <v>0.75455650060753343</v>
      </c>
      <c r="I203">
        <f t="shared" si="22"/>
        <v>4</v>
      </c>
      <c r="J203">
        <f>VLOOKUP(A203,'Housing Cost Calc'!$A$2:$C$827,3,FALSE)</f>
        <v>1270</v>
      </c>
      <c r="K203">
        <f t="shared" si="23"/>
        <v>0.42524497678847589</v>
      </c>
    </row>
    <row r="204" spans="1:11" ht="48" x14ac:dyDescent="0.2">
      <c r="A204" s="4" t="s">
        <v>3392</v>
      </c>
      <c r="B204">
        <v>53237</v>
      </c>
      <c r="C204">
        <v>2.2000000000000002</v>
      </c>
      <c r="D204">
        <f t="shared" si="18"/>
        <v>35892.378077955618</v>
      </c>
      <c r="E204">
        <f t="shared" si="19"/>
        <v>35.89237807795562</v>
      </c>
      <c r="F204" s="7">
        <v>0.24665856622114216</v>
      </c>
      <c r="G204">
        <f t="shared" si="20"/>
        <v>2</v>
      </c>
      <c r="H204" s="7">
        <f t="shared" si="21"/>
        <v>0.75334143377885787</v>
      </c>
      <c r="I204">
        <f t="shared" si="22"/>
        <v>4</v>
      </c>
      <c r="J204">
        <f>VLOOKUP(A204,'Housing Cost Calc'!$A$2:$C$827,3,FALSE)</f>
        <v>1201</v>
      </c>
      <c r="K204">
        <f t="shared" si="23"/>
        <v>0.40153371751234179</v>
      </c>
    </row>
    <row r="205" spans="1:11" ht="64" x14ac:dyDescent="0.2">
      <c r="A205" s="4" t="s">
        <v>3479</v>
      </c>
      <c r="B205">
        <v>59771</v>
      </c>
      <c r="C205">
        <v>2.77</v>
      </c>
      <c r="D205">
        <f t="shared" si="18"/>
        <v>35912.9133226657</v>
      </c>
      <c r="E205">
        <f t="shared" si="19"/>
        <v>35.912913322665702</v>
      </c>
      <c r="F205" s="7">
        <v>0.24787363304981774</v>
      </c>
      <c r="G205">
        <f t="shared" si="20"/>
        <v>2</v>
      </c>
      <c r="H205" s="7">
        <f t="shared" si="21"/>
        <v>0.75212636695018231</v>
      </c>
      <c r="I205">
        <f t="shared" si="22"/>
        <v>4</v>
      </c>
      <c r="J205">
        <f>VLOOKUP(A205,'Housing Cost Calc'!$A$2:$C$827,3,FALSE)</f>
        <v>1209</v>
      </c>
      <c r="K205">
        <f t="shared" si="23"/>
        <v>0.40397725101415188</v>
      </c>
    </row>
    <row r="206" spans="1:11" ht="48" x14ac:dyDescent="0.2">
      <c r="A206" s="4" t="s">
        <v>3454</v>
      </c>
      <c r="B206">
        <v>58000</v>
      </c>
      <c r="C206">
        <v>2.59</v>
      </c>
      <c r="D206">
        <f t="shared" si="18"/>
        <v>36039.446428069605</v>
      </c>
      <c r="E206">
        <f t="shared" si="19"/>
        <v>36.039446428069603</v>
      </c>
      <c r="F206" s="7">
        <v>0.24908869987849333</v>
      </c>
      <c r="G206">
        <f t="shared" si="20"/>
        <v>2</v>
      </c>
      <c r="H206" s="7">
        <f t="shared" si="21"/>
        <v>0.75091130012150664</v>
      </c>
      <c r="I206">
        <f t="shared" si="22"/>
        <v>4</v>
      </c>
      <c r="J206">
        <f>VLOOKUP(A206,'Housing Cost Calc'!$A$2:$C$827,3,FALSE)</f>
        <v>964</v>
      </c>
      <c r="K206">
        <f t="shared" si="23"/>
        <v>0.32098162281954956</v>
      </c>
    </row>
    <row r="207" spans="1:11" ht="48" x14ac:dyDescent="0.2">
      <c r="A207" s="4" t="s">
        <v>3382</v>
      </c>
      <c r="B207">
        <v>52932</v>
      </c>
      <c r="C207">
        <v>2.15</v>
      </c>
      <c r="D207">
        <f t="shared" si="18"/>
        <v>36099.324376851102</v>
      </c>
      <c r="E207">
        <f t="shared" si="19"/>
        <v>36.099324376851101</v>
      </c>
      <c r="F207" s="7">
        <v>0.25030376670716892</v>
      </c>
      <c r="G207">
        <f t="shared" si="20"/>
        <v>2</v>
      </c>
      <c r="H207" s="7">
        <f t="shared" si="21"/>
        <v>0.74969623329283108</v>
      </c>
      <c r="I207">
        <f t="shared" si="22"/>
        <v>4</v>
      </c>
      <c r="J207">
        <f>VLOOKUP(A207,'Housing Cost Calc'!$A$2:$C$827,3,FALSE)</f>
        <v>1268</v>
      </c>
      <c r="K207">
        <f t="shared" si="23"/>
        <v>0.42150373345373043</v>
      </c>
    </row>
    <row r="208" spans="1:11" ht="48" x14ac:dyDescent="0.2">
      <c r="A208" s="4" t="s">
        <v>3481</v>
      </c>
      <c r="B208">
        <v>59914</v>
      </c>
      <c r="C208">
        <v>2.74</v>
      </c>
      <c r="D208">
        <f t="shared" si="18"/>
        <v>36195.371099784221</v>
      </c>
      <c r="E208">
        <f t="shared" si="19"/>
        <v>36.195371099784218</v>
      </c>
      <c r="F208" s="7">
        <v>0.25151883353584448</v>
      </c>
      <c r="G208">
        <f t="shared" si="20"/>
        <v>2</v>
      </c>
      <c r="H208" s="7">
        <f t="shared" si="21"/>
        <v>0.74848116646415552</v>
      </c>
      <c r="I208">
        <f t="shared" si="22"/>
        <v>4</v>
      </c>
      <c r="J208">
        <f>VLOOKUP(A208,'Housing Cost Calc'!$A$2:$C$827,3,FALSE)</f>
        <v>1260</v>
      </c>
      <c r="K208">
        <f t="shared" si="23"/>
        <v>0.41773297359811123</v>
      </c>
    </row>
    <row r="209" spans="1:11" ht="64" x14ac:dyDescent="0.2">
      <c r="A209" s="4" t="s">
        <v>3448</v>
      </c>
      <c r="B209">
        <v>57917</v>
      </c>
      <c r="C209">
        <v>2.56</v>
      </c>
      <c r="D209">
        <f t="shared" si="18"/>
        <v>36198.125</v>
      </c>
      <c r="E209">
        <f t="shared" si="19"/>
        <v>36.198124999999997</v>
      </c>
      <c r="F209" s="7">
        <v>0.25273390036452004</v>
      </c>
      <c r="G209">
        <f t="shared" si="20"/>
        <v>2</v>
      </c>
      <c r="H209" s="7">
        <f t="shared" si="21"/>
        <v>0.74726609963547996</v>
      </c>
      <c r="I209">
        <f t="shared" si="22"/>
        <v>4</v>
      </c>
      <c r="J209">
        <f>VLOOKUP(A209,'Housing Cost Calc'!$A$2:$C$827,3,FALSE)</f>
        <v>1032</v>
      </c>
      <c r="K209">
        <f t="shared" si="23"/>
        <v>0.34211716767097744</v>
      </c>
    </row>
    <row r="210" spans="1:11" ht="48" x14ac:dyDescent="0.2">
      <c r="A210" s="4" t="s">
        <v>3554</v>
      </c>
      <c r="B210">
        <v>64662</v>
      </c>
      <c r="C210">
        <v>3.17</v>
      </c>
      <c r="D210">
        <f t="shared" si="18"/>
        <v>36317.797446382494</v>
      </c>
      <c r="E210">
        <f t="shared" si="19"/>
        <v>36.317797446382492</v>
      </c>
      <c r="F210" s="7">
        <v>0.25394896719319565</v>
      </c>
      <c r="G210">
        <f t="shared" si="20"/>
        <v>2</v>
      </c>
      <c r="H210" s="7">
        <f t="shared" si="21"/>
        <v>0.7460510328068044</v>
      </c>
      <c r="I210">
        <f t="shared" si="22"/>
        <v>4</v>
      </c>
      <c r="J210">
        <f>VLOOKUP(A210,'Housing Cost Calc'!$A$2:$C$827,3,FALSE)</f>
        <v>1594</v>
      </c>
      <c r="K210">
        <f t="shared" si="23"/>
        <v>0.52668392206987436</v>
      </c>
    </row>
    <row r="211" spans="1:11" ht="48" x14ac:dyDescent="0.2">
      <c r="A211" s="4" t="s">
        <v>3414</v>
      </c>
      <c r="B211">
        <v>54482</v>
      </c>
      <c r="C211">
        <v>2.25</v>
      </c>
      <c r="D211">
        <f t="shared" si="18"/>
        <v>36321.333333333336</v>
      </c>
      <c r="E211">
        <f t="shared" si="19"/>
        <v>36.321333333333335</v>
      </c>
      <c r="F211" s="7">
        <v>0.25516403402187121</v>
      </c>
      <c r="G211">
        <f t="shared" si="20"/>
        <v>2</v>
      </c>
      <c r="H211" s="7">
        <f t="shared" si="21"/>
        <v>0.74483596597812873</v>
      </c>
      <c r="I211">
        <f t="shared" si="22"/>
        <v>4</v>
      </c>
      <c r="J211">
        <f>VLOOKUP(A211,'Housing Cost Calc'!$A$2:$C$827,3,FALSE)</f>
        <v>1230</v>
      </c>
      <c r="K211">
        <f t="shared" si="23"/>
        <v>0.40637274696229947</v>
      </c>
    </row>
    <row r="212" spans="1:11" ht="64" x14ac:dyDescent="0.2">
      <c r="A212" s="4" t="s">
        <v>3432</v>
      </c>
      <c r="B212">
        <v>56714</v>
      </c>
      <c r="C212">
        <v>2.42</v>
      </c>
      <c r="D212">
        <f t="shared" si="18"/>
        <v>36457.139989285322</v>
      </c>
      <c r="E212">
        <f t="shared" si="19"/>
        <v>36.457139989285324</v>
      </c>
      <c r="F212" s="7">
        <v>0.25637910085054677</v>
      </c>
      <c r="G212">
        <f t="shared" si="20"/>
        <v>2</v>
      </c>
      <c r="H212" s="7">
        <f t="shared" si="21"/>
        <v>0.74362089914945328</v>
      </c>
      <c r="I212">
        <f t="shared" si="22"/>
        <v>4</v>
      </c>
      <c r="J212">
        <f>VLOOKUP(A212,'Housing Cost Calc'!$A$2:$C$827,3,FALSE)</f>
        <v>1007</v>
      </c>
      <c r="K212">
        <f t="shared" si="23"/>
        <v>0.33145770632450772</v>
      </c>
    </row>
    <row r="213" spans="1:11" ht="48" x14ac:dyDescent="0.2">
      <c r="A213" s="4" t="s">
        <v>3458</v>
      </c>
      <c r="B213">
        <v>58229</v>
      </c>
      <c r="C213">
        <v>2.54</v>
      </c>
      <c r="D213">
        <f t="shared" si="18"/>
        <v>36536.124077389839</v>
      </c>
      <c r="E213">
        <f t="shared" si="19"/>
        <v>36.536124077389836</v>
      </c>
      <c r="F213" s="7">
        <v>0.25759416767922233</v>
      </c>
      <c r="G213">
        <f t="shared" si="20"/>
        <v>2</v>
      </c>
      <c r="H213" s="7">
        <f t="shared" si="21"/>
        <v>0.74240583232077761</v>
      </c>
      <c r="I213">
        <f t="shared" si="22"/>
        <v>4</v>
      </c>
      <c r="J213">
        <f>VLOOKUP(A213,'Housing Cost Calc'!$A$2:$C$827,3,FALSE)</f>
        <v>1130</v>
      </c>
      <c r="K213">
        <f t="shared" si="23"/>
        <v>0.37113953224150353</v>
      </c>
    </row>
    <row r="214" spans="1:11" ht="48" x14ac:dyDescent="0.2">
      <c r="A214" s="4" t="s">
        <v>3490</v>
      </c>
      <c r="B214">
        <v>61196</v>
      </c>
      <c r="C214">
        <v>2.74</v>
      </c>
      <c r="D214">
        <f t="shared" si="18"/>
        <v>36969.855623433512</v>
      </c>
      <c r="E214">
        <f t="shared" si="19"/>
        <v>36.96985562343351</v>
      </c>
      <c r="F214" s="7">
        <v>0.25880923450789795</v>
      </c>
      <c r="G214">
        <f t="shared" si="20"/>
        <v>2</v>
      </c>
      <c r="H214" s="7">
        <f t="shared" si="21"/>
        <v>0.74119076549210205</v>
      </c>
      <c r="I214">
        <f t="shared" si="22"/>
        <v>4</v>
      </c>
      <c r="J214">
        <f>VLOOKUP(A214,'Housing Cost Calc'!$A$2:$C$827,3,FALSE)</f>
        <v>1454</v>
      </c>
      <c r="K214">
        <f t="shared" si="23"/>
        <v>0.47195207300026637</v>
      </c>
    </row>
    <row r="215" spans="1:11" ht="48" x14ac:dyDescent="0.2">
      <c r="A215" s="4" t="s">
        <v>3436</v>
      </c>
      <c r="B215">
        <v>57072</v>
      </c>
      <c r="C215">
        <v>2.35</v>
      </c>
      <c r="D215">
        <f t="shared" si="18"/>
        <v>37229.667785306054</v>
      </c>
      <c r="E215">
        <f t="shared" si="19"/>
        <v>37.229667785306056</v>
      </c>
      <c r="F215" s="7">
        <v>0.2600243013365735</v>
      </c>
      <c r="G215">
        <f t="shared" si="20"/>
        <v>2</v>
      </c>
      <c r="H215" s="7">
        <f t="shared" si="21"/>
        <v>0.7399756986634265</v>
      </c>
      <c r="I215">
        <f t="shared" si="22"/>
        <v>4</v>
      </c>
      <c r="J215">
        <f>VLOOKUP(A215,'Housing Cost Calc'!$A$2:$C$827,3,FALSE)</f>
        <v>1136</v>
      </c>
      <c r="K215">
        <f t="shared" si="23"/>
        <v>0.36615959289812222</v>
      </c>
    </row>
    <row r="216" spans="1:11" ht="48" x14ac:dyDescent="0.2">
      <c r="A216" s="4" t="s">
        <v>3456</v>
      </c>
      <c r="B216">
        <v>58029</v>
      </c>
      <c r="C216">
        <v>2.41</v>
      </c>
      <c r="D216">
        <f t="shared" si="18"/>
        <v>37379.764873413813</v>
      </c>
      <c r="E216">
        <f t="shared" si="19"/>
        <v>37.379764873413812</v>
      </c>
      <c r="F216" s="7">
        <v>0.26123936816524906</v>
      </c>
      <c r="G216">
        <f t="shared" si="20"/>
        <v>2</v>
      </c>
      <c r="H216" s="7">
        <f t="shared" si="21"/>
        <v>0.73876063183475094</v>
      </c>
      <c r="I216">
        <f t="shared" si="22"/>
        <v>4</v>
      </c>
      <c r="J216">
        <f>VLOOKUP(A216,'Housing Cost Calc'!$A$2:$C$827,3,FALSE)</f>
        <v>1201</v>
      </c>
      <c r="K216">
        <f t="shared" si="23"/>
        <v>0.38555619728497731</v>
      </c>
    </row>
    <row r="217" spans="1:11" ht="48" x14ac:dyDescent="0.2">
      <c r="A217" s="4" t="s">
        <v>3461</v>
      </c>
      <c r="B217">
        <v>58278</v>
      </c>
      <c r="C217">
        <v>2.4300000000000002</v>
      </c>
      <c r="D217">
        <f t="shared" si="18"/>
        <v>37385.354430925567</v>
      </c>
      <c r="E217">
        <f t="shared" si="19"/>
        <v>37.385354430925567</v>
      </c>
      <c r="F217" s="7">
        <v>0.26245443499392468</v>
      </c>
      <c r="G217">
        <f t="shared" si="20"/>
        <v>2</v>
      </c>
      <c r="H217" s="7">
        <f t="shared" si="21"/>
        <v>0.73754556500607538</v>
      </c>
      <c r="I217">
        <f t="shared" si="22"/>
        <v>4</v>
      </c>
      <c r="J217">
        <f>VLOOKUP(A217,'Housing Cost Calc'!$A$2:$C$827,3,FALSE)</f>
        <v>1191</v>
      </c>
      <c r="K217">
        <f t="shared" si="23"/>
        <v>0.38228873893402238</v>
      </c>
    </row>
    <row r="218" spans="1:11" ht="48" x14ac:dyDescent="0.2">
      <c r="A218" s="4" t="s">
        <v>3424</v>
      </c>
      <c r="B218">
        <v>56009</v>
      </c>
      <c r="C218">
        <v>2.2400000000000002</v>
      </c>
      <c r="D218">
        <f t="shared" si="18"/>
        <v>37422.587245682444</v>
      </c>
      <c r="E218">
        <f t="shared" si="19"/>
        <v>37.422587245682443</v>
      </c>
      <c r="F218" s="7">
        <v>0.26366950182260024</v>
      </c>
      <c r="G218">
        <f t="shared" si="20"/>
        <v>2</v>
      </c>
      <c r="H218" s="7">
        <f t="shared" si="21"/>
        <v>0.73633049817739971</v>
      </c>
      <c r="I218">
        <f t="shared" si="22"/>
        <v>4</v>
      </c>
      <c r="J218">
        <f>VLOOKUP(A218,'Housing Cost Calc'!$A$2:$C$827,3,FALSE)</f>
        <v>1463</v>
      </c>
      <c r="K218">
        <f t="shared" si="23"/>
        <v>0.46912844065920345</v>
      </c>
    </row>
    <row r="219" spans="1:11" ht="48" x14ac:dyDescent="0.2">
      <c r="A219" s="4" t="s">
        <v>3477</v>
      </c>
      <c r="B219">
        <v>59552</v>
      </c>
      <c r="C219">
        <v>2.4700000000000002</v>
      </c>
      <c r="D219">
        <f t="shared" si="18"/>
        <v>37892.030204733514</v>
      </c>
      <c r="E219">
        <f t="shared" si="19"/>
        <v>37.892030204733516</v>
      </c>
      <c r="F219" s="7">
        <v>0.2648845686512758</v>
      </c>
      <c r="G219">
        <f t="shared" si="20"/>
        <v>2</v>
      </c>
      <c r="H219" s="7">
        <f t="shared" si="21"/>
        <v>0.73511543134872426</v>
      </c>
      <c r="I219">
        <f t="shared" si="22"/>
        <v>4</v>
      </c>
      <c r="J219">
        <f>VLOOKUP(A219,'Housing Cost Calc'!$A$2:$C$827,3,FALSE)</f>
        <v>1164</v>
      </c>
      <c r="K219">
        <f t="shared" si="23"/>
        <v>0.36862632919191285</v>
      </c>
    </row>
    <row r="220" spans="1:11" ht="48" x14ac:dyDescent="0.2">
      <c r="A220" s="4" t="s">
        <v>3442</v>
      </c>
      <c r="B220">
        <v>57358</v>
      </c>
      <c r="C220">
        <v>2.2599999999999998</v>
      </c>
      <c r="D220">
        <f t="shared" si="18"/>
        <v>38153.974056226252</v>
      </c>
      <c r="E220">
        <f t="shared" si="19"/>
        <v>38.153974056226254</v>
      </c>
      <c r="F220" s="7">
        <v>0.26609963547995141</v>
      </c>
      <c r="G220">
        <f t="shared" si="20"/>
        <v>2</v>
      </c>
      <c r="H220" s="7">
        <f t="shared" si="21"/>
        <v>0.73390036452004859</v>
      </c>
      <c r="I220">
        <f t="shared" si="22"/>
        <v>4</v>
      </c>
      <c r="J220">
        <f>VLOOKUP(A220,'Housing Cost Calc'!$A$2:$C$827,3,FALSE)</f>
        <v>1120</v>
      </c>
      <c r="K220">
        <f t="shared" si="23"/>
        <v>0.35225688365237956</v>
      </c>
    </row>
    <row r="221" spans="1:11" ht="48" x14ac:dyDescent="0.2">
      <c r="A221" s="4" t="s">
        <v>3524</v>
      </c>
      <c r="B221">
        <v>63167</v>
      </c>
      <c r="C221">
        <v>2.74</v>
      </c>
      <c r="D221">
        <f t="shared" si="18"/>
        <v>38160.58026938729</v>
      </c>
      <c r="E221">
        <f t="shared" si="19"/>
        <v>38.160580269387289</v>
      </c>
      <c r="F221" s="7">
        <v>0.26731470230862697</v>
      </c>
      <c r="G221">
        <f t="shared" si="20"/>
        <v>2</v>
      </c>
      <c r="H221" s="7">
        <f t="shared" si="21"/>
        <v>0.73268529769137303</v>
      </c>
      <c r="I221">
        <f t="shared" si="22"/>
        <v>4</v>
      </c>
      <c r="J221">
        <f>VLOOKUP(A221,'Housing Cost Calc'!$A$2:$C$827,3,FALSE)</f>
        <v>1345</v>
      </c>
      <c r="K221">
        <f t="shared" si="23"/>
        <v>0.42294954337860613</v>
      </c>
    </row>
    <row r="222" spans="1:11" ht="48" x14ac:dyDescent="0.2">
      <c r="A222" s="4" t="s">
        <v>3631</v>
      </c>
      <c r="B222">
        <v>71225</v>
      </c>
      <c r="C222">
        <v>3.45</v>
      </c>
      <c r="D222">
        <f t="shared" si="18"/>
        <v>38346.250974092836</v>
      </c>
      <c r="E222">
        <f t="shared" si="19"/>
        <v>38.34625097409284</v>
      </c>
      <c r="F222" s="7">
        <v>0.26852976913730253</v>
      </c>
      <c r="G222">
        <f t="shared" si="20"/>
        <v>2</v>
      </c>
      <c r="H222" s="7">
        <f t="shared" si="21"/>
        <v>0.73147023086269747</v>
      </c>
      <c r="I222">
        <f t="shared" si="22"/>
        <v>4</v>
      </c>
      <c r="J222">
        <f>VLOOKUP(A222,'Housing Cost Calc'!$A$2:$C$827,3,FALSE)</f>
        <v>1380</v>
      </c>
      <c r="K222">
        <f t="shared" si="23"/>
        <v>0.43185447284502793</v>
      </c>
    </row>
    <row r="223" spans="1:11" ht="48" x14ac:dyDescent="0.2">
      <c r="A223" s="4" t="s">
        <v>3438</v>
      </c>
      <c r="B223">
        <v>57218</v>
      </c>
      <c r="C223">
        <v>2.21</v>
      </c>
      <c r="D223">
        <f t="shared" si="18"/>
        <v>38488.991926881004</v>
      </c>
      <c r="E223">
        <f t="shared" si="19"/>
        <v>38.488991926881006</v>
      </c>
      <c r="F223" s="7">
        <v>0.26974483596597815</v>
      </c>
      <c r="G223">
        <f t="shared" si="20"/>
        <v>2</v>
      </c>
      <c r="H223" s="7">
        <f t="shared" si="21"/>
        <v>0.7302551640340218</v>
      </c>
      <c r="I223">
        <f t="shared" si="22"/>
        <v>4</v>
      </c>
      <c r="J223">
        <f>VLOOKUP(A223,'Housing Cost Calc'!$A$2:$C$827,3,FALSE)</f>
        <v>1035</v>
      </c>
      <c r="K223">
        <f t="shared" si="23"/>
        <v>0.32268966731045451</v>
      </c>
    </row>
    <row r="224" spans="1:11" ht="48" x14ac:dyDescent="0.2">
      <c r="A224" s="4" t="s">
        <v>3360</v>
      </c>
      <c r="B224">
        <v>51138</v>
      </c>
      <c r="C224">
        <v>1.76</v>
      </c>
      <c r="D224">
        <f t="shared" si="18"/>
        <v>38546.717847544191</v>
      </c>
      <c r="E224">
        <f t="shared" si="19"/>
        <v>38.546717847544194</v>
      </c>
      <c r="F224" s="7">
        <v>0.27095990279465371</v>
      </c>
      <c r="G224">
        <f t="shared" si="20"/>
        <v>2</v>
      </c>
      <c r="H224" s="7">
        <f t="shared" si="21"/>
        <v>0.72904009720534635</v>
      </c>
      <c r="I224">
        <f t="shared" si="22"/>
        <v>4</v>
      </c>
      <c r="J224">
        <f>VLOOKUP(A224,'Housing Cost Calc'!$A$2:$C$827,3,FALSE)</f>
        <v>1446</v>
      </c>
      <c r="K224">
        <f t="shared" si="23"/>
        <v>0.45015505778283782</v>
      </c>
    </row>
    <row r="225" spans="1:11" ht="48" x14ac:dyDescent="0.2">
      <c r="A225" s="4" t="s">
        <v>3516</v>
      </c>
      <c r="B225">
        <v>62927</v>
      </c>
      <c r="C225">
        <v>2.66</v>
      </c>
      <c r="D225">
        <f t="shared" si="18"/>
        <v>38583.019215770444</v>
      </c>
      <c r="E225">
        <f t="shared" si="19"/>
        <v>38.583019215770442</v>
      </c>
      <c r="F225" s="7">
        <v>0.27217496962332927</v>
      </c>
      <c r="G225">
        <f t="shared" si="20"/>
        <v>2</v>
      </c>
      <c r="H225" s="7">
        <f t="shared" si="21"/>
        <v>0.72782503037667068</v>
      </c>
      <c r="I225">
        <f t="shared" si="22"/>
        <v>4</v>
      </c>
      <c r="J225">
        <f>VLOOKUP(A225,'Housing Cost Calc'!$A$2:$C$827,3,FALSE)</f>
        <v>1377</v>
      </c>
      <c r="K225">
        <f t="shared" si="23"/>
        <v>0.42827130524938212</v>
      </c>
    </row>
    <row r="226" spans="1:11" ht="48" x14ac:dyDescent="0.2">
      <c r="A226" s="4" t="s">
        <v>3556</v>
      </c>
      <c r="B226">
        <v>65113</v>
      </c>
      <c r="C226">
        <v>2.83</v>
      </c>
      <c r="D226">
        <f t="shared" si="18"/>
        <v>38705.660915760047</v>
      </c>
      <c r="E226">
        <f t="shared" si="19"/>
        <v>38.705660915760049</v>
      </c>
      <c r="F226" s="7">
        <v>0.27339003645200488</v>
      </c>
      <c r="G226">
        <f t="shared" si="20"/>
        <v>2</v>
      </c>
      <c r="H226" s="7">
        <f t="shared" si="21"/>
        <v>0.72660996354799512</v>
      </c>
      <c r="I226">
        <f t="shared" si="22"/>
        <v>4</v>
      </c>
      <c r="J226">
        <f>VLOOKUP(A226,'Housing Cost Calc'!$A$2:$C$827,3,FALSE)</f>
        <v>1492</v>
      </c>
      <c r="K226">
        <f t="shared" si="23"/>
        <v>0.46256799590547509</v>
      </c>
    </row>
    <row r="227" spans="1:11" ht="48" x14ac:dyDescent="0.2">
      <c r="A227" s="4" t="s">
        <v>3450</v>
      </c>
      <c r="B227">
        <v>57917</v>
      </c>
      <c r="C227">
        <v>2.23</v>
      </c>
      <c r="D227">
        <f t="shared" si="18"/>
        <v>38784.091839575507</v>
      </c>
      <c r="E227">
        <f t="shared" si="19"/>
        <v>38.78409183957551</v>
      </c>
      <c r="F227" s="7">
        <v>0.27460510328068044</v>
      </c>
      <c r="G227">
        <f t="shared" si="20"/>
        <v>2</v>
      </c>
      <c r="H227" s="7">
        <f t="shared" si="21"/>
        <v>0.72539489671931956</v>
      </c>
      <c r="I227">
        <f t="shared" si="22"/>
        <v>4</v>
      </c>
      <c r="J227">
        <f>VLOOKUP(A227,'Housing Cost Calc'!$A$2:$C$827,3,FALSE)</f>
        <v>1077</v>
      </c>
      <c r="K227">
        <f t="shared" si="23"/>
        <v>0.33322940894060787</v>
      </c>
    </row>
    <row r="228" spans="1:11" ht="48" x14ac:dyDescent="0.2">
      <c r="A228" s="4" t="s">
        <v>3467</v>
      </c>
      <c r="B228">
        <v>58889</v>
      </c>
      <c r="C228">
        <v>2.2999999999999998</v>
      </c>
      <c r="D228">
        <f t="shared" si="18"/>
        <v>38830.256697804507</v>
      </c>
      <c r="E228">
        <f t="shared" si="19"/>
        <v>38.830256697804508</v>
      </c>
      <c r="F228" s="7">
        <v>0.275820170109356</v>
      </c>
      <c r="G228">
        <f t="shared" si="20"/>
        <v>2</v>
      </c>
      <c r="H228" s="7">
        <f t="shared" si="21"/>
        <v>0.724179829890644</v>
      </c>
      <c r="I228">
        <f t="shared" si="22"/>
        <v>4</v>
      </c>
      <c r="J228">
        <f>VLOOKUP(A228,'Housing Cost Calc'!$A$2:$C$827,3,FALSE)</f>
        <v>1280</v>
      </c>
      <c r="K228">
        <f t="shared" si="23"/>
        <v>0.39556782020625852</v>
      </c>
    </row>
    <row r="229" spans="1:11" ht="64" x14ac:dyDescent="0.2">
      <c r="A229" s="4" t="s">
        <v>3440</v>
      </c>
      <c r="B229">
        <v>57286</v>
      </c>
      <c r="C229">
        <v>2.17</v>
      </c>
      <c r="D229">
        <f t="shared" si="18"/>
        <v>38888.270748945855</v>
      </c>
      <c r="E229">
        <f t="shared" si="19"/>
        <v>38.888270748945857</v>
      </c>
      <c r="F229" s="7">
        <v>0.27703523693803161</v>
      </c>
      <c r="G229">
        <f t="shared" si="20"/>
        <v>2</v>
      </c>
      <c r="H229" s="7">
        <f t="shared" si="21"/>
        <v>0.72296476306196844</v>
      </c>
      <c r="I229">
        <f t="shared" si="22"/>
        <v>4</v>
      </c>
      <c r="J229">
        <f>VLOOKUP(A229,'Housing Cost Calc'!$A$2:$C$827,3,FALSE)</f>
        <v>1094</v>
      </c>
      <c r="K229">
        <f t="shared" si="23"/>
        <v>0.33758250874027002</v>
      </c>
    </row>
    <row r="230" spans="1:11" ht="48" x14ac:dyDescent="0.2">
      <c r="A230" s="4" t="s">
        <v>3471</v>
      </c>
      <c r="B230">
        <v>59018</v>
      </c>
      <c r="C230">
        <v>2.2999999999999998</v>
      </c>
      <c r="D230">
        <f t="shared" si="18"/>
        <v>38915.316778872562</v>
      </c>
      <c r="E230">
        <f t="shared" si="19"/>
        <v>38.915316778872565</v>
      </c>
      <c r="F230" s="7">
        <v>0.27825030376670717</v>
      </c>
      <c r="G230">
        <f t="shared" si="20"/>
        <v>2</v>
      </c>
      <c r="H230" s="7">
        <f t="shared" si="21"/>
        <v>0.72174969623329277</v>
      </c>
      <c r="I230">
        <f t="shared" si="22"/>
        <v>4</v>
      </c>
      <c r="J230">
        <f>VLOOKUP(A230,'Housing Cost Calc'!$A$2:$C$827,3,FALSE)</f>
        <v>1070</v>
      </c>
      <c r="K230">
        <f t="shared" si="23"/>
        <v>0.32994720492602903</v>
      </c>
    </row>
    <row r="231" spans="1:11" ht="48" x14ac:dyDescent="0.2">
      <c r="A231" s="4" t="s">
        <v>3545</v>
      </c>
      <c r="B231">
        <v>64241</v>
      </c>
      <c r="C231">
        <v>2.72</v>
      </c>
      <c r="D231">
        <f t="shared" si="18"/>
        <v>38951.827719897665</v>
      </c>
      <c r="E231">
        <f t="shared" si="19"/>
        <v>38.951827719897665</v>
      </c>
      <c r="F231" s="7">
        <v>0.27946537059538273</v>
      </c>
      <c r="G231">
        <f t="shared" si="20"/>
        <v>2</v>
      </c>
      <c r="H231" s="7">
        <f t="shared" si="21"/>
        <v>0.72053462940461732</v>
      </c>
      <c r="I231">
        <f t="shared" si="22"/>
        <v>4</v>
      </c>
      <c r="J231">
        <f>VLOOKUP(A231,'Housing Cost Calc'!$A$2:$C$827,3,FALSE)</f>
        <v>1235</v>
      </c>
      <c r="K231">
        <f t="shared" si="23"/>
        <v>0.38046995141204981</v>
      </c>
    </row>
    <row r="232" spans="1:11" ht="48" x14ac:dyDescent="0.2">
      <c r="A232" s="4" t="s">
        <v>3420</v>
      </c>
      <c r="B232">
        <v>55565</v>
      </c>
      <c r="C232">
        <v>2.0299999999999998</v>
      </c>
      <c r="D232">
        <f t="shared" si="18"/>
        <v>38998.984608481936</v>
      </c>
      <c r="E232">
        <f t="shared" si="19"/>
        <v>38.998984608481933</v>
      </c>
      <c r="F232" s="7">
        <v>0.28068043742405835</v>
      </c>
      <c r="G232">
        <f t="shared" si="20"/>
        <v>2</v>
      </c>
      <c r="H232" s="7">
        <f t="shared" si="21"/>
        <v>0.71931956257594165</v>
      </c>
      <c r="I232">
        <f t="shared" si="22"/>
        <v>4</v>
      </c>
      <c r="J232">
        <f>VLOOKUP(A232,'Housing Cost Calc'!$A$2:$C$827,3,FALSE)</f>
        <v>1268</v>
      </c>
      <c r="K232">
        <f t="shared" si="23"/>
        <v>0.39016400433899129</v>
      </c>
    </row>
    <row r="233" spans="1:11" ht="48" x14ac:dyDescent="0.2">
      <c r="A233" s="4" t="s">
        <v>3494</v>
      </c>
      <c r="B233">
        <v>61675</v>
      </c>
      <c r="C233">
        <v>2.4900000000000002</v>
      </c>
      <c r="D233">
        <f t="shared" si="18"/>
        <v>39084.943151097177</v>
      </c>
      <c r="E233">
        <f t="shared" si="19"/>
        <v>39.084943151097178</v>
      </c>
      <c r="F233" s="7">
        <v>0.28189550425273391</v>
      </c>
      <c r="G233">
        <f t="shared" si="20"/>
        <v>2</v>
      </c>
      <c r="H233" s="7">
        <f t="shared" si="21"/>
        <v>0.71810449574726609</v>
      </c>
      <c r="I233">
        <f t="shared" si="22"/>
        <v>4</v>
      </c>
      <c r="J233">
        <f>VLOOKUP(A233,'Housing Cost Calc'!$A$2:$C$827,3,FALSE)</f>
        <v>1167</v>
      </c>
      <c r="K233">
        <f t="shared" si="23"/>
        <v>0.35829654263183663</v>
      </c>
    </row>
    <row r="234" spans="1:11" ht="64" x14ac:dyDescent="0.2">
      <c r="A234" s="4" t="s">
        <v>3400</v>
      </c>
      <c r="B234">
        <v>53648</v>
      </c>
      <c r="C234">
        <v>1.88</v>
      </c>
      <c r="D234">
        <f t="shared" si="18"/>
        <v>39126.825319395233</v>
      </c>
      <c r="E234">
        <f t="shared" si="19"/>
        <v>39.12682531939523</v>
      </c>
      <c r="F234" s="7">
        <v>0.28311057108140947</v>
      </c>
      <c r="G234">
        <f t="shared" si="20"/>
        <v>2</v>
      </c>
      <c r="H234" s="7">
        <f t="shared" si="21"/>
        <v>0.71688942891859053</v>
      </c>
      <c r="I234">
        <f t="shared" si="22"/>
        <v>4</v>
      </c>
      <c r="J234">
        <f>VLOOKUP(A234,'Housing Cost Calc'!$A$2:$C$827,3,FALSE)</f>
        <v>1119</v>
      </c>
      <c r="K234">
        <f t="shared" si="23"/>
        <v>0.34319165662908302</v>
      </c>
    </row>
    <row r="235" spans="1:11" ht="48" x14ac:dyDescent="0.2">
      <c r="A235" s="4" t="s">
        <v>3558</v>
      </c>
      <c r="B235">
        <v>65192</v>
      </c>
      <c r="C235">
        <v>2.77</v>
      </c>
      <c r="D235">
        <f t="shared" si="18"/>
        <v>39170.076547677338</v>
      </c>
      <c r="E235">
        <f t="shared" si="19"/>
        <v>39.17007654767734</v>
      </c>
      <c r="F235" s="7">
        <v>0.28432563791008503</v>
      </c>
      <c r="G235">
        <f t="shared" si="20"/>
        <v>2</v>
      </c>
      <c r="H235" s="7">
        <f t="shared" si="21"/>
        <v>0.71567436208991497</v>
      </c>
      <c r="I235">
        <f t="shared" si="22"/>
        <v>4</v>
      </c>
      <c r="J235">
        <f>VLOOKUP(A235,'Housing Cost Calc'!$A$2:$C$827,3,FALSE)</f>
        <v>1124</v>
      </c>
      <c r="K235">
        <f t="shared" si="23"/>
        <v>0.34434448918123944</v>
      </c>
    </row>
    <row r="236" spans="1:11" ht="48" x14ac:dyDescent="0.2">
      <c r="A236" s="4" t="s">
        <v>3393</v>
      </c>
      <c r="B236">
        <v>60160</v>
      </c>
      <c r="C236">
        <v>2.34</v>
      </c>
      <c r="D236">
        <f t="shared" si="18"/>
        <v>39327.822299710504</v>
      </c>
      <c r="E236">
        <f t="shared" si="19"/>
        <v>39.327822299710505</v>
      </c>
      <c r="F236" s="7">
        <v>0.28554070473876064</v>
      </c>
      <c r="G236">
        <f t="shared" si="20"/>
        <v>2</v>
      </c>
      <c r="H236" s="7">
        <f t="shared" si="21"/>
        <v>0.71445929526123941</v>
      </c>
      <c r="I236">
        <f t="shared" si="22"/>
        <v>4</v>
      </c>
      <c r="J236">
        <f>VLOOKUP(A236,'Housing Cost Calc'!$A$2:$C$827,3,FALSE)</f>
        <v>1013</v>
      </c>
      <c r="K236">
        <f t="shared" si="23"/>
        <v>0.30909415495628606</v>
      </c>
    </row>
    <row r="237" spans="1:11" ht="48" x14ac:dyDescent="0.2">
      <c r="A237" s="4" t="s">
        <v>3540</v>
      </c>
      <c r="B237">
        <v>63715</v>
      </c>
      <c r="C237">
        <v>2.61</v>
      </c>
      <c r="D237">
        <f t="shared" si="18"/>
        <v>39438.594906502869</v>
      </c>
      <c r="E237">
        <f t="shared" si="19"/>
        <v>39.438594906502871</v>
      </c>
      <c r="F237" s="7">
        <v>0.2867557715674362</v>
      </c>
      <c r="G237">
        <f t="shared" si="20"/>
        <v>2</v>
      </c>
      <c r="H237" s="7">
        <f t="shared" si="21"/>
        <v>0.71324422843256374</v>
      </c>
      <c r="I237">
        <f t="shared" si="22"/>
        <v>4</v>
      </c>
      <c r="J237">
        <f>VLOOKUP(A237,'Housing Cost Calc'!$A$2:$C$827,3,FALSE)</f>
        <v>1457</v>
      </c>
      <c r="K237">
        <f t="shared" si="23"/>
        <v>0.44332208187054695</v>
      </c>
    </row>
    <row r="238" spans="1:11" ht="48" x14ac:dyDescent="0.2">
      <c r="A238" s="4" t="s">
        <v>3571</v>
      </c>
      <c r="B238">
        <v>66250</v>
      </c>
      <c r="C238">
        <v>2.81</v>
      </c>
      <c r="D238">
        <f t="shared" si="18"/>
        <v>39521.436590512953</v>
      </c>
      <c r="E238">
        <f t="shared" si="19"/>
        <v>39.521436590512955</v>
      </c>
      <c r="F238" s="7">
        <v>0.28797083839611176</v>
      </c>
      <c r="G238">
        <f t="shared" si="20"/>
        <v>2</v>
      </c>
      <c r="H238" s="7">
        <f t="shared" si="21"/>
        <v>0.71202916160388829</v>
      </c>
      <c r="I238">
        <f t="shared" si="22"/>
        <v>4</v>
      </c>
      <c r="J238">
        <f>VLOOKUP(A238,'Housing Cost Calc'!$A$2:$C$827,3,FALSE)</f>
        <v>2096</v>
      </c>
      <c r="K238">
        <f t="shared" si="23"/>
        <v>0.6364141126903694</v>
      </c>
    </row>
    <row r="239" spans="1:11" ht="48" x14ac:dyDescent="0.2">
      <c r="A239" s="4" t="s">
        <v>3504</v>
      </c>
      <c r="B239">
        <v>62120</v>
      </c>
      <c r="C239">
        <v>2.4700000000000002</v>
      </c>
      <c r="D239">
        <f t="shared" si="18"/>
        <v>39526.009476055311</v>
      </c>
      <c r="E239">
        <f t="shared" si="19"/>
        <v>39.526009476055314</v>
      </c>
      <c r="F239" s="7">
        <v>0.28918590522478738</v>
      </c>
      <c r="G239">
        <f t="shared" si="20"/>
        <v>2</v>
      </c>
      <c r="H239" s="7">
        <f t="shared" si="21"/>
        <v>0.71081409477521262</v>
      </c>
      <c r="I239">
        <f t="shared" si="22"/>
        <v>4</v>
      </c>
      <c r="J239">
        <f>VLOOKUP(A239,'Housing Cost Calc'!$A$2:$C$827,3,FALSE)</f>
        <v>1268</v>
      </c>
      <c r="K239">
        <f t="shared" si="23"/>
        <v>0.38496170500636517</v>
      </c>
    </row>
    <row r="240" spans="1:11" ht="48" x14ac:dyDescent="0.2">
      <c r="A240" s="4" t="s">
        <v>3511</v>
      </c>
      <c r="B240">
        <v>62700</v>
      </c>
      <c r="C240">
        <v>2.5099999999999998</v>
      </c>
      <c r="D240">
        <f t="shared" si="18"/>
        <v>39575.889074232262</v>
      </c>
      <c r="E240">
        <f t="shared" si="19"/>
        <v>39.575889074232265</v>
      </c>
      <c r="F240" s="7">
        <v>0.29040097205346294</v>
      </c>
      <c r="G240">
        <f t="shared" si="20"/>
        <v>2</v>
      </c>
      <c r="H240" s="7">
        <f t="shared" si="21"/>
        <v>0.70959902794653706</v>
      </c>
      <c r="I240">
        <f t="shared" si="22"/>
        <v>4</v>
      </c>
      <c r="J240">
        <f>VLOOKUP(A240,'Housing Cost Calc'!$A$2:$C$827,3,FALSE)</f>
        <v>1198</v>
      </c>
      <c r="K240">
        <f t="shared" si="23"/>
        <v>0.36325147296211141</v>
      </c>
    </row>
    <row r="241" spans="1:11" ht="48" x14ac:dyDescent="0.2">
      <c r="A241" s="4" t="s">
        <v>3530</v>
      </c>
      <c r="B241">
        <v>63468</v>
      </c>
      <c r="C241">
        <v>2.57</v>
      </c>
      <c r="D241">
        <f t="shared" si="18"/>
        <v>39590.250656969984</v>
      </c>
      <c r="E241">
        <f t="shared" si="19"/>
        <v>39.590250656969985</v>
      </c>
      <c r="F241" s="7">
        <v>0.2916160388821385</v>
      </c>
      <c r="G241">
        <f t="shared" si="20"/>
        <v>2</v>
      </c>
      <c r="H241" s="7">
        <f t="shared" si="21"/>
        <v>0.7083839611178615</v>
      </c>
      <c r="I241">
        <f t="shared" si="22"/>
        <v>4</v>
      </c>
      <c r="J241">
        <f>VLOOKUP(A241,'Housing Cost Calc'!$A$2:$C$827,3,FALSE)</f>
        <v>1283</v>
      </c>
      <c r="K241">
        <f t="shared" si="23"/>
        <v>0.38888362019727418</v>
      </c>
    </row>
    <row r="242" spans="1:11" ht="48" x14ac:dyDescent="0.2">
      <c r="A242" s="4" t="s">
        <v>3500</v>
      </c>
      <c r="B242">
        <v>62054</v>
      </c>
      <c r="C242">
        <v>2.4300000000000002</v>
      </c>
      <c r="D242">
        <f t="shared" si="18"/>
        <v>39807.659560325599</v>
      </c>
      <c r="E242">
        <f t="shared" si="19"/>
        <v>39.807659560325597</v>
      </c>
      <c r="F242" s="7">
        <v>0.29283110571081411</v>
      </c>
      <c r="G242">
        <f t="shared" si="20"/>
        <v>2</v>
      </c>
      <c r="H242" s="7">
        <f t="shared" si="21"/>
        <v>0.70716889428918583</v>
      </c>
      <c r="I242">
        <f t="shared" si="22"/>
        <v>4</v>
      </c>
      <c r="J242">
        <f>VLOOKUP(A242,'Housing Cost Calc'!$A$2:$C$827,3,FALSE)</f>
        <v>1097</v>
      </c>
      <c r="K242">
        <f t="shared" si="23"/>
        <v>0.3306901271111134</v>
      </c>
    </row>
    <row r="243" spans="1:11" ht="48" x14ac:dyDescent="0.2">
      <c r="A243" s="4" t="s">
        <v>3618</v>
      </c>
      <c r="B243">
        <v>70469</v>
      </c>
      <c r="C243">
        <v>3.11</v>
      </c>
      <c r="D243">
        <f t="shared" si="18"/>
        <v>39959.303899933024</v>
      </c>
      <c r="E243">
        <f t="shared" si="19"/>
        <v>39.959303899933026</v>
      </c>
      <c r="F243" s="7">
        <v>0.29404617253948967</v>
      </c>
      <c r="G243">
        <f t="shared" si="20"/>
        <v>2</v>
      </c>
      <c r="H243" s="7">
        <f t="shared" si="21"/>
        <v>0.70595382746051039</v>
      </c>
      <c r="I243">
        <f t="shared" si="22"/>
        <v>4</v>
      </c>
      <c r="J243">
        <f>VLOOKUP(A243,'Housing Cost Calc'!$A$2:$C$827,3,FALSE)</f>
        <v>1660</v>
      </c>
      <c r="K243">
        <f t="shared" si="23"/>
        <v>0.49850718245453191</v>
      </c>
    </row>
    <row r="244" spans="1:11" ht="48" x14ac:dyDescent="0.2">
      <c r="A244" s="4" t="s">
        <v>3498</v>
      </c>
      <c r="B244">
        <v>61844</v>
      </c>
      <c r="C244">
        <v>2.37</v>
      </c>
      <c r="D244">
        <f t="shared" si="18"/>
        <v>40171.994863437096</v>
      </c>
      <c r="E244">
        <f t="shared" si="19"/>
        <v>40.171994863437092</v>
      </c>
      <c r="F244" s="7">
        <v>0.29526123936816523</v>
      </c>
      <c r="G244">
        <f t="shared" si="20"/>
        <v>2</v>
      </c>
      <c r="H244" s="7">
        <f t="shared" si="21"/>
        <v>0.70473876063183472</v>
      </c>
      <c r="I244">
        <f t="shared" si="22"/>
        <v>4</v>
      </c>
      <c r="J244">
        <f>VLOOKUP(A244,'Housing Cost Calc'!$A$2:$C$827,3,FALSE)</f>
        <v>1541</v>
      </c>
      <c r="K244">
        <f t="shared" si="23"/>
        <v>0.4603206801868498</v>
      </c>
    </row>
    <row r="245" spans="1:11" ht="48" x14ac:dyDescent="0.2">
      <c r="A245" s="4" t="s">
        <v>3513</v>
      </c>
      <c r="B245">
        <v>62788</v>
      </c>
      <c r="C245">
        <v>2.44</v>
      </c>
      <c r="D245">
        <f t="shared" si="18"/>
        <v>40195.898086133362</v>
      </c>
      <c r="E245">
        <f t="shared" si="19"/>
        <v>40.195898086133361</v>
      </c>
      <c r="F245" s="7">
        <v>0.29647630619684084</v>
      </c>
      <c r="G245">
        <f t="shared" si="20"/>
        <v>2</v>
      </c>
      <c r="H245" s="7">
        <f t="shared" si="21"/>
        <v>0.70352369380315916</v>
      </c>
      <c r="I245">
        <f t="shared" si="22"/>
        <v>4</v>
      </c>
      <c r="J245">
        <f>VLOOKUP(A245,'Housing Cost Calc'!$A$2:$C$827,3,FALSE)</f>
        <v>1102</v>
      </c>
      <c r="K245">
        <f t="shared" si="23"/>
        <v>0.328988793126679</v>
      </c>
    </row>
    <row r="246" spans="1:11" ht="64" x14ac:dyDescent="0.2">
      <c r="A246" s="4" t="s">
        <v>3475</v>
      </c>
      <c r="B246">
        <v>59402</v>
      </c>
      <c r="C246">
        <v>2.1800000000000002</v>
      </c>
      <c r="D246">
        <f t="shared" si="18"/>
        <v>40232.110982751583</v>
      </c>
      <c r="E246">
        <f t="shared" si="19"/>
        <v>40.232110982751585</v>
      </c>
      <c r="F246" s="7">
        <v>0.2976913730255164</v>
      </c>
      <c r="G246">
        <f t="shared" si="20"/>
        <v>2</v>
      </c>
      <c r="H246" s="7">
        <f t="shared" si="21"/>
        <v>0.7023086269744836</v>
      </c>
      <c r="I246">
        <f t="shared" si="22"/>
        <v>4</v>
      </c>
      <c r="J246">
        <f>VLOOKUP(A246,'Housing Cost Calc'!$A$2:$C$827,3,FALSE)</f>
        <v>1195</v>
      </c>
      <c r="K246">
        <f t="shared" si="23"/>
        <v>0.35643170715421529</v>
      </c>
    </row>
    <row r="247" spans="1:11" ht="48" x14ac:dyDescent="0.2">
      <c r="A247" s="4" t="s">
        <v>3488</v>
      </c>
      <c r="B247">
        <v>61071</v>
      </c>
      <c r="C247">
        <v>2.2999999999999998</v>
      </c>
      <c r="D247">
        <f t="shared" si="18"/>
        <v>40269.02489075411</v>
      </c>
      <c r="E247">
        <f t="shared" si="19"/>
        <v>40.26902489075411</v>
      </c>
      <c r="F247" s="7">
        <v>0.29890643985419196</v>
      </c>
      <c r="G247">
        <f t="shared" si="20"/>
        <v>2</v>
      </c>
      <c r="H247" s="7">
        <f t="shared" si="21"/>
        <v>0.70109356014580804</v>
      </c>
      <c r="I247">
        <f t="shared" si="22"/>
        <v>4</v>
      </c>
      <c r="J247">
        <f>VLOOKUP(A247,'Housing Cost Calc'!$A$2:$C$827,3,FALSE)</f>
        <v>1124</v>
      </c>
      <c r="K247">
        <f t="shared" si="23"/>
        <v>0.3349472711741</v>
      </c>
    </row>
    <row r="248" spans="1:11" ht="48" x14ac:dyDescent="0.2">
      <c r="A248" s="4" t="s">
        <v>3465</v>
      </c>
      <c r="B248">
        <v>58875</v>
      </c>
      <c r="C248">
        <v>2.13</v>
      </c>
      <c r="D248">
        <f t="shared" si="18"/>
        <v>40340.485291095931</v>
      </c>
      <c r="E248">
        <f t="shared" si="19"/>
        <v>40.340485291095931</v>
      </c>
      <c r="F248" s="7">
        <v>0.30012150668286758</v>
      </c>
      <c r="G248">
        <f t="shared" si="20"/>
        <v>2</v>
      </c>
      <c r="H248" s="7">
        <f t="shared" si="21"/>
        <v>0.69987849331713248</v>
      </c>
      <c r="I248">
        <f t="shared" si="22"/>
        <v>4</v>
      </c>
      <c r="J248">
        <f>VLOOKUP(A248,'Housing Cost Calc'!$A$2:$C$827,3,FALSE)</f>
        <v>1410</v>
      </c>
      <c r="K248">
        <f t="shared" si="23"/>
        <v>0.41942975841529184</v>
      </c>
    </row>
    <row r="249" spans="1:11" ht="48" x14ac:dyDescent="0.2">
      <c r="A249" s="4" t="s">
        <v>3583</v>
      </c>
      <c r="B249">
        <v>67314</v>
      </c>
      <c r="C249">
        <v>2.78</v>
      </c>
      <c r="D249">
        <f t="shared" si="18"/>
        <v>40372.254326758382</v>
      </c>
      <c r="E249">
        <f t="shared" si="19"/>
        <v>40.37225432675838</v>
      </c>
      <c r="F249" s="7">
        <v>0.30133657351154314</v>
      </c>
      <c r="G249">
        <f t="shared" si="20"/>
        <v>2</v>
      </c>
      <c r="H249" s="7">
        <f t="shared" si="21"/>
        <v>0.69866342648845681</v>
      </c>
      <c r="I249">
        <f t="shared" si="22"/>
        <v>4</v>
      </c>
      <c r="J249">
        <f>VLOOKUP(A249,'Housing Cost Calc'!$A$2:$C$827,3,FALSE)</f>
        <v>1320</v>
      </c>
      <c r="K249">
        <f t="shared" si="23"/>
        <v>0.39234866281671532</v>
      </c>
    </row>
    <row r="250" spans="1:11" ht="48" x14ac:dyDescent="0.2">
      <c r="A250" s="4" t="s">
        <v>3439</v>
      </c>
      <c r="B250">
        <v>60694</v>
      </c>
      <c r="C250">
        <v>2.2200000000000002</v>
      </c>
      <c r="D250">
        <f t="shared" si="18"/>
        <v>40735.145615159992</v>
      </c>
      <c r="E250">
        <f t="shared" si="19"/>
        <v>40.735145615159993</v>
      </c>
      <c r="F250" s="7">
        <v>0.3025516403402187</v>
      </c>
      <c r="G250">
        <f t="shared" si="20"/>
        <v>2</v>
      </c>
      <c r="H250" s="7">
        <f t="shared" si="21"/>
        <v>0.69744835965978136</v>
      </c>
      <c r="I250">
        <f t="shared" si="22"/>
        <v>4</v>
      </c>
      <c r="J250">
        <f>VLOOKUP(A250,'Housing Cost Calc'!$A$2:$C$827,3,FALSE)</f>
        <v>1066</v>
      </c>
      <c r="K250">
        <f t="shared" si="23"/>
        <v>0.31402858162950398</v>
      </c>
    </row>
    <row r="251" spans="1:11" ht="64" x14ac:dyDescent="0.2">
      <c r="A251" s="4" t="s">
        <v>3534</v>
      </c>
      <c r="B251">
        <v>63536</v>
      </c>
      <c r="C251">
        <v>2.4300000000000002</v>
      </c>
      <c r="D251">
        <f t="shared" si="18"/>
        <v>40758.363003591185</v>
      </c>
      <c r="E251">
        <f t="shared" si="19"/>
        <v>40.758363003591185</v>
      </c>
      <c r="F251" s="7">
        <v>0.30376670716889431</v>
      </c>
      <c r="G251">
        <f t="shared" si="20"/>
        <v>2</v>
      </c>
      <c r="H251" s="7">
        <f t="shared" si="21"/>
        <v>0.69623329283110569</v>
      </c>
      <c r="I251">
        <f t="shared" si="22"/>
        <v>4</v>
      </c>
      <c r="J251">
        <f>VLOOKUP(A251,'Housing Cost Calc'!$A$2:$C$827,3,FALSE)</f>
        <v>1379</v>
      </c>
      <c r="K251">
        <f t="shared" si="23"/>
        <v>0.40600256684847646</v>
      </c>
    </row>
    <row r="252" spans="1:11" ht="48" x14ac:dyDescent="0.2">
      <c r="A252" s="4" t="s">
        <v>3522</v>
      </c>
      <c r="B252">
        <v>63141</v>
      </c>
      <c r="C252">
        <v>2.39</v>
      </c>
      <c r="D252">
        <f t="shared" si="18"/>
        <v>40842.517641305298</v>
      </c>
      <c r="E252">
        <f t="shared" si="19"/>
        <v>40.842517641305299</v>
      </c>
      <c r="F252" s="7">
        <v>0.30498177399756987</v>
      </c>
      <c r="G252">
        <f t="shared" si="20"/>
        <v>2</v>
      </c>
      <c r="H252" s="7">
        <f t="shared" si="21"/>
        <v>0.69501822600243013</v>
      </c>
      <c r="I252">
        <f t="shared" si="22"/>
        <v>4</v>
      </c>
      <c r="J252">
        <f>VLOOKUP(A252,'Housing Cost Calc'!$A$2:$C$827,3,FALSE)</f>
        <v>1526</v>
      </c>
      <c r="K252">
        <f t="shared" si="23"/>
        <v>0.44835629773911168</v>
      </c>
    </row>
    <row r="253" spans="1:11" ht="64" x14ac:dyDescent="0.2">
      <c r="A253" s="4" t="s">
        <v>3602</v>
      </c>
      <c r="B253">
        <v>68599</v>
      </c>
      <c r="C253">
        <v>2.77</v>
      </c>
      <c r="D253">
        <f t="shared" si="18"/>
        <v>41217.144451682994</v>
      </c>
      <c r="E253">
        <f t="shared" si="19"/>
        <v>41.217144451682991</v>
      </c>
      <c r="F253" s="7">
        <v>0.30619684082624543</v>
      </c>
      <c r="G253">
        <f t="shared" si="20"/>
        <v>2</v>
      </c>
      <c r="H253" s="7">
        <f t="shared" si="21"/>
        <v>0.69380315917375457</v>
      </c>
      <c r="I253">
        <f t="shared" si="22"/>
        <v>4</v>
      </c>
      <c r="J253">
        <f>VLOOKUP(A253,'Housing Cost Calc'!$A$2:$C$827,3,FALSE)</f>
        <v>1630</v>
      </c>
      <c r="K253">
        <f t="shared" si="23"/>
        <v>0.47455980418365246</v>
      </c>
    </row>
    <row r="254" spans="1:11" ht="48" x14ac:dyDescent="0.2">
      <c r="A254" s="4" t="s">
        <v>3538</v>
      </c>
      <c r="B254">
        <v>63667</v>
      </c>
      <c r="C254">
        <v>2.36</v>
      </c>
      <c r="D254">
        <f t="shared" si="18"/>
        <v>41443.686977080564</v>
      </c>
      <c r="E254">
        <f t="shared" si="19"/>
        <v>41.443686977080567</v>
      </c>
      <c r="F254" s="7">
        <v>0.30741190765492105</v>
      </c>
      <c r="G254">
        <f t="shared" si="20"/>
        <v>2</v>
      </c>
      <c r="H254" s="7">
        <f t="shared" si="21"/>
        <v>0.6925880923450789</v>
      </c>
      <c r="I254">
        <f t="shared" si="22"/>
        <v>4</v>
      </c>
      <c r="J254">
        <f>VLOOKUP(A254,'Housing Cost Calc'!$A$2:$C$827,3,FALSE)</f>
        <v>1214</v>
      </c>
      <c r="K254">
        <f t="shared" si="23"/>
        <v>0.35151312691017289</v>
      </c>
    </row>
    <row r="255" spans="1:11" ht="48" x14ac:dyDescent="0.2">
      <c r="A255" s="4" t="s">
        <v>3509</v>
      </c>
      <c r="B255">
        <v>62462</v>
      </c>
      <c r="C255">
        <v>2.27</v>
      </c>
      <c r="D255">
        <f t="shared" si="18"/>
        <v>41457.485489157451</v>
      </c>
      <c r="E255">
        <f t="shared" si="19"/>
        <v>41.457485489157449</v>
      </c>
      <c r="F255" s="7">
        <v>0.30862697448359661</v>
      </c>
      <c r="G255">
        <f t="shared" si="20"/>
        <v>2</v>
      </c>
      <c r="H255" s="7">
        <f t="shared" si="21"/>
        <v>0.69137302551640345</v>
      </c>
      <c r="I255">
        <f t="shared" si="22"/>
        <v>4</v>
      </c>
      <c r="J255">
        <f>VLOOKUP(A255,'Housing Cost Calc'!$A$2:$C$827,3,FALSE)</f>
        <v>1116</v>
      </c>
      <c r="K255">
        <f t="shared" si="23"/>
        <v>0.32302972170134309</v>
      </c>
    </row>
    <row r="256" spans="1:11" ht="48" x14ac:dyDescent="0.2">
      <c r="A256" s="4" t="s">
        <v>3543</v>
      </c>
      <c r="B256">
        <v>64044</v>
      </c>
      <c r="C256">
        <v>2.38</v>
      </c>
      <c r="D256">
        <f t="shared" si="18"/>
        <v>41513.559271174818</v>
      </c>
      <c r="E256">
        <f t="shared" si="19"/>
        <v>41.51355927117482</v>
      </c>
      <c r="F256" s="7">
        <v>0.30984204131227217</v>
      </c>
      <c r="G256">
        <f t="shared" si="20"/>
        <v>2</v>
      </c>
      <c r="H256" s="7">
        <f t="shared" si="21"/>
        <v>0.69015795868772778</v>
      </c>
      <c r="I256">
        <f t="shared" si="22"/>
        <v>4</v>
      </c>
      <c r="J256">
        <f>VLOOKUP(A256,'Housing Cost Calc'!$A$2:$C$827,3,FALSE)</f>
        <v>1852</v>
      </c>
      <c r="K256">
        <f t="shared" si="23"/>
        <v>0.53534315992585502</v>
      </c>
    </row>
    <row r="257" spans="1:11" ht="48" x14ac:dyDescent="0.2">
      <c r="A257" s="4" t="s">
        <v>3569</v>
      </c>
      <c r="B257">
        <v>65967</v>
      </c>
      <c r="C257">
        <v>2.52</v>
      </c>
      <c r="D257">
        <f t="shared" si="18"/>
        <v>41555.303984999489</v>
      </c>
      <c r="E257">
        <f t="shared" si="19"/>
        <v>41.55530398499949</v>
      </c>
      <c r="F257" s="7">
        <v>0.31105710814094772</v>
      </c>
      <c r="G257">
        <f t="shared" si="20"/>
        <v>2</v>
      </c>
      <c r="H257" s="7">
        <f t="shared" si="21"/>
        <v>0.68894289185905233</v>
      </c>
      <c r="I257">
        <f t="shared" si="22"/>
        <v>4</v>
      </c>
      <c r="J257">
        <f>VLOOKUP(A257,'Housing Cost Calc'!$A$2:$C$827,3,FALSE)</f>
        <v>1534</v>
      </c>
      <c r="K257">
        <f t="shared" si="23"/>
        <v>0.4429759437362043</v>
      </c>
    </row>
    <row r="258" spans="1:11" ht="48" x14ac:dyDescent="0.2">
      <c r="A258" s="4" t="s">
        <v>3518</v>
      </c>
      <c r="B258">
        <v>63036</v>
      </c>
      <c r="C258">
        <v>2.2999999999999998</v>
      </c>
      <c r="D258">
        <f t="shared" ref="D258:D321" si="24">(B258/(C258)^0.5)</f>
        <v>41564.70752097683</v>
      </c>
      <c r="E258">
        <f t="shared" ref="E258:E321" si="25">D258/1000</f>
        <v>41.564707520976832</v>
      </c>
      <c r="F258" s="7">
        <v>0.31227217496962334</v>
      </c>
      <c r="G258">
        <f t="shared" si="20"/>
        <v>2</v>
      </c>
      <c r="H258" s="7">
        <f t="shared" si="21"/>
        <v>0.68772782503037666</v>
      </c>
      <c r="I258">
        <f t="shared" si="22"/>
        <v>4</v>
      </c>
      <c r="J258">
        <f>VLOOKUP(A258,'Housing Cost Calc'!$A$2:$C$827,3,FALSE)</f>
        <v>1161</v>
      </c>
      <c r="K258">
        <f t="shared" si="23"/>
        <v>0.33518821208999999</v>
      </c>
    </row>
    <row r="259" spans="1:11" ht="48" x14ac:dyDescent="0.2">
      <c r="A259" s="4" t="s">
        <v>3525</v>
      </c>
      <c r="B259">
        <v>64405</v>
      </c>
      <c r="C259">
        <v>2.39</v>
      </c>
      <c r="D259">
        <f t="shared" si="24"/>
        <v>41660.131272679682</v>
      </c>
      <c r="E259">
        <f t="shared" si="25"/>
        <v>41.660131272679685</v>
      </c>
      <c r="F259" s="7">
        <v>0.3134872417982989</v>
      </c>
      <c r="G259">
        <f t="shared" ref="G259:G322" si="26">IF(F259&lt;0.2,1,IF(F259&lt;0.4,2,IF(F259&lt;0.6,3,IF(F259&lt;0.8,4,5))))</f>
        <v>2</v>
      </c>
      <c r="H259" s="7">
        <f t="shared" ref="H259:H322" si="27">1-F259</f>
        <v>0.6865127582017011</v>
      </c>
      <c r="I259">
        <f t="shared" ref="I259:I322" si="28">6-G259</f>
        <v>4</v>
      </c>
      <c r="J259">
        <f>VLOOKUP(A259,'Housing Cost Calc'!$A$2:$C$827,3,FALSE)</f>
        <v>1116</v>
      </c>
      <c r="K259">
        <f t="shared" ref="K259:K322" si="29">(J259*12)/D259</f>
        <v>0.32145842057829394</v>
      </c>
    </row>
    <row r="260" spans="1:11" ht="64" x14ac:dyDescent="0.2">
      <c r="A260" s="4" t="s">
        <v>3581</v>
      </c>
      <c r="B260">
        <v>67262</v>
      </c>
      <c r="C260">
        <v>2.6</v>
      </c>
      <c r="D260">
        <f t="shared" si="24"/>
        <v>41714.12158969669</v>
      </c>
      <c r="E260">
        <f t="shared" si="25"/>
        <v>41.714121589696688</v>
      </c>
      <c r="F260" s="7">
        <v>0.31470230862697446</v>
      </c>
      <c r="G260">
        <f t="shared" si="26"/>
        <v>2</v>
      </c>
      <c r="H260" s="7">
        <f t="shared" si="27"/>
        <v>0.68529769137302554</v>
      </c>
      <c r="I260">
        <f t="shared" si="28"/>
        <v>4</v>
      </c>
      <c r="J260">
        <f>VLOOKUP(A260,'Housing Cost Calc'!$A$2:$C$827,3,FALSE)</f>
        <v>1245</v>
      </c>
      <c r="K260">
        <f t="shared" si="29"/>
        <v>0.35815209407861898</v>
      </c>
    </row>
    <row r="261" spans="1:11" ht="48" x14ac:dyDescent="0.2">
      <c r="A261" s="4" t="s">
        <v>3507</v>
      </c>
      <c r="B261">
        <v>62432</v>
      </c>
      <c r="C261">
        <v>2.2400000000000002</v>
      </c>
      <c r="D261">
        <f t="shared" si="24"/>
        <v>41714.134637691197</v>
      </c>
      <c r="E261">
        <f t="shared" si="25"/>
        <v>41.714134637691195</v>
      </c>
      <c r="F261" s="7">
        <v>0.31591737545565007</v>
      </c>
      <c r="G261">
        <f t="shared" si="26"/>
        <v>2</v>
      </c>
      <c r="H261" s="7">
        <f t="shared" si="27"/>
        <v>0.68408262454434987</v>
      </c>
      <c r="I261">
        <f t="shared" si="28"/>
        <v>4</v>
      </c>
      <c r="J261">
        <f>VLOOKUP(A261,'Housing Cost Calc'!$A$2:$C$827,3,FALSE)</f>
        <v>1290</v>
      </c>
      <c r="K261">
        <f t="shared" si="29"/>
        <v>0.37109723441350984</v>
      </c>
    </row>
    <row r="262" spans="1:11" ht="48" x14ac:dyDescent="0.2">
      <c r="A262" s="4" t="s">
        <v>3547</v>
      </c>
      <c r="B262">
        <v>64375</v>
      </c>
      <c r="C262">
        <v>2.37</v>
      </c>
      <c r="D262">
        <f t="shared" si="24"/>
        <v>41816.056033467488</v>
      </c>
      <c r="E262">
        <f t="shared" si="25"/>
        <v>41.81605603346749</v>
      </c>
      <c r="F262" s="7">
        <v>0.31713244228432563</v>
      </c>
      <c r="G262">
        <f t="shared" si="26"/>
        <v>2</v>
      </c>
      <c r="H262" s="7">
        <f t="shared" si="27"/>
        <v>0.68286755771567442</v>
      </c>
      <c r="I262">
        <f t="shared" si="28"/>
        <v>4</v>
      </c>
      <c r="J262">
        <f>VLOOKUP(A262,'Housing Cost Calc'!$A$2:$C$827,3,FALSE)</f>
        <v>1592</v>
      </c>
      <c r="K262">
        <f t="shared" si="29"/>
        <v>0.45685800652051234</v>
      </c>
    </row>
    <row r="263" spans="1:11" ht="64" x14ac:dyDescent="0.2">
      <c r="A263" s="4" t="s">
        <v>3426</v>
      </c>
      <c r="B263">
        <v>56020</v>
      </c>
      <c r="C263">
        <v>1.79</v>
      </c>
      <c r="D263">
        <f t="shared" si="24"/>
        <v>41871.313895963453</v>
      </c>
      <c r="E263">
        <f t="shared" si="25"/>
        <v>41.871313895963453</v>
      </c>
      <c r="F263" s="7">
        <v>0.31834750911300119</v>
      </c>
      <c r="G263">
        <f t="shared" si="26"/>
        <v>2</v>
      </c>
      <c r="H263" s="7">
        <f t="shared" si="27"/>
        <v>0.68165249088699875</v>
      </c>
      <c r="I263">
        <f t="shared" si="28"/>
        <v>4</v>
      </c>
      <c r="J263">
        <f>VLOOKUP(A263,'Housing Cost Calc'!$A$2:$C$827,3,FALSE)</f>
        <v>1254</v>
      </c>
      <c r="K263">
        <f t="shared" si="29"/>
        <v>0.35938685939947734</v>
      </c>
    </row>
    <row r="264" spans="1:11" ht="48" x14ac:dyDescent="0.2">
      <c r="A264" s="4" t="s">
        <v>3510</v>
      </c>
      <c r="B264">
        <v>68482</v>
      </c>
      <c r="C264">
        <v>2.67</v>
      </c>
      <c r="D264">
        <f t="shared" si="24"/>
        <v>41910.303382199643</v>
      </c>
      <c r="E264">
        <f t="shared" si="25"/>
        <v>41.910303382199643</v>
      </c>
      <c r="F264" s="7">
        <v>0.31956257594167681</v>
      </c>
      <c r="G264">
        <f t="shared" si="26"/>
        <v>2</v>
      </c>
      <c r="H264" s="7">
        <f t="shared" si="27"/>
        <v>0.68043742405832319</v>
      </c>
      <c r="I264">
        <f t="shared" si="28"/>
        <v>4</v>
      </c>
      <c r="J264">
        <f>VLOOKUP(A264,'Housing Cost Calc'!$A$2:$C$827,3,FALSE)</f>
        <v>1120</v>
      </c>
      <c r="K264">
        <f t="shared" si="29"/>
        <v>0.32068486542400704</v>
      </c>
    </row>
    <row r="265" spans="1:11" ht="48" x14ac:dyDescent="0.2">
      <c r="A265" s="4" t="s">
        <v>3520</v>
      </c>
      <c r="B265">
        <v>63044</v>
      </c>
      <c r="C265">
        <v>2.2599999999999998</v>
      </c>
      <c r="D265">
        <f t="shared" si="24"/>
        <v>41936.244994608038</v>
      </c>
      <c r="E265">
        <f t="shared" si="25"/>
        <v>41.936244994608039</v>
      </c>
      <c r="F265" s="7">
        <v>0.32077764277035237</v>
      </c>
      <c r="G265">
        <f t="shared" si="26"/>
        <v>2</v>
      </c>
      <c r="H265" s="7">
        <f t="shared" si="27"/>
        <v>0.67922235722964763</v>
      </c>
      <c r="I265">
        <f t="shared" si="28"/>
        <v>4</v>
      </c>
      <c r="J265">
        <f>VLOOKUP(A265,'Housing Cost Calc'!$A$2:$C$827,3,FALSE)</f>
        <v>1285</v>
      </c>
      <c r="K265">
        <f t="shared" si="29"/>
        <v>0.36770101858148313</v>
      </c>
    </row>
    <row r="266" spans="1:11" ht="64" x14ac:dyDescent="0.2">
      <c r="A266" s="4" t="s">
        <v>3446</v>
      </c>
      <c r="B266">
        <v>57778</v>
      </c>
      <c r="C266">
        <v>1.89</v>
      </c>
      <c r="D266">
        <f t="shared" si="24"/>
        <v>42027.310873517228</v>
      </c>
      <c r="E266">
        <f t="shared" si="25"/>
        <v>42.02731087351723</v>
      </c>
      <c r="F266" s="7">
        <v>0.32199270959902793</v>
      </c>
      <c r="G266">
        <f t="shared" si="26"/>
        <v>2</v>
      </c>
      <c r="H266" s="7">
        <f t="shared" si="27"/>
        <v>0.67800729040097207</v>
      </c>
      <c r="I266">
        <f t="shared" si="28"/>
        <v>4</v>
      </c>
      <c r="J266">
        <f>VLOOKUP(A266,'Housing Cost Calc'!$A$2:$C$827,3,FALSE)</f>
        <v>1109</v>
      </c>
      <c r="K266">
        <f t="shared" si="29"/>
        <v>0.31665123757384633</v>
      </c>
    </row>
    <row r="267" spans="1:11" ht="48" x14ac:dyDescent="0.2">
      <c r="A267" s="4" t="s">
        <v>3653</v>
      </c>
      <c r="B267">
        <v>72464</v>
      </c>
      <c r="C267">
        <v>2.97</v>
      </c>
      <c r="D267">
        <f t="shared" si="24"/>
        <v>42047.877537245629</v>
      </c>
      <c r="E267">
        <f t="shared" si="25"/>
        <v>42.047877537245633</v>
      </c>
      <c r="F267" s="7">
        <v>0.32320777642770354</v>
      </c>
      <c r="G267">
        <f t="shared" si="26"/>
        <v>2</v>
      </c>
      <c r="H267" s="7">
        <f t="shared" si="27"/>
        <v>0.67679222357229651</v>
      </c>
      <c r="I267">
        <f t="shared" si="28"/>
        <v>4</v>
      </c>
      <c r="J267">
        <f>VLOOKUP(A267,'Housing Cost Calc'!$A$2:$C$827,3,FALSE)</f>
        <v>1368</v>
      </c>
      <c r="K267">
        <f t="shared" si="29"/>
        <v>0.3904120959603456</v>
      </c>
    </row>
    <row r="268" spans="1:11" ht="48" x14ac:dyDescent="0.2">
      <c r="A268" s="4" t="s">
        <v>3612</v>
      </c>
      <c r="B268">
        <v>69837</v>
      </c>
      <c r="C268">
        <v>2.74</v>
      </c>
      <c r="D268">
        <f t="shared" si="24"/>
        <v>42190.074631899566</v>
      </c>
      <c r="E268">
        <f t="shared" si="25"/>
        <v>42.190074631899563</v>
      </c>
      <c r="F268" s="7">
        <v>0.3244228432563791</v>
      </c>
      <c r="G268">
        <f t="shared" si="26"/>
        <v>2</v>
      </c>
      <c r="H268" s="7">
        <f t="shared" si="27"/>
        <v>0.67557715674362084</v>
      </c>
      <c r="I268">
        <f t="shared" si="28"/>
        <v>4</v>
      </c>
      <c r="J268">
        <f>VLOOKUP(A268,'Housing Cost Calc'!$A$2:$C$827,3,FALSE)</f>
        <v>1843</v>
      </c>
      <c r="K268">
        <f t="shared" si="29"/>
        <v>0.52419912012381875</v>
      </c>
    </row>
    <row r="269" spans="1:11" ht="48" x14ac:dyDescent="0.2">
      <c r="A269" s="4" t="s">
        <v>3492</v>
      </c>
      <c r="B269">
        <v>61667</v>
      </c>
      <c r="C269">
        <v>2.13</v>
      </c>
      <c r="D269">
        <f t="shared" si="24"/>
        <v>42253.532168934398</v>
      </c>
      <c r="E269">
        <f t="shared" si="25"/>
        <v>42.253532168934399</v>
      </c>
      <c r="F269" s="7">
        <v>0.32563791008505466</v>
      </c>
      <c r="G269">
        <f t="shared" si="26"/>
        <v>2</v>
      </c>
      <c r="H269" s="7">
        <f t="shared" si="27"/>
        <v>0.6743620899149454</v>
      </c>
      <c r="I269">
        <f t="shared" si="28"/>
        <v>4</v>
      </c>
      <c r="J269">
        <f>VLOOKUP(A269,'Housing Cost Calc'!$A$2:$C$827,3,FALSE)</f>
        <v>1586</v>
      </c>
      <c r="K269">
        <f t="shared" si="29"/>
        <v>0.45042388229007491</v>
      </c>
    </row>
    <row r="270" spans="1:11" ht="64" x14ac:dyDescent="0.2">
      <c r="A270" s="4" t="s">
        <v>3574</v>
      </c>
      <c r="B270">
        <v>66615</v>
      </c>
      <c r="C270">
        <v>2.4700000000000002</v>
      </c>
      <c r="D270">
        <f t="shared" si="24"/>
        <v>42386.109485631438</v>
      </c>
      <c r="E270">
        <f t="shared" si="25"/>
        <v>42.386109485631437</v>
      </c>
      <c r="F270" s="7">
        <v>0.32685297691373028</v>
      </c>
      <c r="G270">
        <f t="shared" si="26"/>
        <v>2</v>
      </c>
      <c r="H270" s="7">
        <f t="shared" si="27"/>
        <v>0.67314702308626972</v>
      </c>
      <c r="I270">
        <f t="shared" si="28"/>
        <v>4</v>
      </c>
      <c r="J270">
        <f>VLOOKUP(A270,'Housing Cost Calc'!$A$2:$C$827,3,FALSE)</f>
        <v>1302</v>
      </c>
      <c r="K270">
        <f t="shared" si="29"/>
        <v>0.36861132549323533</v>
      </c>
    </row>
    <row r="271" spans="1:11" ht="64" x14ac:dyDescent="0.2">
      <c r="A271" s="4" t="s">
        <v>3637</v>
      </c>
      <c r="B271">
        <v>71683</v>
      </c>
      <c r="C271">
        <v>2.86</v>
      </c>
      <c r="D271">
        <f t="shared" si="24"/>
        <v>42387.046481685407</v>
      </c>
      <c r="E271">
        <f t="shared" si="25"/>
        <v>42.38704648168541</v>
      </c>
      <c r="F271" s="7">
        <v>0.32806804374240583</v>
      </c>
      <c r="G271">
        <f t="shared" si="26"/>
        <v>2</v>
      </c>
      <c r="H271" s="7">
        <f t="shared" si="27"/>
        <v>0.67193195625759417</v>
      </c>
      <c r="I271">
        <f t="shared" si="28"/>
        <v>4</v>
      </c>
      <c r="J271">
        <f>VLOOKUP(A271,'Housing Cost Calc'!$A$2:$C$827,3,FALSE)</f>
        <v>1286</v>
      </c>
      <c r="K271">
        <f t="shared" si="29"/>
        <v>0.36407349133579897</v>
      </c>
    </row>
    <row r="272" spans="1:11" ht="48" x14ac:dyDescent="0.2">
      <c r="A272" s="4" t="s">
        <v>3502</v>
      </c>
      <c r="B272">
        <v>62060</v>
      </c>
      <c r="C272">
        <v>2.14</v>
      </c>
      <c r="D272">
        <f t="shared" si="24"/>
        <v>42423.342631150597</v>
      </c>
      <c r="E272">
        <f t="shared" si="25"/>
        <v>42.423342631150597</v>
      </c>
      <c r="F272" s="7">
        <v>0.32928311057108139</v>
      </c>
      <c r="G272">
        <f t="shared" si="26"/>
        <v>2</v>
      </c>
      <c r="H272" s="7">
        <f t="shared" si="27"/>
        <v>0.67071688942891861</v>
      </c>
      <c r="I272">
        <f t="shared" si="28"/>
        <v>4</v>
      </c>
      <c r="J272">
        <f>VLOOKUP(A272,'Housing Cost Calc'!$A$2:$C$827,3,FALSE)</f>
        <v>1181</v>
      </c>
      <c r="K272">
        <f t="shared" si="29"/>
        <v>0.33406137095839755</v>
      </c>
    </row>
    <row r="273" spans="1:11" ht="48" x14ac:dyDescent="0.2">
      <c r="A273" s="4" t="s">
        <v>3576</v>
      </c>
      <c r="B273">
        <v>66964</v>
      </c>
      <c r="C273">
        <v>2.4900000000000002</v>
      </c>
      <c r="D273">
        <f t="shared" si="24"/>
        <v>42436.710712121137</v>
      </c>
      <c r="E273">
        <f t="shared" si="25"/>
        <v>42.43671071212114</v>
      </c>
      <c r="F273" s="7">
        <v>0.33049817739975701</v>
      </c>
      <c r="G273">
        <f t="shared" si="26"/>
        <v>2</v>
      </c>
      <c r="H273" s="7">
        <f t="shared" si="27"/>
        <v>0.66950182260024294</v>
      </c>
      <c r="I273">
        <f t="shared" si="28"/>
        <v>4</v>
      </c>
      <c r="J273">
        <f>VLOOKUP(A273,'Housing Cost Calc'!$A$2:$C$827,3,FALSE)</f>
        <v>1172</v>
      </c>
      <c r="K273">
        <f t="shared" si="29"/>
        <v>0.33141117122404401</v>
      </c>
    </row>
    <row r="274" spans="1:11" ht="48" x14ac:dyDescent="0.2">
      <c r="A274" s="4" t="s">
        <v>3613</v>
      </c>
      <c r="B274">
        <v>70217</v>
      </c>
      <c r="C274">
        <v>2.73</v>
      </c>
      <c r="D274">
        <f t="shared" si="24"/>
        <v>42497.261661405304</v>
      </c>
      <c r="E274">
        <f t="shared" si="25"/>
        <v>42.497261661405304</v>
      </c>
      <c r="F274" s="7">
        <v>0.33171324422843257</v>
      </c>
      <c r="G274">
        <f t="shared" si="26"/>
        <v>2</v>
      </c>
      <c r="H274" s="7">
        <f t="shared" si="27"/>
        <v>0.66828675577156749</v>
      </c>
      <c r="I274">
        <f t="shared" si="28"/>
        <v>4</v>
      </c>
      <c r="J274">
        <f>VLOOKUP(A274,'Housing Cost Calc'!$A$2:$C$827,3,FALSE)</f>
        <v>1254</v>
      </c>
      <c r="K274">
        <f t="shared" si="29"/>
        <v>0.35409340300309577</v>
      </c>
    </row>
    <row r="275" spans="1:11" ht="48" x14ac:dyDescent="0.2">
      <c r="A275" s="4" t="s">
        <v>3365</v>
      </c>
      <c r="B275">
        <v>61048</v>
      </c>
      <c r="C275">
        <v>2.06</v>
      </c>
      <c r="D275">
        <f t="shared" si="24"/>
        <v>42534.157056474673</v>
      </c>
      <c r="E275">
        <f t="shared" si="25"/>
        <v>42.534157056474676</v>
      </c>
      <c r="F275" s="7">
        <v>0.33292831105710813</v>
      </c>
      <c r="G275">
        <f t="shared" si="26"/>
        <v>2</v>
      </c>
      <c r="H275" s="7">
        <f t="shared" si="27"/>
        <v>0.66707168894289182</v>
      </c>
      <c r="I275">
        <f t="shared" si="28"/>
        <v>4</v>
      </c>
      <c r="J275">
        <f>VLOOKUP(A275,'Housing Cost Calc'!$A$2:$C$827,3,FALSE)</f>
        <v>1084</v>
      </c>
      <c r="K275">
        <f t="shared" si="29"/>
        <v>0.30582479823753517</v>
      </c>
    </row>
    <row r="276" spans="1:11" ht="48" x14ac:dyDescent="0.2">
      <c r="A276" s="4" t="s">
        <v>3699</v>
      </c>
      <c r="B276">
        <v>75799</v>
      </c>
      <c r="C276">
        <v>3.16</v>
      </c>
      <c r="D276">
        <f t="shared" si="24"/>
        <v>42640.268901145842</v>
      </c>
      <c r="E276">
        <f t="shared" si="25"/>
        <v>42.640268901145845</v>
      </c>
      <c r="F276" s="7">
        <v>0.33414337788578374</v>
      </c>
      <c r="G276">
        <f t="shared" si="26"/>
        <v>2</v>
      </c>
      <c r="H276" s="7">
        <f t="shared" si="27"/>
        <v>0.66585662211421626</v>
      </c>
      <c r="I276">
        <f t="shared" si="28"/>
        <v>4</v>
      </c>
      <c r="J276">
        <f>VLOOKUP(A276,'Housing Cost Calc'!$A$2:$C$827,3,FALSE)</f>
        <v>1914</v>
      </c>
      <c r="K276">
        <f t="shared" si="29"/>
        <v>0.53864575885408628</v>
      </c>
    </row>
    <row r="277" spans="1:11" ht="48" x14ac:dyDescent="0.2">
      <c r="A277" s="4" t="s">
        <v>3567</v>
      </c>
      <c r="B277">
        <v>65927</v>
      </c>
      <c r="C277">
        <v>2.38</v>
      </c>
      <c r="D277">
        <f t="shared" si="24"/>
        <v>42734.126882623546</v>
      </c>
      <c r="E277">
        <f t="shared" si="25"/>
        <v>42.734126882623549</v>
      </c>
      <c r="F277" s="7">
        <v>0.3353584447144593</v>
      </c>
      <c r="G277">
        <f t="shared" si="26"/>
        <v>2</v>
      </c>
      <c r="H277" s="7">
        <f t="shared" si="27"/>
        <v>0.6646415552855407</v>
      </c>
      <c r="I277">
        <f t="shared" si="28"/>
        <v>4</v>
      </c>
      <c r="J277">
        <f>VLOOKUP(A277,'Housing Cost Calc'!$A$2:$C$827,3,FALSE)</f>
        <v>1319</v>
      </c>
      <c r="K277">
        <f t="shared" si="29"/>
        <v>0.37038313766124809</v>
      </c>
    </row>
    <row r="278" spans="1:11" ht="64" x14ac:dyDescent="0.2">
      <c r="A278" s="4" t="s">
        <v>3528</v>
      </c>
      <c r="B278">
        <v>63295</v>
      </c>
      <c r="C278">
        <v>2.1800000000000002</v>
      </c>
      <c r="D278">
        <f t="shared" si="24"/>
        <v>42868.783284287754</v>
      </c>
      <c r="E278">
        <f t="shared" si="25"/>
        <v>42.868783284287751</v>
      </c>
      <c r="F278" s="7">
        <v>0.33657351154313486</v>
      </c>
      <c r="G278">
        <f t="shared" si="26"/>
        <v>2</v>
      </c>
      <c r="H278" s="7">
        <f t="shared" si="27"/>
        <v>0.66342648845686514</v>
      </c>
      <c r="I278">
        <f t="shared" si="28"/>
        <v>4</v>
      </c>
      <c r="J278">
        <f>VLOOKUP(A278,'Housing Cost Calc'!$A$2:$C$827,3,FALSE)</f>
        <v>1187</v>
      </c>
      <c r="K278">
        <f t="shared" si="29"/>
        <v>0.3322697522236584</v>
      </c>
    </row>
    <row r="279" spans="1:11" ht="64" x14ac:dyDescent="0.2">
      <c r="A279" s="4" t="s">
        <v>3595</v>
      </c>
      <c r="B279">
        <v>68301</v>
      </c>
      <c r="C279">
        <v>2.5299999999999998</v>
      </c>
      <c r="D279">
        <f t="shared" si="24"/>
        <v>42940.470794063382</v>
      </c>
      <c r="E279">
        <f t="shared" si="25"/>
        <v>42.94047079406338</v>
      </c>
      <c r="F279" s="7">
        <v>0.33778857837181048</v>
      </c>
      <c r="G279">
        <f t="shared" si="26"/>
        <v>2</v>
      </c>
      <c r="H279" s="7">
        <f t="shared" si="27"/>
        <v>0.66221142162818958</v>
      </c>
      <c r="I279">
        <f t="shared" si="28"/>
        <v>4</v>
      </c>
      <c r="J279">
        <f>VLOOKUP(A279,'Housing Cost Calc'!$A$2:$C$827,3,FALSE)</f>
        <v>1214</v>
      </c>
      <c r="K279">
        <f t="shared" si="29"/>
        <v>0.33926036977717672</v>
      </c>
    </row>
    <row r="280" spans="1:11" ht="48" x14ac:dyDescent="0.2">
      <c r="A280" s="4" t="s">
        <v>3579</v>
      </c>
      <c r="B280">
        <v>67097</v>
      </c>
      <c r="C280">
        <v>2.44</v>
      </c>
      <c r="D280">
        <f t="shared" si="24"/>
        <v>42954.452664287608</v>
      </c>
      <c r="E280">
        <f t="shared" si="25"/>
        <v>42.954452664287608</v>
      </c>
      <c r="F280" s="7">
        <v>0.33900364520048604</v>
      </c>
      <c r="G280">
        <f t="shared" si="26"/>
        <v>2</v>
      </c>
      <c r="H280" s="7">
        <f t="shared" si="27"/>
        <v>0.66099635479951391</v>
      </c>
      <c r="I280">
        <f t="shared" si="28"/>
        <v>4</v>
      </c>
      <c r="J280">
        <f>VLOOKUP(A280,'Housing Cost Calc'!$A$2:$C$827,3,FALSE)</f>
        <v>1754</v>
      </c>
      <c r="K280">
        <f t="shared" si="29"/>
        <v>0.49000740771862605</v>
      </c>
    </row>
    <row r="281" spans="1:11" ht="64" x14ac:dyDescent="0.2">
      <c r="A281" s="4" t="s">
        <v>3597</v>
      </c>
      <c r="B281">
        <v>68322</v>
      </c>
      <c r="C281">
        <v>2.52</v>
      </c>
      <c r="D281">
        <f t="shared" si="24"/>
        <v>43038.814541560707</v>
      </c>
      <c r="E281">
        <f t="shared" si="25"/>
        <v>43.038814541560704</v>
      </c>
      <c r="F281" s="7">
        <v>0.3402187120291616</v>
      </c>
      <c r="G281">
        <f t="shared" si="26"/>
        <v>2</v>
      </c>
      <c r="H281" s="7">
        <f t="shared" si="27"/>
        <v>0.65978128797083846</v>
      </c>
      <c r="I281">
        <f t="shared" si="28"/>
        <v>4</v>
      </c>
      <c r="J281">
        <f>VLOOKUP(A281,'Housing Cost Calc'!$A$2:$C$827,3,FALSE)</f>
        <v>1254</v>
      </c>
      <c r="K281">
        <f t="shared" si="29"/>
        <v>0.34963788292702164</v>
      </c>
    </row>
    <row r="282" spans="1:11" ht="48" x14ac:dyDescent="0.2">
      <c r="A282" s="4" t="s">
        <v>3589</v>
      </c>
      <c r="B282">
        <v>68087</v>
      </c>
      <c r="C282">
        <v>2.5</v>
      </c>
      <c r="D282">
        <f t="shared" si="24"/>
        <v>43061.99980957689</v>
      </c>
      <c r="E282">
        <f t="shared" si="25"/>
        <v>43.061999809576889</v>
      </c>
      <c r="F282" s="7">
        <v>0.34143377885783716</v>
      </c>
      <c r="G282">
        <f t="shared" si="26"/>
        <v>2</v>
      </c>
      <c r="H282" s="7">
        <f t="shared" si="27"/>
        <v>0.65856622114216279</v>
      </c>
      <c r="I282">
        <f t="shared" si="28"/>
        <v>4</v>
      </c>
      <c r="J282">
        <f>VLOOKUP(A282,'Housing Cost Calc'!$A$2:$C$827,3,FALSE)</f>
        <v>1536</v>
      </c>
      <c r="K282">
        <f t="shared" si="29"/>
        <v>0.42803399938478393</v>
      </c>
    </row>
    <row r="283" spans="1:11" ht="64" x14ac:dyDescent="0.2">
      <c r="A283" s="4" t="s">
        <v>3611</v>
      </c>
      <c r="B283">
        <v>69433</v>
      </c>
      <c r="C283">
        <v>2.56</v>
      </c>
      <c r="D283">
        <f t="shared" si="24"/>
        <v>43395.625</v>
      </c>
      <c r="E283">
        <f t="shared" si="25"/>
        <v>43.395625000000003</v>
      </c>
      <c r="F283" s="7">
        <v>0.34264884568651277</v>
      </c>
      <c r="G283">
        <f t="shared" si="26"/>
        <v>2</v>
      </c>
      <c r="H283" s="7">
        <f t="shared" si="27"/>
        <v>0.65735115431348723</v>
      </c>
      <c r="I283">
        <f t="shared" si="28"/>
        <v>4</v>
      </c>
      <c r="J283">
        <f>VLOOKUP(A283,'Housing Cost Calc'!$A$2:$C$827,3,FALSE)</f>
        <v>1211</v>
      </c>
      <c r="K283">
        <f t="shared" si="29"/>
        <v>0.33487246698255874</v>
      </c>
    </row>
    <row r="284" spans="1:11" ht="48" x14ac:dyDescent="0.2">
      <c r="A284" s="4" t="s">
        <v>3622</v>
      </c>
      <c r="B284">
        <v>70642</v>
      </c>
      <c r="C284">
        <v>2.63</v>
      </c>
      <c r="D284">
        <f t="shared" si="24"/>
        <v>43559.723277532525</v>
      </c>
      <c r="E284">
        <f t="shared" si="25"/>
        <v>43.559723277532527</v>
      </c>
      <c r="F284" s="7">
        <v>0.34386391251518833</v>
      </c>
      <c r="G284">
        <f t="shared" si="26"/>
        <v>2</v>
      </c>
      <c r="H284" s="7">
        <f t="shared" si="27"/>
        <v>0.65613608748481167</v>
      </c>
      <c r="I284">
        <f t="shared" si="28"/>
        <v>4</v>
      </c>
      <c r="J284">
        <f>VLOOKUP(A284,'Housing Cost Calc'!$A$2:$C$827,3,FALSE)</f>
        <v>1573</v>
      </c>
      <c r="K284">
        <f t="shared" si="29"/>
        <v>0.4333360861761022</v>
      </c>
    </row>
    <row r="285" spans="1:11" ht="48" x14ac:dyDescent="0.2">
      <c r="A285" s="4" t="s">
        <v>3526</v>
      </c>
      <c r="B285">
        <v>63190</v>
      </c>
      <c r="C285">
        <v>2.1</v>
      </c>
      <c r="D285">
        <f t="shared" si="24"/>
        <v>43605.242694843364</v>
      </c>
      <c r="E285">
        <f t="shared" si="25"/>
        <v>43.605242694843362</v>
      </c>
      <c r="F285" s="7">
        <v>0.34507897934386389</v>
      </c>
      <c r="G285">
        <f t="shared" si="26"/>
        <v>2</v>
      </c>
      <c r="H285" s="7">
        <f t="shared" si="27"/>
        <v>0.65492102065613611</v>
      </c>
      <c r="I285">
        <f t="shared" si="28"/>
        <v>4</v>
      </c>
      <c r="J285">
        <f>VLOOKUP(A285,'Housing Cost Calc'!$A$2:$C$827,3,FALSE)</f>
        <v>1310</v>
      </c>
      <c r="K285">
        <f t="shared" si="29"/>
        <v>0.36050710943202718</v>
      </c>
    </row>
    <row r="286" spans="1:11" ht="48" x14ac:dyDescent="0.2">
      <c r="A286" s="4" t="s">
        <v>3552</v>
      </c>
      <c r="B286">
        <v>64550</v>
      </c>
      <c r="C286">
        <v>2.19</v>
      </c>
      <c r="D286">
        <f t="shared" si="24"/>
        <v>43618.847775686816</v>
      </c>
      <c r="E286">
        <f t="shared" si="25"/>
        <v>43.618847775686817</v>
      </c>
      <c r="F286" s="7">
        <v>0.3462940461725395</v>
      </c>
      <c r="G286">
        <f t="shared" si="26"/>
        <v>2</v>
      </c>
      <c r="H286" s="7">
        <f t="shared" si="27"/>
        <v>0.65370595382746055</v>
      </c>
      <c r="I286">
        <f t="shared" si="28"/>
        <v>4</v>
      </c>
      <c r="J286">
        <f>VLOOKUP(A286,'Housing Cost Calc'!$A$2:$C$827,3,FALSE)</f>
        <v>1181</v>
      </c>
      <c r="K286">
        <f t="shared" si="29"/>
        <v>0.32490541870524797</v>
      </c>
    </row>
    <row r="287" spans="1:11" ht="48" x14ac:dyDescent="0.2">
      <c r="A287" s="4" t="s">
        <v>3423</v>
      </c>
      <c r="B287">
        <v>69167</v>
      </c>
      <c r="C287">
        <v>2.5099999999999998</v>
      </c>
      <c r="D287">
        <f t="shared" si="24"/>
        <v>43657.823279065757</v>
      </c>
      <c r="E287">
        <f t="shared" si="25"/>
        <v>43.657823279065759</v>
      </c>
      <c r="F287" s="7">
        <v>0.34750911300121506</v>
      </c>
      <c r="G287">
        <f t="shared" si="26"/>
        <v>2</v>
      </c>
      <c r="H287" s="7">
        <f t="shared" si="27"/>
        <v>0.65249088699878488</v>
      </c>
      <c r="I287">
        <f t="shared" si="28"/>
        <v>4</v>
      </c>
      <c r="J287">
        <f>VLOOKUP(A287,'Housing Cost Calc'!$A$2:$C$827,3,FALSE)</f>
        <v>1138</v>
      </c>
      <c r="K287">
        <f t="shared" si="29"/>
        <v>0.31279617201043897</v>
      </c>
    </row>
    <row r="288" spans="1:11" ht="48" x14ac:dyDescent="0.2">
      <c r="A288" s="4" t="s">
        <v>3600</v>
      </c>
      <c r="B288">
        <v>68523</v>
      </c>
      <c r="C288">
        <v>2.4500000000000002</v>
      </c>
      <c r="D288">
        <f t="shared" si="24"/>
        <v>43777.738863490886</v>
      </c>
      <c r="E288">
        <f t="shared" si="25"/>
        <v>43.777738863490889</v>
      </c>
      <c r="F288" s="7">
        <v>0.34872417982989062</v>
      </c>
      <c r="G288">
        <f t="shared" si="26"/>
        <v>2</v>
      </c>
      <c r="H288" s="7">
        <f t="shared" si="27"/>
        <v>0.65127582017010943</v>
      </c>
      <c r="I288">
        <f t="shared" si="28"/>
        <v>4</v>
      </c>
      <c r="J288">
        <f>VLOOKUP(A288,'Housing Cost Calc'!$A$2:$C$827,3,FALSE)</f>
        <v>1206</v>
      </c>
      <c r="K288">
        <f t="shared" si="29"/>
        <v>0.33057897405635872</v>
      </c>
    </row>
    <row r="289" spans="1:11" ht="48" x14ac:dyDescent="0.2">
      <c r="A289" s="4" t="s">
        <v>3616</v>
      </c>
      <c r="B289">
        <v>70350</v>
      </c>
      <c r="C289">
        <v>2.57</v>
      </c>
      <c r="D289">
        <f t="shared" si="24"/>
        <v>43883.124310169507</v>
      </c>
      <c r="E289">
        <f t="shared" si="25"/>
        <v>43.883124310169507</v>
      </c>
      <c r="F289" s="7">
        <v>0.34993924665856624</v>
      </c>
      <c r="G289">
        <f t="shared" si="26"/>
        <v>2</v>
      </c>
      <c r="H289" s="7">
        <f t="shared" si="27"/>
        <v>0.65006075334143376</v>
      </c>
      <c r="I289">
        <f t="shared" si="28"/>
        <v>4</v>
      </c>
      <c r="J289">
        <f>VLOOKUP(A289,'Housing Cost Calc'!$A$2:$C$827,3,FALSE)</f>
        <v>1296</v>
      </c>
      <c r="K289">
        <f t="shared" si="29"/>
        <v>0.35439591516039726</v>
      </c>
    </row>
    <row r="290" spans="1:11" ht="48" x14ac:dyDescent="0.2">
      <c r="A290" s="4" t="s">
        <v>3655</v>
      </c>
      <c r="B290">
        <v>72606</v>
      </c>
      <c r="C290">
        <v>2.72</v>
      </c>
      <c r="D290">
        <f t="shared" si="24"/>
        <v>44023.853978469975</v>
      </c>
      <c r="E290">
        <f t="shared" si="25"/>
        <v>44.023853978469973</v>
      </c>
      <c r="F290" s="7">
        <v>0.3511543134872418</v>
      </c>
      <c r="G290">
        <f t="shared" si="26"/>
        <v>2</v>
      </c>
      <c r="H290" s="7">
        <f t="shared" si="27"/>
        <v>0.6488456865127582</v>
      </c>
      <c r="I290">
        <f t="shared" si="28"/>
        <v>4</v>
      </c>
      <c r="J290">
        <f>VLOOKUP(A290,'Housing Cost Calc'!$A$2:$C$827,3,FALSE)</f>
        <v>1283</v>
      </c>
      <c r="K290">
        <f t="shared" si="29"/>
        <v>0.34971949542467295</v>
      </c>
    </row>
    <row r="291" spans="1:11" ht="48" x14ac:dyDescent="0.2">
      <c r="A291" s="4" t="s">
        <v>3550</v>
      </c>
      <c r="B291">
        <v>64406</v>
      </c>
      <c r="C291">
        <v>2.14</v>
      </c>
      <c r="D291">
        <f t="shared" si="24"/>
        <v>44027.035215950455</v>
      </c>
      <c r="E291">
        <f t="shared" si="25"/>
        <v>44.027035215950455</v>
      </c>
      <c r="F291" s="7">
        <v>0.35236938031591736</v>
      </c>
      <c r="G291">
        <f t="shared" si="26"/>
        <v>2</v>
      </c>
      <c r="H291" s="7">
        <f t="shared" si="27"/>
        <v>0.64763061968408264</v>
      </c>
      <c r="I291">
        <f t="shared" si="28"/>
        <v>4</v>
      </c>
      <c r="J291">
        <f>VLOOKUP(A291,'Housing Cost Calc'!$A$2:$C$827,3,FALSE)</f>
        <v>1319</v>
      </c>
      <c r="K291">
        <f t="shared" si="29"/>
        <v>0.35950637880485103</v>
      </c>
    </row>
    <row r="292" spans="1:11" ht="48" x14ac:dyDescent="0.2">
      <c r="A292" s="4" t="s">
        <v>3627</v>
      </c>
      <c r="B292">
        <v>70875</v>
      </c>
      <c r="C292">
        <v>2.59</v>
      </c>
      <c r="D292">
        <f t="shared" si="24"/>
        <v>44039.58216533505</v>
      </c>
      <c r="E292">
        <f t="shared" si="25"/>
        <v>44.039582165335048</v>
      </c>
      <c r="F292" s="7">
        <v>0.35358444714459297</v>
      </c>
      <c r="G292">
        <f t="shared" si="26"/>
        <v>2</v>
      </c>
      <c r="H292" s="7">
        <f t="shared" si="27"/>
        <v>0.64641555285540697</v>
      </c>
      <c r="I292">
        <f t="shared" si="28"/>
        <v>4</v>
      </c>
      <c r="J292">
        <f>VLOOKUP(A292,'Housing Cost Calc'!$A$2:$C$827,3,FALSE)</f>
        <v>1332</v>
      </c>
      <c r="K292">
        <f t="shared" si="29"/>
        <v>0.36294622278640765</v>
      </c>
    </row>
    <row r="293" spans="1:11" ht="48" x14ac:dyDescent="0.2">
      <c r="A293" s="4" t="s">
        <v>3546</v>
      </c>
      <c r="B293">
        <v>66989</v>
      </c>
      <c r="C293">
        <v>2.2999999999999998</v>
      </c>
      <c r="D293">
        <f t="shared" si="24"/>
        <v>44171.238532310381</v>
      </c>
      <c r="E293">
        <f t="shared" si="25"/>
        <v>44.171238532310383</v>
      </c>
      <c r="F293" s="7">
        <v>0.35479951397326853</v>
      </c>
      <c r="G293">
        <f t="shared" si="26"/>
        <v>2</v>
      </c>
      <c r="H293" s="7">
        <f t="shared" si="27"/>
        <v>0.64520048602673152</v>
      </c>
      <c r="I293">
        <f t="shared" si="28"/>
        <v>4</v>
      </c>
      <c r="J293">
        <f>VLOOKUP(A293,'Housing Cost Calc'!$A$2:$C$827,3,FALSE)</f>
        <v>1190</v>
      </c>
      <c r="K293">
        <f t="shared" si="29"/>
        <v>0.32328728997613376</v>
      </c>
    </row>
    <row r="294" spans="1:11" ht="48" x14ac:dyDescent="0.2">
      <c r="A294" s="4" t="s">
        <v>3496</v>
      </c>
      <c r="B294">
        <v>61755</v>
      </c>
      <c r="C294">
        <v>1.95</v>
      </c>
      <c r="D294">
        <f t="shared" si="24"/>
        <v>44223.674046305176</v>
      </c>
      <c r="E294">
        <f t="shared" si="25"/>
        <v>44.223674046305177</v>
      </c>
      <c r="F294" s="7">
        <v>0.35601458080194409</v>
      </c>
      <c r="G294">
        <f t="shared" si="26"/>
        <v>2</v>
      </c>
      <c r="H294" s="7">
        <f t="shared" si="27"/>
        <v>0.64398541919805585</v>
      </c>
      <c r="I294">
        <f t="shared" si="28"/>
        <v>4</v>
      </c>
      <c r="J294">
        <f>VLOOKUP(A294,'Housing Cost Calc'!$A$2:$C$827,3,FALSE)</f>
        <v>1320</v>
      </c>
      <c r="K294">
        <f t="shared" si="29"/>
        <v>0.35817919568180723</v>
      </c>
    </row>
    <row r="295" spans="1:11" ht="48" x14ac:dyDescent="0.2">
      <c r="A295" s="4" t="s">
        <v>3620</v>
      </c>
      <c r="B295">
        <v>70500</v>
      </c>
      <c r="C295">
        <v>2.52</v>
      </c>
      <c r="D295">
        <f t="shared" si="24"/>
        <v>44410.825578584198</v>
      </c>
      <c r="E295">
        <f t="shared" si="25"/>
        <v>44.410825578584195</v>
      </c>
      <c r="F295" s="7">
        <v>0.35722964763061971</v>
      </c>
      <c r="G295">
        <f t="shared" si="26"/>
        <v>2</v>
      </c>
      <c r="H295" s="7">
        <f t="shared" si="27"/>
        <v>0.64277035236938029</v>
      </c>
      <c r="I295">
        <f t="shared" si="28"/>
        <v>4</v>
      </c>
      <c r="J295">
        <f>VLOOKUP(A295,'Housing Cost Calc'!$A$2:$C$827,3,FALSE)</f>
        <v>1272</v>
      </c>
      <c r="K295">
        <f t="shared" si="29"/>
        <v>0.34369998308161626</v>
      </c>
    </row>
    <row r="296" spans="1:11" ht="48" x14ac:dyDescent="0.2">
      <c r="A296" s="4" t="s">
        <v>3685</v>
      </c>
      <c r="B296">
        <v>74722</v>
      </c>
      <c r="C296">
        <v>2.83</v>
      </c>
      <c r="D296">
        <f t="shared" si="24"/>
        <v>44417.618523911086</v>
      </c>
      <c r="E296">
        <f t="shared" si="25"/>
        <v>44.417618523911088</v>
      </c>
      <c r="F296" s="7">
        <v>0.35844471445929527</v>
      </c>
      <c r="G296">
        <f t="shared" si="26"/>
        <v>2</v>
      </c>
      <c r="H296" s="7">
        <f t="shared" si="27"/>
        <v>0.64155528554070473</v>
      </c>
      <c r="I296">
        <f t="shared" si="28"/>
        <v>4</v>
      </c>
      <c r="J296">
        <f>VLOOKUP(A296,'Housing Cost Calc'!$A$2:$C$827,3,FALSE)</f>
        <v>1691</v>
      </c>
      <c r="K296">
        <f t="shared" si="29"/>
        <v>0.45684574442180692</v>
      </c>
    </row>
    <row r="297" spans="1:11" ht="48" x14ac:dyDescent="0.2">
      <c r="A297" s="4" t="s">
        <v>3367</v>
      </c>
      <c r="B297">
        <v>67108</v>
      </c>
      <c r="C297">
        <v>2.2799999999999998</v>
      </c>
      <c r="D297">
        <f t="shared" si="24"/>
        <v>44443.358708960484</v>
      </c>
      <c r="E297">
        <f t="shared" si="25"/>
        <v>44.443358708960481</v>
      </c>
      <c r="F297" s="7">
        <v>0.35965978128797083</v>
      </c>
      <c r="G297">
        <f t="shared" si="26"/>
        <v>2</v>
      </c>
      <c r="H297" s="7">
        <f t="shared" si="27"/>
        <v>0.64034021871202917</v>
      </c>
      <c r="I297">
        <f t="shared" si="28"/>
        <v>4</v>
      </c>
      <c r="J297">
        <f>VLOOKUP(A297,'Housing Cost Calc'!$A$2:$C$827,3,FALSE)</f>
        <v>1133</v>
      </c>
      <c r="K297">
        <f t="shared" si="29"/>
        <v>0.30591747327275765</v>
      </c>
    </row>
    <row r="298" spans="1:11" ht="48" x14ac:dyDescent="0.2">
      <c r="A298" s="4" t="s">
        <v>3690</v>
      </c>
      <c r="B298">
        <v>75110</v>
      </c>
      <c r="C298">
        <v>2.84</v>
      </c>
      <c r="D298">
        <f t="shared" si="24"/>
        <v>44569.585173470165</v>
      </c>
      <c r="E298">
        <f t="shared" si="25"/>
        <v>44.569585173470166</v>
      </c>
      <c r="F298" s="7">
        <v>0.36087484811664644</v>
      </c>
      <c r="G298">
        <f t="shared" si="26"/>
        <v>2</v>
      </c>
      <c r="H298" s="7">
        <f t="shared" si="27"/>
        <v>0.63912515188335361</v>
      </c>
      <c r="I298">
        <f t="shared" si="28"/>
        <v>4</v>
      </c>
      <c r="J298">
        <f>VLOOKUP(A298,'Housing Cost Calc'!$A$2:$C$827,3,FALSE)</f>
        <v>1319</v>
      </c>
      <c r="K298">
        <f t="shared" si="29"/>
        <v>0.35513007218702008</v>
      </c>
    </row>
    <row r="299" spans="1:11" ht="48" x14ac:dyDescent="0.2">
      <c r="A299" s="4" t="s">
        <v>3693</v>
      </c>
      <c r="B299">
        <v>75293</v>
      </c>
      <c r="C299">
        <v>2.84</v>
      </c>
      <c r="D299">
        <f t="shared" si="24"/>
        <v>44678.175695194906</v>
      </c>
      <c r="E299">
        <f t="shared" si="25"/>
        <v>44.678175695194909</v>
      </c>
      <c r="F299" s="7">
        <v>0.362089914945322</v>
      </c>
      <c r="G299">
        <f t="shared" si="26"/>
        <v>2</v>
      </c>
      <c r="H299" s="7">
        <f t="shared" si="27"/>
        <v>0.63791008505467794</v>
      </c>
      <c r="I299">
        <f t="shared" si="28"/>
        <v>4</v>
      </c>
      <c r="J299">
        <f>VLOOKUP(A299,'Housing Cost Calc'!$A$2:$C$827,3,FALSE)</f>
        <v>1323</v>
      </c>
      <c r="K299">
        <f t="shared" si="29"/>
        <v>0.35534127687553385</v>
      </c>
    </row>
    <row r="300" spans="1:11" ht="48" x14ac:dyDescent="0.2">
      <c r="A300" s="4" t="s">
        <v>3559</v>
      </c>
      <c r="B300">
        <v>65218</v>
      </c>
      <c r="C300">
        <v>2.13</v>
      </c>
      <c r="D300">
        <f t="shared" si="24"/>
        <v>44686.637277531961</v>
      </c>
      <c r="E300">
        <f t="shared" si="25"/>
        <v>44.686637277531965</v>
      </c>
      <c r="F300" s="7">
        <v>0.36330498177399756</v>
      </c>
      <c r="G300">
        <f t="shared" si="26"/>
        <v>2</v>
      </c>
      <c r="H300" s="7">
        <f t="shared" si="27"/>
        <v>0.6366950182260025</v>
      </c>
      <c r="I300">
        <f t="shared" si="28"/>
        <v>4</v>
      </c>
      <c r="J300">
        <f>VLOOKUP(A300,'Housing Cost Calc'!$A$2:$C$827,3,FALSE)</f>
        <v>1515</v>
      </c>
      <c r="K300">
        <f t="shared" si="29"/>
        <v>0.40683302901247259</v>
      </c>
    </row>
    <row r="301" spans="1:11" ht="64" x14ac:dyDescent="0.2">
      <c r="A301" s="4" t="s">
        <v>3717</v>
      </c>
      <c r="B301">
        <v>77434</v>
      </c>
      <c r="C301">
        <v>2.99</v>
      </c>
      <c r="D301">
        <f t="shared" si="24"/>
        <v>44781.238441873844</v>
      </c>
      <c r="E301">
        <f t="shared" si="25"/>
        <v>44.781238441873846</v>
      </c>
      <c r="F301" s="7">
        <v>0.36452004860267317</v>
      </c>
      <c r="G301">
        <f t="shared" si="26"/>
        <v>2</v>
      </c>
      <c r="H301" s="7">
        <f t="shared" si="27"/>
        <v>0.63547995139732683</v>
      </c>
      <c r="I301">
        <f t="shared" si="28"/>
        <v>4</v>
      </c>
      <c r="J301">
        <f>VLOOKUP(A301,'Housing Cost Calc'!$A$2:$C$827,3,FALSE)</f>
        <v>1574</v>
      </c>
      <c r="K301">
        <f t="shared" si="29"/>
        <v>0.42178377948427376</v>
      </c>
    </row>
    <row r="302" spans="1:11" ht="48" x14ac:dyDescent="0.2">
      <c r="A302" s="4" t="s">
        <v>3623</v>
      </c>
      <c r="B302">
        <v>70689</v>
      </c>
      <c r="C302">
        <v>2.48</v>
      </c>
      <c r="D302">
        <f t="shared" si="24"/>
        <v>44887.559887582327</v>
      </c>
      <c r="E302">
        <f t="shared" si="25"/>
        <v>44.887559887582327</v>
      </c>
      <c r="F302" s="7">
        <v>0.36573511543134873</v>
      </c>
      <c r="G302">
        <f t="shared" si="26"/>
        <v>2</v>
      </c>
      <c r="H302" s="7">
        <f t="shared" si="27"/>
        <v>0.63426488456865127</v>
      </c>
      <c r="I302">
        <f t="shared" si="28"/>
        <v>4</v>
      </c>
      <c r="J302">
        <f>VLOOKUP(A302,'Housing Cost Calc'!$A$2:$C$827,3,FALSE)</f>
        <v>1333</v>
      </c>
      <c r="K302">
        <f t="shared" si="29"/>
        <v>0.35635708512694464</v>
      </c>
    </row>
    <row r="303" spans="1:11" ht="48" x14ac:dyDescent="0.2">
      <c r="A303" s="4" t="s">
        <v>3453</v>
      </c>
      <c r="B303">
        <v>65521</v>
      </c>
      <c r="C303">
        <v>2.13</v>
      </c>
      <c r="D303">
        <f t="shared" si="24"/>
        <v>44894.249456609701</v>
      </c>
      <c r="E303">
        <f t="shared" si="25"/>
        <v>44.8942494566097</v>
      </c>
      <c r="F303" s="7">
        <v>0.36695018226002429</v>
      </c>
      <c r="G303">
        <f t="shared" si="26"/>
        <v>2</v>
      </c>
      <c r="H303" s="7">
        <f t="shared" si="27"/>
        <v>0.63304981773997571</v>
      </c>
      <c r="I303">
        <f t="shared" si="28"/>
        <v>4</v>
      </c>
      <c r="J303">
        <f>VLOOKUP(A303,'Housing Cost Calc'!$A$2:$C$827,3,FALSE)</f>
        <v>1183</v>
      </c>
      <c r="K303">
        <f t="shared" si="29"/>
        <v>0.31620976342906537</v>
      </c>
    </row>
    <row r="304" spans="1:11" ht="48" x14ac:dyDescent="0.2">
      <c r="A304" s="4" t="s">
        <v>3586</v>
      </c>
      <c r="B304">
        <v>70341</v>
      </c>
      <c r="C304">
        <v>2.4500000000000002</v>
      </c>
      <c r="D304">
        <f t="shared" si="24"/>
        <v>44939.216458660776</v>
      </c>
      <c r="E304">
        <f t="shared" si="25"/>
        <v>44.939216458660773</v>
      </c>
      <c r="F304" s="7">
        <v>0.36816524908869985</v>
      </c>
      <c r="G304">
        <f t="shared" si="26"/>
        <v>2</v>
      </c>
      <c r="H304" s="7">
        <f t="shared" si="27"/>
        <v>0.63183475091130015</v>
      </c>
      <c r="I304">
        <f t="shared" si="28"/>
        <v>4</v>
      </c>
      <c r="J304">
        <f>VLOOKUP(A304,'Housing Cost Calc'!$A$2:$C$827,3,FALSE)</f>
        <v>1234</v>
      </c>
      <c r="K304">
        <f t="shared" si="29"/>
        <v>0.32951175313930453</v>
      </c>
    </row>
    <row r="305" spans="1:11" ht="64" x14ac:dyDescent="0.2">
      <c r="A305" s="4" t="s">
        <v>3639</v>
      </c>
      <c r="B305">
        <v>71734</v>
      </c>
      <c r="C305">
        <v>2.54</v>
      </c>
      <c r="D305">
        <f t="shared" si="24"/>
        <v>45009.914725780669</v>
      </c>
      <c r="E305">
        <f t="shared" si="25"/>
        <v>45.009914725780668</v>
      </c>
      <c r="F305" s="7">
        <v>0.36938031591737547</v>
      </c>
      <c r="G305">
        <f t="shared" si="26"/>
        <v>2</v>
      </c>
      <c r="H305" s="7">
        <f t="shared" si="27"/>
        <v>0.63061968408262459</v>
      </c>
      <c r="I305">
        <f t="shared" si="28"/>
        <v>4</v>
      </c>
      <c r="J305">
        <f>VLOOKUP(A305,'Housing Cost Calc'!$A$2:$C$827,3,FALSE)</f>
        <v>1409</v>
      </c>
      <c r="K305">
        <f t="shared" si="29"/>
        <v>0.37565056728080132</v>
      </c>
    </row>
    <row r="306" spans="1:11" ht="64" x14ac:dyDescent="0.2">
      <c r="A306" s="4" t="s">
        <v>3678</v>
      </c>
      <c r="B306">
        <v>74444</v>
      </c>
      <c r="C306">
        <v>2.72</v>
      </c>
      <c r="D306">
        <f t="shared" si="24"/>
        <v>45138.30517551193</v>
      </c>
      <c r="E306">
        <f t="shared" si="25"/>
        <v>45.138305175511931</v>
      </c>
      <c r="F306" s="7">
        <v>0.37059538274605103</v>
      </c>
      <c r="G306">
        <f t="shared" si="26"/>
        <v>2</v>
      </c>
      <c r="H306" s="7">
        <f t="shared" si="27"/>
        <v>0.62940461725394892</v>
      </c>
      <c r="I306">
        <f t="shared" si="28"/>
        <v>4</v>
      </c>
      <c r="J306">
        <f>VLOOKUP(A306,'Housing Cost Calc'!$A$2:$C$827,3,FALSE)</f>
        <v>1626</v>
      </c>
      <c r="K306">
        <f t="shared" si="29"/>
        <v>0.43227143607034435</v>
      </c>
    </row>
    <row r="307" spans="1:11" ht="48" x14ac:dyDescent="0.2">
      <c r="A307" s="4" t="s">
        <v>3606</v>
      </c>
      <c r="B307">
        <v>69118</v>
      </c>
      <c r="C307">
        <v>2.3199999999999998</v>
      </c>
      <c r="D307">
        <f t="shared" si="24"/>
        <v>45378.19013199152</v>
      </c>
      <c r="E307">
        <f t="shared" si="25"/>
        <v>45.378190131991516</v>
      </c>
      <c r="F307" s="7">
        <v>0.37181044957472659</v>
      </c>
      <c r="G307">
        <f t="shared" si="26"/>
        <v>2</v>
      </c>
      <c r="H307" s="7">
        <f t="shared" si="27"/>
        <v>0.62818955042527347</v>
      </c>
      <c r="I307">
        <f t="shared" si="28"/>
        <v>4</v>
      </c>
      <c r="J307">
        <f>VLOOKUP(A307,'Housing Cost Calc'!$A$2:$C$827,3,FALSE)</f>
        <v>1310</v>
      </c>
      <c r="K307">
        <f t="shared" si="29"/>
        <v>0.34642192547290324</v>
      </c>
    </row>
    <row r="308" spans="1:11" ht="64" x14ac:dyDescent="0.2">
      <c r="A308" s="4" t="s">
        <v>3542</v>
      </c>
      <c r="B308">
        <v>63821</v>
      </c>
      <c r="C308">
        <v>1.97</v>
      </c>
      <c r="D308">
        <f t="shared" si="24"/>
        <v>45470.579772783814</v>
      </c>
      <c r="E308">
        <f t="shared" si="25"/>
        <v>45.470579772783815</v>
      </c>
      <c r="F308" s="7">
        <v>0.3730255164034022</v>
      </c>
      <c r="G308">
        <f t="shared" si="26"/>
        <v>2</v>
      </c>
      <c r="H308" s="7">
        <f t="shared" si="27"/>
        <v>0.6269744835965978</v>
      </c>
      <c r="I308">
        <f t="shared" si="28"/>
        <v>4</v>
      </c>
      <c r="J308">
        <f>VLOOKUP(A308,'Housing Cost Calc'!$A$2:$C$827,3,FALSE)</f>
        <v>1337</v>
      </c>
      <c r="K308">
        <f t="shared" si="29"/>
        <v>0.35284353267919083</v>
      </c>
    </row>
    <row r="309" spans="1:11" ht="48" x14ac:dyDescent="0.2">
      <c r="A309" s="4" t="s">
        <v>3593</v>
      </c>
      <c r="B309">
        <v>68125</v>
      </c>
      <c r="C309">
        <v>2.2400000000000002</v>
      </c>
      <c r="D309">
        <f t="shared" si="24"/>
        <v>45517.930263209775</v>
      </c>
      <c r="E309">
        <f t="shared" si="25"/>
        <v>45.517930263209777</v>
      </c>
      <c r="F309" s="7">
        <v>0.37424058323207776</v>
      </c>
      <c r="G309">
        <f t="shared" si="26"/>
        <v>2</v>
      </c>
      <c r="H309" s="7">
        <f t="shared" si="27"/>
        <v>0.62575941676792224</v>
      </c>
      <c r="I309">
        <f t="shared" si="28"/>
        <v>4</v>
      </c>
      <c r="J309">
        <f>VLOOKUP(A309,'Housing Cost Calc'!$A$2:$C$827,3,FALSE)</f>
        <v>1408</v>
      </c>
      <c r="K309">
        <f t="shared" si="29"/>
        <v>0.37119438213244782</v>
      </c>
    </row>
    <row r="310" spans="1:11" ht="48" x14ac:dyDescent="0.2">
      <c r="A310" s="4" t="s">
        <v>3712</v>
      </c>
      <c r="B310">
        <v>76921</v>
      </c>
      <c r="C310">
        <v>2.85</v>
      </c>
      <c r="D310">
        <f t="shared" si="24"/>
        <v>45564.068026107139</v>
      </c>
      <c r="E310">
        <f t="shared" si="25"/>
        <v>45.564068026107137</v>
      </c>
      <c r="F310" s="7">
        <v>0.37545565006075332</v>
      </c>
      <c r="G310">
        <f t="shared" si="26"/>
        <v>2</v>
      </c>
      <c r="H310" s="7">
        <f t="shared" si="27"/>
        <v>0.62454434993924668</v>
      </c>
      <c r="I310">
        <f t="shared" si="28"/>
        <v>4</v>
      </c>
      <c r="J310">
        <f>VLOOKUP(A310,'Housing Cost Calc'!$A$2:$C$827,3,FALSE)</f>
        <v>1755</v>
      </c>
      <c r="K310">
        <f t="shared" si="29"/>
        <v>0.46220631546623792</v>
      </c>
    </row>
    <row r="311" spans="1:11" ht="48" x14ac:dyDescent="0.2">
      <c r="A311" s="4" t="s">
        <v>3379</v>
      </c>
      <c r="B311">
        <v>64341</v>
      </c>
      <c r="C311">
        <v>1.99</v>
      </c>
      <c r="D311">
        <f t="shared" si="24"/>
        <v>45610.125611441341</v>
      </c>
      <c r="E311">
        <f t="shared" si="25"/>
        <v>45.61012561144134</v>
      </c>
      <c r="F311" s="7">
        <v>0.37667071688942894</v>
      </c>
      <c r="G311">
        <f t="shared" si="26"/>
        <v>2</v>
      </c>
      <c r="H311" s="7">
        <f t="shared" si="27"/>
        <v>0.62332928311057101</v>
      </c>
      <c r="I311">
        <f t="shared" si="28"/>
        <v>4</v>
      </c>
      <c r="J311">
        <f>VLOOKUP(A311,'Housing Cost Calc'!$A$2:$C$827,3,FALSE)</f>
        <v>1169</v>
      </c>
      <c r="K311">
        <f t="shared" si="29"/>
        <v>0.30756328363369084</v>
      </c>
    </row>
    <row r="312" spans="1:11" ht="48" x14ac:dyDescent="0.2">
      <c r="A312" s="4" t="s">
        <v>3120</v>
      </c>
      <c r="B312">
        <v>66331</v>
      </c>
      <c r="C312">
        <v>2.11</v>
      </c>
      <c r="D312">
        <f t="shared" si="24"/>
        <v>45664.143591581858</v>
      </c>
      <c r="E312">
        <f t="shared" si="25"/>
        <v>45.664143591581862</v>
      </c>
      <c r="F312" s="7">
        <v>0.3778857837181045</v>
      </c>
      <c r="G312">
        <f t="shared" si="26"/>
        <v>2</v>
      </c>
      <c r="H312" s="7">
        <f t="shared" si="27"/>
        <v>0.62211421628189556</v>
      </c>
      <c r="I312">
        <f t="shared" si="28"/>
        <v>4</v>
      </c>
      <c r="J312">
        <f>VLOOKUP(A312,'Housing Cost Calc'!$A$2:$C$827,3,FALSE)</f>
        <v>1014</v>
      </c>
      <c r="K312">
        <f t="shared" si="29"/>
        <v>0.26646727701344997</v>
      </c>
    </row>
    <row r="313" spans="1:11" ht="64" x14ac:dyDescent="0.2">
      <c r="A313" s="4" t="s">
        <v>3250</v>
      </c>
      <c r="B313">
        <v>73594</v>
      </c>
      <c r="C313">
        <v>2.58</v>
      </c>
      <c r="D313">
        <f t="shared" si="24"/>
        <v>45817.623111603025</v>
      </c>
      <c r="E313">
        <f t="shared" si="25"/>
        <v>45.817623111603027</v>
      </c>
      <c r="F313" s="7">
        <v>0.37910085054678005</v>
      </c>
      <c r="G313">
        <f t="shared" si="26"/>
        <v>2</v>
      </c>
      <c r="H313" s="7">
        <f t="shared" si="27"/>
        <v>0.62089914945321989</v>
      </c>
      <c r="I313">
        <f t="shared" si="28"/>
        <v>4</v>
      </c>
      <c r="J313">
        <f>VLOOKUP(A313,'Housing Cost Calc'!$A$2:$C$827,3,FALSE)</f>
        <v>1118</v>
      </c>
      <c r="K313">
        <f t="shared" si="29"/>
        <v>0.29281309437028569</v>
      </c>
    </row>
    <row r="314" spans="1:11" ht="48" x14ac:dyDescent="0.2">
      <c r="A314" s="4" t="s">
        <v>3591</v>
      </c>
      <c r="B314">
        <v>68125</v>
      </c>
      <c r="C314">
        <v>2.21</v>
      </c>
      <c r="D314">
        <f t="shared" si="24"/>
        <v>45825.834090998782</v>
      </c>
      <c r="E314">
        <f t="shared" si="25"/>
        <v>45.825834090998782</v>
      </c>
      <c r="F314" s="7">
        <v>0.38031591737545567</v>
      </c>
      <c r="G314">
        <f t="shared" si="26"/>
        <v>2</v>
      </c>
      <c r="H314" s="7">
        <f t="shared" si="27"/>
        <v>0.61968408262454433</v>
      </c>
      <c r="I314">
        <f t="shared" si="28"/>
        <v>4</v>
      </c>
      <c r="J314">
        <f>VLOOKUP(A314,'Housing Cost Calc'!$A$2:$C$827,3,FALSE)</f>
        <v>1456</v>
      </c>
      <c r="K314">
        <f t="shared" si="29"/>
        <v>0.38126965600462231</v>
      </c>
    </row>
    <row r="315" spans="1:11" ht="48" x14ac:dyDescent="0.2">
      <c r="A315" s="4" t="s">
        <v>3664</v>
      </c>
      <c r="B315">
        <v>73365</v>
      </c>
      <c r="C315">
        <v>2.56</v>
      </c>
      <c r="D315">
        <f t="shared" si="24"/>
        <v>45853.125</v>
      </c>
      <c r="E315">
        <f t="shared" si="25"/>
        <v>45.853124999999999</v>
      </c>
      <c r="F315" s="7">
        <v>0.38153098420413123</v>
      </c>
      <c r="G315">
        <f t="shared" si="26"/>
        <v>2</v>
      </c>
      <c r="H315" s="7">
        <f t="shared" si="27"/>
        <v>0.61846901579586877</v>
      </c>
      <c r="I315">
        <f t="shared" si="28"/>
        <v>4</v>
      </c>
      <c r="J315">
        <f>VLOOKUP(A315,'Housing Cost Calc'!$A$2:$C$827,3,FALSE)</f>
        <v>1400</v>
      </c>
      <c r="K315">
        <f t="shared" si="29"/>
        <v>0.36638724187282762</v>
      </c>
    </row>
    <row r="316" spans="1:11" ht="64" x14ac:dyDescent="0.2">
      <c r="A316" s="4" t="s">
        <v>3665</v>
      </c>
      <c r="B316">
        <v>73411</v>
      </c>
      <c r="C316">
        <v>2.5499999999999998</v>
      </c>
      <c r="D316">
        <f t="shared" si="24"/>
        <v>45971.75143285191</v>
      </c>
      <c r="E316">
        <f t="shared" si="25"/>
        <v>45.97175143285191</v>
      </c>
      <c r="F316" s="7">
        <v>0.38274605103280679</v>
      </c>
      <c r="G316">
        <f t="shared" si="26"/>
        <v>2</v>
      </c>
      <c r="H316" s="7">
        <f t="shared" si="27"/>
        <v>0.61725394896719321</v>
      </c>
      <c r="I316">
        <f t="shared" si="28"/>
        <v>4</v>
      </c>
      <c r="J316">
        <f>VLOOKUP(A316,'Housing Cost Calc'!$A$2:$C$827,3,FALSE)</f>
        <v>1442</v>
      </c>
      <c r="K316">
        <f t="shared" si="29"/>
        <v>0.37640506312392474</v>
      </c>
    </row>
    <row r="317" spans="1:11" ht="48" x14ac:dyDescent="0.2">
      <c r="A317" s="4" t="s">
        <v>3401</v>
      </c>
      <c r="B317">
        <v>70952</v>
      </c>
      <c r="C317">
        <v>2.38</v>
      </c>
      <c r="D317">
        <f t="shared" si="24"/>
        <v>45991.350593473173</v>
      </c>
      <c r="E317">
        <f t="shared" si="25"/>
        <v>45.991350593473172</v>
      </c>
      <c r="F317" s="7">
        <v>0.3839611178614824</v>
      </c>
      <c r="G317">
        <f t="shared" si="26"/>
        <v>2</v>
      </c>
      <c r="H317" s="7">
        <f t="shared" si="27"/>
        <v>0.61603888213851765</v>
      </c>
      <c r="I317">
        <f t="shared" si="28"/>
        <v>4</v>
      </c>
      <c r="J317">
        <f>VLOOKUP(A317,'Housing Cost Calc'!$A$2:$C$827,3,FALSE)</f>
        <v>1191</v>
      </c>
      <c r="K317">
        <f t="shared" si="29"/>
        <v>0.31075408344342553</v>
      </c>
    </row>
    <row r="318" spans="1:11" ht="48" x14ac:dyDescent="0.2">
      <c r="A318" s="4" t="s">
        <v>3531</v>
      </c>
      <c r="B318">
        <v>70396</v>
      </c>
      <c r="C318">
        <v>2.34</v>
      </c>
      <c r="D318">
        <f t="shared" si="24"/>
        <v>46019.304830625348</v>
      </c>
      <c r="E318">
        <f t="shared" si="25"/>
        <v>46.019304830625344</v>
      </c>
      <c r="F318" s="7">
        <v>0.38517618469015796</v>
      </c>
      <c r="G318">
        <f t="shared" si="26"/>
        <v>2</v>
      </c>
      <c r="H318" s="7">
        <f t="shared" si="27"/>
        <v>0.61482381530984198</v>
      </c>
      <c r="I318">
        <f t="shared" si="28"/>
        <v>4</v>
      </c>
      <c r="J318">
        <f>VLOOKUP(A318,'Housing Cost Calc'!$A$2:$C$827,3,FALSE)</f>
        <v>1233</v>
      </c>
      <c r="K318">
        <f t="shared" si="29"/>
        <v>0.32151724269753468</v>
      </c>
    </row>
    <row r="319" spans="1:11" ht="48" x14ac:dyDescent="0.2">
      <c r="A319" s="4" t="s">
        <v>3647</v>
      </c>
      <c r="B319">
        <v>72219</v>
      </c>
      <c r="C319">
        <v>2.46</v>
      </c>
      <c r="D319">
        <f t="shared" si="24"/>
        <v>46045.15264072123</v>
      </c>
      <c r="E319">
        <f t="shared" si="25"/>
        <v>46.045152640721227</v>
      </c>
      <c r="F319" s="7">
        <v>0.38639125151883352</v>
      </c>
      <c r="G319">
        <f t="shared" si="26"/>
        <v>2</v>
      </c>
      <c r="H319" s="7">
        <f t="shared" si="27"/>
        <v>0.61360874848116653</v>
      </c>
      <c r="I319">
        <f t="shared" si="28"/>
        <v>4</v>
      </c>
      <c r="J319">
        <f>VLOOKUP(A319,'Housing Cost Calc'!$A$2:$C$827,3,FALSE)</f>
        <v>1542</v>
      </c>
      <c r="K319">
        <f t="shared" si="29"/>
        <v>0.40186640588168027</v>
      </c>
    </row>
    <row r="320" spans="1:11" ht="64" x14ac:dyDescent="0.2">
      <c r="A320" s="4" t="s">
        <v>3609</v>
      </c>
      <c r="B320">
        <v>69390</v>
      </c>
      <c r="C320">
        <v>2.27</v>
      </c>
      <c r="D320">
        <f t="shared" si="24"/>
        <v>46055.760591922051</v>
      </c>
      <c r="E320">
        <f t="shared" si="25"/>
        <v>46.055760591922052</v>
      </c>
      <c r="F320" s="7">
        <v>0.38760631834750914</v>
      </c>
      <c r="G320">
        <f t="shared" si="26"/>
        <v>2</v>
      </c>
      <c r="H320" s="7">
        <f t="shared" si="27"/>
        <v>0.61239368165249086</v>
      </c>
      <c r="I320">
        <f t="shared" si="28"/>
        <v>4</v>
      </c>
      <c r="J320">
        <f>VLOOKUP(A320,'Housing Cost Calc'!$A$2:$C$827,3,FALSE)</f>
        <v>1430</v>
      </c>
      <c r="K320">
        <f t="shared" si="29"/>
        <v>0.3725918273730513</v>
      </c>
    </row>
    <row r="321" spans="1:11" ht="64" x14ac:dyDescent="0.2">
      <c r="A321" s="4" t="s">
        <v>3190</v>
      </c>
      <c r="B321">
        <v>62212</v>
      </c>
      <c r="C321">
        <v>1.82</v>
      </c>
      <c r="D321">
        <f t="shared" si="24"/>
        <v>46114.602488120421</v>
      </c>
      <c r="E321">
        <f t="shared" si="25"/>
        <v>46.114602488120418</v>
      </c>
      <c r="F321" s="7">
        <v>0.3888213851761847</v>
      </c>
      <c r="G321">
        <f t="shared" si="26"/>
        <v>2</v>
      </c>
      <c r="H321" s="7">
        <f t="shared" si="27"/>
        <v>0.6111786148238153</v>
      </c>
      <c r="I321">
        <f t="shared" si="28"/>
        <v>4</v>
      </c>
      <c r="J321">
        <f>VLOOKUP(A321,'Housing Cost Calc'!$A$2:$C$827,3,FALSE)</f>
        <v>1094</v>
      </c>
      <c r="K321">
        <f t="shared" si="29"/>
        <v>0.28468205929741891</v>
      </c>
    </row>
    <row r="322" spans="1:11" ht="64" x14ac:dyDescent="0.2">
      <c r="A322" s="4" t="s">
        <v>3473</v>
      </c>
      <c r="B322">
        <v>59266</v>
      </c>
      <c r="C322">
        <v>1.64</v>
      </c>
      <c r="D322">
        <f t="shared" ref="D322:D385" si="30">(B322/(C322)^0.5)</f>
        <v>46278.97086045063</v>
      </c>
      <c r="E322">
        <f t="shared" ref="E322:E385" si="31">D322/1000</f>
        <v>46.278970860450627</v>
      </c>
      <c r="F322" s="7">
        <v>0.39003645200486026</v>
      </c>
      <c r="G322">
        <f t="shared" si="26"/>
        <v>2</v>
      </c>
      <c r="H322" s="7">
        <f t="shared" si="27"/>
        <v>0.60996354799513974</v>
      </c>
      <c r="I322">
        <f t="shared" si="28"/>
        <v>4</v>
      </c>
      <c r="J322">
        <f>VLOOKUP(A322,'Housing Cost Calc'!$A$2:$C$827,3,FALSE)</f>
        <v>1446</v>
      </c>
      <c r="K322">
        <f t="shared" si="29"/>
        <v>0.37494351489196098</v>
      </c>
    </row>
    <row r="323" spans="1:11" ht="64" x14ac:dyDescent="0.2">
      <c r="A323" s="4" t="s">
        <v>3587</v>
      </c>
      <c r="B323">
        <v>67917</v>
      </c>
      <c r="C323">
        <v>2.15</v>
      </c>
      <c r="D323">
        <f t="shared" si="30"/>
        <v>46319.009553816148</v>
      </c>
      <c r="E323">
        <f t="shared" si="31"/>
        <v>46.319009553816144</v>
      </c>
      <c r="F323" s="7">
        <v>0.39125151883353587</v>
      </c>
      <c r="G323">
        <f t="shared" ref="G323:G386" si="32">IF(F323&lt;0.2,1,IF(F323&lt;0.4,2,IF(F323&lt;0.6,3,IF(F323&lt;0.8,4,5))))</f>
        <v>2</v>
      </c>
      <c r="H323" s="7">
        <f t="shared" ref="H323:H386" si="33">1-F323</f>
        <v>0.60874848116646407</v>
      </c>
      <c r="I323">
        <f t="shared" ref="I323:I386" si="34">6-G323</f>
        <v>4</v>
      </c>
      <c r="J323">
        <f>VLOOKUP(A323,'Housing Cost Calc'!$A$2:$C$827,3,FALSE)</f>
        <v>1286</v>
      </c>
      <c r="K323">
        <f t="shared" ref="K323:K386" si="35">(J323*12)/D323</f>
        <v>0.33316774578416225</v>
      </c>
    </row>
    <row r="324" spans="1:11" ht="48" x14ac:dyDescent="0.2">
      <c r="A324" s="4" t="s">
        <v>3607</v>
      </c>
      <c r="B324">
        <v>69135</v>
      </c>
      <c r="C324">
        <v>2.2200000000000002</v>
      </c>
      <c r="D324">
        <f t="shared" si="30"/>
        <v>46400.373877221573</v>
      </c>
      <c r="E324">
        <f t="shared" si="31"/>
        <v>46.400373877221575</v>
      </c>
      <c r="F324" s="7">
        <v>0.39246658566221143</v>
      </c>
      <c r="G324">
        <f t="shared" si="32"/>
        <v>2</v>
      </c>
      <c r="H324" s="7">
        <f t="shared" si="33"/>
        <v>0.60753341433778862</v>
      </c>
      <c r="I324">
        <f t="shared" si="34"/>
        <v>4</v>
      </c>
      <c r="J324">
        <f>VLOOKUP(A324,'Housing Cost Calc'!$A$2:$C$827,3,FALSE)</f>
        <v>1450</v>
      </c>
      <c r="K324">
        <f t="shared" si="35"/>
        <v>0.37499697838731944</v>
      </c>
    </row>
    <row r="325" spans="1:11" ht="48" x14ac:dyDescent="0.2">
      <c r="A325" s="4" t="s">
        <v>3736</v>
      </c>
      <c r="B325">
        <v>80298</v>
      </c>
      <c r="C325">
        <v>2.99</v>
      </c>
      <c r="D325">
        <f t="shared" si="30"/>
        <v>46437.532407025159</v>
      </c>
      <c r="E325">
        <f t="shared" si="31"/>
        <v>46.437532407025159</v>
      </c>
      <c r="F325" s="7">
        <v>0.39368165249088699</v>
      </c>
      <c r="G325">
        <f t="shared" si="32"/>
        <v>2</v>
      </c>
      <c r="H325" s="7">
        <f t="shared" si="33"/>
        <v>0.60631834750911295</v>
      </c>
      <c r="I325">
        <f t="shared" si="34"/>
        <v>4</v>
      </c>
      <c r="J325">
        <f>VLOOKUP(A325,'Housing Cost Calc'!$A$2:$C$827,3,FALSE)</f>
        <v>1359</v>
      </c>
      <c r="K325">
        <f t="shared" si="35"/>
        <v>0.35118145075109319</v>
      </c>
    </row>
    <row r="326" spans="1:11" ht="64" x14ac:dyDescent="0.2">
      <c r="A326" s="4" t="s">
        <v>3701</v>
      </c>
      <c r="B326">
        <v>75833</v>
      </c>
      <c r="C326">
        <v>2.63</v>
      </c>
      <c r="D326">
        <f t="shared" si="30"/>
        <v>46760.631002875401</v>
      </c>
      <c r="E326">
        <f t="shared" si="31"/>
        <v>46.7606310028754</v>
      </c>
      <c r="F326" s="7">
        <v>0.39489671931956255</v>
      </c>
      <c r="G326">
        <f t="shared" si="32"/>
        <v>2</v>
      </c>
      <c r="H326" s="7">
        <f t="shared" si="33"/>
        <v>0.60510328068043751</v>
      </c>
      <c r="I326">
        <f t="shared" si="34"/>
        <v>4</v>
      </c>
      <c r="J326">
        <f>VLOOKUP(A326,'Housing Cost Calc'!$A$2:$C$827,3,FALSE)</f>
        <v>1401</v>
      </c>
      <c r="K326">
        <f t="shared" si="35"/>
        <v>0.35953321500229962</v>
      </c>
    </row>
    <row r="327" spans="1:11" ht="48" x14ac:dyDescent="0.2">
      <c r="A327" s="4" t="s">
        <v>3484</v>
      </c>
      <c r="B327">
        <v>65470</v>
      </c>
      <c r="C327">
        <v>1.96</v>
      </c>
      <c r="D327">
        <f t="shared" si="30"/>
        <v>46764.285714285717</v>
      </c>
      <c r="E327">
        <f t="shared" si="31"/>
        <v>46.76428571428572</v>
      </c>
      <c r="F327" s="7">
        <v>0.39611178614823817</v>
      </c>
      <c r="G327">
        <f t="shared" si="32"/>
        <v>2</v>
      </c>
      <c r="H327" s="7">
        <f t="shared" si="33"/>
        <v>0.60388821385176183</v>
      </c>
      <c r="I327">
        <f t="shared" si="34"/>
        <v>4</v>
      </c>
      <c r="J327">
        <f>VLOOKUP(A327,'Housing Cost Calc'!$A$2:$C$827,3,FALSE)</f>
        <v>1242</v>
      </c>
      <c r="K327">
        <f t="shared" si="35"/>
        <v>0.318704750267298</v>
      </c>
    </row>
    <row r="328" spans="1:11" ht="48" x14ac:dyDescent="0.2">
      <c r="A328" s="4" t="s">
        <v>3621</v>
      </c>
      <c r="B328">
        <v>76047</v>
      </c>
      <c r="C328">
        <v>2.62</v>
      </c>
      <c r="D328">
        <f t="shared" si="30"/>
        <v>46981.993501327495</v>
      </c>
      <c r="E328">
        <f t="shared" si="31"/>
        <v>46.981993501327494</v>
      </c>
      <c r="F328" s="7">
        <v>0.39732685297691372</v>
      </c>
      <c r="G328">
        <f t="shared" si="32"/>
        <v>2</v>
      </c>
      <c r="H328" s="7">
        <f t="shared" si="33"/>
        <v>0.60267314702308628</v>
      </c>
      <c r="I328">
        <f t="shared" si="34"/>
        <v>4</v>
      </c>
      <c r="J328">
        <f>VLOOKUP(A328,'Housing Cost Calc'!$A$2:$C$827,3,FALSE)</f>
        <v>1301</v>
      </c>
      <c r="K328">
        <f t="shared" si="35"/>
        <v>0.33229752159322223</v>
      </c>
    </row>
    <row r="329" spans="1:11" ht="64" x14ac:dyDescent="0.2">
      <c r="A329" s="4" t="s">
        <v>3659</v>
      </c>
      <c r="B329">
        <v>72674</v>
      </c>
      <c r="C329">
        <v>2.39</v>
      </c>
      <c r="D329">
        <f t="shared" si="30"/>
        <v>47008.902726662891</v>
      </c>
      <c r="E329">
        <f t="shared" si="31"/>
        <v>47.008902726662889</v>
      </c>
      <c r="F329" s="7">
        <v>0.39854191980558928</v>
      </c>
      <c r="G329">
        <f t="shared" si="32"/>
        <v>2</v>
      </c>
      <c r="H329" s="7">
        <f t="shared" si="33"/>
        <v>0.60145808019441072</v>
      </c>
      <c r="I329">
        <f t="shared" si="34"/>
        <v>4</v>
      </c>
      <c r="J329">
        <f>VLOOKUP(A329,'Housing Cost Calc'!$A$2:$C$827,3,FALSE)</f>
        <v>1335</v>
      </c>
      <c r="K329">
        <f t="shared" si="35"/>
        <v>0.34078651214536104</v>
      </c>
    </row>
    <row r="330" spans="1:11" ht="48" x14ac:dyDescent="0.2">
      <c r="A330" s="4" t="s">
        <v>3604</v>
      </c>
      <c r="B330">
        <v>68832</v>
      </c>
      <c r="C330">
        <v>2.13</v>
      </c>
      <c r="D330">
        <f t="shared" si="30"/>
        <v>47162.909274848658</v>
      </c>
      <c r="E330">
        <f t="shared" si="31"/>
        <v>47.162909274848658</v>
      </c>
      <c r="F330" s="7">
        <v>0.3997569866342649</v>
      </c>
      <c r="G330">
        <f t="shared" si="32"/>
        <v>2</v>
      </c>
      <c r="H330" s="7">
        <f t="shared" si="33"/>
        <v>0.60024301336573505</v>
      </c>
      <c r="I330">
        <f t="shared" si="34"/>
        <v>4</v>
      </c>
      <c r="J330">
        <f>VLOOKUP(A330,'Housing Cost Calc'!$A$2:$C$827,3,FALSE)</f>
        <v>1506</v>
      </c>
      <c r="K330">
        <f t="shared" si="35"/>
        <v>0.3831824685513528</v>
      </c>
    </row>
    <row r="331" spans="1:11" ht="48" x14ac:dyDescent="0.2">
      <c r="A331" s="4" t="s">
        <v>3174</v>
      </c>
      <c r="B331">
        <v>68365</v>
      </c>
      <c r="C331">
        <v>2.1</v>
      </c>
      <c r="D331">
        <f t="shared" si="30"/>
        <v>47176.33196444004</v>
      </c>
      <c r="E331">
        <f t="shared" si="31"/>
        <v>47.176331964440038</v>
      </c>
      <c r="F331" s="7">
        <v>0.40097205346294046</v>
      </c>
      <c r="G331">
        <f t="shared" si="32"/>
        <v>3</v>
      </c>
      <c r="H331" s="7">
        <f t="shared" si="33"/>
        <v>0.5990279465370596</v>
      </c>
      <c r="I331">
        <f t="shared" si="34"/>
        <v>3</v>
      </c>
      <c r="J331">
        <f>VLOOKUP(A331,'Housing Cost Calc'!$A$2:$C$827,3,FALSE)</f>
        <v>1113</v>
      </c>
      <c r="K331">
        <f t="shared" si="35"/>
        <v>0.28310806380765913</v>
      </c>
    </row>
    <row r="332" spans="1:11" ht="48" x14ac:dyDescent="0.2">
      <c r="A332" s="4" t="s">
        <v>3657</v>
      </c>
      <c r="B332">
        <v>72667</v>
      </c>
      <c r="C332">
        <v>2.37</v>
      </c>
      <c r="D332">
        <f t="shared" si="30"/>
        <v>47202.288835479332</v>
      </c>
      <c r="E332">
        <f t="shared" si="31"/>
        <v>47.20228883547933</v>
      </c>
      <c r="F332" s="7">
        <v>0.40218712029161602</v>
      </c>
      <c r="G332">
        <f t="shared" si="32"/>
        <v>3</v>
      </c>
      <c r="H332" s="7">
        <f t="shared" si="33"/>
        <v>0.59781287970838393</v>
      </c>
      <c r="I332">
        <f t="shared" si="34"/>
        <v>3</v>
      </c>
      <c r="J332">
        <f>VLOOKUP(A332,'Housing Cost Calc'!$A$2:$C$827,3,FALSE)</f>
        <v>1446</v>
      </c>
      <c r="K332">
        <f t="shared" si="35"/>
        <v>0.36760929243239299</v>
      </c>
    </row>
    <row r="333" spans="1:11" ht="48" x14ac:dyDescent="0.2">
      <c r="A333" s="4" t="s">
        <v>3694</v>
      </c>
      <c r="B333">
        <v>75417</v>
      </c>
      <c r="C333">
        <v>2.5499999999999998</v>
      </c>
      <c r="D333">
        <f t="shared" si="30"/>
        <v>47227.95736076872</v>
      </c>
      <c r="E333">
        <f t="shared" si="31"/>
        <v>47.22795736076872</v>
      </c>
      <c r="F333" s="7">
        <v>0.40340218712029163</v>
      </c>
      <c r="G333">
        <f t="shared" si="32"/>
        <v>3</v>
      </c>
      <c r="H333" s="7">
        <f t="shared" si="33"/>
        <v>0.59659781287970837</v>
      </c>
      <c r="I333">
        <f t="shared" si="34"/>
        <v>3</v>
      </c>
      <c r="J333">
        <f>VLOOKUP(A333,'Housing Cost Calc'!$A$2:$C$827,3,FALSE)</f>
        <v>1640</v>
      </c>
      <c r="K333">
        <f t="shared" si="35"/>
        <v>0.41670233268118784</v>
      </c>
    </row>
    <row r="334" spans="1:11" ht="64" x14ac:dyDescent="0.2">
      <c r="A334" s="4" t="s">
        <v>3417</v>
      </c>
      <c r="B334">
        <v>75536</v>
      </c>
      <c r="C334">
        <v>2.5499999999999998</v>
      </c>
      <c r="D334">
        <f t="shared" si="30"/>
        <v>47302.478051407852</v>
      </c>
      <c r="E334">
        <f t="shared" si="31"/>
        <v>47.302478051407853</v>
      </c>
      <c r="F334" s="7">
        <v>0.40461725394896719</v>
      </c>
      <c r="G334">
        <f t="shared" si="32"/>
        <v>3</v>
      </c>
      <c r="H334" s="7">
        <f t="shared" si="33"/>
        <v>0.59538274605103281</v>
      </c>
      <c r="I334">
        <f t="shared" si="34"/>
        <v>3</v>
      </c>
      <c r="J334">
        <f>VLOOKUP(A334,'Housing Cost Calc'!$A$2:$C$827,3,FALSE)</f>
        <v>1230</v>
      </c>
      <c r="K334">
        <f t="shared" si="35"/>
        <v>0.31203439244681813</v>
      </c>
    </row>
    <row r="335" spans="1:11" ht="64" x14ac:dyDescent="0.2">
      <c r="A335" s="4" t="s">
        <v>3555</v>
      </c>
      <c r="B335">
        <v>74675</v>
      </c>
      <c r="C335">
        <v>2.48</v>
      </c>
      <c r="D335">
        <f t="shared" si="30"/>
        <v>47418.672418696129</v>
      </c>
      <c r="E335">
        <f t="shared" si="31"/>
        <v>47.418672418696126</v>
      </c>
      <c r="F335" s="7">
        <v>0.40583232077764275</v>
      </c>
      <c r="G335">
        <f t="shared" si="32"/>
        <v>3</v>
      </c>
      <c r="H335" s="7">
        <f t="shared" si="33"/>
        <v>0.59416767922235725</v>
      </c>
      <c r="I335">
        <f t="shared" si="34"/>
        <v>3</v>
      </c>
      <c r="J335">
        <f>VLOOKUP(A335,'Housing Cost Calc'!$A$2:$C$827,3,FALSE)</f>
        <v>1280</v>
      </c>
      <c r="K335">
        <f t="shared" si="35"/>
        <v>0.32392302897843028</v>
      </c>
    </row>
    <row r="336" spans="1:11" ht="48" x14ac:dyDescent="0.2">
      <c r="A336" s="4" t="s">
        <v>3722</v>
      </c>
      <c r="B336">
        <v>77939</v>
      </c>
      <c r="C336">
        <v>2.7</v>
      </c>
      <c r="D336">
        <f t="shared" si="30"/>
        <v>47432.16489932793</v>
      </c>
      <c r="E336">
        <f t="shared" si="31"/>
        <v>47.43216489932793</v>
      </c>
      <c r="F336" s="7">
        <v>0.40704738760631837</v>
      </c>
      <c r="G336">
        <f t="shared" si="32"/>
        <v>3</v>
      </c>
      <c r="H336" s="7">
        <f t="shared" si="33"/>
        <v>0.59295261239368169</v>
      </c>
      <c r="I336">
        <f t="shared" si="34"/>
        <v>3</v>
      </c>
      <c r="J336">
        <f>VLOOKUP(A336,'Housing Cost Calc'!$A$2:$C$827,3,FALSE)</f>
        <v>1424</v>
      </c>
      <c r="K336">
        <f t="shared" si="35"/>
        <v>0.36026186104446861</v>
      </c>
    </row>
    <row r="337" spans="1:11" ht="48" x14ac:dyDescent="0.2">
      <c r="A337" s="4" t="s">
        <v>3676</v>
      </c>
      <c r="B337">
        <v>74397</v>
      </c>
      <c r="C337">
        <v>2.46</v>
      </c>
      <c r="D337">
        <f t="shared" si="30"/>
        <v>47433.794721773178</v>
      </c>
      <c r="E337">
        <f t="shared" si="31"/>
        <v>47.433794721773175</v>
      </c>
      <c r="F337" s="7">
        <v>0.40826245443499393</v>
      </c>
      <c r="G337">
        <f t="shared" si="32"/>
        <v>3</v>
      </c>
      <c r="H337" s="7">
        <f t="shared" si="33"/>
        <v>0.59173754556500602</v>
      </c>
      <c r="I337">
        <f t="shared" si="34"/>
        <v>3</v>
      </c>
      <c r="J337">
        <f>VLOOKUP(A337,'Housing Cost Calc'!$A$2:$C$827,3,FALSE)</f>
        <v>1726</v>
      </c>
      <c r="K337">
        <f t="shared" si="35"/>
        <v>0.43665070697986402</v>
      </c>
    </row>
    <row r="338" spans="1:11" ht="48" x14ac:dyDescent="0.2">
      <c r="A338" s="4" t="s">
        <v>3228</v>
      </c>
      <c r="B338">
        <v>71159</v>
      </c>
      <c r="C338">
        <v>2.25</v>
      </c>
      <c r="D338">
        <f t="shared" si="30"/>
        <v>47439.333333333336</v>
      </c>
      <c r="E338">
        <f t="shared" si="31"/>
        <v>47.439333333333337</v>
      </c>
      <c r="F338" s="7">
        <v>0.40947752126366949</v>
      </c>
      <c r="G338">
        <f t="shared" si="32"/>
        <v>3</v>
      </c>
      <c r="H338" s="7">
        <f t="shared" si="33"/>
        <v>0.59052247873633057</v>
      </c>
      <c r="I338">
        <f t="shared" si="34"/>
        <v>3</v>
      </c>
      <c r="J338">
        <f>VLOOKUP(A338,'Housing Cost Calc'!$A$2:$C$827,3,FALSE)</f>
        <v>1151</v>
      </c>
      <c r="K338">
        <f t="shared" si="35"/>
        <v>0.29115080313101643</v>
      </c>
    </row>
    <row r="339" spans="1:11" ht="48" x14ac:dyDescent="0.2">
      <c r="A339" s="4" t="s">
        <v>3537</v>
      </c>
      <c r="B339">
        <v>71825</v>
      </c>
      <c r="C339">
        <v>2.29</v>
      </c>
      <c r="D339">
        <f t="shared" si="30"/>
        <v>47463.295977686823</v>
      </c>
      <c r="E339">
        <f t="shared" si="31"/>
        <v>47.463295977686826</v>
      </c>
      <c r="F339" s="7">
        <v>0.4106925880923451</v>
      </c>
      <c r="G339">
        <f t="shared" si="32"/>
        <v>3</v>
      </c>
      <c r="H339" s="7">
        <f t="shared" si="33"/>
        <v>0.5893074119076549</v>
      </c>
      <c r="I339">
        <f t="shared" si="34"/>
        <v>3</v>
      </c>
      <c r="J339">
        <f>VLOOKUP(A339,'Housing Cost Calc'!$A$2:$C$827,3,FALSE)</f>
        <v>1273</v>
      </c>
      <c r="K339">
        <f t="shared" si="35"/>
        <v>0.32184869772173991</v>
      </c>
    </row>
    <row r="340" spans="1:11" ht="48" x14ac:dyDescent="0.2">
      <c r="A340" s="4" t="s">
        <v>3651</v>
      </c>
      <c r="B340">
        <v>72455</v>
      </c>
      <c r="C340">
        <v>2.33</v>
      </c>
      <c r="D340">
        <f t="shared" si="30"/>
        <v>47466.848720636714</v>
      </c>
      <c r="E340">
        <f t="shared" si="31"/>
        <v>47.466848720636712</v>
      </c>
      <c r="F340" s="7">
        <v>0.41190765492102066</v>
      </c>
      <c r="G340">
        <f t="shared" si="32"/>
        <v>3</v>
      </c>
      <c r="H340" s="7">
        <f t="shared" si="33"/>
        <v>0.58809234507897934</v>
      </c>
      <c r="I340">
        <f t="shared" si="34"/>
        <v>3</v>
      </c>
      <c r="J340">
        <f>VLOOKUP(A340,'Housing Cost Calc'!$A$2:$C$827,3,FALSE)</f>
        <v>1365</v>
      </c>
      <c r="K340">
        <f t="shared" si="35"/>
        <v>0.34508294612948726</v>
      </c>
    </row>
    <row r="341" spans="1:11" ht="64" x14ac:dyDescent="0.2">
      <c r="A341" s="4" t="s">
        <v>3705</v>
      </c>
      <c r="B341">
        <v>75991</v>
      </c>
      <c r="C341">
        <v>2.56</v>
      </c>
      <c r="D341">
        <f t="shared" si="30"/>
        <v>47494.375</v>
      </c>
      <c r="E341">
        <f t="shared" si="31"/>
        <v>47.494374999999998</v>
      </c>
      <c r="F341" s="7">
        <v>0.41312272174969622</v>
      </c>
      <c r="G341">
        <f t="shared" si="32"/>
        <v>3</v>
      </c>
      <c r="H341" s="7">
        <f t="shared" si="33"/>
        <v>0.58687727825030378</v>
      </c>
      <c r="I341">
        <f t="shared" si="34"/>
        <v>3</v>
      </c>
      <c r="J341">
        <f>VLOOKUP(A341,'Housing Cost Calc'!$A$2:$C$827,3,FALSE)</f>
        <v>1458</v>
      </c>
      <c r="K341">
        <f t="shared" si="35"/>
        <v>0.36838046610782854</v>
      </c>
    </row>
    <row r="342" spans="1:11" ht="48" x14ac:dyDescent="0.2">
      <c r="A342" s="4" t="s">
        <v>3584</v>
      </c>
      <c r="B342">
        <v>73903</v>
      </c>
      <c r="C342">
        <v>2.42</v>
      </c>
      <c r="D342">
        <f t="shared" si="30"/>
        <v>47506.64768184493</v>
      </c>
      <c r="E342">
        <f t="shared" si="31"/>
        <v>47.506647681844932</v>
      </c>
      <c r="F342" s="7">
        <v>0.41433778857837184</v>
      </c>
      <c r="G342">
        <f t="shared" si="32"/>
        <v>3</v>
      </c>
      <c r="H342" s="7">
        <f t="shared" si="33"/>
        <v>0.58566221142162811</v>
      </c>
      <c r="I342">
        <f t="shared" si="34"/>
        <v>3</v>
      </c>
      <c r="J342">
        <f>VLOOKUP(A342,'Housing Cost Calc'!$A$2:$C$827,3,FALSE)</f>
        <v>1303</v>
      </c>
      <c r="K342">
        <f t="shared" si="35"/>
        <v>0.32913288482730452</v>
      </c>
    </row>
    <row r="343" spans="1:11" ht="64" x14ac:dyDescent="0.2">
      <c r="A343" s="4" t="s">
        <v>3563</v>
      </c>
      <c r="B343">
        <v>65550</v>
      </c>
      <c r="C343">
        <v>1.9</v>
      </c>
      <c r="D343">
        <f t="shared" si="30"/>
        <v>47554.968194711269</v>
      </c>
      <c r="E343">
        <f t="shared" si="31"/>
        <v>47.554968194711272</v>
      </c>
      <c r="F343" s="7">
        <v>0.41555285540704739</v>
      </c>
      <c r="G343">
        <f t="shared" si="32"/>
        <v>3</v>
      </c>
      <c r="H343" s="7">
        <f t="shared" si="33"/>
        <v>0.58444714459295266</v>
      </c>
      <c r="I343">
        <f t="shared" si="34"/>
        <v>3</v>
      </c>
      <c r="J343">
        <f>VLOOKUP(A343,'Housing Cost Calc'!$A$2:$C$827,3,FALSE)</f>
        <v>1379</v>
      </c>
      <c r="K343">
        <f t="shared" si="35"/>
        <v>0.34797626048754993</v>
      </c>
    </row>
    <row r="344" spans="1:11" ht="48" x14ac:dyDescent="0.2">
      <c r="A344" s="4" t="s">
        <v>3114</v>
      </c>
      <c r="B344">
        <v>75114</v>
      </c>
      <c r="C344">
        <v>2.4900000000000002</v>
      </c>
      <c r="D344">
        <f t="shared" si="30"/>
        <v>47601.563353895632</v>
      </c>
      <c r="E344">
        <f t="shared" si="31"/>
        <v>47.601563353895635</v>
      </c>
      <c r="F344" s="7">
        <v>0.41676792223572295</v>
      </c>
      <c r="G344">
        <f t="shared" si="32"/>
        <v>3</v>
      </c>
      <c r="H344" s="7">
        <f t="shared" si="33"/>
        <v>0.58323207776427699</v>
      </c>
      <c r="I344">
        <f t="shared" si="34"/>
        <v>3</v>
      </c>
      <c r="J344">
        <f>VLOOKUP(A344,'Housing Cost Calc'!$A$2:$C$827,3,FALSE)</f>
        <v>1054</v>
      </c>
      <c r="K344">
        <f t="shared" si="35"/>
        <v>0.26570555899536247</v>
      </c>
    </row>
    <row r="345" spans="1:11" ht="64" x14ac:dyDescent="0.2">
      <c r="A345" s="4" t="s">
        <v>3457</v>
      </c>
      <c r="B345">
        <v>78254</v>
      </c>
      <c r="C345">
        <v>2.69</v>
      </c>
      <c r="D345">
        <f t="shared" si="30"/>
        <v>47712.305879531828</v>
      </c>
      <c r="E345">
        <f t="shared" si="31"/>
        <v>47.712305879531826</v>
      </c>
      <c r="F345" s="7">
        <v>0.41798298906439857</v>
      </c>
      <c r="G345">
        <f t="shared" si="32"/>
        <v>3</v>
      </c>
      <c r="H345" s="7">
        <f t="shared" si="33"/>
        <v>0.58201701093560143</v>
      </c>
      <c r="I345">
        <f t="shared" si="34"/>
        <v>3</v>
      </c>
      <c r="J345">
        <f>VLOOKUP(A345,'Housing Cost Calc'!$A$2:$C$827,3,FALSE)</f>
        <v>1259</v>
      </c>
      <c r="K345">
        <f t="shared" si="35"/>
        <v>0.31664786938082579</v>
      </c>
    </row>
    <row r="346" spans="1:11" ht="48" x14ac:dyDescent="0.2">
      <c r="A346" s="4" t="s">
        <v>3532</v>
      </c>
      <c r="B346">
        <v>63514</v>
      </c>
      <c r="C346">
        <v>1.77</v>
      </c>
      <c r="D346">
        <f t="shared" si="30"/>
        <v>47740.045822571672</v>
      </c>
      <c r="E346">
        <f t="shared" si="31"/>
        <v>47.740045822571673</v>
      </c>
      <c r="F346" s="7">
        <v>0.41919805589307413</v>
      </c>
      <c r="G346">
        <f t="shared" si="32"/>
        <v>3</v>
      </c>
      <c r="H346" s="7">
        <f t="shared" si="33"/>
        <v>0.58080194410692587</v>
      </c>
      <c r="I346">
        <f t="shared" si="34"/>
        <v>3</v>
      </c>
      <c r="J346">
        <f>VLOOKUP(A346,'Housing Cost Calc'!$A$2:$C$827,3,FALSE)</f>
        <v>1542</v>
      </c>
      <c r="K346">
        <f t="shared" si="35"/>
        <v>0.38759912524531426</v>
      </c>
    </row>
    <row r="347" spans="1:11" ht="48" x14ac:dyDescent="0.2">
      <c r="A347" s="4" t="s">
        <v>3633</v>
      </c>
      <c r="B347">
        <v>71295</v>
      </c>
      <c r="C347">
        <v>2.23</v>
      </c>
      <c r="D347">
        <f t="shared" si="30"/>
        <v>47742.66325435599</v>
      </c>
      <c r="E347">
        <f t="shared" si="31"/>
        <v>47.742663254355989</v>
      </c>
      <c r="F347" s="7">
        <v>0.42041312272174969</v>
      </c>
      <c r="G347">
        <f t="shared" si="32"/>
        <v>3</v>
      </c>
      <c r="H347" s="7">
        <f t="shared" si="33"/>
        <v>0.57958687727825031</v>
      </c>
      <c r="I347">
        <f t="shared" si="34"/>
        <v>3</v>
      </c>
      <c r="J347">
        <f>VLOOKUP(A347,'Housing Cost Calc'!$A$2:$C$827,3,FALSE)</f>
        <v>1571</v>
      </c>
      <c r="K347">
        <f t="shared" si="35"/>
        <v>0.39486695368381997</v>
      </c>
    </row>
    <row r="348" spans="1:11" ht="48" x14ac:dyDescent="0.2">
      <c r="A348" s="4" t="s">
        <v>3306</v>
      </c>
      <c r="B348">
        <v>70857</v>
      </c>
      <c r="C348">
        <v>2.2000000000000002</v>
      </c>
      <c r="D348">
        <f t="shared" si="30"/>
        <v>47771.77965455794</v>
      </c>
      <c r="E348">
        <f t="shared" si="31"/>
        <v>47.771779654557939</v>
      </c>
      <c r="F348" s="7">
        <v>0.42162818955042525</v>
      </c>
      <c r="G348">
        <f t="shared" si="32"/>
        <v>3</v>
      </c>
      <c r="H348" s="7">
        <f t="shared" si="33"/>
        <v>0.57837181044957475</v>
      </c>
      <c r="I348">
        <f t="shared" si="34"/>
        <v>3</v>
      </c>
      <c r="J348">
        <f>VLOOKUP(A348,'Housing Cost Calc'!$A$2:$C$827,3,FALSE)</f>
        <v>1195</v>
      </c>
      <c r="K348">
        <f t="shared" si="35"/>
        <v>0.30017721976643613</v>
      </c>
    </row>
    <row r="349" spans="1:11" ht="48" x14ac:dyDescent="0.2">
      <c r="A349" s="4" t="s">
        <v>3725</v>
      </c>
      <c r="B349">
        <v>78134</v>
      </c>
      <c r="C349">
        <v>2.67</v>
      </c>
      <c r="D349">
        <f t="shared" si="30"/>
        <v>47817.231454466681</v>
      </c>
      <c r="E349">
        <f t="shared" si="31"/>
        <v>47.817231454466679</v>
      </c>
      <c r="F349" s="7">
        <v>0.42284325637910086</v>
      </c>
      <c r="G349">
        <f t="shared" si="32"/>
        <v>3</v>
      </c>
      <c r="H349" s="7">
        <f t="shared" si="33"/>
        <v>0.57715674362089908</v>
      </c>
      <c r="I349">
        <f t="shared" si="34"/>
        <v>3</v>
      </c>
      <c r="J349">
        <f>VLOOKUP(A349,'Housing Cost Calc'!$A$2:$C$827,3,FALSE)</f>
        <v>1673</v>
      </c>
      <c r="K349">
        <f t="shared" si="35"/>
        <v>0.41984864847554176</v>
      </c>
    </row>
    <row r="350" spans="1:11" ht="48" x14ac:dyDescent="0.2">
      <c r="A350" s="4" t="s">
        <v>3381</v>
      </c>
      <c r="B350">
        <v>74735</v>
      </c>
      <c r="C350">
        <v>2.44</v>
      </c>
      <c r="D350">
        <f t="shared" si="30"/>
        <v>47844.181108924902</v>
      </c>
      <c r="E350">
        <f t="shared" si="31"/>
        <v>47.8441811089249</v>
      </c>
      <c r="F350" s="7">
        <v>0.42405832320777642</v>
      </c>
      <c r="G350">
        <f t="shared" si="32"/>
        <v>3</v>
      </c>
      <c r="H350" s="7">
        <f t="shared" si="33"/>
        <v>0.57594167679222363</v>
      </c>
      <c r="I350">
        <f t="shared" si="34"/>
        <v>3</v>
      </c>
      <c r="J350">
        <f>VLOOKUP(A350,'Housing Cost Calc'!$A$2:$C$827,3,FALSE)</f>
        <v>1228</v>
      </c>
      <c r="K350">
        <f t="shared" si="35"/>
        <v>0.30799983735642056</v>
      </c>
    </row>
    <row r="351" spans="1:11" ht="48" x14ac:dyDescent="0.2">
      <c r="A351" s="4" t="s">
        <v>3429</v>
      </c>
      <c r="B351">
        <v>71316</v>
      </c>
      <c r="C351">
        <v>2.2200000000000002</v>
      </c>
      <c r="D351">
        <f t="shared" si="30"/>
        <v>47864.165233643354</v>
      </c>
      <c r="E351">
        <f t="shared" si="31"/>
        <v>47.864165233643355</v>
      </c>
      <c r="F351" s="7">
        <v>0.42527339003645198</v>
      </c>
      <c r="G351">
        <f t="shared" si="32"/>
        <v>3</v>
      </c>
      <c r="H351" s="7">
        <f t="shared" si="33"/>
        <v>0.57472660996354796</v>
      </c>
      <c r="I351">
        <f t="shared" si="34"/>
        <v>3</v>
      </c>
      <c r="J351">
        <f>VLOOKUP(A351,'Housing Cost Calc'!$A$2:$C$827,3,FALSE)</f>
        <v>1250</v>
      </c>
      <c r="K351">
        <f t="shared" si="35"/>
        <v>0.31338685061735111</v>
      </c>
    </row>
    <row r="352" spans="1:11" ht="48" x14ac:dyDescent="0.2">
      <c r="A352" s="4" t="s">
        <v>3094</v>
      </c>
      <c r="B352">
        <v>73828</v>
      </c>
      <c r="C352">
        <v>2.37</v>
      </c>
      <c r="D352">
        <f t="shared" si="30"/>
        <v>47956.439376137285</v>
      </c>
      <c r="E352">
        <f t="shared" si="31"/>
        <v>47.956439376137283</v>
      </c>
      <c r="F352" s="7">
        <v>0.4264884568651276</v>
      </c>
      <c r="G352">
        <f t="shared" si="32"/>
        <v>3</v>
      </c>
      <c r="H352" s="7">
        <f t="shared" si="33"/>
        <v>0.5735115431348724</v>
      </c>
      <c r="I352">
        <f t="shared" si="34"/>
        <v>3</v>
      </c>
      <c r="J352">
        <f>VLOOKUP(A352,'Housing Cost Calc'!$A$2:$C$827,3,FALSE)</f>
        <v>1045</v>
      </c>
      <c r="K352">
        <f t="shared" si="35"/>
        <v>0.26148730312617408</v>
      </c>
    </row>
    <row r="353" spans="1:11" ht="64" x14ac:dyDescent="0.2">
      <c r="A353" s="4" t="s">
        <v>3662</v>
      </c>
      <c r="B353">
        <v>72900</v>
      </c>
      <c r="C353">
        <v>2.31</v>
      </c>
      <c r="D353">
        <f t="shared" si="30"/>
        <v>47964.678562567162</v>
      </c>
      <c r="E353">
        <f t="shared" si="31"/>
        <v>47.964678562567158</v>
      </c>
      <c r="F353" s="7">
        <v>0.42770352369380316</v>
      </c>
      <c r="G353">
        <f t="shared" si="32"/>
        <v>3</v>
      </c>
      <c r="H353" s="7">
        <f t="shared" si="33"/>
        <v>0.57229647630619684</v>
      </c>
      <c r="I353">
        <f t="shared" si="34"/>
        <v>3</v>
      </c>
      <c r="J353">
        <f>VLOOKUP(A353,'Housing Cost Calc'!$A$2:$C$827,3,FALSE)</f>
        <v>1414</v>
      </c>
      <c r="K353">
        <f t="shared" si="35"/>
        <v>0.35376031922878876</v>
      </c>
    </row>
    <row r="354" spans="1:11" ht="48" x14ac:dyDescent="0.2">
      <c r="A354" s="4" t="s">
        <v>3272</v>
      </c>
      <c r="B354">
        <v>74634</v>
      </c>
      <c r="C354">
        <v>2.42</v>
      </c>
      <c r="D354">
        <f t="shared" si="30"/>
        <v>47976.552279160715</v>
      </c>
      <c r="E354">
        <f t="shared" si="31"/>
        <v>47.976552279160714</v>
      </c>
      <c r="F354" s="7">
        <v>0.42891859052247872</v>
      </c>
      <c r="G354">
        <f t="shared" si="32"/>
        <v>3</v>
      </c>
      <c r="H354" s="7">
        <f t="shared" si="33"/>
        <v>0.57108140947752128</v>
      </c>
      <c r="I354">
        <f t="shared" si="34"/>
        <v>3</v>
      </c>
      <c r="J354">
        <f>VLOOKUP(A354,'Housing Cost Calc'!$A$2:$C$827,3,FALSE)</f>
        <v>1184</v>
      </c>
      <c r="K354">
        <f t="shared" si="35"/>
        <v>0.29614466494649394</v>
      </c>
    </row>
    <row r="355" spans="1:11" ht="48" x14ac:dyDescent="0.2">
      <c r="A355" s="4" t="s">
        <v>3636</v>
      </c>
      <c r="B355">
        <v>71660</v>
      </c>
      <c r="C355">
        <v>2.23</v>
      </c>
      <c r="D355">
        <f t="shared" si="30"/>
        <v>47987.085332872579</v>
      </c>
      <c r="E355">
        <f t="shared" si="31"/>
        <v>47.987085332872581</v>
      </c>
      <c r="F355" s="7">
        <v>0.43013365735115433</v>
      </c>
      <c r="G355">
        <f t="shared" si="32"/>
        <v>3</v>
      </c>
      <c r="H355" s="7">
        <f t="shared" si="33"/>
        <v>0.56986634264884573</v>
      </c>
      <c r="I355">
        <f t="shared" si="34"/>
        <v>3</v>
      </c>
      <c r="J355">
        <f>VLOOKUP(A355,'Housing Cost Calc'!$A$2:$C$827,3,FALSE)</f>
        <v>1859</v>
      </c>
      <c r="K355">
        <f t="shared" si="35"/>
        <v>0.46487507722662952</v>
      </c>
    </row>
    <row r="356" spans="1:11" ht="48" x14ac:dyDescent="0.2">
      <c r="A356" s="4" t="s">
        <v>3667</v>
      </c>
      <c r="B356">
        <v>73426</v>
      </c>
      <c r="C356">
        <v>2.34</v>
      </c>
      <c r="D356">
        <f t="shared" si="30"/>
        <v>48000.077795521</v>
      </c>
      <c r="E356">
        <f t="shared" si="31"/>
        <v>48.000077795521001</v>
      </c>
      <c r="F356" s="7">
        <v>0.43134872417982989</v>
      </c>
      <c r="G356">
        <f t="shared" si="32"/>
        <v>3</v>
      </c>
      <c r="H356" s="7">
        <f t="shared" si="33"/>
        <v>0.56865127582017005</v>
      </c>
      <c r="I356">
        <f t="shared" si="34"/>
        <v>3</v>
      </c>
      <c r="J356">
        <f>VLOOKUP(A356,'Housing Cost Calc'!$A$2:$C$827,3,FALSE)</f>
        <v>1549</v>
      </c>
      <c r="K356">
        <f t="shared" si="35"/>
        <v>0.38724937236944418</v>
      </c>
    </row>
    <row r="357" spans="1:11" ht="48" x14ac:dyDescent="0.2">
      <c r="A357" s="4" t="s">
        <v>3737</v>
      </c>
      <c r="B357">
        <v>79475</v>
      </c>
      <c r="C357">
        <v>2.73</v>
      </c>
      <c r="D357">
        <f t="shared" si="30"/>
        <v>48100.458158853071</v>
      </c>
      <c r="E357">
        <f t="shared" si="31"/>
        <v>48.100458158853073</v>
      </c>
      <c r="F357" s="7">
        <v>0.43256379100850545</v>
      </c>
      <c r="G357">
        <f t="shared" si="32"/>
        <v>3</v>
      </c>
      <c r="H357" s="7">
        <f t="shared" si="33"/>
        <v>0.56743620899149461</v>
      </c>
      <c r="I357">
        <f t="shared" si="34"/>
        <v>3</v>
      </c>
      <c r="J357">
        <f>VLOOKUP(A357,'Housing Cost Calc'!$A$2:$C$827,3,FALSE)</f>
        <v>1461</v>
      </c>
      <c r="K357">
        <f t="shared" si="35"/>
        <v>0.36448717270218284</v>
      </c>
    </row>
    <row r="358" spans="1:11" ht="48" x14ac:dyDescent="0.2">
      <c r="A358" s="4" t="s">
        <v>3761</v>
      </c>
      <c r="B358">
        <v>81667</v>
      </c>
      <c r="C358">
        <v>2.88</v>
      </c>
      <c r="D358">
        <f t="shared" si="30"/>
        <v>48122.741249301478</v>
      </c>
      <c r="E358">
        <f t="shared" si="31"/>
        <v>48.122741249301477</v>
      </c>
      <c r="F358" s="7">
        <v>0.43377885783718106</v>
      </c>
      <c r="G358">
        <f t="shared" si="32"/>
        <v>3</v>
      </c>
      <c r="H358" s="7">
        <f t="shared" si="33"/>
        <v>0.56622114216281894</v>
      </c>
      <c r="I358">
        <f t="shared" si="34"/>
        <v>3</v>
      </c>
      <c r="J358">
        <f>VLOOKUP(A358,'Housing Cost Calc'!$A$2:$C$827,3,FALSE)</f>
        <v>1853</v>
      </c>
      <c r="K358">
        <f t="shared" si="35"/>
        <v>0.46206844046571777</v>
      </c>
    </row>
    <row r="359" spans="1:11" ht="48" x14ac:dyDescent="0.2">
      <c r="A359" s="4" t="s">
        <v>3644</v>
      </c>
      <c r="B359">
        <v>72188</v>
      </c>
      <c r="C359">
        <v>2.25</v>
      </c>
      <c r="D359">
        <f t="shared" si="30"/>
        <v>48125.333333333336</v>
      </c>
      <c r="E359">
        <f t="shared" si="31"/>
        <v>48.125333333333337</v>
      </c>
      <c r="F359" s="7">
        <v>0.43499392466585662</v>
      </c>
      <c r="G359">
        <f t="shared" si="32"/>
        <v>3</v>
      </c>
      <c r="H359" s="7">
        <f t="shared" si="33"/>
        <v>0.56500607533414338</v>
      </c>
      <c r="I359">
        <f t="shared" si="34"/>
        <v>3</v>
      </c>
      <c r="J359">
        <f>VLOOKUP(A359,'Housing Cost Calc'!$A$2:$C$827,3,FALSE)</f>
        <v>1715</v>
      </c>
      <c r="K359">
        <f t="shared" si="35"/>
        <v>0.4276334016734083</v>
      </c>
    </row>
    <row r="360" spans="1:11" ht="48" x14ac:dyDescent="0.2">
      <c r="A360" s="4" t="s">
        <v>3648</v>
      </c>
      <c r="B360">
        <v>81250</v>
      </c>
      <c r="C360">
        <v>2.84</v>
      </c>
      <c r="D360">
        <f t="shared" si="30"/>
        <v>48213.004864125294</v>
      </c>
      <c r="E360">
        <f t="shared" si="31"/>
        <v>48.213004864125296</v>
      </c>
      <c r="F360" s="7">
        <v>0.43620899149453218</v>
      </c>
      <c r="G360">
        <f t="shared" si="32"/>
        <v>3</v>
      </c>
      <c r="H360" s="7">
        <f t="shared" si="33"/>
        <v>0.56379100850546782</v>
      </c>
      <c r="I360">
        <f t="shared" si="34"/>
        <v>3</v>
      </c>
      <c r="J360">
        <f>VLOOKUP(A360,'Housing Cost Calc'!$A$2:$C$827,3,FALSE)</f>
        <v>1352</v>
      </c>
      <c r="K360">
        <f t="shared" si="35"/>
        <v>0.33650671734157106</v>
      </c>
    </row>
    <row r="361" spans="1:11" ht="48" x14ac:dyDescent="0.2">
      <c r="A361" s="4" t="s">
        <v>3548</v>
      </c>
      <c r="B361">
        <v>74044</v>
      </c>
      <c r="C361">
        <v>2.35</v>
      </c>
      <c r="D361">
        <f t="shared" si="30"/>
        <v>48300.979841169072</v>
      </c>
      <c r="E361">
        <f t="shared" si="31"/>
        <v>48.300979841169074</v>
      </c>
      <c r="F361" s="7">
        <v>0.4374240583232078</v>
      </c>
      <c r="G361">
        <f t="shared" si="32"/>
        <v>3</v>
      </c>
      <c r="H361" s="7">
        <f t="shared" si="33"/>
        <v>0.56257594167679215</v>
      </c>
      <c r="I361">
        <f t="shared" si="34"/>
        <v>3</v>
      </c>
      <c r="J361">
        <f>VLOOKUP(A361,'Housing Cost Calc'!$A$2:$C$827,3,FALSE)</f>
        <v>1302</v>
      </c>
      <c r="K361">
        <f t="shared" si="35"/>
        <v>0.32347169873939019</v>
      </c>
    </row>
    <row r="362" spans="1:11" ht="48" x14ac:dyDescent="0.2">
      <c r="A362" s="4" t="s">
        <v>3821</v>
      </c>
      <c r="B362">
        <v>91500</v>
      </c>
      <c r="C362">
        <v>3.57</v>
      </c>
      <c r="D362">
        <f t="shared" si="30"/>
        <v>48426.935348284125</v>
      </c>
      <c r="E362">
        <f t="shared" si="31"/>
        <v>48.426935348284125</v>
      </c>
      <c r="F362" s="7">
        <v>0.43863912515188336</v>
      </c>
      <c r="G362">
        <f t="shared" si="32"/>
        <v>3</v>
      </c>
      <c r="H362" s="7">
        <f t="shared" si="33"/>
        <v>0.5613608748481167</v>
      </c>
      <c r="I362">
        <f t="shared" si="34"/>
        <v>3</v>
      </c>
      <c r="J362">
        <f>VLOOKUP(A362,'Housing Cost Calc'!$A$2:$C$827,3,FALSE)</f>
        <v>1696</v>
      </c>
      <c r="K362">
        <f t="shared" si="35"/>
        <v>0.42026198547625249</v>
      </c>
    </row>
    <row r="363" spans="1:11" ht="64" x14ac:dyDescent="0.2">
      <c r="A363" s="4" t="s">
        <v>3363</v>
      </c>
      <c r="B363">
        <v>72813</v>
      </c>
      <c r="C363">
        <v>2.2599999999999998</v>
      </c>
      <c r="D363">
        <f t="shared" si="30"/>
        <v>48434.487132675516</v>
      </c>
      <c r="E363">
        <f t="shared" si="31"/>
        <v>48.434487132675514</v>
      </c>
      <c r="F363" s="7">
        <v>0.43985419198055892</v>
      </c>
      <c r="G363">
        <f t="shared" si="32"/>
        <v>3</v>
      </c>
      <c r="H363" s="7">
        <f t="shared" si="33"/>
        <v>0.56014580801944103</v>
      </c>
      <c r="I363">
        <f t="shared" si="34"/>
        <v>3</v>
      </c>
      <c r="J363">
        <f>VLOOKUP(A363,'Housing Cost Calc'!$A$2:$C$827,3,FALSE)</f>
        <v>1234</v>
      </c>
      <c r="K363">
        <f t="shared" si="35"/>
        <v>0.30573256529870491</v>
      </c>
    </row>
    <row r="364" spans="1:11" ht="48" x14ac:dyDescent="0.2">
      <c r="A364" s="4" t="s">
        <v>3763</v>
      </c>
      <c r="B364">
        <v>82000</v>
      </c>
      <c r="C364">
        <v>2.86</v>
      </c>
      <c r="D364">
        <f t="shared" si="30"/>
        <v>48487.616471104775</v>
      </c>
      <c r="E364">
        <f t="shared" si="31"/>
        <v>48.487616471104772</v>
      </c>
      <c r="F364" s="7">
        <v>0.44106925880923453</v>
      </c>
      <c r="G364">
        <f t="shared" si="32"/>
        <v>3</v>
      </c>
      <c r="H364" s="7">
        <f t="shared" si="33"/>
        <v>0.55893074119076547</v>
      </c>
      <c r="I364">
        <f t="shared" si="34"/>
        <v>3</v>
      </c>
      <c r="J364">
        <f>VLOOKUP(A364,'Housing Cost Calc'!$A$2:$C$827,3,FALSE)</f>
        <v>1490</v>
      </c>
      <c r="K364">
        <f t="shared" si="35"/>
        <v>0.36875394794164051</v>
      </c>
    </row>
    <row r="365" spans="1:11" ht="48" x14ac:dyDescent="0.2">
      <c r="A365" s="4" t="s">
        <v>3399</v>
      </c>
      <c r="B365">
        <v>74732</v>
      </c>
      <c r="C365">
        <v>2.37</v>
      </c>
      <c r="D365">
        <f t="shared" si="30"/>
        <v>48543.650477562594</v>
      </c>
      <c r="E365">
        <f t="shared" si="31"/>
        <v>48.543650477562593</v>
      </c>
      <c r="F365" s="7">
        <v>0.44228432563791009</v>
      </c>
      <c r="G365">
        <f t="shared" si="32"/>
        <v>3</v>
      </c>
      <c r="H365" s="7">
        <f t="shared" si="33"/>
        <v>0.55771567436208991</v>
      </c>
      <c r="I365">
        <f t="shared" si="34"/>
        <v>3</v>
      </c>
      <c r="J365">
        <f>VLOOKUP(A365,'Housing Cost Calc'!$A$2:$C$827,3,FALSE)</f>
        <v>1254</v>
      </c>
      <c r="K365">
        <f t="shared" si="35"/>
        <v>0.30998904804152194</v>
      </c>
    </row>
    <row r="366" spans="1:11" ht="48" x14ac:dyDescent="0.2">
      <c r="A366" s="4" t="s">
        <v>3431</v>
      </c>
      <c r="B366">
        <v>76318</v>
      </c>
      <c r="C366">
        <v>2.4700000000000002</v>
      </c>
      <c r="D366">
        <f t="shared" si="30"/>
        <v>48559.980540785407</v>
      </c>
      <c r="E366">
        <f t="shared" si="31"/>
        <v>48.559980540785411</v>
      </c>
      <c r="F366" s="7">
        <v>0.44349939246658565</v>
      </c>
      <c r="G366">
        <f t="shared" si="32"/>
        <v>3</v>
      </c>
      <c r="H366" s="7">
        <f t="shared" si="33"/>
        <v>0.55650060753341435</v>
      </c>
      <c r="I366">
        <f t="shared" si="34"/>
        <v>3</v>
      </c>
      <c r="J366">
        <f>VLOOKUP(A366,'Housing Cost Calc'!$A$2:$C$827,3,FALSE)</f>
        <v>1269</v>
      </c>
      <c r="K366">
        <f t="shared" si="35"/>
        <v>0.31359155894245139</v>
      </c>
    </row>
    <row r="367" spans="1:11" ht="48" x14ac:dyDescent="0.2">
      <c r="A367" s="4" t="s">
        <v>3715</v>
      </c>
      <c r="B367">
        <v>77273</v>
      </c>
      <c r="C367">
        <v>2.5299999999999998</v>
      </c>
      <c r="D367">
        <f t="shared" si="30"/>
        <v>48581.118866043835</v>
      </c>
      <c r="E367">
        <f t="shared" si="31"/>
        <v>48.581118866043838</v>
      </c>
      <c r="F367" s="7">
        <v>0.44471445929526127</v>
      </c>
      <c r="G367">
        <f t="shared" si="32"/>
        <v>3</v>
      </c>
      <c r="H367" s="7">
        <f t="shared" si="33"/>
        <v>0.55528554070473879</v>
      </c>
      <c r="I367">
        <f t="shared" si="34"/>
        <v>3</v>
      </c>
      <c r="J367">
        <f>VLOOKUP(A367,'Housing Cost Calc'!$A$2:$C$827,3,FALSE)</f>
        <v>1466</v>
      </c>
      <c r="K367">
        <f t="shared" si="35"/>
        <v>0.36211599095746783</v>
      </c>
    </row>
    <row r="368" spans="1:11" ht="48" x14ac:dyDescent="0.2">
      <c r="A368" s="4" t="s">
        <v>3565</v>
      </c>
      <c r="B368">
        <v>65781</v>
      </c>
      <c r="C368">
        <v>1.82</v>
      </c>
      <c r="D368">
        <f t="shared" si="30"/>
        <v>48760.121299283892</v>
      </c>
      <c r="E368">
        <f t="shared" si="31"/>
        <v>48.760121299283895</v>
      </c>
      <c r="F368" s="7">
        <v>0.44592952612393683</v>
      </c>
      <c r="G368">
        <f t="shared" si="32"/>
        <v>3</v>
      </c>
      <c r="H368" s="7">
        <f t="shared" si="33"/>
        <v>0.55407047387606312</v>
      </c>
      <c r="I368">
        <f t="shared" si="34"/>
        <v>3</v>
      </c>
      <c r="J368">
        <f>VLOOKUP(A368,'Housing Cost Calc'!$A$2:$C$827,3,FALSE)</f>
        <v>1454</v>
      </c>
      <c r="K368">
        <f t="shared" si="35"/>
        <v>0.35783340022692373</v>
      </c>
    </row>
    <row r="369" spans="1:11" ht="48" x14ac:dyDescent="0.2">
      <c r="A369" s="4" t="s">
        <v>3729</v>
      </c>
      <c r="B369">
        <v>78684</v>
      </c>
      <c r="C369">
        <v>2.6</v>
      </c>
      <c r="D369">
        <f t="shared" si="30"/>
        <v>48797.745282086384</v>
      </c>
      <c r="E369">
        <f t="shared" si="31"/>
        <v>48.797745282086382</v>
      </c>
      <c r="F369" s="7">
        <v>0.44714459295261239</v>
      </c>
      <c r="G369">
        <f t="shared" si="32"/>
        <v>3</v>
      </c>
      <c r="H369" s="7">
        <f t="shared" si="33"/>
        <v>0.55285540704738767</v>
      </c>
      <c r="I369">
        <f t="shared" si="34"/>
        <v>3</v>
      </c>
      <c r="J369">
        <f>VLOOKUP(A369,'Housing Cost Calc'!$A$2:$C$827,3,FALSE)</f>
        <v>1671</v>
      </c>
      <c r="K369">
        <f t="shared" si="35"/>
        <v>0.41092062520685918</v>
      </c>
    </row>
    <row r="370" spans="1:11" ht="48" x14ac:dyDescent="0.2">
      <c r="A370" s="4" t="s">
        <v>3745</v>
      </c>
      <c r="B370">
        <v>82753</v>
      </c>
      <c r="C370">
        <v>2.86</v>
      </c>
      <c r="D370">
        <f t="shared" si="30"/>
        <v>48932.87470528455</v>
      </c>
      <c r="E370">
        <f t="shared" si="31"/>
        <v>48.932874705284547</v>
      </c>
      <c r="F370" s="7">
        <v>0.44835965978128794</v>
      </c>
      <c r="G370">
        <f t="shared" si="32"/>
        <v>3</v>
      </c>
      <c r="H370" s="7">
        <f t="shared" si="33"/>
        <v>0.551640340218712</v>
      </c>
      <c r="I370">
        <f t="shared" si="34"/>
        <v>3</v>
      </c>
      <c r="J370">
        <f>VLOOKUP(A370,'Housing Cost Calc'!$A$2:$C$827,3,FALSE)</f>
        <v>1441</v>
      </c>
      <c r="K370">
        <f t="shared" si="35"/>
        <v>0.35338205867010986</v>
      </c>
    </row>
    <row r="371" spans="1:11" ht="48" x14ac:dyDescent="0.2">
      <c r="A371" s="4" t="s">
        <v>3721</v>
      </c>
      <c r="B371">
        <v>77917</v>
      </c>
      <c r="C371">
        <v>2.5299999999999998</v>
      </c>
      <c r="D371">
        <f t="shared" si="30"/>
        <v>48985.998197113317</v>
      </c>
      <c r="E371">
        <f t="shared" si="31"/>
        <v>48.985998197113318</v>
      </c>
      <c r="F371" s="7">
        <v>0.44957472660996356</v>
      </c>
      <c r="G371">
        <f t="shared" si="32"/>
        <v>3</v>
      </c>
      <c r="H371" s="7">
        <f t="shared" si="33"/>
        <v>0.55042527339003644</v>
      </c>
      <c r="I371">
        <f t="shared" si="34"/>
        <v>3</v>
      </c>
      <c r="J371">
        <f>VLOOKUP(A371,'Housing Cost Calc'!$A$2:$C$827,3,FALSE)</f>
        <v>1672</v>
      </c>
      <c r="K371">
        <f t="shared" si="35"/>
        <v>0.40958642751884039</v>
      </c>
    </row>
    <row r="372" spans="1:11" ht="48" x14ac:dyDescent="0.2">
      <c r="A372" s="4" t="s">
        <v>3276</v>
      </c>
      <c r="B372">
        <v>71399</v>
      </c>
      <c r="C372">
        <v>2.12</v>
      </c>
      <c r="D372">
        <f t="shared" si="30"/>
        <v>49037.03452686224</v>
      </c>
      <c r="E372">
        <f t="shared" si="31"/>
        <v>49.037034526862243</v>
      </c>
      <c r="F372" s="7">
        <v>0.45078979343863912</v>
      </c>
      <c r="G372">
        <f t="shared" si="32"/>
        <v>3</v>
      </c>
      <c r="H372" s="7">
        <f t="shared" si="33"/>
        <v>0.54921020656136088</v>
      </c>
      <c r="I372">
        <f t="shared" si="34"/>
        <v>3</v>
      </c>
      <c r="J372">
        <f>VLOOKUP(A372,'Housing Cost Calc'!$A$2:$C$827,3,FALSE)</f>
        <v>1212</v>
      </c>
      <c r="K372">
        <f t="shared" si="35"/>
        <v>0.29659216019747014</v>
      </c>
    </row>
    <row r="373" spans="1:11" ht="48" x14ac:dyDescent="0.2">
      <c r="A373" s="4" t="s">
        <v>3750</v>
      </c>
      <c r="B373">
        <v>80882</v>
      </c>
      <c r="C373">
        <v>2.72</v>
      </c>
      <c r="D373">
        <f t="shared" si="30"/>
        <v>49041.916060471704</v>
      </c>
      <c r="E373">
        <f t="shared" si="31"/>
        <v>49.041916060471706</v>
      </c>
      <c r="F373" s="7">
        <v>0.45200486026731468</v>
      </c>
      <c r="G373">
        <f t="shared" si="32"/>
        <v>3</v>
      </c>
      <c r="H373" s="7">
        <f t="shared" si="33"/>
        <v>0.54799513973268532</v>
      </c>
      <c r="I373">
        <f t="shared" si="34"/>
        <v>3</v>
      </c>
      <c r="J373">
        <f>VLOOKUP(A373,'Housing Cost Calc'!$A$2:$C$827,3,FALSE)</f>
        <v>1944</v>
      </c>
      <c r="K373">
        <f t="shared" si="35"/>
        <v>0.47567472631442742</v>
      </c>
    </row>
    <row r="374" spans="1:11" ht="64" x14ac:dyDescent="0.2">
      <c r="A374" s="4" t="s">
        <v>3625</v>
      </c>
      <c r="B374">
        <v>70787</v>
      </c>
      <c r="C374">
        <v>2.08</v>
      </c>
      <c r="D374">
        <f t="shared" si="30"/>
        <v>49081.953487744111</v>
      </c>
      <c r="E374">
        <f t="shared" si="31"/>
        <v>49.081953487744109</v>
      </c>
      <c r="F374" s="7">
        <v>0.45321992709599029</v>
      </c>
      <c r="G374">
        <f t="shared" si="32"/>
        <v>3</v>
      </c>
      <c r="H374" s="7">
        <f t="shared" si="33"/>
        <v>0.54678007290400976</v>
      </c>
      <c r="I374">
        <f t="shared" si="34"/>
        <v>3</v>
      </c>
      <c r="J374">
        <f>VLOOKUP(A374,'Housing Cost Calc'!$A$2:$C$827,3,FALSE)</f>
        <v>1616</v>
      </c>
      <c r="K374">
        <f t="shared" si="35"/>
        <v>0.39509429886164232</v>
      </c>
    </row>
    <row r="375" spans="1:11" ht="48" x14ac:dyDescent="0.2">
      <c r="A375" s="4" t="s">
        <v>3640</v>
      </c>
      <c r="B375">
        <v>71810</v>
      </c>
      <c r="C375">
        <v>2.14</v>
      </c>
      <c r="D375">
        <f t="shared" si="30"/>
        <v>49088.305419641059</v>
      </c>
      <c r="E375">
        <f t="shared" si="31"/>
        <v>49.08830541964106</v>
      </c>
      <c r="F375" s="7">
        <v>0.45443499392466585</v>
      </c>
      <c r="G375">
        <f t="shared" si="32"/>
        <v>3</v>
      </c>
      <c r="H375" s="7">
        <f t="shared" si="33"/>
        <v>0.54556500607533409</v>
      </c>
      <c r="I375">
        <f t="shared" si="34"/>
        <v>3</v>
      </c>
      <c r="J375">
        <f>VLOOKUP(A375,'Housing Cost Calc'!$A$2:$C$827,3,FALSE)</f>
        <v>1716</v>
      </c>
      <c r="K375">
        <f t="shared" si="35"/>
        <v>0.41948891541407324</v>
      </c>
    </row>
    <row r="376" spans="1:11" ht="48" x14ac:dyDescent="0.2">
      <c r="A376" s="4" t="s">
        <v>3570</v>
      </c>
      <c r="B376">
        <v>75685</v>
      </c>
      <c r="C376">
        <v>2.37</v>
      </c>
      <c r="D376">
        <f t="shared" si="30"/>
        <v>49162.690499308534</v>
      </c>
      <c r="E376">
        <f t="shared" si="31"/>
        <v>49.162690499308532</v>
      </c>
      <c r="F376" s="7">
        <v>0.45565006075334141</v>
      </c>
      <c r="G376">
        <f t="shared" si="32"/>
        <v>3</v>
      </c>
      <c r="H376" s="7">
        <f t="shared" si="33"/>
        <v>0.54434993924665864</v>
      </c>
      <c r="I376">
        <f t="shared" si="34"/>
        <v>3</v>
      </c>
      <c r="J376">
        <f>VLOOKUP(A376,'Housing Cost Calc'!$A$2:$C$827,3,FALSE)</f>
        <v>1341</v>
      </c>
      <c r="K376">
        <f t="shared" si="35"/>
        <v>0.32732138612768419</v>
      </c>
    </row>
    <row r="377" spans="1:11" ht="48" x14ac:dyDescent="0.2">
      <c r="A377" s="4" t="s">
        <v>3391</v>
      </c>
      <c r="B377">
        <v>74659</v>
      </c>
      <c r="C377">
        <v>2.2999999999999998</v>
      </c>
      <c r="D377">
        <f t="shared" si="30"/>
        <v>49228.686763256068</v>
      </c>
      <c r="E377">
        <f t="shared" si="31"/>
        <v>49.228686763256071</v>
      </c>
      <c r="F377" s="7">
        <v>0.45686512758201703</v>
      </c>
      <c r="G377">
        <f t="shared" si="32"/>
        <v>3</v>
      </c>
      <c r="H377" s="7">
        <f t="shared" si="33"/>
        <v>0.54313487241798297</v>
      </c>
      <c r="I377">
        <f t="shared" si="34"/>
        <v>3</v>
      </c>
      <c r="J377">
        <f>VLOOKUP(A377,'Housing Cost Calc'!$A$2:$C$827,3,FALSE)</f>
        <v>1268</v>
      </c>
      <c r="K377">
        <f t="shared" si="35"/>
        <v>0.30908807446306108</v>
      </c>
    </row>
    <row r="378" spans="1:11" ht="48" x14ac:dyDescent="0.2">
      <c r="A378" s="4" t="s">
        <v>3561</v>
      </c>
      <c r="B378">
        <v>72198</v>
      </c>
      <c r="C378">
        <v>2.15</v>
      </c>
      <c r="D378">
        <f t="shared" si="30"/>
        <v>49238.627321089247</v>
      </c>
      <c r="E378">
        <f t="shared" si="31"/>
        <v>49.238627321089247</v>
      </c>
      <c r="F378" s="7">
        <v>0.45808019441069259</v>
      </c>
      <c r="G378">
        <f t="shared" si="32"/>
        <v>3</v>
      </c>
      <c r="H378" s="7">
        <f t="shared" si="33"/>
        <v>0.54191980558930741</v>
      </c>
      <c r="I378">
        <f t="shared" si="34"/>
        <v>3</v>
      </c>
      <c r="J378">
        <f>VLOOKUP(A378,'Housing Cost Calc'!$A$2:$C$827,3,FALSE)</f>
        <v>1335</v>
      </c>
      <c r="K378">
        <f t="shared" si="35"/>
        <v>0.32535431777031937</v>
      </c>
    </row>
    <row r="379" spans="1:11" ht="48" x14ac:dyDescent="0.2">
      <c r="A379" s="4" t="s">
        <v>3756</v>
      </c>
      <c r="B379">
        <v>81270</v>
      </c>
      <c r="C379">
        <v>2.72</v>
      </c>
      <c r="D379">
        <f t="shared" si="30"/>
        <v>49277.175616756947</v>
      </c>
      <c r="E379">
        <f t="shared" si="31"/>
        <v>49.277175616756949</v>
      </c>
      <c r="F379" s="7">
        <v>0.45929526123936815</v>
      </c>
      <c r="G379">
        <f t="shared" si="32"/>
        <v>3</v>
      </c>
      <c r="H379" s="7">
        <f t="shared" si="33"/>
        <v>0.54070473876063185</v>
      </c>
      <c r="I379">
        <f t="shared" si="34"/>
        <v>3</v>
      </c>
      <c r="J379">
        <f>VLOOKUP(A379,'Housing Cost Calc'!$A$2:$C$827,3,FALSE)</f>
        <v>1503</v>
      </c>
      <c r="K379">
        <f t="shared" si="35"/>
        <v>0.36601123693190663</v>
      </c>
    </row>
    <row r="380" spans="1:11" ht="64" x14ac:dyDescent="0.2">
      <c r="A380" s="4" t="s">
        <v>3688</v>
      </c>
      <c r="B380">
        <v>75074</v>
      </c>
      <c r="C380">
        <v>2.3199999999999998</v>
      </c>
      <c r="D380">
        <f t="shared" si="30"/>
        <v>49288.495702554057</v>
      </c>
      <c r="E380">
        <f t="shared" si="31"/>
        <v>49.288495702554059</v>
      </c>
      <c r="F380" s="7">
        <v>0.46051032806804376</v>
      </c>
      <c r="G380">
        <f t="shared" si="32"/>
        <v>3</v>
      </c>
      <c r="H380" s="7">
        <f t="shared" si="33"/>
        <v>0.53948967193195618</v>
      </c>
      <c r="I380">
        <f t="shared" si="34"/>
        <v>3</v>
      </c>
      <c r="J380">
        <f>VLOOKUP(A380,'Housing Cost Calc'!$A$2:$C$827,3,FALSE)</f>
        <v>1495</v>
      </c>
      <c r="K380">
        <f t="shared" si="35"/>
        <v>0.36397945898499751</v>
      </c>
    </row>
    <row r="381" spans="1:11" ht="48" x14ac:dyDescent="0.2">
      <c r="A381" s="4" t="s">
        <v>3733</v>
      </c>
      <c r="B381">
        <v>78844</v>
      </c>
      <c r="C381">
        <v>2.54</v>
      </c>
      <c r="D381">
        <f t="shared" si="30"/>
        <v>49471.125500312977</v>
      </c>
      <c r="E381">
        <f t="shared" si="31"/>
        <v>49.471125500312979</v>
      </c>
      <c r="F381" s="7">
        <v>0.46172539489671932</v>
      </c>
      <c r="G381">
        <f t="shared" si="32"/>
        <v>3</v>
      </c>
      <c r="H381" s="7">
        <f t="shared" si="33"/>
        <v>0.53827460510328073</v>
      </c>
      <c r="I381">
        <f t="shared" si="34"/>
        <v>3</v>
      </c>
      <c r="J381">
        <f>VLOOKUP(A381,'Housing Cost Calc'!$A$2:$C$827,3,FALSE)</f>
        <v>1741</v>
      </c>
      <c r="K381">
        <f t="shared" si="35"/>
        <v>0.42230694751159092</v>
      </c>
    </row>
    <row r="382" spans="1:11" ht="48" x14ac:dyDescent="0.2">
      <c r="A382" s="4" t="s">
        <v>3719</v>
      </c>
      <c r="B382">
        <v>77778</v>
      </c>
      <c r="C382">
        <v>2.4700000000000002</v>
      </c>
      <c r="D382">
        <f t="shared" si="30"/>
        <v>49488.956294730044</v>
      </c>
      <c r="E382">
        <f t="shared" si="31"/>
        <v>49.488956294730045</v>
      </c>
      <c r="F382" s="7">
        <v>0.46294046172539488</v>
      </c>
      <c r="G382">
        <f t="shared" si="32"/>
        <v>3</v>
      </c>
      <c r="H382" s="7">
        <f t="shared" si="33"/>
        <v>0.53705953827460506</v>
      </c>
      <c r="I382">
        <f t="shared" si="34"/>
        <v>3</v>
      </c>
      <c r="J382">
        <f>VLOOKUP(A382,'Housing Cost Calc'!$A$2:$C$827,3,FALSE)</f>
        <v>1704</v>
      </c>
      <c r="K382">
        <f t="shared" si="35"/>
        <v>0.41318309236958906</v>
      </c>
    </row>
    <row r="383" spans="1:11" ht="48" x14ac:dyDescent="0.2">
      <c r="A383" s="4" t="s">
        <v>3503</v>
      </c>
      <c r="B383">
        <v>74602</v>
      </c>
      <c r="C383">
        <v>2.2599999999999998</v>
      </c>
      <c r="D383">
        <f t="shared" si="30"/>
        <v>49624.512230945831</v>
      </c>
      <c r="E383">
        <f t="shared" si="31"/>
        <v>49.624512230945832</v>
      </c>
      <c r="F383" s="7">
        <v>0.4641555285540705</v>
      </c>
      <c r="G383">
        <f t="shared" si="32"/>
        <v>3</v>
      </c>
      <c r="H383" s="7">
        <f t="shared" si="33"/>
        <v>0.5358444714459295</v>
      </c>
      <c r="I383">
        <f t="shared" si="34"/>
        <v>3</v>
      </c>
      <c r="J383">
        <f>VLOOKUP(A383,'Housing Cost Calc'!$A$2:$C$827,3,FALSE)</f>
        <v>1325</v>
      </c>
      <c r="K383">
        <f t="shared" si="35"/>
        <v>0.32040617197411492</v>
      </c>
    </row>
    <row r="384" spans="1:11" ht="48" x14ac:dyDescent="0.2">
      <c r="A384" s="4" t="s">
        <v>3661</v>
      </c>
      <c r="B384">
        <v>75980</v>
      </c>
      <c r="C384">
        <v>2.34</v>
      </c>
      <c r="D384">
        <f t="shared" si="30"/>
        <v>49669.679825997409</v>
      </c>
      <c r="E384">
        <f t="shared" si="31"/>
        <v>49.669679825997406</v>
      </c>
      <c r="F384" s="7">
        <v>0.46537059538274606</v>
      </c>
      <c r="G384">
        <f t="shared" si="32"/>
        <v>3</v>
      </c>
      <c r="H384" s="7">
        <f t="shared" si="33"/>
        <v>0.53462940461725394</v>
      </c>
      <c r="I384">
        <f t="shared" si="34"/>
        <v>3</v>
      </c>
      <c r="J384">
        <f>VLOOKUP(A384,'Housing Cost Calc'!$A$2:$C$827,3,FALSE)</f>
        <v>1400</v>
      </c>
      <c r="K384">
        <f t="shared" si="35"/>
        <v>0.33823451366817103</v>
      </c>
    </row>
    <row r="385" spans="1:11" ht="48" x14ac:dyDescent="0.2">
      <c r="A385" s="4" t="s">
        <v>3650</v>
      </c>
      <c r="B385">
        <v>79864</v>
      </c>
      <c r="C385">
        <v>2.57</v>
      </c>
      <c r="D385">
        <f t="shared" si="30"/>
        <v>49817.794454973387</v>
      </c>
      <c r="E385">
        <f t="shared" si="31"/>
        <v>49.817794454973388</v>
      </c>
      <c r="F385" s="7">
        <v>0.46658566221142161</v>
      </c>
      <c r="G385">
        <f t="shared" si="32"/>
        <v>3</v>
      </c>
      <c r="H385" s="7">
        <f t="shared" si="33"/>
        <v>0.53341433778857839</v>
      </c>
      <c r="I385">
        <f t="shared" si="34"/>
        <v>3</v>
      </c>
      <c r="J385">
        <f>VLOOKUP(A385,'Housing Cost Calc'!$A$2:$C$827,3,FALSE)</f>
        <v>1398</v>
      </c>
      <c r="K385">
        <f t="shared" si="35"/>
        <v>0.33674714393794736</v>
      </c>
    </row>
    <row r="386" spans="1:11" ht="64" x14ac:dyDescent="0.2">
      <c r="A386" s="4" t="s">
        <v>3689</v>
      </c>
      <c r="B386">
        <v>79444</v>
      </c>
      <c r="C386">
        <v>2.54</v>
      </c>
      <c r="D386">
        <f t="shared" ref="D386:D449" si="36">(B386/(C386)^0.5)</f>
        <v>49847.598983395867</v>
      </c>
      <c r="E386">
        <f t="shared" ref="E386:E449" si="37">D386/1000</f>
        <v>49.847598983395869</v>
      </c>
      <c r="F386" s="7">
        <v>0.46780072904009723</v>
      </c>
      <c r="G386">
        <f t="shared" si="32"/>
        <v>3</v>
      </c>
      <c r="H386" s="7">
        <f t="shared" si="33"/>
        <v>0.53219927095990283</v>
      </c>
      <c r="I386">
        <f t="shared" si="34"/>
        <v>3</v>
      </c>
      <c r="J386">
        <f>VLOOKUP(A386,'Housing Cost Calc'!$A$2:$C$827,3,FALSE)</f>
        <v>1427</v>
      </c>
      <c r="K386">
        <f t="shared" si="35"/>
        <v>0.34352707751689243</v>
      </c>
    </row>
    <row r="387" spans="1:11" ht="48" x14ac:dyDescent="0.2">
      <c r="A387" s="4" t="s">
        <v>3753</v>
      </c>
      <c r="B387">
        <v>81154</v>
      </c>
      <c r="C387">
        <v>2.65</v>
      </c>
      <c r="D387">
        <f t="shared" si="36"/>
        <v>49852.505911542474</v>
      </c>
      <c r="E387">
        <f t="shared" si="37"/>
        <v>49.852505911542472</v>
      </c>
      <c r="F387" s="7">
        <v>0.46901579586877279</v>
      </c>
      <c r="G387">
        <f t="shared" ref="G387:G450" si="38">IF(F387&lt;0.2,1,IF(F387&lt;0.4,2,IF(F387&lt;0.6,3,IF(F387&lt;0.8,4,5))))</f>
        <v>3</v>
      </c>
      <c r="H387" s="7">
        <f t="shared" ref="H387:H450" si="39">1-F387</f>
        <v>0.53098420413122716</v>
      </c>
      <c r="I387">
        <f t="shared" ref="I387:I450" si="40">6-G387</f>
        <v>3</v>
      </c>
      <c r="J387">
        <f>VLOOKUP(A387,'Housing Cost Calc'!$A$2:$C$827,3,FALSE)</f>
        <v>1520</v>
      </c>
      <c r="K387">
        <f t="shared" ref="K387:K450" si="41">(J387*12)/D387</f>
        <v>0.36587930067878188</v>
      </c>
    </row>
    <row r="388" spans="1:11" ht="48" x14ac:dyDescent="0.2">
      <c r="A388" s="4" t="s">
        <v>3649</v>
      </c>
      <c r="B388">
        <v>72344</v>
      </c>
      <c r="C388">
        <v>2.1</v>
      </c>
      <c r="D388">
        <f t="shared" si="36"/>
        <v>49922.102825063273</v>
      </c>
      <c r="E388">
        <f t="shared" si="37"/>
        <v>49.922102825063277</v>
      </c>
      <c r="F388" s="7">
        <v>0.47023086269744835</v>
      </c>
      <c r="G388">
        <f t="shared" si="38"/>
        <v>3</v>
      </c>
      <c r="H388" s="7">
        <f t="shared" si="39"/>
        <v>0.52976913730255171</v>
      </c>
      <c r="I388">
        <f t="shared" si="40"/>
        <v>3</v>
      </c>
      <c r="J388">
        <f>VLOOKUP(A388,'Housing Cost Calc'!$A$2:$C$827,3,FALSE)</f>
        <v>1719</v>
      </c>
      <c r="K388">
        <f t="shared" si="41"/>
        <v>0.41320374809299421</v>
      </c>
    </row>
    <row r="389" spans="1:11" ht="48" x14ac:dyDescent="0.2">
      <c r="A389" s="4" t="s">
        <v>3674</v>
      </c>
      <c r="B389">
        <v>74202</v>
      </c>
      <c r="C389">
        <v>2.2000000000000002</v>
      </c>
      <c r="D389">
        <f t="shared" si="36"/>
        <v>50026.978194497489</v>
      </c>
      <c r="E389">
        <f t="shared" si="37"/>
        <v>50.026978194497488</v>
      </c>
      <c r="F389" s="7">
        <v>0.47144592952612396</v>
      </c>
      <c r="G389">
        <f t="shared" si="38"/>
        <v>3</v>
      </c>
      <c r="H389" s="7">
        <f t="shared" si="39"/>
        <v>0.52855407047387604</v>
      </c>
      <c r="I389">
        <f t="shared" si="40"/>
        <v>3</v>
      </c>
      <c r="J389">
        <f>VLOOKUP(A389,'Housing Cost Calc'!$A$2:$C$827,3,FALSE)</f>
        <v>1498</v>
      </c>
      <c r="K389">
        <f t="shared" si="41"/>
        <v>0.35932612060060815</v>
      </c>
    </row>
    <row r="390" spans="1:11" ht="48" x14ac:dyDescent="0.2">
      <c r="A390" s="4" t="s">
        <v>3421</v>
      </c>
      <c r="B390">
        <v>75673</v>
      </c>
      <c r="C390">
        <v>2.2799999999999998</v>
      </c>
      <c r="D390">
        <f t="shared" si="36"/>
        <v>50115.668528091534</v>
      </c>
      <c r="E390">
        <f t="shared" si="37"/>
        <v>50.115668528091533</v>
      </c>
      <c r="F390" s="7">
        <v>0.47266099635479952</v>
      </c>
      <c r="G390">
        <f t="shared" si="38"/>
        <v>3</v>
      </c>
      <c r="H390" s="7">
        <f t="shared" si="39"/>
        <v>0.52733900364520048</v>
      </c>
      <c r="I390">
        <f t="shared" si="40"/>
        <v>3</v>
      </c>
      <c r="J390">
        <f>VLOOKUP(A390,'Housing Cost Calc'!$A$2:$C$827,3,FALSE)</f>
        <v>1305</v>
      </c>
      <c r="K390">
        <f t="shared" si="41"/>
        <v>0.31247712461866167</v>
      </c>
    </row>
    <row r="391" spans="1:11" ht="48" x14ac:dyDescent="0.2">
      <c r="A391" s="4" t="s">
        <v>3707</v>
      </c>
      <c r="B391">
        <v>76739</v>
      </c>
      <c r="C391">
        <v>2.34</v>
      </c>
      <c r="D391">
        <f t="shared" si="36"/>
        <v>50165.853647897013</v>
      </c>
      <c r="E391">
        <f t="shared" si="37"/>
        <v>50.165853647897009</v>
      </c>
      <c r="F391" s="7">
        <v>0.47387606318347508</v>
      </c>
      <c r="G391">
        <f t="shared" si="38"/>
        <v>3</v>
      </c>
      <c r="H391" s="7">
        <f t="shared" si="39"/>
        <v>0.52612393681652492</v>
      </c>
      <c r="I391">
        <f t="shared" si="40"/>
        <v>3</v>
      </c>
      <c r="J391">
        <f>VLOOKUP(A391,'Housing Cost Calc'!$A$2:$C$827,3,FALSE)</f>
        <v>1447</v>
      </c>
      <c r="K391">
        <f t="shared" si="41"/>
        <v>0.34613185538262858</v>
      </c>
    </row>
    <row r="392" spans="1:11" ht="48" x14ac:dyDescent="0.2">
      <c r="A392" s="4" t="s">
        <v>3749</v>
      </c>
      <c r="B392">
        <v>80816</v>
      </c>
      <c r="C392">
        <v>2.58</v>
      </c>
      <c r="D392">
        <f t="shared" si="36"/>
        <v>50313.843919168816</v>
      </c>
      <c r="E392">
        <f t="shared" si="37"/>
        <v>50.313843919168818</v>
      </c>
      <c r="F392" s="7">
        <v>0.47509113001215064</v>
      </c>
      <c r="G392">
        <f t="shared" si="38"/>
        <v>3</v>
      </c>
      <c r="H392" s="7">
        <f t="shared" si="39"/>
        <v>0.52490886998784936</v>
      </c>
      <c r="I392">
        <f t="shared" si="40"/>
        <v>3</v>
      </c>
      <c r="J392">
        <f>VLOOKUP(A392,'Housing Cost Calc'!$A$2:$C$827,3,FALSE)</f>
        <v>2170</v>
      </c>
      <c r="K392">
        <f t="shared" si="41"/>
        <v>0.5175513928499339</v>
      </c>
    </row>
    <row r="393" spans="1:11" ht="48" x14ac:dyDescent="0.2">
      <c r="A393" s="4" t="s">
        <v>3568</v>
      </c>
      <c r="B393">
        <v>72658</v>
      </c>
      <c r="C393">
        <v>2.08</v>
      </c>
      <c r="D393">
        <f t="shared" si="36"/>
        <v>50379.258571665865</v>
      </c>
      <c r="E393">
        <f t="shared" si="37"/>
        <v>50.379258571665865</v>
      </c>
      <c r="F393" s="7">
        <v>0.47630619684082626</v>
      </c>
      <c r="G393">
        <f t="shared" si="38"/>
        <v>3</v>
      </c>
      <c r="H393" s="7">
        <f t="shared" si="39"/>
        <v>0.5236938031591738</v>
      </c>
      <c r="I393">
        <f t="shared" si="40"/>
        <v>3</v>
      </c>
      <c r="J393">
        <f>VLOOKUP(A393,'Housing Cost Calc'!$A$2:$C$827,3,FALSE)</f>
        <v>1373</v>
      </c>
      <c r="K393">
        <f t="shared" si="41"/>
        <v>0.32703935046131022</v>
      </c>
    </row>
    <row r="394" spans="1:11" ht="48" x14ac:dyDescent="0.2">
      <c r="A394" s="4" t="s">
        <v>3804</v>
      </c>
      <c r="B394">
        <v>89985</v>
      </c>
      <c r="C394">
        <v>3.18</v>
      </c>
      <c r="D394">
        <f t="shared" si="36"/>
        <v>50461.082285972603</v>
      </c>
      <c r="E394">
        <f t="shared" si="37"/>
        <v>50.461082285972601</v>
      </c>
      <c r="F394" s="7">
        <v>0.47752126366950182</v>
      </c>
      <c r="G394">
        <f t="shared" si="38"/>
        <v>3</v>
      </c>
      <c r="H394" s="7">
        <f t="shared" si="39"/>
        <v>0.52247873633049813</v>
      </c>
      <c r="I394">
        <f t="shared" si="40"/>
        <v>3</v>
      </c>
      <c r="J394">
        <f>VLOOKUP(A394,'Housing Cost Calc'!$A$2:$C$827,3,FALSE)</f>
        <v>1860</v>
      </c>
      <c r="K394">
        <f t="shared" si="41"/>
        <v>0.4423210717817801</v>
      </c>
    </row>
    <row r="395" spans="1:11" ht="64" x14ac:dyDescent="0.2">
      <c r="A395" s="4" t="s">
        <v>3713</v>
      </c>
      <c r="B395">
        <v>78239</v>
      </c>
      <c r="C395">
        <v>2.38</v>
      </c>
      <c r="D395">
        <f t="shared" si="36"/>
        <v>50714.811126997796</v>
      </c>
      <c r="E395">
        <f t="shared" si="37"/>
        <v>50.714811126997795</v>
      </c>
      <c r="F395" s="7">
        <v>0.47873633049817738</v>
      </c>
      <c r="G395">
        <f t="shared" si="38"/>
        <v>3</v>
      </c>
      <c r="H395" s="7">
        <f t="shared" si="39"/>
        <v>0.52126366950182268</v>
      </c>
      <c r="I395">
        <f t="shared" si="40"/>
        <v>3</v>
      </c>
      <c r="J395">
        <f>VLOOKUP(A395,'Housing Cost Calc'!$A$2:$C$827,3,FALSE)</f>
        <v>1470</v>
      </c>
      <c r="K395">
        <f t="shared" si="41"/>
        <v>0.34782738233662525</v>
      </c>
    </row>
    <row r="396" spans="1:11" ht="64" x14ac:dyDescent="0.2">
      <c r="A396" s="4" t="s">
        <v>3634</v>
      </c>
      <c r="B396">
        <v>81641</v>
      </c>
      <c r="C396">
        <v>2.59</v>
      </c>
      <c r="D396">
        <f t="shared" si="36"/>
        <v>50729.24906610397</v>
      </c>
      <c r="E396">
        <f t="shared" si="37"/>
        <v>50.729249066103968</v>
      </c>
      <c r="F396" s="7">
        <v>0.47995139732685299</v>
      </c>
      <c r="G396">
        <f t="shared" si="38"/>
        <v>3</v>
      </c>
      <c r="H396" s="7">
        <f t="shared" si="39"/>
        <v>0.52004860267314701</v>
      </c>
      <c r="I396">
        <f t="shared" si="40"/>
        <v>3</v>
      </c>
      <c r="J396">
        <f>VLOOKUP(A396,'Housing Cost Calc'!$A$2:$C$827,3,FALSE)</f>
        <v>1413</v>
      </c>
      <c r="K396">
        <f t="shared" si="41"/>
        <v>0.33424504230104168</v>
      </c>
    </row>
    <row r="397" spans="1:11" ht="48" x14ac:dyDescent="0.2">
      <c r="A397" s="4" t="s">
        <v>3425</v>
      </c>
      <c r="B397">
        <v>77083</v>
      </c>
      <c r="C397">
        <v>2.29</v>
      </c>
      <c r="D397">
        <f t="shared" si="36"/>
        <v>50937.880178879685</v>
      </c>
      <c r="E397">
        <f t="shared" si="37"/>
        <v>50.937880178879688</v>
      </c>
      <c r="F397" s="7">
        <v>0.48116646415552855</v>
      </c>
      <c r="G397">
        <f t="shared" si="38"/>
        <v>3</v>
      </c>
      <c r="H397" s="7">
        <f t="shared" si="39"/>
        <v>0.51883353584447145</v>
      </c>
      <c r="I397">
        <f t="shared" si="40"/>
        <v>3</v>
      </c>
      <c r="J397">
        <f>VLOOKUP(A397,'Housing Cost Calc'!$A$2:$C$827,3,FALSE)</f>
        <v>1328</v>
      </c>
      <c r="K397">
        <f t="shared" si="41"/>
        <v>0.31285165271968907</v>
      </c>
    </row>
    <row r="398" spans="1:11" ht="48" x14ac:dyDescent="0.2">
      <c r="A398" s="4" t="s">
        <v>3483</v>
      </c>
      <c r="B398">
        <v>84779</v>
      </c>
      <c r="C398">
        <v>2.76</v>
      </c>
      <c r="D398">
        <f t="shared" si="36"/>
        <v>51030.961193792136</v>
      </c>
      <c r="E398">
        <f t="shared" si="37"/>
        <v>51.030961193792137</v>
      </c>
      <c r="F398" s="7">
        <v>0.48238153098420411</v>
      </c>
      <c r="G398">
        <f t="shared" si="38"/>
        <v>3</v>
      </c>
      <c r="H398" s="7">
        <f t="shared" si="39"/>
        <v>0.51761846901579589</v>
      </c>
      <c r="I398">
        <f t="shared" si="40"/>
        <v>3</v>
      </c>
      <c r="J398">
        <f>VLOOKUP(A398,'Housing Cost Calc'!$A$2:$C$827,3,FALSE)</f>
        <v>1355</v>
      </c>
      <c r="K398">
        <f t="shared" si="41"/>
        <v>0.31863009474291487</v>
      </c>
    </row>
    <row r="399" spans="1:11" ht="48" x14ac:dyDescent="0.2">
      <c r="A399" s="4" t="s">
        <v>3080</v>
      </c>
      <c r="B399">
        <v>74132</v>
      </c>
      <c r="C399">
        <v>2.11</v>
      </c>
      <c r="D399">
        <f t="shared" si="36"/>
        <v>51034.573468380491</v>
      </c>
      <c r="E399">
        <f t="shared" si="37"/>
        <v>51.034573468380493</v>
      </c>
      <c r="F399" s="7">
        <v>0.48359659781287972</v>
      </c>
      <c r="G399">
        <f t="shared" si="38"/>
        <v>3</v>
      </c>
      <c r="H399" s="7">
        <f t="shared" si="39"/>
        <v>0.51640340218712022</v>
      </c>
      <c r="I399">
        <f t="shared" si="40"/>
        <v>3</v>
      </c>
      <c r="J399">
        <f>VLOOKUP(A399,'Housing Cost Calc'!$A$2:$C$827,3,FALSE)</f>
        <v>1102</v>
      </c>
      <c r="K399">
        <f t="shared" si="41"/>
        <v>0.25911845835633757</v>
      </c>
    </row>
    <row r="400" spans="1:11" ht="48" x14ac:dyDescent="0.2">
      <c r="A400" s="4" t="s">
        <v>3578</v>
      </c>
      <c r="B400">
        <v>76908</v>
      </c>
      <c r="C400">
        <v>2.27</v>
      </c>
      <c r="D400">
        <f t="shared" si="36"/>
        <v>51045.632448530647</v>
      </c>
      <c r="E400">
        <f t="shared" si="37"/>
        <v>51.045632448530647</v>
      </c>
      <c r="F400" s="7">
        <v>0.48481166464155528</v>
      </c>
      <c r="G400">
        <f t="shared" si="38"/>
        <v>3</v>
      </c>
      <c r="H400" s="7">
        <f t="shared" si="39"/>
        <v>0.51518833535844477</v>
      </c>
      <c r="I400">
        <f t="shared" si="40"/>
        <v>3</v>
      </c>
      <c r="J400">
        <f>VLOOKUP(A400,'Housing Cost Calc'!$A$2:$C$827,3,FALSE)</f>
        <v>1397</v>
      </c>
      <c r="K400">
        <f t="shared" si="41"/>
        <v>0.32841203440672728</v>
      </c>
    </row>
    <row r="401" spans="1:11" ht="48" x14ac:dyDescent="0.2">
      <c r="A401" s="4" t="s">
        <v>3134</v>
      </c>
      <c r="B401">
        <v>76602</v>
      </c>
      <c r="C401">
        <v>2.25</v>
      </c>
      <c r="D401">
        <f t="shared" si="36"/>
        <v>51068</v>
      </c>
      <c r="E401">
        <f t="shared" si="37"/>
        <v>51.067999999999998</v>
      </c>
      <c r="F401" s="7">
        <v>0.48602673147023084</v>
      </c>
      <c r="G401">
        <f t="shared" si="38"/>
        <v>3</v>
      </c>
      <c r="H401" s="7">
        <f t="shared" si="39"/>
        <v>0.5139732685297691</v>
      </c>
      <c r="I401">
        <f t="shared" si="40"/>
        <v>3</v>
      </c>
      <c r="J401">
        <f>VLOOKUP(A401,'Housing Cost Calc'!$A$2:$C$827,3,FALSE)</f>
        <v>1149</v>
      </c>
      <c r="K401">
        <f t="shared" si="41"/>
        <v>0.26999295057570299</v>
      </c>
    </row>
    <row r="402" spans="1:11" ht="48" x14ac:dyDescent="0.2">
      <c r="A402" s="4" t="s">
        <v>3594</v>
      </c>
      <c r="B402">
        <v>85406</v>
      </c>
      <c r="C402">
        <v>2.78</v>
      </c>
      <c r="D402">
        <f t="shared" si="36"/>
        <v>51223.114850270766</v>
      </c>
      <c r="E402">
        <f t="shared" si="37"/>
        <v>51.223114850270768</v>
      </c>
      <c r="F402" s="7">
        <v>0.48724179829890646</v>
      </c>
      <c r="G402">
        <f t="shared" si="38"/>
        <v>3</v>
      </c>
      <c r="H402" s="7">
        <f t="shared" si="39"/>
        <v>0.51275820170109354</v>
      </c>
      <c r="I402">
        <f t="shared" si="40"/>
        <v>3</v>
      </c>
      <c r="J402">
        <f>VLOOKUP(A402,'Housing Cost Calc'!$A$2:$C$827,3,FALSE)</f>
        <v>1408</v>
      </c>
      <c r="K402">
        <f t="shared" si="41"/>
        <v>0.32985108479615793</v>
      </c>
    </row>
    <row r="403" spans="1:11" ht="64" x14ac:dyDescent="0.2">
      <c r="A403" s="4" t="s">
        <v>3680</v>
      </c>
      <c r="B403">
        <v>74519</v>
      </c>
      <c r="C403">
        <v>2.11</v>
      </c>
      <c r="D403">
        <f t="shared" si="36"/>
        <v>51300.995255628419</v>
      </c>
      <c r="E403">
        <f t="shared" si="37"/>
        <v>51.300995255628422</v>
      </c>
      <c r="F403" s="7">
        <v>0.48845686512758202</v>
      </c>
      <c r="G403">
        <f t="shared" si="38"/>
        <v>3</v>
      </c>
      <c r="H403" s="7">
        <f t="shared" si="39"/>
        <v>0.51154313487241798</v>
      </c>
      <c r="I403">
        <f t="shared" si="40"/>
        <v>3</v>
      </c>
      <c r="J403">
        <f>VLOOKUP(A403,'Housing Cost Calc'!$A$2:$C$827,3,FALSE)</f>
        <v>1553</v>
      </c>
      <c r="K403">
        <f t="shared" si="41"/>
        <v>0.36326780615343668</v>
      </c>
    </row>
    <row r="404" spans="1:11" ht="48" x14ac:dyDescent="0.2">
      <c r="A404" s="4" t="s">
        <v>3776</v>
      </c>
      <c r="B404">
        <v>84340</v>
      </c>
      <c r="C404">
        <v>2.69</v>
      </c>
      <c r="D404">
        <f t="shared" si="36"/>
        <v>51423.005570063055</v>
      </c>
      <c r="E404">
        <f t="shared" si="37"/>
        <v>51.423005570063054</v>
      </c>
      <c r="F404" s="7">
        <v>0.48967193195625758</v>
      </c>
      <c r="G404">
        <f t="shared" si="38"/>
        <v>3</v>
      </c>
      <c r="H404" s="7">
        <f t="shared" si="39"/>
        <v>0.51032806804374242</v>
      </c>
      <c r="I404">
        <f t="shared" si="40"/>
        <v>3</v>
      </c>
      <c r="J404">
        <f>VLOOKUP(A404,'Housing Cost Calc'!$A$2:$C$827,3,FALSE)</f>
        <v>1665</v>
      </c>
      <c r="K404">
        <f t="shared" si="41"/>
        <v>0.38854204997367486</v>
      </c>
    </row>
    <row r="405" spans="1:11" ht="48" x14ac:dyDescent="0.2">
      <c r="A405" s="4" t="s">
        <v>3731</v>
      </c>
      <c r="B405">
        <v>78713</v>
      </c>
      <c r="C405">
        <v>2.33</v>
      </c>
      <c r="D405">
        <f t="shared" si="36"/>
        <v>51566.600832895972</v>
      </c>
      <c r="E405">
        <f t="shared" si="37"/>
        <v>51.566600832895972</v>
      </c>
      <c r="F405" s="7">
        <v>0.49088699878493319</v>
      </c>
      <c r="G405">
        <f t="shared" si="38"/>
        <v>3</v>
      </c>
      <c r="H405" s="7">
        <f t="shared" si="39"/>
        <v>0.50911300121506686</v>
      </c>
      <c r="I405">
        <f t="shared" si="40"/>
        <v>3</v>
      </c>
      <c r="J405">
        <f>VLOOKUP(A405,'Housing Cost Calc'!$A$2:$C$827,3,FALSE)</f>
        <v>1620</v>
      </c>
      <c r="K405">
        <f t="shared" si="41"/>
        <v>0.37698819945484185</v>
      </c>
    </row>
    <row r="406" spans="1:11" ht="48" x14ac:dyDescent="0.2">
      <c r="A406" s="4" t="s">
        <v>3801</v>
      </c>
      <c r="B406">
        <v>89506</v>
      </c>
      <c r="C406">
        <v>3.01</v>
      </c>
      <c r="D406">
        <f t="shared" si="36"/>
        <v>51590.400727035259</v>
      </c>
      <c r="E406">
        <f t="shared" si="37"/>
        <v>51.590400727035259</v>
      </c>
      <c r="F406" s="7">
        <v>0.49210206561360875</v>
      </c>
      <c r="G406">
        <f t="shared" si="38"/>
        <v>3</v>
      </c>
      <c r="H406" s="7">
        <f t="shared" si="39"/>
        <v>0.50789793438639119</v>
      </c>
      <c r="I406">
        <f t="shared" si="40"/>
        <v>3</v>
      </c>
      <c r="J406">
        <f>VLOOKUP(A406,'Housing Cost Calc'!$A$2:$C$827,3,FALSE)</f>
        <v>2194</v>
      </c>
      <c r="K406">
        <f t="shared" si="41"/>
        <v>0.51032749559945101</v>
      </c>
    </row>
    <row r="407" spans="1:11" ht="48" x14ac:dyDescent="0.2">
      <c r="A407" s="4" t="s">
        <v>3427</v>
      </c>
      <c r="B407">
        <v>85216</v>
      </c>
      <c r="C407">
        <v>2.72</v>
      </c>
      <c r="D407">
        <f t="shared" si="36"/>
        <v>51669.789557740376</v>
      </c>
      <c r="E407">
        <f t="shared" si="37"/>
        <v>51.669789557740373</v>
      </c>
      <c r="F407" s="7">
        <v>0.49331713244228431</v>
      </c>
      <c r="G407">
        <f t="shared" si="38"/>
        <v>3</v>
      </c>
      <c r="H407" s="7">
        <f t="shared" si="39"/>
        <v>0.50668286755771574</v>
      </c>
      <c r="I407">
        <f t="shared" si="40"/>
        <v>3</v>
      </c>
      <c r="J407">
        <f>VLOOKUP(A407,'Housing Cost Calc'!$A$2:$C$827,3,FALSE)</f>
        <v>1349</v>
      </c>
      <c r="K407">
        <f t="shared" si="41"/>
        <v>0.31329719239344112</v>
      </c>
    </row>
    <row r="408" spans="1:11" ht="64" x14ac:dyDescent="0.2">
      <c r="A408" s="4" t="s">
        <v>3765</v>
      </c>
      <c r="B408">
        <v>82266</v>
      </c>
      <c r="C408">
        <v>2.5299999999999998</v>
      </c>
      <c r="D408">
        <f t="shared" si="36"/>
        <v>51720.191071059257</v>
      </c>
      <c r="E408">
        <f t="shared" si="37"/>
        <v>51.720191071059254</v>
      </c>
      <c r="F408" s="7">
        <v>0.49453219927095993</v>
      </c>
      <c r="G408">
        <f t="shared" si="38"/>
        <v>3</v>
      </c>
      <c r="H408" s="7">
        <f t="shared" si="39"/>
        <v>0.50546780072904007</v>
      </c>
      <c r="I408">
        <f t="shared" si="40"/>
        <v>3</v>
      </c>
      <c r="J408">
        <f>VLOOKUP(A408,'Housing Cost Calc'!$A$2:$C$827,3,FALSE)</f>
        <v>1596</v>
      </c>
      <c r="K408">
        <f t="shared" si="41"/>
        <v>0.37030025611635387</v>
      </c>
    </row>
    <row r="409" spans="1:11" ht="64" x14ac:dyDescent="0.2">
      <c r="A409" s="4" t="s">
        <v>3353</v>
      </c>
      <c r="B409">
        <v>82454</v>
      </c>
      <c r="C409">
        <v>2.54</v>
      </c>
      <c r="D409">
        <f t="shared" si="36"/>
        <v>51736.24095686173</v>
      </c>
      <c r="E409">
        <f t="shared" si="37"/>
        <v>51.736240956861728</v>
      </c>
      <c r="F409" s="7">
        <v>0.49574726609963549</v>
      </c>
      <c r="G409">
        <f t="shared" si="38"/>
        <v>3</v>
      </c>
      <c r="H409" s="7">
        <f t="shared" si="39"/>
        <v>0.50425273390036451</v>
      </c>
      <c r="I409">
        <f t="shared" si="40"/>
        <v>3</v>
      </c>
      <c r="J409">
        <f>VLOOKUP(A409,'Housing Cost Calc'!$A$2:$C$827,3,FALSE)</f>
        <v>1312</v>
      </c>
      <c r="K409">
        <f t="shared" si="41"/>
        <v>0.30431279329179572</v>
      </c>
    </row>
    <row r="410" spans="1:11" ht="48" x14ac:dyDescent="0.2">
      <c r="A410" s="4" t="s">
        <v>3743</v>
      </c>
      <c r="B410">
        <v>84167</v>
      </c>
      <c r="C410">
        <v>2.63</v>
      </c>
      <c r="D410">
        <f t="shared" si="36"/>
        <v>51899.595553637781</v>
      </c>
      <c r="E410">
        <f t="shared" si="37"/>
        <v>51.899595553637781</v>
      </c>
      <c r="F410" s="7">
        <v>0.49696233292831105</v>
      </c>
      <c r="G410">
        <f t="shared" si="38"/>
        <v>3</v>
      </c>
      <c r="H410" s="7">
        <f t="shared" si="39"/>
        <v>0.50303766707168895</v>
      </c>
      <c r="I410">
        <f t="shared" si="40"/>
        <v>3</v>
      </c>
      <c r="J410">
        <f>VLOOKUP(A410,'Housing Cost Calc'!$A$2:$C$827,3,FALSE)</f>
        <v>1524</v>
      </c>
      <c r="K410">
        <f t="shared" si="41"/>
        <v>0.35237268816670281</v>
      </c>
    </row>
    <row r="411" spans="1:11" ht="48" x14ac:dyDescent="0.2">
      <c r="A411" s="4" t="s">
        <v>3184</v>
      </c>
      <c r="B411">
        <v>72150</v>
      </c>
      <c r="C411">
        <v>1.93</v>
      </c>
      <c r="D411">
        <f t="shared" si="36"/>
        <v>51934.706416518311</v>
      </c>
      <c r="E411">
        <f t="shared" si="37"/>
        <v>51.93470641651831</v>
      </c>
      <c r="F411" s="7">
        <v>0.49817739975698666</v>
      </c>
      <c r="G411">
        <f t="shared" si="38"/>
        <v>3</v>
      </c>
      <c r="H411" s="7">
        <f t="shared" si="39"/>
        <v>0.50182260024301328</v>
      </c>
      <c r="I411">
        <f t="shared" si="40"/>
        <v>3</v>
      </c>
      <c r="J411">
        <f>VLOOKUP(A411,'Housing Cost Calc'!$A$2:$C$827,3,FALSE)</f>
        <v>1227</v>
      </c>
      <c r="K411">
        <f t="shared" si="41"/>
        <v>0.28350983409654734</v>
      </c>
    </row>
    <row r="412" spans="1:11" ht="48" x14ac:dyDescent="0.2">
      <c r="A412" s="4" t="s">
        <v>3751</v>
      </c>
      <c r="B412">
        <v>82688</v>
      </c>
      <c r="C412">
        <v>2.5299999999999998</v>
      </c>
      <c r="D412">
        <f t="shared" si="36"/>
        <v>51985.500197940193</v>
      </c>
      <c r="E412">
        <f t="shared" si="37"/>
        <v>51.985500197940191</v>
      </c>
      <c r="F412" s="7">
        <v>0.49939246658566222</v>
      </c>
      <c r="G412">
        <f t="shared" si="38"/>
        <v>3</v>
      </c>
      <c r="H412" s="7">
        <f t="shared" si="39"/>
        <v>0.50060753341433784</v>
      </c>
      <c r="I412">
        <f t="shared" si="40"/>
        <v>3</v>
      </c>
      <c r="J412">
        <f>VLOOKUP(A412,'Housing Cost Calc'!$A$2:$C$827,3,FALSE)</f>
        <v>1536</v>
      </c>
      <c r="K412">
        <f t="shared" si="41"/>
        <v>0.35456040491710661</v>
      </c>
    </row>
    <row r="413" spans="1:11" ht="48" x14ac:dyDescent="0.2">
      <c r="A413" s="4" t="s">
        <v>3652</v>
      </c>
      <c r="B413">
        <v>84648</v>
      </c>
      <c r="C413">
        <v>2.65</v>
      </c>
      <c r="D413">
        <f t="shared" si="36"/>
        <v>51998.853049760299</v>
      </c>
      <c r="E413">
        <f t="shared" si="37"/>
        <v>51.998853049760299</v>
      </c>
      <c r="F413" s="7">
        <v>0.50060753341433784</v>
      </c>
      <c r="G413">
        <f t="shared" si="38"/>
        <v>3</v>
      </c>
      <c r="H413" s="7">
        <f t="shared" si="39"/>
        <v>0.49939246658566216</v>
      </c>
      <c r="I413">
        <f t="shared" si="40"/>
        <v>3</v>
      </c>
      <c r="J413">
        <f>VLOOKUP(A413,'Housing Cost Calc'!$A$2:$C$827,3,FALSE)</f>
        <v>1460</v>
      </c>
      <c r="K413">
        <f t="shared" si="41"/>
        <v>0.33693050851014422</v>
      </c>
    </row>
    <row r="414" spans="1:11" ht="64" x14ac:dyDescent="0.2">
      <c r="A414" s="4" t="s">
        <v>3136</v>
      </c>
      <c r="B414">
        <v>74157</v>
      </c>
      <c r="C414">
        <v>2.0299999999999998</v>
      </c>
      <c r="D414">
        <f t="shared" si="36"/>
        <v>52048.010467222084</v>
      </c>
      <c r="E414">
        <f t="shared" si="37"/>
        <v>52.048010467222085</v>
      </c>
      <c r="F414" s="7">
        <v>0.50182260024301339</v>
      </c>
      <c r="G414">
        <f t="shared" si="38"/>
        <v>3</v>
      </c>
      <c r="H414" s="7">
        <f t="shared" si="39"/>
        <v>0.49817739975698661</v>
      </c>
      <c r="I414">
        <f t="shared" si="40"/>
        <v>3</v>
      </c>
      <c r="J414">
        <f>VLOOKUP(A414,'Housing Cost Calc'!$A$2:$C$827,3,FALSE)</f>
        <v>1177</v>
      </c>
      <c r="K414">
        <f t="shared" si="41"/>
        <v>0.27136483937065708</v>
      </c>
    </row>
    <row r="415" spans="1:11" ht="64" x14ac:dyDescent="0.2">
      <c r="A415" s="4" t="s">
        <v>3695</v>
      </c>
      <c r="B415">
        <v>78958</v>
      </c>
      <c r="C415">
        <v>2.2999999999999998</v>
      </c>
      <c r="D415">
        <f t="shared" si="36"/>
        <v>52063.363418384557</v>
      </c>
      <c r="E415">
        <f t="shared" si="37"/>
        <v>52.063363418384554</v>
      </c>
      <c r="F415" s="7">
        <v>0.50303766707168895</v>
      </c>
      <c r="G415">
        <f t="shared" si="38"/>
        <v>3</v>
      </c>
      <c r="H415" s="7">
        <f t="shared" si="39"/>
        <v>0.49696233292831105</v>
      </c>
      <c r="I415">
        <f t="shared" si="40"/>
        <v>3</v>
      </c>
      <c r="J415">
        <f>VLOOKUP(A415,'Housing Cost Calc'!$A$2:$C$827,3,FALSE)</f>
        <v>1494</v>
      </c>
      <c r="K415">
        <f t="shared" si="41"/>
        <v>0.34434963135073376</v>
      </c>
    </row>
    <row r="416" spans="1:11" ht="48" x14ac:dyDescent="0.2">
      <c r="A416" s="4" t="s">
        <v>3771</v>
      </c>
      <c r="B416">
        <v>83672</v>
      </c>
      <c r="C416">
        <v>2.58</v>
      </c>
      <c r="D416">
        <f t="shared" si="36"/>
        <v>52091.911854146369</v>
      </c>
      <c r="E416">
        <f t="shared" si="37"/>
        <v>52.091911854146367</v>
      </c>
      <c r="F416" s="7">
        <v>0.50425273390036451</v>
      </c>
      <c r="G416">
        <f t="shared" si="38"/>
        <v>3</v>
      </c>
      <c r="H416" s="7">
        <f t="shared" si="39"/>
        <v>0.49574726609963549</v>
      </c>
      <c r="I416">
        <f t="shared" si="40"/>
        <v>3</v>
      </c>
      <c r="J416">
        <f>VLOOKUP(A416,'Housing Cost Calc'!$A$2:$C$827,3,FALSE)</f>
        <v>2127</v>
      </c>
      <c r="K416">
        <f t="shared" si="41"/>
        <v>0.48998009655443969</v>
      </c>
    </row>
    <row r="417" spans="1:11" ht="64" x14ac:dyDescent="0.2">
      <c r="A417" s="4" t="s">
        <v>3373</v>
      </c>
      <c r="B417">
        <v>79082</v>
      </c>
      <c r="C417">
        <v>2.29</v>
      </c>
      <c r="D417">
        <f t="shared" si="36"/>
        <v>52258.856561189408</v>
      </c>
      <c r="E417">
        <f t="shared" si="37"/>
        <v>52.258856561189411</v>
      </c>
      <c r="F417" s="7">
        <v>0.50546780072904007</v>
      </c>
      <c r="G417">
        <f t="shared" si="38"/>
        <v>3</v>
      </c>
      <c r="H417" s="7">
        <f t="shared" si="39"/>
        <v>0.49453219927095993</v>
      </c>
      <c r="I417">
        <f t="shared" si="40"/>
        <v>3</v>
      </c>
      <c r="J417">
        <f>VLOOKUP(A417,'Housing Cost Calc'!$A$2:$C$827,3,FALSE)</f>
        <v>1338</v>
      </c>
      <c r="K417">
        <f t="shared" si="41"/>
        <v>0.30723978778984917</v>
      </c>
    </row>
    <row r="418" spans="1:11" ht="48" x14ac:dyDescent="0.2">
      <c r="A418" s="4" t="s">
        <v>3759</v>
      </c>
      <c r="B418">
        <v>81474</v>
      </c>
      <c r="C418">
        <v>2.42</v>
      </c>
      <c r="D418">
        <f t="shared" si="36"/>
        <v>52373.470809447972</v>
      </c>
      <c r="E418">
        <f t="shared" si="37"/>
        <v>52.373470809447973</v>
      </c>
      <c r="F418" s="7">
        <v>0.50668286755771563</v>
      </c>
      <c r="G418">
        <f t="shared" si="38"/>
        <v>3</v>
      </c>
      <c r="H418" s="7">
        <f t="shared" si="39"/>
        <v>0.49331713244228437</v>
      </c>
      <c r="I418">
        <f t="shared" si="40"/>
        <v>3</v>
      </c>
      <c r="J418">
        <f>VLOOKUP(A418,'Housing Cost Calc'!$A$2:$C$827,3,FALSE)</f>
        <v>1767</v>
      </c>
      <c r="K418">
        <f t="shared" si="41"/>
        <v>0.40486146272694379</v>
      </c>
    </row>
    <row r="419" spans="1:11" ht="48" x14ac:dyDescent="0.2">
      <c r="A419" s="4" t="s">
        <v>3755</v>
      </c>
      <c r="B419">
        <v>81163</v>
      </c>
      <c r="C419">
        <v>2.4</v>
      </c>
      <c r="D419">
        <f t="shared" si="36"/>
        <v>52390.491221372096</v>
      </c>
      <c r="E419">
        <f t="shared" si="37"/>
        <v>52.390491221372095</v>
      </c>
      <c r="F419" s="7">
        <v>0.5078979343863913</v>
      </c>
      <c r="G419">
        <f t="shared" si="38"/>
        <v>3</v>
      </c>
      <c r="H419" s="7">
        <f t="shared" si="39"/>
        <v>0.4921020656136087</v>
      </c>
      <c r="I419">
        <f t="shared" si="40"/>
        <v>3</v>
      </c>
      <c r="J419">
        <f>VLOOKUP(A419,'Housing Cost Calc'!$A$2:$C$827,3,FALSE)</f>
        <v>1602</v>
      </c>
      <c r="K419">
        <f t="shared" si="41"/>
        <v>0.36693681528524763</v>
      </c>
    </row>
    <row r="420" spans="1:11" ht="64" x14ac:dyDescent="0.2">
      <c r="A420" s="4" t="s">
        <v>3278</v>
      </c>
      <c r="B420">
        <v>87604</v>
      </c>
      <c r="C420">
        <v>2.79</v>
      </c>
      <c r="D420">
        <f t="shared" si="36"/>
        <v>52447.142929178626</v>
      </c>
      <c r="E420">
        <f t="shared" si="37"/>
        <v>52.447142929178625</v>
      </c>
      <c r="F420" s="7">
        <v>0.50911300121506686</v>
      </c>
      <c r="G420">
        <f t="shared" si="38"/>
        <v>3</v>
      </c>
      <c r="H420" s="7">
        <f t="shared" si="39"/>
        <v>0.49088699878493314</v>
      </c>
      <c r="I420">
        <f t="shared" si="40"/>
        <v>3</v>
      </c>
      <c r="J420">
        <f>VLOOKUP(A420,'Housing Cost Calc'!$A$2:$C$827,3,FALSE)</f>
        <v>1297</v>
      </c>
      <c r="K420">
        <f t="shared" si="41"/>
        <v>0.29675591711481142</v>
      </c>
    </row>
    <row r="421" spans="1:11" ht="48" x14ac:dyDescent="0.2">
      <c r="A421" s="4" t="s">
        <v>3590</v>
      </c>
      <c r="B421">
        <v>75135</v>
      </c>
      <c r="C421">
        <v>2.0499999999999998</v>
      </c>
      <c r="D421">
        <f t="shared" si="36"/>
        <v>52476.560272647257</v>
      </c>
      <c r="E421">
        <f t="shared" si="37"/>
        <v>52.476560272647255</v>
      </c>
      <c r="F421" s="7">
        <v>0.51032806804374242</v>
      </c>
      <c r="G421">
        <f t="shared" si="38"/>
        <v>3</v>
      </c>
      <c r="H421" s="7">
        <f t="shared" si="39"/>
        <v>0.48967193195625758</v>
      </c>
      <c r="I421">
        <f t="shared" si="40"/>
        <v>3</v>
      </c>
      <c r="J421">
        <f>VLOOKUP(A421,'Housing Cost Calc'!$A$2:$C$827,3,FALSE)</f>
        <v>1442</v>
      </c>
      <c r="K421">
        <f t="shared" si="41"/>
        <v>0.32974722257128369</v>
      </c>
    </row>
    <row r="422" spans="1:11" ht="48" x14ac:dyDescent="0.2">
      <c r="A422" s="4" t="s">
        <v>3728</v>
      </c>
      <c r="B422">
        <v>82281</v>
      </c>
      <c r="C422">
        <v>2.4500000000000002</v>
      </c>
      <c r="D422">
        <f t="shared" si="36"/>
        <v>52567.402644760055</v>
      </c>
      <c r="E422">
        <f t="shared" si="37"/>
        <v>52.567402644760058</v>
      </c>
      <c r="F422" s="7">
        <v>0.51154313487241798</v>
      </c>
      <c r="G422">
        <f t="shared" si="38"/>
        <v>3</v>
      </c>
      <c r="H422" s="7">
        <f t="shared" si="39"/>
        <v>0.48845686512758202</v>
      </c>
      <c r="I422">
        <f t="shared" si="40"/>
        <v>3</v>
      </c>
      <c r="J422">
        <f>VLOOKUP(A422,'Housing Cost Calc'!$A$2:$C$827,3,FALSE)</f>
        <v>1535</v>
      </c>
      <c r="K422">
        <f t="shared" si="41"/>
        <v>0.35040726901571795</v>
      </c>
    </row>
    <row r="423" spans="1:11" ht="48" x14ac:dyDescent="0.2">
      <c r="A423" s="4" t="s">
        <v>3599</v>
      </c>
      <c r="B423">
        <v>82346</v>
      </c>
      <c r="C423">
        <v>2.4500000000000002</v>
      </c>
      <c r="D423">
        <f t="shared" si="36"/>
        <v>52608.929621485055</v>
      </c>
      <c r="E423">
        <f t="shared" si="37"/>
        <v>52.608929621485053</v>
      </c>
      <c r="F423" s="7">
        <v>0.51275820170109354</v>
      </c>
      <c r="G423">
        <f t="shared" si="38"/>
        <v>3</v>
      </c>
      <c r="H423" s="7">
        <f t="shared" si="39"/>
        <v>0.48724179829890646</v>
      </c>
      <c r="I423">
        <f t="shared" si="40"/>
        <v>3</v>
      </c>
      <c r="J423">
        <f>VLOOKUP(A423,'Housing Cost Calc'!$A$2:$C$827,3,FALSE)</f>
        <v>1447</v>
      </c>
      <c r="K423">
        <f t="shared" si="41"/>
        <v>0.33005803624844487</v>
      </c>
    </row>
    <row r="424" spans="1:11" ht="48" x14ac:dyDescent="0.2">
      <c r="A424" s="4" t="s">
        <v>3514</v>
      </c>
      <c r="B424">
        <v>75938</v>
      </c>
      <c r="C424">
        <v>2.08</v>
      </c>
      <c r="D424">
        <f t="shared" si="36"/>
        <v>52653.529376189304</v>
      </c>
      <c r="E424">
        <f t="shared" si="37"/>
        <v>52.653529376189304</v>
      </c>
      <c r="F424" s="7">
        <v>0.5139732685297691</v>
      </c>
      <c r="G424">
        <f t="shared" si="38"/>
        <v>3</v>
      </c>
      <c r="H424" s="7">
        <f t="shared" si="39"/>
        <v>0.4860267314702309</v>
      </c>
      <c r="I424">
        <f t="shared" si="40"/>
        <v>3</v>
      </c>
      <c r="J424">
        <f>VLOOKUP(A424,'Housing Cost Calc'!$A$2:$C$827,3,FALSE)</f>
        <v>1408</v>
      </c>
      <c r="K424">
        <f t="shared" si="41"/>
        <v>0.32089017014005938</v>
      </c>
    </row>
    <row r="425" spans="1:11" ht="64" x14ac:dyDescent="0.2">
      <c r="A425" s="4" t="s">
        <v>3629</v>
      </c>
      <c r="B425">
        <v>85406</v>
      </c>
      <c r="C425">
        <v>2.63</v>
      </c>
      <c r="D425">
        <f t="shared" si="36"/>
        <v>52663.595683034779</v>
      </c>
      <c r="E425">
        <f t="shared" si="37"/>
        <v>52.663595683034778</v>
      </c>
      <c r="F425" s="7">
        <v>0.51518833535844466</v>
      </c>
      <c r="G425">
        <f t="shared" si="38"/>
        <v>3</v>
      </c>
      <c r="H425" s="7">
        <f t="shared" si="39"/>
        <v>0.48481166464155534</v>
      </c>
      <c r="I425">
        <f t="shared" si="40"/>
        <v>3</v>
      </c>
      <c r="J425">
        <f>VLOOKUP(A425,'Housing Cost Calc'!$A$2:$C$827,3,FALSE)</f>
        <v>1464</v>
      </c>
      <c r="K425">
        <f t="shared" si="41"/>
        <v>0.33358907177049085</v>
      </c>
    </row>
    <row r="426" spans="1:11" ht="64" x14ac:dyDescent="0.2">
      <c r="A426" s="4" t="s">
        <v>3742</v>
      </c>
      <c r="B426">
        <v>79954</v>
      </c>
      <c r="C426">
        <v>2.2999999999999998</v>
      </c>
      <c r="D426">
        <f t="shared" si="36"/>
        <v>52720.106369886758</v>
      </c>
      <c r="E426">
        <f t="shared" si="37"/>
        <v>52.720106369886757</v>
      </c>
      <c r="F426" s="7">
        <v>0.51640340218712033</v>
      </c>
      <c r="G426">
        <f t="shared" si="38"/>
        <v>3</v>
      </c>
      <c r="H426" s="7">
        <f t="shared" si="39"/>
        <v>0.48359659781287967</v>
      </c>
      <c r="I426">
        <f t="shared" si="40"/>
        <v>3</v>
      </c>
      <c r="J426">
        <f>VLOOKUP(A426,'Housing Cost Calc'!$A$2:$C$827,3,FALSE)</f>
        <v>1591</v>
      </c>
      <c r="K426">
        <f t="shared" si="41"/>
        <v>0.36213887479758911</v>
      </c>
    </row>
    <row r="427" spans="1:11" ht="48" x14ac:dyDescent="0.2">
      <c r="A427" s="4" t="s">
        <v>3630</v>
      </c>
      <c r="B427">
        <v>71178</v>
      </c>
      <c r="C427">
        <v>1.82</v>
      </c>
      <c r="D427">
        <f t="shared" si="36"/>
        <v>52760.643861303855</v>
      </c>
      <c r="E427">
        <f t="shared" si="37"/>
        <v>52.760643861303855</v>
      </c>
      <c r="F427" s="7">
        <v>0.51761846901579589</v>
      </c>
      <c r="G427">
        <f t="shared" si="38"/>
        <v>3</v>
      </c>
      <c r="H427" s="7">
        <f t="shared" si="39"/>
        <v>0.48238153098420411</v>
      </c>
      <c r="I427">
        <f t="shared" si="40"/>
        <v>3</v>
      </c>
      <c r="J427">
        <f>VLOOKUP(A427,'Housing Cost Calc'!$A$2:$C$827,3,FALSE)</f>
        <v>1867</v>
      </c>
      <c r="K427">
        <f t="shared" si="41"/>
        <v>0.42463469662908576</v>
      </c>
    </row>
    <row r="428" spans="1:11" ht="64" x14ac:dyDescent="0.2">
      <c r="A428" s="4" t="s">
        <v>3769</v>
      </c>
      <c r="B428">
        <v>87039</v>
      </c>
      <c r="C428">
        <v>2.72</v>
      </c>
      <c r="D428">
        <f t="shared" si="36"/>
        <v>52775.145668843463</v>
      </c>
      <c r="E428">
        <f t="shared" si="37"/>
        <v>52.775145668843464</v>
      </c>
      <c r="F428" s="7">
        <v>0.51883353584447145</v>
      </c>
      <c r="G428">
        <f t="shared" si="38"/>
        <v>3</v>
      </c>
      <c r="H428" s="7">
        <f t="shared" si="39"/>
        <v>0.48116646415552855</v>
      </c>
      <c r="I428">
        <f t="shared" si="40"/>
        <v>3</v>
      </c>
      <c r="J428">
        <f>VLOOKUP(A428,'Housing Cost Calc'!$A$2:$C$827,3,FALSE)</f>
        <v>1574</v>
      </c>
      <c r="K428">
        <f t="shared" si="41"/>
        <v>0.35789574354791015</v>
      </c>
    </row>
    <row r="429" spans="1:11" ht="48" x14ac:dyDescent="0.2">
      <c r="A429" s="4" t="s">
        <v>3580</v>
      </c>
      <c r="B429">
        <v>85446</v>
      </c>
      <c r="C429">
        <v>2.61</v>
      </c>
      <c r="D429">
        <f t="shared" si="36"/>
        <v>52889.746219587912</v>
      </c>
      <c r="E429">
        <f t="shared" si="37"/>
        <v>52.889746219587913</v>
      </c>
      <c r="F429" s="7">
        <v>0.52004860267314701</v>
      </c>
      <c r="G429">
        <f t="shared" si="38"/>
        <v>3</v>
      </c>
      <c r="H429" s="7">
        <f t="shared" si="39"/>
        <v>0.47995139732685299</v>
      </c>
      <c r="I429">
        <f t="shared" si="40"/>
        <v>3</v>
      </c>
      <c r="J429">
        <f>VLOOKUP(A429,'Housing Cost Calc'!$A$2:$C$827,3,FALSE)</f>
        <v>1448</v>
      </c>
      <c r="K429">
        <f t="shared" si="41"/>
        <v>0.32853248960314985</v>
      </c>
    </row>
    <row r="430" spans="1:11" ht="48" x14ac:dyDescent="0.2">
      <c r="A430" s="4" t="s">
        <v>3389</v>
      </c>
      <c r="B430">
        <v>80725</v>
      </c>
      <c r="C430">
        <v>2.3199999999999998</v>
      </c>
      <c r="D430">
        <f t="shared" si="36"/>
        <v>52998.558963005518</v>
      </c>
      <c r="E430">
        <f t="shared" si="37"/>
        <v>52.998558963005522</v>
      </c>
      <c r="F430" s="7">
        <v>0.52126366950182257</v>
      </c>
      <c r="G430">
        <f t="shared" si="38"/>
        <v>3</v>
      </c>
      <c r="H430" s="7">
        <f t="shared" si="39"/>
        <v>0.47873633049817743</v>
      </c>
      <c r="I430">
        <f t="shared" si="40"/>
        <v>3</v>
      </c>
      <c r="J430">
        <f>VLOOKUP(A430,'Housing Cost Calc'!$A$2:$C$827,3,FALSE)</f>
        <v>1365</v>
      </c>
      <c r="K430">
        <f t="shared" si="41"/>
        <v>0.30906500705865797</v>
      </c>
    </row>
    <row r="431" spans="1:11" ht="64" x14ac:dyDescent="0.2">
      <c r="A431" s="4" t="s">
        <v>3553</v>
      </c>
      <c r="B431">
        <v>85052</v>
      </c>
      <c r="C431">
        <v>2.57</v>
      </c>
      <c r="D431">
        <f t="shared" si="36"/>
        <v>53053.97994070415</v>
      </c>
      <c r="E431">
        <f t="shared" si="37"/>
        <v>53.053979940704153</v>
      </c>
      <c r="F431" s="7">
        <v>0.52247873633049813</v>
      </c>
      <c r="G431">
        <f t="shared" si="38"/>
        <v>3</v>
      </c>
      <c r="H431" s="7">
        <f t="shared" si="39"/>
        <v>0.47752126366950187</v>
      </c>
      <c r="I431">
        <f t="shared" si="40"/>
        <v>3</v>
      </c>
      <c r="J431">
        <f>VLOOKUP(A431,'Housing Cost Calc'!$A$2:$C$827,3,FALSE)</f>
        <v>1432</v>
      </c>
      <c r="K431">
        <f t="shared" si="41"/>
        <v>0.32389652989663958</v>
      </c>
    </row>
    <row r="432" spans="1:11" ht="64" x14ac:dyDescent="0.2">
      <c r="A432" s="4" t="s">
        <v>3122</v>
      </c>
      <c r="B432">
        <v>80000</v>
      </c>
      <c r="C432">
        <v>2.27</v>
      </c>
      <c r="D432">
        <f t="shared" si="36"/>
        <v>53097.864927997754</v>
      </c>
      <c r="E432">
        <f t="shared" si="37"/>
        <v>53.097864927997755</v>
      </c>
      <c r="F432" s="7">
        <v>0.5236938031591738</v>
      </c>
      <c r="G432">
        <f t="shared" si="38"/>
        <v>3</v>
      </c>
      <c r="H432" s="7">
        <f t="shared" si="39"/>
        <v>0.4763061968408262</v>
      </c>
      <c r="I432">
        <f t="shared" si="40"/>
        <v>3</v>
      </c>
      <c r="J432">
        <f>VLOOKUP(A432,'Housing Cost Calc'!$A$2:$C$827,3,FALSE)</f>
        <v>1181</v>
      </c>
      <c r="K432">
        <f t="shared" si="41"/>
        <v>0.26690338715535256</v>
      </c>
    </row>
    <row r="433" spans="1:11" ht="48" x14ac:dyDescent="0.2">
      <c r="A433" s="4" t="s">
        <v>3258</v>
      </c>
      <c r="B433">
        <v>82790</v>
      </c>
      <c r="C433">
        <v>2.4300000000000002</v>
      </c>
      <c r="D433">
        <f t="shared" si="36"/>
        <v>53109.809762454577</v>
      </c>
      <c r="E433">
        <f t="shared" si="37"/>
        <v>53.109809762454574</v>
      </c>
      <c r="F433" s="7">
        <v>0.52490886998784936</v>
      </c>
      <c r="G433">
        <f t="shared" si="38"/>
        <v>3</v>
      </c>
      <c r="H433" s="7">
        <f t="shared" si="39"/>
        <v>0.47509113001215064</v>
      </c>
      <c r="I433">
        <f t="shared" si="40"/>
        <v>3</v>
      </c>
      <c r="J433">
        <f>VLOOKUP(A433,'Housing Cost Calc'!$A$2:$C$827,3,FALSE)</f>
        <v>1302</v>
      </c>
      <c r="K433">
        <f t="shared" si="41"/>
        <v>0.29418294039993387</v>
      </c>
    </row>
    <row r="434" spans="1:11" ht="48" x14ac:dyDescent="0.2">
      <c r="A434" s="4" t="s">
        <v>3466</v>
      </c>
      <c r="B434">
        <v>81016</v>
      </c>
      <c r="C434">
        <v>2.3199999999999998</v>
      </c>
      <c r="D434">
        <f t="shared" si="36"/>
        <v>53189.609822816419</v>
      </c>
      <c r="E434">
        <f t="shared" si="37"/>
        <v>53.189609822816422</v>
      </c>
      <c r="F434" s="7">
        <v>0.52612393681652492</v>
      </c>
      <c r="G434">
        <f t="shared" si="38"/>
        <v>3</v>
      </c>
      <c r="H434" s="7">
        <f t="shared" si="39"/>
        <v>0.47387606318347508</v>
      </c>
      <c r="I434">
        <f t="shared" si="40"/>
        <v>3</v>
      </c>
      <c r="J434">
        <f>VLOOKUP(A434,'Housing Cost Calc'!$A$2:$C$827,3,FALSE)</f>
        <v>1407</v>
      </c>
      <c r="K434">
        <f t="shared" si="41"/>
        <v>0.31743041650885312</v>
      </c>
    </row>
    <row r="435" spans="1:11" ht="48" x14ac:dyDescent="0.2">
      <c r="A435" s="4" t="s">
        <v>3383</v>
      </c>
      <c r="B435">
        <v>89063</v>
      </c>
      <c r="C435">
        <v>2.79</v>
      </c>
      <c r="D435">
        <f t="shared" si="36"/>
        <v>53320.623381368845</v>
      </c>
      <c r="E435">
        <f t="shared" si="37"/>
        <v>53.320623381368847</v>
      </c>
      <c r="F435" s="7">
        <v>0.52733900364520048</v>
      </c>
      <c r="G435">
        <f t="shared" si="38"/>
        <v>3</v>
      </c>
      <c r="H435" s="7">
        <f t="shared" si="39"/>
        <v>0.47266099635479952</v>
      </c>
      <c r="I435">
        <f t="shared" si="40"/>
        <v>3</v>
      </c>
      <c r="J435">
        <f>VLOOKUP(A435,'Housing Cost Calc'!$A$2:$C$827,3,FALSE)</f>
        <v>1371</v>
      </c>
      <c r="K435">
        <f t="shared" si="41"/>
        <v>0.30854853069382188</v>
      </c>
    </row>
    <row r="436" spans="1:11" ht="64" x14ac:dyDescent="0.2">
      <c r="A436" s="4" t="s">
        <v>3437</v>
      </c>
      <c r="B436">
        <v>80753</v>
      </c>
      <c r="C436">
        <v>2.2799999999999998</v>
      </c>
      <c r="D436">
        <f t="shared" si="36"/>
        <v>53479.980715036741</v>
      </c>
      <c r="E436">
        <f t="shared" si="37"/>
        <v>53.479980715036739</v>
      </c>
      <c r="F436" s="7">
        <v>0.52855407047387604</v>
      </c>
      <c r="G436">
        <f t="shared" si="38"/>
        <v>3</v>
      </c>
      <c r="H436" s="7">
        <f t="shared" si="39"/>
        <v>0.47144592952612396</v>
      </c>
      <c r="I436">
        <f t="shared" si="40"/>
        <v>3</v>
      </c>
      <c r="J436">
        <f>VLOOKUP(A436,'Housing Cost Calc'!$A$2:$C$827,3,FALSE)</f>
        <v>1399</v>
      </c>
      <c r="K436">
        <f t="shared" si="41"/>
        <v>0.31391185590461124</v>
      </c>
    </row>
    <row r="437" spans="1:11" ht="64" x14ac:dyDescent="0.2">
      <c r="A437" s="4" t="s">
        <v>3246</v>
      </c>
      <c r="B437">
        <v>83039</v>
      </c>
      <c r="C437">
        <v>2.41</v>
      </c>
      <c r="D437">
        <f t="shared" si="36"/>
        <v>53490.122099698594</v>
      </c>
      <c r="E437">
        <f t="shared" si="37"/>
        <v>53.490122099698596</v>
      </c>
      <c r="F437" s="7">
        <v>0.5297691373025516</v>
      </c>
      <c r="G437">
        <f t="shared" si="38"/>
        <v>3</v>
      </c>
      <c r="H437" s="7">
        <f t="shared" si="39"/>
        <v>0.4702308626974484</v>
      </c>
      <c r="I437">
        <f t="shared" si="40"/>
        <v>3</v>
      </c>
      <c r="J437">
        <f>VLOOKUP(A437,'Housing Cost Calc'!$A$2:$C$827,3,FALSE)</f>
        <v>1304</v>
      </c>
      <c r="K437">
        <f t="shared" si="41"/>
        <v>0.29253999403542535</v>
      </c>
    </row>
    <row r="438" spans="1:11" ht="64" x14ac:dyDescent="0.2">
      <c r="A438" s="4" t="s">
        <v>3140</v>
      </c>
      <c r="B438">
        <v>79611</v>
      </c>
      <c r="C438">
        <v>2.21</v>
      </c>
      <c r="D438">
        <f t="shared" si="36"/>
        <v>53552.153802840432</v>
      </c>
      <c r="E438">
        <f t="shared" si="37"/>
        <v>53.552153802840429</v>
      </c>
      <c r="F438" s="7">
        <v>0.53098420413122727</v>
      </c>
      <c r="G438">
        <f t="shared" si="38"/>
        <v>3</v>
      </c>
      <c r="H438" s="7">
        <f t="shared" si="39"/>
        <v>0.46901579586877273</v>
      </c>
      <c r="I438">
        <f t="shared" si="40"/>
        <v>3</v>
      </c>
      <c r="J438">
        <f>VLOOKUP(A438,'Housing Cost Calc'!$A$2:$C$827,3,FALSE)</f>
        <v>1216</v>
      </c>
      <c r="K438">
        <f t="shared" si="41"/>
        <v>0.27248203786018471</v>
      </c>
    </row>
    <row r="439" spans="1:11" ht="48" x14ac:dyDescent="0.2">
      <c r="A439" s="4" t="s">
        <v>3641</v>
      </c>
      <c r="B439">
        <v>85524</v>
      </c>
      <c r="C439">
        <v>2.5499999999999998</v>
      </c>
      <c r="D439">
        <f t="shared" si="36"/>
        <v>53557.206270766328</v>
      </c>
      <c r="E439">
        <f t="shared" si="37"/>
        <v>53.557206270766329</v>
      </c>
      <c r="F439" s="7">
        <v>0.53219927095990283</v>
      </c>
      <c r="G439">
        <f t="shared" si="38"/>
        <v>3</v>
      </c>
      <c r="H439" s="7">
        <f t="shared" si="39"/>
        <v>0.46780072904009717</v>
      </c>
      <c r="I439">
        <f t="shared" si="40"/>
        <v>3</v>
      </c>
      <c r="J439">
        <f>VLOOKUP(A439,'Housing Cost Calc'!$A$2:$C$827,3,FALSE)</f>
        <v>1496</v>
      </c>
      <c r="K439">
        <f t="shared" si="41"/>
        <v>0.33519298802183639</v>
      </c>
    </row>
    <row r="440" spans="1:11" ht="48" x14ac:dyDescent="0.2">
      <c r="A440" s="4" t="s">
        <v>3782</v>
      </c>
      <c r="B440">
        <v>85024</v>
      </c>
      <c r="C440">
        <v>2.52</v>
      </c>
      <c r="D440">
        <f t="shared" si="36"/>
        <v>53560.085588560891</v>
      </c>
      <c r="E440">
        <f t="shared" si="37"/>
        <v>53.560085588560888</v>
      </c>
      <c r="F440" s="7">
        <v>0.53341433778857839</v>
      </c>
      <c r="G440">
        <f t="shared" si="38"/>
        <v>3</v>
      </c>
      <c r="H440" s="7">
        <f t="shared" si="39"/>
        <v>0.46658566221142161</v>
      </c>
      <c r="I440">
        <f t="shared" si="40"/>
        <v>3</v>
      </c>
      <c r="J440">
        <f>VLOOKUP(A440,'Housing Cost Calc'!$A$2:$C$827,3,FALSE)</f>
        <v>1689</v>
      </c>
      <c r="K440">
        <f t="shared" si="41"/>
        <v>0.37841612419545395</v>
      </c>
    </row>
    <row r="441" spans="1:11" ht="48" x14ac:dyDescent="0.2">
      <c r="A441" s="4" t="s">
        <v>3220</v>
      </c>
      <c r="B441">
        <v>77903</v>
      </c>
      <c r="C441">
        <v>2.11</v>
      </c>
      <c r="D441">
        <f t="shared" si="36"/>
        <v>53630.636930168424</v>
      </c>
      <c r="E441">
        <f t="shared" si="37"/>
        <v>53.630636930168421</v>
      </c>
      <c r="F441" s="7">
        <v>0.53462940461725394</v>
      </c>
      <c r="G441">
        <f t="shared" si="38"/>
        <v>3</v>
      </c>
      <c r="H441" s="7">
        <f t="shared" si="39"/>
        <v>0.46537059538274606</v>
      </c>
      <c r="I441">
        <f t="shared" si="40"/>
        <v>3</v>
      </c>
      <c r="J441">
        <f>VLOOKUP(A441,'Housing Cost Calc'!$A$2:$C$827,3,FALSE)</f>
        <v>1295</v>
      </c>
      <c r="K441">
        <f t="shared" si="41"/>
        <v>0.28975975094672807</v>
      </c>
    </row>
    <row r="442" spans="1:11" ht="64" x14ac:dyDescent="0.2">
      <c r="A442" s="4" t="s">
        <v>3673</v>
      </c>
      <c r="B442">
        <v>80871</v>
      </c>
      <c r="C442">
        <v>2.27</v>
      </c>
      <c r="D442">
        <f t="shared" si="36"/>
        <v>53675.967932401334</v>
      </c>
      <c r="E442">
        <f t="shared" si="37"/>
        <v>53.675967932401335</v>
      </c>
      <c r="F442" s="7">
        <v>0.5358444714459295</v>
      </c>
      <c r="G442">
        <f t="shared" si="38"/>
        <v>3</v>
      </c>
      <c r="H442" s="7">
        <f t="shared" si="39"/>
        <v>0.4641555285540705</v>
      </c>
      <c r="I442">
        <f t="shared" si="40"/>
        <v>3</v>
      </c>
      <c r="J442">
        <f>VLOOKUP(A442,'Housing Cost Calc'!$A$2:$C$827,3,FALSE)</f>
        <v>1526</v>
      </c>
      <c r="K442">
        <f t="shared" si="41"/>
        <v>0.34115826328575655</v>
      </c>
    </row>
    <row r="443" spans="1:11" ht="48" x14ac:dyDescent="0.2">
      <c r="A443" s="4" t="s">
        <v>3585</v>
      </c>
      <c r="B443">
        <v>67917</v>
      </c>
      <c r="C443">
        <v>1.6</v>
      </c>
      <c r="D443">
        <f t="shared" si="36"/>
        <v>53693.102961413955</v>
      </c>
      <c r="E443">
        <f t="shared" si="37"/>
        <v>53.693102961413956</v>
      </c>
      <c r="F443" s="7">
        <v>0.53705953827460506</v>
      </c>
      <c r="G443">
        <f t="shared" si="38"/>
        <v>3</v>
      </c>
      <c r="H443" s="7">
        <f t="shared" si="39"/>
        <v>0.46294046172539494</v>
      </c>
      <c r="I443">
        <f t="shared" si="40"/>
        <v>3</v>
      </c>
      <c r="J443">
        <f>VLOOKUP(A443,'Housing Cost Calc'!$A$2:$C$827,3,FALSE)</f>
        <v>1487</v>
      </c>
      <c r="K443">
        <f t="shared" si="41"/>
        <v>0.33233318649554344</v>
      </c>
    </row>
    <row r="444" spans="1:11" ht="48" x14ac:dyDescent="0.2">
      <c r="A444" s="4" t="s">
        <v>3375</v>
      </c>
      <c r="B444">
        <v>86053</v>
      </c>
      <c r="C444">
        <v>2.56</v>
      </c>
      <c r="D444">
        <f t="shared" si="36"/>
        <v>53783.125</v>
      </c>
      <c r="E444">
        <f t="shared" si="37"/>
        <v>53.783124999999998</v>
      </c>
      <c r="F444" s="7">
        <v>0.53827460510328073</v>
      </c>
      <c r="G444">
        <f t="shared" si="38"/>
        <v>3</v>
      </c>
      <c r="H444" s="7">
        <f t="shared" si="39"/>
        <v>0.46172539489671927</v>
      </c>
      <c r="I444">
        <f t="shared" si="40"/>
        <v>3</v>
      </c>
      <c r="J444">
        <f>VLOOKUP(A444,'Housing Cost Calc'!$A$2:$C$827,3,FALSE)</f>
        <v>1378</v>
      </c>
      <c r="K444">
        <f t="shared" si="41"/>
        <v>0.30745703229405136</v>
      </c>
    </row>
    <row r="445" spans="1:11" ht="48" x14ac:dyDescent="0.2">
      <c r="A445" s="4" t="s">
        <v>3706</v>
      </c>
      <c r="B445">
        <v>78125</v>
      </c>
      <c r="C445">
        <v>2.11</v>
      </c>
      <c r="D445">
        <f t="shared" si="36"/>
        <v>53783.468032930796</v>
      </c>
      <c r="E445">
        <f t="shared" si="37"/>
        <v>53.783468032930799</v>
      </c>
      <c r="F445" s="7">
        <v>0.53948967193195629</v>
      </c>
      <c r="G445">
        <f t="shared" si="38"/>
        <v>3</v>
      </c>
      <c r="H445" s="7">
        <f t="shared" si="39"/>
        <v>0.46051032806804371</v>
      </c>
      <c r="I445">
        <f t="shared" si="40"/>
        <v>3</v>
      </c>
      <c r="J445">
        <f>VLOOKUP(A445,'Housing Cost Calc'!$A$2:$C$827,3,FALSE)</f>
        <v>1549</v>
      </c>
      <c r="K445">
        <f t="shared" si="41"/>
        <v>0.34560805912736703</v>
      </c>
    </row>
    <row r="446" spans="1:11" ht="48" x14ac:dyDescent="0.2">
      <c r="A446" s="4" t="s">
        <v>3779</v>
      </c>
      <c r="B446">
        <v>84688</v>
      </c>
      <c r="C446">
        <v>2.4700000000000002</v>
      </c>
      <c r="D446">
        <f t="shared" si="36"/>
        <v>53885.684006892669</v>
      </c>
      <c r="E446">
        <f t="shared" si="37"/>
        <v>53.885684006892667</v>
      </c>
      <c r="F446" s="7">
        <v>0.54070473876063185</v>
      </c>
      <c r="G446">
        <f t="shared" si="38"/>
        <v>3</v>
      </c>
      <c r="H446" s="7">
        <f t="shared" si="39"/>
        <v>0.45929526123936815</v>
      </c>
      <c r="I446">
        <f t="shared" si="40"/>
        <v>3</v>
      </c>
      <c r="J446">
        <f>VLOOKUP(A446,'Housing Cost Calc'!$A$2:$C$827,3,FALSE)</f>
        <v>1663</v>
      </c>
      <c r="K446">
        <f t="shared" si="41"/>
        <v>0.37033955062066898</v>
      </c>
    </row>
    <row r="447" spans="1:11" ht="64" x14ac:dyDescent="0.2">
      <c r="A447" s="4" t="s">
        <v>3754</v>
      </c>
      <c r="B447">
        <v>86651</v>
      </c>
      <c r="C447">
        <v>2.58</v>
      </c>
      <c r="D447">
        <f t="shared" si="36"/>
        <v>53946.556244306783</v>
      </c>
      <c r="E447">
        <f t="shared" si="37"/>
        <v>53.946556244306784</v>
      </c>
      <c r="F447" s="7">
        <v>0.54191980558930741</v>
      </c>
      <c r="G447">
        <f t="shared" si="38"/>
        <v>3</v>
      </c>
      <c r="H447" s="7">
        <f t="shared" si="39"/>
        <v>0.45808019441069259</v>
      </c>
      <c r="I447">
        <f t="shared" si="40"/>
        <v>3</v>
      </c>
      <c r="J447">
        <f>VLOOKUP(A447,'Housing Cost Calc'!$A$2:$C$827,3,FALSE)</f>
        <v>1596</v>
      </c>
      <c r="K447">
        <f t="shared" si="41"/>
        <v>0.3550180277174077</v>
      </c>
    </row>
    <row r="448" spans="1:11" ht="48" x14ac:dyDescent="0.2">
      <c r="A448" s="4" t="s">
        <v>3236</v>
      </c>
      <c r="B448">
        <v>76724</v>
      </c>
      <c r="C448">
        <v>2.02</v>
      </c>
      <c r="D448">
        <f t="shared" si="36"/>
        <v>53982.818021886917</v>
      </c>
      <c r="E448">
        <f t="shared" si="37"/>
        <v>53.982818021886914</v>
      </c>
      <c r="F448" s="7">
        <v>0.54313487241798297</v>
      </c>
      <c r="G448">
        <f t="shared" si="38"/>
        <v>3</v>
      </c>
      <c r="H448" s="7">
        <f t="shared" si="39"/>
        <v>0.45686512758201703</v>
      </c>
      <c r="I448">
        <f t="shared" si="40"/>
        <v>3</v>
      </c>
      <c r="J448">
        <f>VLOOKUP(A448,'Housing Cost Calc'!$A$2:$C$827,3,FALSE)</f>
        <v>1313</v>
      </c>
      <c r="K448">
        <f t="shared" si="41"/>
        <v>0.29187064657520939</v>
      </c>
    </row>
    <row r="449" spans="1:11" ht="48" x14ac:dyDescent="0.2">
      <c r="A449" s="4" t="s">
        <v>3757</v>
      </c>
      <c r="B449">
        <v>81316</v>
      </c>
      <c r="C449">
        <v>2.25</v>
      </c>
      <c r="D449">
        <f t="shared" si="36"/>
        <v>54210.666666666664</v>
      </c>
      <c r="E449">
        <f t="shared" si="37"/>
        <v>54.210666666666661</v>
      </c>
      <c r="F449" s="7">
        <v>0.54434993924665853</v>
      </c>
      <c r="G449">
        <f t="shared" si="38"/>
        <v>3</v>
      </c>
      <c r="H449" s="7">
        <f t="shared" si="39"/>
        <v>0.45565006075334147</v>
      </c>
      <c r="I449">
        <f t="shared" si="40"/>
        <v>3</v>
      </c>
      <c r="J449">
        <f>VLOOKUP(A449,'Housing Cost Calc'!$A$2:$C$827,3,FALSE)</f>
        <v>1846</v>
      </c>
      <c r="K449">
        <f t="shared" si="41"/>
        <v>0.40862806827684589</v>
      </c>
    </row>
    <row r="450" spans="1:11" ht="48" x14ac:dyDescent="0.2">
      <c r="A450" s="4" t="s">
        <v>3050</v>
      </c>
      <c r="B450">
        <v>83345</v>
      </c>
      <c r="C450">
        <v>2.36</v>
      </c>
      <c r="D450">
        <f t="shared" ref="D450:D513" si="42">(B450/(C450)^0.5)</f>
        <v>54252.973928483822</v>
      </c>
      <c r="E450">
        <f t="shared" ref="E450:E513" si="43">D450/1000</f>
        <v>54.252973928483819</v>
      </c>
      <c r="F450" s="7">
        <v>0.54556500607533409</v>
      </c>
      <c r="G450">
        <f t="shared" si="38"/>
        <v>3</v>
      </c>
      <c r="H450" s="7">
        <f t="shared" si="39"/>
        <v>0.45443499392466591</v>
      </c>
      <c r="I450">
        <f t="shared" si="40"/>
        <v>3</v>
      </c>
      <c r="J450">
        <f>VLOOKUP(A450,'Housing Cost Calc'!$A$2:$C$827,3,FALSE)</f>
        <v>1133</v>
      </c>
      <c r="K450">
        <f t="shared" si="41"/>
        <v>0.25060377368293624</v>
      </c>
    </row>
    <row r="451" spans="1:11" ht="48" x14ac:dyDescent="0.2">
      <c r="A451" s="4" t="s">
        <v>3708</v>
      </c>
      <c r="B451">
        <v>87308</v>
      </c>
      <c r="C451">
        <v>2.58</v>
      </c>
      <c r="D451">
        <f t="shared" si="42"/>
        <v>54355.586578088383</v>
      </c>
      <c r="E451">
        <f t="shared" si="43"/>
        <v>54.355586578088385</v>
      </c>
      <c r="F451" s="7">
        <v>0.54678007290400976</v>
      </c>
      <c r="G451">
        <f t="shared" ref="G451:G514" si="44">IF(F451&lt;0.2,1,IF(F451&lt;0.4,2,IF(F451&lt;0.6,3,IF(F451&lt;0.8,4,5))))</f>
        <v>3</v>
      </c>
      <c r="H451" s="7">
        <f t="shared" ref="H451:H514" si="45">1-F451</f>
        <v>0.45321992709599024</v>
      </c>
      <c r="I451">
        <f t="shared" ref="I451:I514" si="46">6-G451</f>
        <v>3</v>
      </c>
      <c r="J451">
        <f>VLOOKUP(A451,'Housing Cost Calc'!$A$2:$C$827,3,FALSE)</f>
        <v>1569</v>
      </c>
      <c r="K451">
        <f t="shared" ref="K451:K514" si="47">(J451*12)/D451</f>
        <v>0.3463857385284822</v>
      </c>
    </row>
    <row r="452" spans="1:11" ht="48" x14ac:dyDescent="0.2">
      <c r="A452" s="4" t="s">
        <v>3740</v>
      </c>
      <c r="B452">
        <v>79707</v>
      </c>
      <c r="C452">
        <v>2.15</v>
      </c>
      <c r="D452">
        <f t="shared" si="42"/>
        <v>54359.722816173031</v>
      </c>
      <c r="E452">
        <f t="shared" si="43"/>
        <v>54.359722816173033</v>
      </c>
      <c r="F452" s="7">
        <v>0.54799513973268532</v>
      </c>
      <c r="G452">
        <f t="shared" si="44"/>
        <v>3</v>
      </c>
      <c r="H452" s="7">
        <f t="shared" si="45"/>
        <v>0.45200486026731468</v>
      </c>
      <c r="I452">
        <f t="shared" si="46"/>
        <v>3</v>
      </c>
      <c r="J452">
        <f>VLOOKUP(A452,'Housing Cost Calc'!$A$2:$C$827,3,FALSE)</f>
        <v>1654</v>
      </c>
      <c r="K452">
        <f t="shared" si="47"/>
        <v>0.36512327458179844</v>
      </c>
    </row>
    <row r="453" spans="1:11" ht="48" x14ac:dyDescent="0.2">
      <c r="A453" s="4" t="s">
        <v>3635</v>
      </c>
      <c r="B453">
        <v>91170</v>
      </c>
      <c r="C453">
        <v>2.81</v>
      </c>
      <c r="D453">
        <f t="shared" si="42"/>
        <v>54387.462248408541</v>
      </c>
      <c r="E453">
        <f t="shared" si="43"/>
        <v>54.387462248408539</v>
      </c>
      <c r="F453" s="7">
        <v>0.54921020656136088</v>
      </c>
      <c r="G453">
        <f t="shared" si="44"/>
        <v>3</v>
      </c>
      <c r="H453" s="7">
        <f t="shared" si="45"/>
        <v>0.45078979343863912</v>
      </c>
      <c r="I453">
        <f t="shared" si="46"/>
        <v>3</v>
      </c>
      <c r="J453">
        <f>VLOOKUP(A453,'Housing Cost Calc'!$A$2:$C$827,3,FALSE)</f>
        <v>1516</v>
      </c>
      <c r="K453">
        <f t="shared" si="47"/>
        <v>0.33448885548125251</v>
      </c>
    </row>
    <row r="454" spans="1:11" ht="48" x14ac:dyDescent="0.2">
      <c r="A454" s="4" t="s">
        <v>3489</v>
      </c>
      <c r="B454">
        <v>80000</v>
      </c>
      <c r="C454">
        <v>2.16</v>
      </c>
      <c r="D454">
        <f t="shared" si="42"/>
        <v>54433.10539518173</v>
      </c>
      <c r="E454">
        <f t="shared" si="43"/>
        <v>54.433105395181727</v>
      </c>
      <c r="F454" s="7">
        <v>0.55042527339003644</v>
      </c>
      <c r="G454">
        <f t="shared" si="44"/>
        <v>3</v>
      </c>
      <c r="H454" s="7">
        <f t="shared" si="45"/>
        <v>0.44957472660996356</v>
      </c>
      <c r="I454">
        <f t="shared" si="46"/>
        <v>3</v>
      </c>
      <c r="J454">
        <f>VLOOKUP(A454,'Housing Cost Calc'!$A$2:$C$827,3,FALSE)</f>
        <v>1448</v>
      </c>
      <c r="K454">
        <f t="shared" si="47"/>
        <v>0.31921750327950382</v>
      </c>
    </row>
    <row r="455" spans="1:11" ht="48" x14ac:dyDescent="0.2">
      <c r="A455" s="4" t="s">
        <v>3812</v>
      </c>
      <c r="B455">
        <v>90527</v>
      </c>
      <c r="C455">
        <v>2.76</v>
      </c>
      <c r="D455">
        <f t="shared" si="42"/>
        <v>54490.850611477144</v>
      </c>
      <c r="E455">
        <f t="shared" si="43"/>
        <v>54.490850611477143</v>
      </c>
      <c r="F455" s="7">
        <v>0.551640340218712</v>
      </c>
      <c r="G455">
        <f t="shared" si="44"/>
        <v>3</v>
      </c>
      <c r="H455" s="7">
        <f t="shared" si="45"/>
        <v>0.448359659781288</v>
      </c>
      <c r="I455">
        <f t="shared" si="46"/>
        <v>3</v>
      </c>
      <c r="J455">
        <f>VLOOKUP(A455,'Housing Cost Calc'!$A$2:$C$827,3,FALSE)</f>
        <v>1773</v>
      </c>
      <c r="K455">
        <f t="shared" si="47"/>
        <v>0.39045086948080671</v>
      </c>
    </row>
    <row r="456" spans="1:11" ht="48" x14ac:dyDescent="0.2">
      <c r="A456" s="4" t="s">
        <v>3154</v>
      </c>
      <c r="B456">
        <v>85347</v>
      </c>
      <c r="C456">
        <v>2.4500000000000002</v>
      </c>
      <c r="D456">
        <f t="shared" si="42"/>
        <v>54526.198193049873</v>
      </c>
      <c r="E456">
        <f t="shared" si="43"/>
        <v>54.526198193049872</v>
      </c>
      <c r="F456" s="7">
        <v>0.55285540704738756</v>
      </c>
      <c r="G456">
        <f t="shared" si="44"/>
        <v>3</v>
      </c>
      <c r="H456" s="7">
        <f t="shared" si="45"/>
        <v>0.44714459295261244</v>
      </c>
      <c r="I456">
        <f t="shared" si="46"/>
        <v>3</v>
      </c>
      <c r="J456">
        <f>VLOOKUP(A456,'Housing Cost Calc'!$A$2:$C$827,3,FALSE)</f>
        <v>1256</v>
      </c>
      <c r="K456">
        <f t="shared" si="47"/>
        <v>0.27641758456435234</v>
      </c>
    </row>
    <row r="457" spans="1:11" ht="48" x14ac:dyDescent="0.2">
      <c r="A457" s="4" t="s">
        <v>3773</v>
      </c>
      <c r="B457">
        <v>83925</v>
      </c>
      <c r="C457">
        <v>2.35</v>
      </c>
      <c r="D457">
        <f t="shared" si="42"/>
        <v>54746.633531010135</v>
      </c>
      <c r="E457">
        <f t="shared" si="43"/>
        <v>54.746633531010133</v>
      </c>
      <c r="F457" s="7">
        <v>0.55407047387606323</v>
      </c>
      <c r="G457">
        <f t="shared" si="44"/>
        <v>3</v>
      </c>
      <c r="H457" s="7">
        <f t="shared" si="45"/>
        <v>0.44592952612393677</v>
      </c>
      <c r="I457">
        <f t="shared" si="46"/>
        <v>3</v>
      </c>
      <c r="J457">
        <f>VLOOKUP(A457,'Housing Cost Calc'!$A$2:$C$827,3,FALSE)</f>
        <v>1703</v>
      </c>
      <c r="K457">
        <f t="shared" si="47"/>
        <v>0.37328322641837763</v>
      </c>
    </row>
    <row r="458" spans="1:11" ht="64" x14ac:dyDescent="0.2">
      <c r="A458" s="4" t="s">
        <v>3486</v>
      </c>
      <c r="B458">
        <v>89900</v>
      </c>
      <c r="C458">
        <v>2.69</v>
      </c>
      <c r="D458">
        <f t="shared" si="42"/>
        <v>54812.99740038735</v>
      </c>
      <c r="E458">
        <f t="shared" si="43"/>
        <v>54.812997400387353</v>
      </c>
      <c r="F458" s="7">
        <v>0.55528554070473879</v>
      </c>
      <c r="G458">
        <f t="shared" si="44"/>
        <v>3</v>
      </c>
      <c r="H458" s="7">
        <f t="shared" si="45"/>
        <v>0.44471445929526121</v>
      </c>
      <c r="I458">
        <f t="shared" si="46"/>
        <v>3</v>
      </c>
      <c r="J458">
        <f>VLOOKUP(A458,'Housing Cost Calc'!$A$2:$C$827,3,FALSE)</f>
        <v>1457</v>
      </c>
      <c r="K458">
        <f t="shared" si="47"/>
        <v>0.31897544066576522</v>
      </c>
    </row>
    <row r="459" spans="1:11" ht="64" x14ac:dyDescent="0.2">
      <c r="A459" s="4" t="s">
        <v>3284</v>
      </c>
      <c r="B459">
        <v>82702</v>
      </c>
      <c r="C459">
        <v>2.27</v>
      </c>
      <c r="D459">
        <f t="shared" si="42"/>
        <v>54891.245315940883</v>
      </c>
      <c r="E459">
        <f t="shared" si="43"/>
        <v>54.891245315940886</v>
      </c>
      <c r="F459" s="7">
        <v>0.55650060753341435</v>
      </c>
      <c r="G459">
        <f t="shared" si="44"/>
        <v>3</v>
      </c>
      <c r="H459" s="7">
        <f t="shared" si="45"/>
        <v>0.44349939246658565</v>
      </c>
      <c r="I459">
        <f t="shared" si="46"/>
        <v>3</v>
      </c>
      <c r="J459">
        <f>VLOOKUP(A459,'Housing Cost Calc'!$A$2:$C$827,3,FALSE)</f>
        <v>1362</v>
      </c>
      <c r="K459">
        <f t="shared" si="47"/>
        <v>0.29775239942048765</v>
      </c>
    </row>
    <row r="460" spans="1:11" ht="48" x14ac:dyDescent="0.2">
      <c r="A460" s="4" t="s">
        <v>3816</v>
      </c>
      <c r="B460">
        <v>90913</v>
      </c>
      <c r="C460">
        <v>2.74</v>
      </c>
      <c r="D460">
        <f t="shared" si="42"/>
        <v>54922.551870926378</v>
      </c>
      <c r="E460">
        <f t="shared" si="43"/>
        <v>54.922551870926377</v>
      </c>
      <c r="F460" s="7">
        <v>0.55771567436208991</v>
      </c>
      <c r="G460">
        <f t="shared" si="44"/>
        <v>3</v>
      </c>
      <c r="H460" s="7">
        <f t="shared" si="45"/>
        <v>0.44228432563791009</v>
      </c>
      <c r="I460">
        <f t="shared" si="46"/>
        <v>3</v>
      </c>
      <c r="J460">
        <f>VLOOKUP(A460,'Housing Cost Calc'!$A$2:$C$827,3,FALSE)</f>
        <v>1857</v>
      </c>
      <c r="K460">
        <f t="shared" si="47"/>
        <v>0.40573497117121726</v>
      </c>
    </row>
    <row r="461" spans="1:11" ht="48" x14ac:dyDescent="0.2">
      <c r="A461" s="4" t="s">
        <v>3497</v>
      </c>
      <c r="B461">
        <v>90285</v>
      </c>
      <c r="C461">
        <v>2.7</v>
      </c>
      <c r="D461">
        <f t="shared" si="42"/>
        <v>54945.701227059908</v>
      </c>
      <c r="E461">
        <f t="shared" si="43"/>
        <v>54.945701227059907</v>
      </c>
      <c r="F461" s="7">
        <v>0.55893074119076547</v>
      </c>
      <c r="G461">
        <f t="shared" si="44"/>
        <v>3</v>
      </c>
      <c r="H461" s="7">
        <f t="shared" si="45"/>
        <v>0.44106925880923453</v>
      </c>
      <c r="I461">
        <f t="shared" si="46"/>
        <v>3</v>
      </c>
      <c r="J461">
        <f>VLOOKUP(A461,'Housing Cost Calc'!$A$2:$C$827,3,FALSE)</f>
        <v>1466</v>
      </c>
      <c r="K461">
        <f t="shared" si="47"/>
        <v>0.32017063404654872</v>
      </c>
    </row>
    <row r="462" spans="1:11" ht="48" x14ac:dyDescent="0.2">
      <c r="A462" s="4" t="s">
        <v>3775</v>
      </c>
      <c r="B462">
        <v>90150</v>
      </c>
      <c r="C462">
        <v>2.69</v>
      </c>
      <c r="D462">
        <f t="shared" si="42"/>
        <v>54965.425090599769</v>
      </c>
      <c r="E462">
        <f t="shared" si="43"/>
        <v>54.965425090599766</v>
      </c>
      <c r="F462" s="7">
        <v>0.56014580801944103</v>
      </c>
      <c r="G462">
        <f t="shared" si="44"/>
        <v>3</v>
      </c>
      <c r="H462" s="7">
        <f t="shared" si="45"/>
        <v>0.43985419198055897</v>
      </c>
      <c r="I462">
        <f t="shared" si="46"/>
        <v>3</v>
      </c>
      <c r="J462">
        <f>VLOOKUP(A462,'Housing Cost Calc'!$A$2:$C$827,3,FALSE)</f>
        <v>1651</v>
      </c>
      <c r="K462">
        <f t="shared" si="47"/>
        <v>0.36044476991388291</v>
      </c>
    </row>
    <row r="463" spans="1:11" ht="64" x14ac:dyDescent="0.2">
      <c r="A463" s="4" t="s">
        <v>3208</v>
      </c>
      <c r="B463">
        <v>84625</v>
      </c>
      <c r="C463">
        <v>2.37</v>
      </c>
      <c r="D463">
        <f t="shared" si="42"/>
        <v>54969.84453331551</v>
      </c>
      <c r="E463">
        <f t="shared" si="43"/>
        <v>54.969844533315509</v>
      </c>
      <c r="F463" s="7">
        <v>0.5613608748481167</v>
      </c>
      <c r="G463">
        <f t="shared" si="44"/>
        <v>3</v>
      </c>
      <c r="H463" s="7">
        <f t="shared" si="45"/>
        <v>0.4386391251518833</v>
      </c>
      <c r="I463">
        <f t="shared" si="46"/>
        <v>3</v>
      </c>
      <c r="J463">
        <f>VLOOKUP(A463,'Housing Cost Calc'!$A$2:$C$827,3,FALSE)</f>
        <v>1323</v>
      </c>
      <c r="K463">
        <f t="shared" si="47"/>
        <v>0.28881289613941058</v>
      </c>
    </row>
    <row r="464" spans="1:11" ht="48" x14ac:dyDescent="0.2">
      <c r="A464" s="4" t="s">
        <v>3762</v>
      </c>
      <c r="B464">
        <v>89545</v>
      </c>
      <c r="C464">
        <v>2.65</v>
      </c>
      <c r="D464">
        <f t="shared" si="42"/>
        <v>55007.056236896162</v>
      </c>
      <c r="E464">
        <f t="shared" si="43"/>
        <v>55.007056236896162</v>
      </c>
      <c r="F464" s="7">
        <v>0.56257594167679226</v>
      </c>
      <c r="G464">
        <f t="shared" si="44"/>
        <v>3</v>
      </c>
      <c r="H464" s="7">
        <f t="shared" si="45"/>
        <v>0.43742405832320774</v>
      </c>
      <c r="I464">
        <f t="shared" si="46"/>
        <v>3</v>
      </c>
      <c r="J464">
        <f>VLOOKUP(A464,'Housing Cost Calc'!$A$2:$C$827,3,FALSE)</f>
        <v>1634</v>
      </c>
      <c r="K464">
        <f t="shared" si="47"/>
        <v>0.35646335836542858</v>
      </c>
    </row>
    <row r="465" spans="1:11" ht="64" x14ac:dyDescent="0.2">
      <c r="A465" s="4" t="s">
        <v>3796</v>
      </c>
      <c r="B465">
        <v>88750</v>
      </c>
      <c r="C465">
        <v>2.6</v>
      </c>
      <c r="D465">
        <f t="shared" si="42"/>
        <v>55040.413473961249</v>
      </c>
      <c r="E465">
        <f t="shared" si="43"/>
        <v>55.040413473961252</v>
      </c>
      <c r="F465" s="7">
        <v>0.56379100850546782</v>
      </c>
      <c r="G465">
        <f t="shared" si="44"/>
        <v>3</v>
      </c>
      <c r="H465" s="7">
        <f t="shared" si="45"/>
        <v>0.43620899149453218</v>
      </c>
      <c r="I465">
        <f t="shared" si="46"/>
        <v>3</v>
      </c>
      <c r="J465">
        <f>VLOOKUP(A465,'Housing Cost Calc'!$A$2:$C$827,3,FALSE)</f>
        <v>1741</v>
      </c>
      <c r="K465">
        <f t="shared" si="47"/>
        <v>0.37957563690693702</v>
      </c>
    </row>
    <row r="466" spans="1:11" ht="48" x14ac:dyDescent="0.2">
      <c r="A466" s="4" t="s">
        <v>3797</v>
      </c>
      <c r="B466">
        <v>89167</v>
      </c>
      <c r="C466">
        <v>2.62</v>
      </c>
      <c r="D466">
        <f t="shared" si="42"/>
        <v>55087.556570711124</v>
      </c>
      <c r="E466">
        <f t="shared" si="43"/>
        <v>55.087556570711122</v>
      </c>
      <c r="F466" s="7">
        <v>0.56500607533414338</v>
      </c>
      <c r="G466">
        <f t="shared" si="44"/>
        <v>3</v>
      </c>
      <c r="H466" s="7">
        <f t="shared" si="45"/>
        <v>0.43499392466585662</v>
      </c>
      <c r="I466">
        <f t="shared" si="46"/>
        <v>3</v>
      </c>
      <c r="J466">
        <f>VLOOKUP(A466,'Housing Cost Calc'!$A$2:$C$827,3,FALSE)</f>
        <v>1730</v>
      </c>
      <c r="K466">
        <f t="shared" si="47"/>
        <v>0.37685461640238455</v>
      </c>
    </row>
    <row r="467" spans="1:11" ht="64" x14ac:dyDescent="0.2">
      <c r="A467" s="4" t="s">
        <v>3686</v>
      </c>
      <c r="B467">
        <v>83929</v>
      </c>
      <c r="C467">
        <v>2.3199999999999998</v>
      </c>
      <c r="D467">
        <f t="shared" si="42"/>
        <v>55102.088017418275</v>
      </c>
      <c r="E467">
        <f t="shared" si="43"/>
        <v>55.102088017418275</v>
      </c>
      <c r="F467" s="7">
        <v>0.56622114216281894</v>
      </c>
      <c r="G467">
        <f t="shared" si="44"/>
        <v>3</v>
      </c>
      <c r="H467" s="7">
        <f t="shared" si="45"/>
        <v>0.43377885783718106</v>
      </c>
      <c r="I467">
        <f t="shared" si="46"/>
        <v>3</v>
      </c>
      <c r="J467">
        <f>VLOOKUP(A467,'Housing Cost Calc'!$A$2:$C$827,3,FALSE)</f>
        <v>1576</v>
      </c>
      <c r="K467">
        <f t="shared" si="47"/>
        <v>0.34321748377342332</v>
      </c>
    </row>
    <row r="468" spans="1:11" ht="64" x14ac:dyDescent="0.2">
      <c r="A468" s="4" t="s">
        <v>3572</v>
      </c>
      <c r="B468">
        <v>89141</v>
      </c>
      <c r="C468">
        <v>2.61</v>
      </c>
      <c r="D468">
        <f t="shared" si="42"/>
        <v>55176.893801468606</v>
      </c>
      <c r="E468">
        <f t="shared" si="43"/>
        <v>55.176893801468609</v>
      </c>
      <c r="F468" s="7">
        <v>0.5674362089914945</v>
      </c>
      <c r="G468">
        <f t="shared" si="44"/>
        <v>3</v>
      </c>
      <c r="H468" s="7">
        <f t="shared" si="45"/>
        <v>0.4325637910085055</v>
      </c>
      <c r="I468">
        <f t="shared" si="46"/>
        <v>3</v>
      </c>
      <c r="J468">
        <f>VLOOKUP(A468,'Housing Cost Calc'!$A$2:$C$827,3,FALSE)</f>
        <v>1506</v>
      </c>
      <c r="K468">
        <f t="shared" si="47"/>
        <v>0.32752840464388355</v>
      </c>
    </row>
    <row r="469" spans="1:11" ht="48" x14ac:dyDescent="0.2">
      <c r="A469" s="4" t="s">
        <v>3747</v>
      </c>
      <c r="B469">
        <v>80759</v>
      </c>
      <c r="C469">
        <v>2.14</v>
      </c>
      <c r="D469">
        <f t="shared" si="42"/>
        <v>55205.715880584772</v>
      </c>
      <c r="E469">
        <f t="shared" si="43"/>
        <v>55.205715880584769</v>
      </c>
      <c r="F469" s="7">
        <v>0.56865127582017005</v>
      </c>
      <c r="G469">
        <f t="shared" si="44"/>
        <v>3</v>
      </c>
      <c r="H469" s="7">
        <f t="shared" si="45"/>
        <v>0.43134872417982995</v>
      </c>
      <c r="I469">
        <f t="shared" si="46"/>
        <v>3</v>
      </c>
      <c r="J469">
        <f>VLOOKUP(A469,'Housing Cost Calc'!$A$2:$C$827,3,FALSE)</f>
        <v>1705</v>
      </c>
      <c r="K469">
        <f t="shared" si="47"/>
        <v>0.37061379738751926</v>
      </c>
    </row>
    <row r="470" spans="1:11" ht="64" x14ac:dyDescent="0.2">
      <c r="A470" s="4" t="s">
        <v>3286</v>
      </c>
      <c r="B470">
        <v>86384</v>
      </c>
      <c r="C470">
        <v>2.4300000000000002</v>
      </c>
      <c r="D470">
        <f t="shared" si="42"/>
        <v>55415.361837418481</v>
      </c>
      <c r="E470">
        <f t="shared" si="43"/>
        <v>55.41536183741848</v>
      </c>
      <c r="F470" s="7">
        <v>0.56986634264884573</v>
      </c>
      <c r="G470">
        <f t="shared" si="44"/>
        <v>3</v>
      </c>
      <c r="H470" s="7">
        <f t="shared" si="45"/>
        <v>0.43013365735115427</v>
      </c>
      <c r="I470">
        <f t="shared" si="46"/>
        <v>3</v>
      </c>
      <c r="J470">
        <f>VLOOKUP(A470,'Housing Cost Calc'!$A$2:$C$827,3,FALSE)</f>
        <v>1376</v>
      </c>
      <c r="K470">
        <f t="shared" si="47"/>
        <v>0.29796791814594797</v>
      </c>
    </row>
    <row r="471" spans="1:11" ht="64" x14ac:dyDescent="0.2">
      <c r="A471" s="4" t="s">
        <v>3076</v>
      </c>
      <c r="B471">
        <v>78209</v>
      </c>
      <c r="C471">
        <v>1.99</v>
      </c>
      <c r="D471">
        <f t="shared" si="42"/>
        <v>55440.890162496937</v>
      </c>
      <c r="E471">
        <f t="shared" si="43"/>
        <v>55.440890162496935</v>
      </c>
      <c r="F471" s="7">
        <v>0.57108140947752128</v>
      </c>
      <c r="G471">
        <f t="shared" si="44"/>
        <v>3</v>
      </c>
      <c r="H471" s="7">
        <f t="shared" si="45"/>
        <v>0.42891859052247872</v>
      </c>
      <c r="I471">
        <f t="shared" si="46"/>
        <v>3</v>
      </c>
      <c r="J471">
        <f>VLOOKUP(A471,'Housing Cost Calc'!$A$2:$C$827,3,FALSE)</f>
        <v>1197</v>
      </c>
      <c r="K471">
        <f t="shared" si="47"/>
        <v>0.25908674911061486</v>
      </c>
    </row>
    <row r="472" spans="1:11" ht="48" x14ac:dyDescent="0.2">
      <c r="A472" s="4" t="s">
        <v>3792</v>
      </c>
      <c r="B472">
        <v>93632</v>
      </c>
      <c r="C472">
        <v>2.85</v>
      </c>
      <c r="D472">
        <f t="shared" si="42"/>
        <v>55462.810122339331</v>
      </c>
      <c r="E472">
        <f t="shared" si="43"/>
        <v>55.462810122339334</v>
      </c>
      <c r="F472" s="7">
        <v>0.57229647630619684</v>
      </c>
      <c r="G472">
        <f t="shared" si="44"/>
        <v>3</v>
      </c>
      <c r="H472" s="7">
        <f t="shared" si="45"/>
        <v>0.42770352369380316</v>
      </c>
      <c r="I472">
        <f t="shared" si="46"/>
        <v>3</v>
      </c>
      <c r="J472">
        <f>VLOOKUP(A472,'Housing Cost Calc'!$A$2:$C$827,3,FALSE)</f>
        <v>1699</v>
      </c>
      <c r="K472">
        <f t="shared" si="47"/>
        <v>0.36759767409960559</v>
      </c>
    </row>
    <row r="473" spans="1:11" ht="48" x14ac:dyDescent="0.2">
      <c r="A473" s="4" t="s">
        <v>3222</v>
      </c>
      <c r="B473">
        <v>86714</v>
      </c>
      <c r="C473">
        <v>2.4300000000000002</v>
      </c>
      <c r="D473">
        <f t="shared" si="42"/>
        <v>55627.056936121342</v>
      </c>
      <c r="E473">
        <f t="shared" si="43"/>
        <v>55.627056936121342</v>
      </c>
      <c r="F473" s="7">
        <v>0.5735115431348724</v>
      </c>
      <c r="G473">
        <f t="shared" si="44"/>
        <v>3</v>
      </c>
      <c r="H473" s="7">
        <f t="shared" si="45"/>
        <v>0.4264884568651276</v>
      </c>
      <c r="I473">
        <f t="shared" si="46"/>
        <v>3</v>
      </c>
      <c r="J473">
        <f>VLOOKUP(A473,'Housing Cost Calc'!$A$2:$C$827,3,FALSE)</f>
        <v>1345</v>
      </c>
      <c r="K473">
        <f t="shared" si="47"/>
        <v>0.29014657414887463</v>
      </c>
    </row>
    <row r="474" spans="1:11" ht="48" x14ac:dyDescent="0.2">
      <c r="A474" s="4" t="s">
        <v>3813</v>
      </c>
      <c r="B474">
        <v>90568</v>
      </c>
      <c r="C474">
        <v>2.64</v>
      </c>
      <c r="D474">
        <f t="shared" si="42"/>
        <v>55740.750775081033</v>
      </c>
      <c r="E474">
        <f t="shared" si="43"/>
        <v>55.740750775081032</v>
      </c>
      <c r="F474" s="7">
        <v>0.57472660996354796</v>
      </c>
      <c r="G474">
        <f t="shared" si="44"/>
        <v>3</v>
      </c>
      <c r="H474" s="7">
        <f t="shared" si="45"/>
        <v>0.42527339003645204</v>
      </c>
      <c r="I474">
        <f t="shared" si="46"/>
        <v>3</v>
      </c>
      <c r="J474">
        <f>VLOOKUP(A474,'Housing Cost Calc'!$A$2:$C$827,3,FALSE)</f>
        <v>1958</v>
      </c>
      <c r="K474">
        <f t="shared" si="47"/>
        <v>0.42152284770631243</v>
      </c>
    </row>
    <row r="475" spans="1:11" ht="64" x14ac:dyDescent="0.2">
      <c r="A475" s="4" t="s">
        <v>3040</v>
      </c>
      <c r="B475">
        <v>90156</v>
      </c>
      <c r="C475">
        <v>2.61</v>
      </c>
      <c r="D475">
        <f t="shared" si="42"/>
        <v>55805.163028967632</v>
      </c>
      <c r="E475">
        <f t="shared" si="43"/>
        <v>55.805163028967634</v>
      </c>
      <c r="F475" s="7">
        <v>0.57594167679222352</v>
      </c>
      <c r="G475">
        <f t="shared" si="44"/>
        <v>3</v>
      </c>
      <c r="H475" s="7">
        <f t="shared" si="45"/>
        <v>0.42405832320777648</v>
      </c>
      <c r="I475">
        <f t="shared" si="46"/>
        <v>3</v>
      </c>
      <c r="J475">
        <f>VLOOKUP(A475,'Housing Cost Calc'!$A$2:$C$827,3,FALSE)</f>
        <v>1138</v>
      </c>
      <c r="K475">
        <f t="shared" si="47"/>
        <v>0.24470854055047511</v>
      </c>
    </row>
    <row r="476" spans="1:11" ht="48" x14ac:dyDescent="0.2">
      <c r="A476" s="4" t="s">
        <v>3160</v>
      </c>
      <c r="B476">
        <v>86821</v>
      </c>
      <c r="C476">
        <v>2.41</v>
      </c>
      <c r="D476">
        <f t="shared" si="42"/>
        <v>55926.322460746531</v>
      </c>
      <c r="E476">
        <f t="shared" si="43"/>
        <v>55.926322460746533</v>
      </c>
      <c r="F476" s="7">
        <v>0.57715674362089919</v>
      </c>
      <c r="G476">
        <f t="shared" si="44"/>
        <v>3</v>
      </c>
      <c r="H476" s="7">
        <f t="shared" si="45"/>
        <v>0.42284325637910081</v>
      </c>
      <c r="I476">
        <f t="shared" si="46"/>
        <v>3</v>
      </c>
      <c r="J476">
        <f>VLOOKUP(A476,'Housing Cost Calc'!$A$2:$C$827,3,FALSE)</f>
        <v>1307</v>
      </c>
      <c r="K476">
        <f t="shared" si="47"/>
        <v>0.28044039568323587</v>
      </c>
    </row>
    <row r="477" spans="1:11" ht="48" x14ac:dyDescent="0.2">
      <c r="A477" s="4" t="s">
        <v>3324</v>
      </c>
      <c r="B477">
        <v>87917</v>
      </c>
      <c r="C477">
        <v>2.4700000000000002</v>
      </c>
      <c r="D477">
        <f t="shared" si="42"/>
        <v>55940.247506541455</v>
      </c>
      <c r="E477">
        <f t="shared" si="43"/>
        <v>55.940247506541454</v>
      </c>
      <c r="F477" s="7">
        <v>0.57837181044957475</v>
      </c>
      <c r="G477">
        <f t="shared" si="44"/>
        <v>3</v>
      </c>
      <c r="H477" s="7">
        <f t="shared" si="45"/>
        <v>0.42162818955042525</v>
      </c>
      <c r="I477">
        <f t="shared" si="46"/>
        <v>3</v>
      </c>
      <c r="J477">
        <f>VLOOKUP(A477,'Housing Cost Calc'!$A$2:$C$827,3,FALSE)</f>
        <v>1407</v>
      </c>
      <c r="K477">
        <f t="shared" si="47"/>
        <v>0.30182204678350133</v>
      </c>
    </row>
    <row r="478" spans="1:11" ht="48" x14ac:dyDescent="0.2">
      <c r="A478" s="4" t="s">
        <v>3551</v>
      </c>
      <c r="B478">
        <v>85960</v>
      </c>
      <c r="C478">
        <v>2.36</v>
      </c>
      <c r="D478">
        <f t="shared" si="42"/>
        <v>55955.193939558099</v>
      </c>
      <c r="E478">
        <f t="shared" si="43"/>
        <v>55.9551939395581</v>
      </c>
      <c r="F478" s="7">
        <v>0.57958687727825031</v>
      </c>
      <c r="G478">
        <f t="shared" si="44"/>
        <v>3</v>
      </c>
      <c r="H478" s="7">
        <f t="shared" si="45"/>
        <v>0.42041312272174969</v>
      </c>
      <c r="I478">
        <f t="shared" si="46"/>
        <v>3</v>
      </c>
      <c r="J478">
        <f>VLOOKUP(A478,'Housing Cost Calc'!$A$2:$C$827,3,FALSE)</f>
        <v>1509</v>
      </c>
      <c r="K478">
        <f t="shared" si="47"/>
        <v>0.32361607073616744</v>
      </c>
    </row>
    <row r="479" spans="1:11" ht="64" x14ac:dyDescent="0.2">
      <c r="A479" s="4" t="s">
        <v>3270</v>
      </c>
      <c r="B479">
        <v>89460</v>
      </c>
      <c r="C479">
        <v>2.5499999999999998</v>
      </c>
      <c r="D479">
        <f t="shared" si="42"/>
        <v>56022.025080477477</v>
      </c>
      <c r="E479">
        <f t="shared" si="43"/>
        <v>56.022025080477476</v>
      </c>
      <c r="F479" s="7">
        <v>0.58080194410692587</v>
      </c>
      <c r="G479">
        <f t="shared" si="44"/>
        <v>3</v>
      </c>
      <c r="H479" s="7">
        <f t="shared" si="45"/>
        <v>0.41919805589307413</v>
      </c>
      <c r="I479">
        <f t="shared" si="46"/>
        <v>3</v>
      </c>
      <c r="J479">
        <f>VLOOKUP(A479,'Housing Cost Calc'!$A$2:$C$827,3,FALSE)</f>
        <v>1382</v>
      </c>
      <c r="K479">
        <f t="shared" si="47"/>
        <v>0.29602642846588534</v>
      </c>
    </row>
    <row r="480" spans="1:11" ht="48" x14ac:dyDescent="0.2">
      <c r="A480" s="4" t="s">
        <v>3232</v>
      </c>
      <c r="B480">
        <v>91250</v>
      </c>
      <c r="C480">
        <v>2.65</v>
      </c>
      <c r="D480">
        <f t="shared" si="42"/>
        <v>56054.429411098048</v>
      </c>
      <c r="E480">
        <f t="shared" si="43"/>
        <v>56.054429411098049</v>
      </c>
      <c r="F480" s="7">
        <v>0.58201701093560143</v>
      </c>
      <c r="G480">
        <f t="shared" si="44"/>
        <v>3</v>
      </c>
      <c r="H480" s="7">
        <f t="shared" si="45"/>
        <v>0.41798298906439857</v>
      </c>
      <c r="I480">
        <f t="shared" si="46"/>
        <v>3</v>
      </c>
      <c r="J480">
        <f>VLOOKUP(A480,'Housing Cost Calc'!$A$2:$C$827,3,FALSE)</f>
        <v>1361</v>
      </c>
      <c r="K480">
        <f t="shared" si="47"/>
        <v>0.29135966901424698</v>
      </c>
    </row>
    <row r="481" spans="1:11" ht="48" x14ac:dyDescent="0.2">
      <c r="A481" s="4" t="s">
        <v>3240</v>
      </c>
      <c r="B481">
        <v>82436</v>
      </c>
      <c r="C481">
        <v>2.16</v>
      </c>
      <c r="D481">
        <f t="shared" si="42"/>
        <v>56090.593454465015</v>
      </c>
      <c r="E481">
        <f t="shared" si="43"/>
        <v>56.090593454465015</v>
      </c>
      <c r="F481" s="7">
        <v>0.58323207776427699</v>
      </c>
      <c r="G481">
        <f t="shared" si="44"/>
        <v>3</v>
      </c>
      <c r="H481" s="7">
        <f t="shared" si="45"/>
        <v>0.41676792223572301</v>
      </c>
      <c r="I481">
        <f t="shared" si="46"/>
        <v>3</v>
      </c>
      <c r="J481">
        <f>VLOOKUP(A481,'Housing Cost Calc'!$A$2:$C$827,3,FALSE)</f>
        <v>1366</v>
      </c>
      <c r="K481">
        <f t="shared" si="47"/>
        <v>0.29224151485056427</v>
      </c>
    </row>
    <row r="482" spans="1:11" ht="48" x14ac:dyDescent="0.2">
      <c r="A482" s="4" t="s">
        <v>3806</v>
      </c>
      <c r="B482">
        <v>90000</v>
      </c>
      <c r="C482">
        <v>2.56</v>
      </c>
      <c r="D482">
        <f t="shared" si="42"/>
        <v>56250</v>
      </c>
      <c r="E482">
        <f t="shared" si="43"/>
        <v>56.25</v>
      </c>
      <c r="F482" s="7">
        <v>0.58444714459295266</v>
      </c>
      <c r="G482">
        <f t="shared" si="44"/>
        <v>3</v>
      </c>
      <c r="H482" s="7">
        <f t="shared" si="45"/>
        <v>0.41555285540704734</v>
      </c>
      <c r="I482">
        <f t="shared" si="46"/>
        <v>3</v>
      </c>
      <c r="J482">
        <f>VLOOKUP(A482,'Housing Cost Calc'!$A$2:$C$827,3,FALSE)</f>
        <v>1798</v>
      </c>
      <c r="K482">
        <f t="shared" si="47"/>
        <v>0.38357333333333332</v>
      </c>
    </row>
    <row r="483" spans="1:11" ht="64" x14ac:dyDescent="0.2">
      <c r="A483" s="4" t="s">
        <v>3535</v>
      </c>
      <c r="B483">
        <v>90563</v>
      </c>
      <c r="C483">
        <v>2.59</v>
      </c>
      <c r="D483">
        <f t="shared" si="42"/>
        <v>56273.110118366676</v>
      </c>
      <c r="E483">
        <f t="shared" si="43"/>
        <v>56.273110118366674</v>
      </c>
      <c r="F483" s="7">
        <v>0.58566221142162822</v>
      </c>
      <c r="G483">
        <f t="shared" si="44"/>
        <v>3</v>
      </c>
      <c r="H483" s="7">
        <f t="shared" si="45"/>
        <v>0.41433778857837178</v>
      </c>
      <c r="I483">
        <f t="shared" si="46"/>
        <v>3</v>
      </c>
      <c r="J483">
        <f>VLOOKUP(A483,'Housing Cost Calc'!$A$2:$C$827,3,FALSE)</f>
        <v>1509</v>
      </c>
      <c r="K483">
        <f t="shared" si="47"/>
        <v>0.32178779459516366</v>
      </c>
    </row>
    <row r="484" spans="1:11" ht="48" x14ac:dyDescent="0.2">
      <c r="A484" s="4" t="s">
        <v>3785</v>
      </c>
      <c r="B484">
        <v>85420</v>
      </c>
      <c r="C484">
        <v>2.29</v>
      </c>
      <c r="D484">
        <f t="shared" si="42"/>
        <v>56447.12485087377</v>
      </c>
      <c r="E484">
        <f t="shared" si="43"/>
        <v>56.44712485087377</v>
      </c>
      <c r="F484" s="7">
        <v>0.58687727825030378</v>
      </c>
      <c r="G484">
        <f t="shared" si="44"/>
        <v>3</v>
      </c>
      <c r="H484" s="7">
        <f t="shared" si="45"/>
        <v>0.41312272174969622</v>
      </c>
      <c r="I484">
        <f t="shared" si="46"/>
        <v>3</v>
      </c>
      <c r="J484">
        <f>VLOOKUP(A484,'Housing Cost Calc'!$A$2:$C$827,3,FALSE)</f>
        <v>2014</v>
      </c>
      <c r="K484">
        <f t="shared" si="47"/>
        <v>0.42815289642915966</v>
      </c>
    </row>
    <row r="485" spans="1:11" ht="48" x14ac:dyDescent="0.2">
      <c r="A485" s="4" t="s">
        <v>3403</v>
      </c>
      <c r="B485">
        <v>91973</v>
      </c>
      <c r="C485">
        <v>2.65</v>
      </c>
      <c r="D485">
        <f t="shared" si="42"/>
        <v>56498.564780568995</v>
      </c>
      <c r="E485">
        <f t="shared" si="43"/>
        <v>56.498564780568998</v>
      </c>
      <c r="F485" s="7">
        <v>0.58809234507897934</v>
      </c>
      <c r="G485">
        <f t="shared" si="44"/>
        <v>3</v>
      </c>
      <c r="H485" s="7">
        <f t="shared" si="45"/>
        <v>0.41190765492102066</v>
      </c>
      <c r="I485">
        <f t="shared" si="46"/>
        <v>3</v>
      </c>
      <c r="J485">
        <f>VLOOKUP(A485,'Housing Cost Calc'!$A$2:$C$827,3,FALSE)</f>
        <v>1465</v>
      </c>
      <c r="K485">
        <f t="shared" si="47"/>
        <v>0.31115834655761238</v>
      </c>
    </row>
    <row r="486" spans="1:11" ht="48" x14ac:dyDescent="0.2">
      <c r="A486" s="4" t="s">
        <v>3671</v>
      </c>
      <c r="B486">
        <v>91129</v>
      </c>
      <c r="C486">
        <v>2.6</v>
      </c>
      <c r="D486">
        <f t="shared" si="42"/>
        <v>56515.806641899886</v>
      </c>
      <c r="E486">
        <f t="shared" si="43"/>
        <v>56.515806641899886</v>
      </c>
      <c r="F486" s="7">
        <v>0.5893074119076549</v>
      </c>
      <c r="G486">
        <f t="shared" si="44"/>
        <v>3</v>
      </c>
      <c r="H486" s="7">
        <f t="shared" si="45"/>
        <v>0.4106925880923451</v>
      </c>
      <c r="I486">
        <f t="shared" si="46"/>
        <v>3</v>
      </c>
      <c r="J486">
        <f>VLOOKUP(A486,'Housing Cost Calc'!$A$2:$C$827,3,FALSE)</f>
        <v>1605</v>
      </c>
      <c r="K486">
        <f t="shared" si="47"/>
        <v>0.34078961523166079</v>
      </c>
    </row>
    <row r="487" spans="1:11" ht="64" x14ac:dyDescent="0.2">
      <c r="A487" s="4" t="s">
        <v>3739</v>
      </c>
      <c r="B487">
        <v>82841</v>
      </c>
      <c r="C487">
        <v>2.14</v>
      </c>
      <c r="D487">
        <f t="shared" si="42"/>
        <v>56628.941780650122</v>
      </c>
      <c r="E487">
        <f t="shared" si="43"/>
        <v>56.628941780650123</v>
      </c>
      <c r="F487" s="7">
        <v>0.59052247873633046</v>
      </c>
      <c r="G487">
        <f t="shared" si="44"/>
        <v>3</v>
      </c>
      <c r="H487" s="7">
        <f t="shared" si="45"/>
        <v>0.40947752126366954</v>
      </c>
      <c r="I487">
        <f t="shared" si="46"/>
        <v>3</v>
      </c>
      <c r="J487">
        <f>VLOOKUP(A487,'Housing Cost Calc'!$A$2:$C$827,3,FALSE)</f>
        <v>1662</v>
      </c>
      <c r="K487">
        <f t="shared" si="47"/>
        <v>0.35218740405307702</v>
      </c>
    </row>
    <row r="488" spans="1:11" ht="48" x14ac:dyDescent="0.2">
      <c r="A488" s="4" t="s">
        <v>3480</v>
      </c>
      <c r="B488">
        <v>93403</v>
      </c>
      <c r="C488">
        <v>2.72</v>
      </c>
      <c r="D488">
        <f t="shared" si="42"/>
        <v>56633.887463171523</v>
      </c>
      <c r="E488">
        <f t="shared" si="43"/>
        <v>56.633887463171526</v>
      </c>
      <c r="F488" s="7">
        <v>0.59173754556500613</v>
      </c>
      <c r="G488">
        <f t="shared" si="44"/>
        <v>3</v>
      </c>
      <c r="H488" s="7">
        <f t="shared" si="45"/>
        <v>0.40826245443499387</v>
      </c>
      <c r="I488">
        <f t="shared" si="46"/>
        <v>3</v>
      </c>
      <c r="J488">
        <f>VLOOKUP(A488,'Housing Cost Calc'!$A$2:$C$827,3,FALSE)</f>
        <v>1502</v>
      </c>
      <c r="K488">
        <f t="shared" si="47"/>
        <v>0.31825468473660468</v>
      </c>
    </row>
    <row r="489" spans="1:11" ht="64" x14ac:dyDescent="0.2">
      <c r="A489" s="4" t="s">
        <v>3186</v>
      </c>
      <c r="B489">
        <v>90500</v>
      </c>
      <c r="C489">
        <v>2.5499999999999998</v>
      </c>
      <c r="D489">
        <f t="shared" si="42"/>
        <v>56673.298343206028</v>
      </c>
      <c r="E489">
        <f t="shared" si="43"/>
        <v>56.673298343206028</v>
      </c>
      <c r="F489" s="7">
        <v>0.59295261239368169</v>
      </c>
      <c r="G489">
        <f t="shared" si="44"/>
        <v>3</v>
      </c>
      <c r="H489" s="7">
        <f t="shared" si="45"/>
        <v>0.40704738760631831</v>
      </c>
      <c r="I489">
        <f t="shared" si="46"/>
        <v>3</v>
      </c>
      <c r="J489">
        <f>VLOOKUP(A489,'Housing Cost Calc'!$A$2:$C$827,3,FALSE)</f>
        <v>1343</v>
      </c>
      <c r="K489">
        <f t="shared" si="47"/>
        <v>0.2843667206804098</v>
      </c>
    </row>
    <row r="490" spans="1:11" ht="48" x14ac:dyDescent="0.2">
      <c r="A490" s="4" t="s">
        <v>3819</v>
      </c>
      <c r="B490">
        <v>91467</v>
      </c>
      <c r="C490">
        <v>2.6</v>
      </c>
      <c r="D490">
        <f t="shared" si="42"/>
        <v>56725.425343355644</v>
      </c>
      <c r="E490">
        <f t="shared" si="43"/>
        <v>56.725425343355646</v>
      </c>
      <c r="F490" s="7">
        <v>0.59416767922235725</v>
      </c>
      <c r="G490">
        <f t="shared" si="44"/>
        <v>3</v>
      </c>
      <c r="H490" s="7">
        <f t="shared" si="45"/>
        <v>0.40583232077764275</v>
      </c>
      <c r="I490">
        <f t="shared" si="46"/>
        <v>3</v>
      </c>
      <c r="J490">
        <f>VLOOKUP(A490,'Housing Cost Calc'!$A$2:$C$827,3,FALSE)</f>
        <v>1873</v>
      </c>
      <c r="K490">
        <f t="shared" si="47"/>
        <v>0.39622444193153428</v>
      </c>
    </row>
    <row r="491" spans="1:11" ht="48" x14ac:dyDescent="0.2">
      <c r="A491" s="4" t="s">
        <v>3096</v>
      </c>
      <c r="B491">
        <v>85536</v>
      </c>
      <c r="C491">
        <v>2.27</v>
      </c>
      <c r="D491">
        <f t="shared" si="42"/>
        <v>56772.237181015204</v>
      </c>
      <c r="E491">
        <f t="shared" si="43"/>
        <v>56.772237181015207</v>
      </c>
      <c r="F491" s="7">
        <v>0.59538274605103281</v>
      </c>
      <c r="G491">
        <f t="shared" si="44"/>
        <v>3</v>
      </c>
      <c r="H491" s="7">
        <f t="shared" si="45"/>
        <v>0.40461725394896719</v>
      </c>
      <c r="I491">
        <f t="shared" si="46"/>
        <v>3</v>
      </c>
      <c r="J491">
        <f>VLOOKUP(A491,'Housing Cost Calc'!$A$2:$C$827,3,FALSE)</f>
        <v>1238</v>
      </c>
      <c r="K491">
        <f t="shared" si="47"/>
        <v>0.26167719888565338</v>
      </c>
    </row>
    <row r="492" spans="1:11" ht="64" x14ac:dyDescent="0.2">
      <c r="A492" s="4" t="s">
        <v>3052</v>
      </c>
      <c r="B492">
        <v>89292</v>
      </c>
      <c r="C492">
        <v>2.4500000000000002</v>
      </c>
      <c r="D492">
        <f t="shared" si="42"/>
        <v>57046.566241974637</v>
      </c>
      <c r="E492">
        <f t="shared" si="43"/>
        <v>57.046566241974638</v>
      </c>
      <c r="F492" s="7">
        <v>0.59659781287970837</v>
      </c>
      <c r="G492">
        <f t="shared" si="44"/>
        <v>3</v>
      </c>
      <c r="H492" s="7">
        <f t="shared" si="45"/>
        <v>0.40340218712029163</v>
      </c>
      <c r="I492">
        <f t="shared" si="46"/>
        <v>3</v>
      </c>
      <c r="J492">
        <f>VLOOKUP(A492,'Housing Cost Calc'!$A$2:$C$827,3,FALSE)</f>
        <v>1193</v>
      </c>
      <c r="K492">
        <f t="shared" si="47"/>
        <v>0.25095287837791619</v>
      </c>
    </row>
    <row r="493" spans="1:11" ht="48" x14ac:dyDescent="0.2">
      <c r="A493" s="4" t="s">
        <v>3112</v>
      </c>
      <c r="B493">
        <v>88167</v>
      </c>
      <c r="C493">
        <v>2.38</v>
      </c>
      <c r="D493">
        <f t="shared" si="42"/>
        <v>57150.177694423684</v>
      </c>
      <c r="E493">
        <f t="shared" si="43"/>
        <v>57.150177694423682</v>
      </c>
      <c r="F493" s="7">
        <v>0.59781287970838393</v>
      </c>
      <c r="G493">
        <f t="shared" si="44"/>
        <v>3</v>
      </c>
      <c r="H493" s="7">
        <f t="shared" si="45"/>
        <v>0.40218712029161607</v>
      </c>
      <c r="I493">
        <f t="shared" si="46"/>
        <v>3</v>
      </c>
      <c r="J493">
        <f>VLOOKUP(A493,'Housing Cost Calc'!$A$2:$C$827,3,FALSE)</f>
        <v>1264</v>
      </c>
      <c r="K493">
        <f t="shared" si="47"/>
        <v>0.26540599892972838</v>
      </c>
    </row>
    <row r="494" spans="1:11" ht="48" x14ac:dyDescent="0.2">
      <c r="A494" s="4" t="s">
        <v>3642</v>
      </c>
      <c r="B494">
        <v>94434</v>
      </c>
      <c r="C494">
        <v>2.73</v>
      </c>
      <c r="D494">
        <f t="shared" si="42"/>
        <v>57154.056820045691</v>
      </c>
      <c r="E494">
        <f t="shared" si="43"/>
        <v>57.154056820045689</v>
      </c>
      <c r="F494" s="7">
        <v>0.59902794653705949</v>
      </c>
      <c r="G494">
        <f t="shared" si="44"/>
        <v>3</v>
      </c>
      <c r="H494" s="7">
        <f t="shared" si="45"/>
        <v>0.40097205346294051</v>
      </c>
      <c r="I494">
        <f t="shared" si="46"/>
        <v>3</v>
      </c>
      <c r="J494">
        <f>VLOOKUP(A494,'Housing Cost Calc'!$A$2:$C$827,3,FALSE)</f>
        <v>1597</v>
      </c>
      <c r="K494">
        <f t="shared" si="47"/>
        <v>0.33530428225487913</v>
      </c>
    </row>
    <row r="495" spans="1:11" ht="48" x14ac:dyDescent="0.2">
      <c r="A495" s="4" t="s">
        <v>3822</v>
      </c>
      <c r="B495">
        <v>91556</v>
      </c>
      <c r="C495">
        <v>2.5499999999999998</v>
      </c>
      <c r="D495">
        <f t="shared" si="42"/>
        <v>57334.591194591951</v>
      </c>
      <c r="E495">
        <f t="shared" si="43"/>
        <v>57.334591194591951</v>
      </c>
      <c r="F495" s="7">
        <v>0.60024301336573516</v>
      </c>
      <c r="G495">
        <f t="shared" si="44"/>
        <v>4</v>
      </c>
      <c r="H495" s="7">
        <f t="shared" si="45"/>
        <v>0.39975698663426484</v>
      </c>
      <c r="I495">
        <f t="shared" si="46"/>
        <v>2</v>
      </c>
      <c r="J495">
        <f>VLOOKUP(A495,'Housing Cost Calc'!$A$2:$C$827,3,FALSE)</f>
        <v>1979</v>
      </c>
      <c r="K495">
        <f t="shared" si="47"/>
        <v>0.41420021500458548</v>
      </c>
    </row>
    <row r="496" spans="1:11" ht="64" x14ac:dyDescent="0.2">
      <c r="A496" s="4" t="s">
        <v>3262</v>
      </c>
      <c r="B496">
        <v>86009</v>
      </c>
      <c r="C496">
        <v>2.25</v>
      </c>
      <c r="D496">
        <f t="shared" si="42"/>
        <v>57339.333333333336</v>
      </c>
      <c r="E496">
        <f t="shared" si="43"/>
        <v>57.339333333333336</v>
      </c>
      <c r="F496" s="7">
        <v>0.60145808019441072</v>
      </c>
      <c r="G496">
        <f t="shared" si="44"/>
        <v>4</v>
      </c>
      <c r="H496" s="7">
        <f t="shared" si="45"/>
        <v>0.39854191980558928</v>
      </c>
      <c r="I496">
        <f t="shared" si="46"/>
        <v>2</v>
      </c>
      <c r="J496">
        <f>VLOOKUP(A496,'Housing Cost Calc'!$A$2:$C$827,3,FALSE)</f>
        <v>1409</v>
      </c>
      <c r="K496">
        <f t="shared" si="47"/>
        <v>0.29487611761559834</v>
      </c>
    </row>
    <row r="497" spans="1:11" ht="48" x14ac:dyDescent="0.2">
      <c r="A497" s="4" t="s">
        <v>3527</v>
      </c>
      <c r="B497">
        <v>86119</v>
      </c>
      <c r="C497">
        <v>2.25</v>
      </c>
      <c r="D497">
        <f t="shared" si="42"/>
        <v>57412.666666666664</v>
      </c>
      <c r="E497">
        <f t="shared" si="43"/>
        <v>57.412666666666667</v>
      </c>
      <c r="F497" s="7">
        <v>0.60267314702308628</v>
      </c>
      <c r="G497">
        <f t="shared" si="44"/>
        <v>4</v>
      </c>
      <c r="H497" s="7">
        <f t="shared" si="45"/>
        <v>0.39732685297691372</v>
      </c>
      <c r="I497">
        <f t="shared" si="46"/>
        <v>2</v>
      </c>
      <c r="J497">
        <f>VLOOKUP(A497,'Housing Cost Calc'!$A$2:$C$827,3,FALSE)</f>
        <v>1538</v>
      </c>
      <c r="K497">
        <f t="shared" si="47"/>
        <v>0.32146216282121254</v>
      </c>
    </row>
    <row r="498" spans="1:11" ht="64" x14ac:dyDescent="0.2">
      <c r="A498" s="4" t="s">
        <v>3359</v>
      </c>
      <c r="B498">
        <v>91684</v>
      </c>
      <c r="C498">
        <v>2.5499999999999998</v>
      </c>
      <c r="D498">
        <f t="shared" si="42"/>
        <v>57414.747903850846</v>
      </c>
      <c r="E498">
        <f t="shared" si="43"/>
        <v>57.414747903850845</v>
      </c>
      <c r="F498" s="7">
        <v>0.60388821385176183</v>
      </c>
      <c r="G498">
        <f t="shared" si="44"/>
        <v>4</v>
      </c>
      <c r="H498" s="7">
        <f t="shared" si="45"/>
        <v>0.39611178614823817</v>
      </c>
      <c r="I498">
        <f t="shared" si="46"/>
        <v>2</v>
      </c>
      <c r="J498">
        <f>VLOOKUP(A498,'Housing Cost Calc'!$A$2:$C$827,3,FALSE)</f>
        <v>1462</v>
      </c>
      <c r="K498">
        <f t="shared" si="47"/>
        <v>0.30556608955907844</v>
      </c>
    </row>
    <row r="499" spans="1:11" ht="48" x14ac:dyDescent="0.2">
      <c r="A499" s="4" t="s">
        <v>3711</v>
      </c>
      <c r="B499">
        <v>87647</v>
      </c>
      <c r="C499">
        <v>2.33</v>
      </c>
      <c r="D499">
        <f t="shared" si="42"/>
        <v>57419.458834002427</v>
      </c>
      <c r="E499">
        <f t="shared" si="43"/>
        <v>57.419458834002427</v>
      </c>
      <c r="F499" s="7">
        <v>0.60510328068043739</v>
      </c>
      <c r="G499">
        <f t="shared" si="44"/>
        <v>4</v>
      </c>
      <c r="H499" s="7">
        <f t="shared" si="45"/>
        <v>0.39489671931956261</v>
      </c>
      <c r="I499">
        <f t="shared" si="46"/>
        <v>2</v>
      </c>
      <c r="J499">
        <f>VLOOKUP(A499,'Housing Cost Calc'!$A$2:$C$827,3,FALSE)</f>
        <v>1661</v>
      </c>
      <c r="K499">
        <f t="shared" si="47"/>
        <v>0.34712970837330059</v>
      </c>
    </row>
    <row r="500" spans="1:11" ht="48" x14ac:dyDescent="0.2">
      <c r="A500" s="4" t="s">
        <v>3656</v>
      </c>
      <c r="B500">
        <v>88063</v>
      </c>
      <c r="C500">
        <v>2.35</v>
      </c>
      <c r="D500">
        <f t="shared" si="42"/>
        <v>57445.967097305278</v>
      </c>
      <c r="E500">
        <f t="shared" si="43"/>
        <v>57.445967097305278</v>
      </c>
      <c r="F500" s="7">
        <v>0.60631834750911295</v>
      </c>
      <c r="G500">
        <f t="shared" si="44"/>
        <v>4</v>
      </c>
      <c r="H500" s="7">
        <f t="shared" si="45"/>
        <v>0.39368165249088705</v>
      </c>
      <c r="I500">
        <f t="shared" si="46"/>
        <v>2</v>
      </c>
      <c r="J500">
        <f>VLOOKUP(A500,'Housing Cost Calc'!$A$2:$C$827,3,FALSE)</f>
        <v>1618</v>
      </c>
      <c r="K500">
        <f t="shared" si="47"/>
        <v>0.3379871726610863</v>
      </c>
    </row>
    <row r="501" spans="1:11" ht="64" x14ac:dyDescent="0.2">
      <c r="A501" s="4" t="s">
        <v>3415</v>
      </c>
      <c r="B501">
        <v>92283</v>
      </c>
      <c r="C501">
        <v>2.58</v>
      </c>
      <c r="D501">
        <f t="shared" si="42"/>
        <v>57452.886289752721</v>
      </c>
      <c r="E501">
        <f t="shared" si="43"/>
        <v>57.452886289752719</v>
      </c>
      <c r="F501" s="7">
        <v>0.60753341433778862</v>
      </c>
      <c r="G501">
        <f t="shared" si="44"/>
        <v>4</v>
      </c>
      <c r="H501" s="7">
        <f t="shared" si="45"/>
        <v>0.39246658566221138</v>
      </c>
      <c r="I501">
        <f t="shared" si="46"/>
        <v>2</v>
      </c>
      <c r="J501">
        <f>VLOOKUP(A501,'Housing Cost Calc'!$A$2:$C$827,3,FALSE)</f>
        <v>1493</v>
      </c>
      <c r="K501">
        <f t="shared" si="47"/>
        <v>0.31183811914416371</v>
      </c>
    </row>
    <row r="502" spans="1:11" ht="48" x14ac:dyDescent="0.2">
      <c r="A502" s="4" t="s">
        <v>3048</v>
      </c>
      <c r="B502">
        <v>81919</v>
      </c>
      <c r="C502">
        <v>2.0299999999999998</v>
      </c>
      <c r="D502">
        <f t="shared" si="42"/>
        <v>57495.866465261075</v>
      </c>
      <c r="E502">
        <f t="shared" si="43"/>
        <v>57.495866465261074</v>
      </c>
      <c r="F502" s="7">
        <v>0.60874848116646418</v>
      </c>
      <c r="G502">
        <f t="shared" si="44"/>
        <v>4</v>
      </c>
      <c r="H502" s="7">
        <f t="shared" si="45"/>
        <v>0.39125151883353582</v>
      </c>
      <c r="I502">
        <f t="shared" si="46"/>
        <v>2</v>
      </c>
      <c r="J502">
        <f>VLOOKUP(A502,'Housing Cost Calc'!$A$2:$C$827,3,FALSE)</f>
        <v>1194</v>
      </c>
      <c r="K502">
        <f t="shared" si="47"/>
        <v>0.2492005231133782</v>
      </c>
    </row>
    <row r="503" spans="1:11" ht="48" x14ac:dyDescent="0.2">
      <c r="A503" s="4" t="s">
        <v>3793</v>
      </c>
      <c r="B503">
        <v>91829</v>
      </c>
      <c r="C503">
        <v>2.5499999999999998</v>
      </c>
      <c r="D503">
        <f t="shared" si="42"/>
        <v>57505.550426058195</v>
      </c>
      <c r="E503">
        <f t="shared" si="43"/>
        <v>57.505550426058193</v>
      </c>
      <c r="F503" s="7">
        <v>0.60996354799513974</v>
      </c>
      <c r="G503">
        <f t="shared" si="44"/>
        <v>4</v>
      </c>
      <c r="H503" s="7">
        <f t="shared" si="45"/>
        <v>0.39003645200486026</v>
      </c>
      <c r="I503">
        <f t="shared" si="46"/>
        <v>2</v>
      </c>
      <c r="J503">
        <f>VLOOKUP(A503,'Housing Cost Calc'!$A$2:$C$827,3,FALSE)</f>
        <v>1762</v>
      </c>
      <c r="K503">
        <f t="shared" si="47"/>
        <v>0.36768624669000227</v>
      </c>
    </row>
    <row r="504" spans="1:11" ht="48" x14ac:dyDescent="0.2">
      <c r="A504" s="4" t="s">
        <v>3377</v>
      </c>
      <c r="B504">
        <v>94576</v>
      </c>
      <c r="C504">
        <v>2.7</v>
      </c>
      <c r="D504">
        <f t="shared" si="42"/>
        <v>57557.120665120652</v>
      </c>
      <c r="E504">
        <f t="shared" si="43"/>
        <v>57.55712066512065</v>
      </c>
      <c r="F504" s="7">
        <v>0.6111786148238153</v>
      </c>
      <c r="G504">
        <f t="shared" si="44"/>
        <v>4</v>
      </c>
      <c r="H504" s="7">
        <f t="shared" si="45"/>
        <v>0.3888213851761847</v>
      </c>
      <c r="I504">
        <f t="shared" si="46"/>
        <v>2</v>
      </c>
      <c r="J504">
        <f>VLOOKUP(A504,'Housing Cost Calc'!$A$2:$C$827,3,FALSE)</f>
        <v>1475</v>
      </c>
      <c r="K504">
        <f t="shared" si="47"/>
        <v>0.30752059511423957</v>
      </c>
    </row>
    <row r="505" spans="1:11" ht="48" x14ac:dyDescent="0.2">
      <c r="A505" s="4" t="s">
        <v>3772</v>
      </c>
      <c r="B505">
        <v>90644</v>
      </c>
      <c r="C505">
        <v>2.48</v>
      </c>
      <c r="D505">
        <f t="shared" si="42"/>
        <v>57558.997559026335</v>
      </c>
      <c r="E505">
        <f t="shared" si="43"/>
        <v>57.558997559026338</v>
      </c>
      <c r="F505" s="7">
        <v>0.61239368165249086</v>
      </c>
      <c r="G505">
        <f t="shared" si="44"/>
        <v>4</v>
      </c>
      <c r="H505" s="7">
        <f t="shared" si="45"/>
        <v>0.38760631834750914</v>
      </c>
      <c r="I505">
        <f t="shared" si="46"/>
        <v>2</v>
      </c>
      <c r="J505">
        <f>VLOOKUP(A505,'Housing Cost Calc'!$A$2:$C$827,3,FALSE)</f>
        <v>1726</v>
      </c>
      <c r="K505">
        <f t="shared" si="47"/>
        <v>0.3598394843266684</v>
      </c>
    </row>
    <row r="506" spans="1:11" ht="48" x14ac:dyDescent="0.2">
      <c r="A506" s="4" t="s">
        <v>3280</v>
      </c>
      <c r="B506">
        <v>86983</v>
      </c>
      <c r="C506">
        <v>2.2799999999999998</v>
      </c>
      <c r="D506">
        <f t="shared" si="42"/>
        <v>57605.899007294356</v>
      </c>
      <c r="E506">
        <f t="shared" si="43"/>
        <v>57.605899007294354</v>
      </c>
      <c r="F506" s="7">
        <v>0.61360874848116642</v>
      </c>
      <c r="G506">
        <f t="shared" si="44"/>
        <v>4</v>
      </c>
      <c r="H506" s="7">
        <f t="shared" si="45"/>
        <v>0.38639125151883358</v>
      </c>
      <c r="I506">
        <f t="shared" si="46"/>
        <v>2</v>
      </c>
      <c r="J506">
        <f>VLOOKUP(A506,'Housing Cost Calc'!$A$2:$C$827,3,FALSE)</f>
        <v>1426</v>
      </c>
      <c r="K506">
        <f t="shared" si="47"/>
        <v>0.2970529111581644</v>
      </c>
    </row>
    <row r="507" spans="1:11" ht="64" x14ac:dyDescent="0.2">
      <c r="A507" s="4" t="s">
        <v>3677</v>
      </c>
      <c r="B507">
        <v>91383</v>
      </c>
      <c r="C507">
        <v>2.4900000000000002</v>
      </c>
      <c r="D507">
        <f t="shared" si="42"/>
        <v>57911.623185678363</v>
      </c>
      <c r="E507">
        <f t="shared" si="43"/>
        <v>57.911623185678366</v>
      </c>
      <c r="F507" s="7">
        <v>0.61482381530984209</v>
      </c>
      <c r="G507">
        <f t="shared" si="44"/>
        <v>4</v>
      </c>
      <c r="H507" s="7">
        <f t="shared" si="45"/>
        <v>0.38517618469015791</v>
      </c>
      <c r="I507">
        <f t="shared" si="46"/>
        <v>2</v>
      </c>
      <c r="J507">
        <f>VLOOKUP(A507,'Housing Cost Calc'!$A$2:$C$827,3,FALSE)</f>
        <v>1648</v>
      </c>
      <c r="K507">
        <f t="shared" si="47"/>
        <v>0.34148585227171868</v>
      </c>
    </row>
    <row r="508" spans="1:11" ht="64" x14ac:dyDescent="0.2">
      <c r="A508" s="4" t="s">
        <v>3326</v>
      </c>
      <c r="B508">
        <v>87500</v>
      </c>
      <c r="C508">
        <v>2.2799999999999998</v>
      </c>
      <c r="D508">
        <f t="shared" si="42"/>
        <v>57948.290621595668</v>
      </c>
      <c r="E508">
        <f t="shared" si="43"/>
        <v>57.948290621595667</v>
      </c>
      <c r="F508" s="7">
        <v>0.61603888213851765</v>
      </c>
      <c r="G508">
        <f t="shared" si="44"/>
        <v>4</v>
      </c>
      <c r="H508" s="7">
        <f t="shared" si="45"/>
        <v>0.38396111786148235</v>
      </c>
      <c r="I508">
        <f t="shared" si="46"/>
        <v>2</v>
      </c>
      <c r="J508">
        <f>VLOOKUP(A508,'Housing Cost Calc'!$A$2:$C$827,3,FALSE)</f>
        <v>1458</v>
      </c>
      <c r="K508">
        <f t="shared" si="47"/>
        <v>0.30192435035313608</v>
      </c>
    </row>
    <row r="509" spans="1:11" ht="64" x14ac:dyDescent="0.2">
      <c r="A509" s="4" t="s">
        <v>3188</v>
      </c>
      <c r="B509">
        <v>91125</v>
      </c>
      <c r="C509">
        <v>2.4700000000000002</v>
      </c>
      <c r="D509">
        <f t="shared" si="42"/>
        <v>57981.449026167749</v>
      </c>
      <c r="E509">
        <f t="shared" si="43"/>
        <v>57.981449026167752</v>
      </c>
      <c r="F509" s="7">
        <v>0.61725394896719321</v>
      </c>
      <c r="G509">
        <f t="shared" si="44"/>
        <v>4</v>
      </c>
      <c r="H509" s="7">
        <f t="shared" si="45"/>
        <v>0.38274605103280679</v>
      </c>
      <c r="I509">
        <f t="shared" si="46"/>
        <v>2</v>
      </c>
      <c r="J509">
        <f>VLOOKUP(A509,'Housing Cost Calc'!$A$2:$C$827,3,FALSE)</f>
        <v>1374</v>
      </c>
      <c r="K509">
        <f t="shared" si="47"/>
        <v>0.28436681519564577</v>
      </c>
    </row>
    <row r="510" spans="1:11" ht="48" x14ac:dyDescent="0.2">
      <c r="A510" s="4" t="s">
        <v>3575</v>
      </c>
      <c r="B510">
        <v>91836</v>
      </c>
      <c r="C510">
        <v>2.5</v>
      </c>
      <c r="D510">
        <f t="shared" si="42"/>
        <v>58082.186239844654</v>
      </c>
      <c r="E510">
        <f t="shared" si="43"/>
        <v>58.082186239844653</v>
      </c>
      <c r="F510" s="7">
        <v>0.61846901579586877</v>
      </c>
      <c r="G510">
        <f t="shared" si="44"/>
        <v>4</v>
      </c>
      <c r="H510" s="7">
        <f t="shared" si="45"/>
        <v>0.38153098420413123</v>
      </c>
      <c r="I510">
        <f t="shared" si="46"/>
        <v>2</v>
      </c>
      <c r="J510">
        <f>VLOOKUP(A510,'Housing Cost Calc'!$A$2:$C$827,3,FALSE)</f>
        <v>1586</v>
      </c>
      <c r="K510">
        <f t="shared" si="47"/>
        <v>0.32767361616536322</v>
      </c>
    </row>
    <row r="511" spans="1:11" ht="48" x14ac:dyDescent="0.2">
      <c r="A511" s="4" t="s">
        <v>3104</v>
      </c>
      <c r="B511">
        <v>82364</v>
      </c>
      <c r="C511">
        <v>2.0099999999999998</v>
      </c>
      <c r="D511">
        <f t="shared" si="42"/>
        <v>58095.086304577591</v>
      </c>
      <c r="E511">
        <f t="shared" si="43"/>
        <v>58.095086304577592</v>
      </c>
      <c r="F511" s="7">
        <v>0.61968408262454433</v>
      </c>
      <c r="G511">
        <f t="shared" si="44"/>
        <v>4</v>
      </c>
      <c r="H511" s="7">
        <f t="shared" si="45"/>
        <v>0.38031591737545567</v>
      </c>
      <c r="I511">
        <f t="shared" si="46"/>
        <v>2</v>
      </c>
      <c r="J511">
        <f>VLOOKUP(A511,'Housing Cost Calc'!$A$2:$C$827,3,FALSE)</f>
        <v>1283</v>
      </c>
      <c r="K511">
        <f t="shared" si="47"/>
        <v>0.26501380717953893</v>
      </c>
    </row>
    <row r="512" spans="1:11" ht="48" x14ac:dyDescent="0.2">
      <c r="A512" s="4" t="s">
        <v>3683</v>
      </c>
      <c r="B512">
        <v>88167</v>
      </c>
      <c r="C512">
        <v>2.2999999999999998</v>
      </c>
      <c r="D512">
        <f t="shared" si="42"/>
        <v>58135.598197886357</v>
      </c>
      <c r="E512">
        <f t="shared" si="43"/>
        <v>58.13559819788636</v>
      </c>
      <c r="F512" s="7">
        <v>0.62089914945321989</v>
      </c>
      <c r="G512">
        <f t="shared" si="44"/>
        <v>4</v>
      </c>
      <c r="H512" s="7">
        <f t="shared" si="45"/>
        <v>0.37910085054678011</v>
      </c>
      <c r="I512">
        <f t="shared" si="46"/>
        <v>2</v>
      </c>
      <c r="J512">
        <f>VLOOKUP(A512,'Housing Cost Calc'!$A$2:$C$827,3,FALSE)</f>
        <v>1657</v>
      </c>
      <c r="K512">
        <f t="shared" si="47"/>
        <v>0.34202795905388872</v>
      </c>
    </row>
    <row r="513" spans="1:11" ht="48" x14ac:dyDescent="0.2">
      <c r="A513" s="4" t="s">
        <v>3781</v>
      </c>
      <c r="B513">
        <v>99391</v>
      </c>
      <c r="C513">
        <v>2.92</v>
      </c>
      <c r="D513">
        <f t="shared" si="42"/>
        <v>58164.183304853068</v>
      </c>
      <c r="E513">
        <f t="shared" si="43"/>
        <v>58.164183304853069</v>
      </c>
      <c r="F513" s="7">
        <v>0.62211421628189545</v>
      </c>
      <c r="G513">
        <f t="shared" si="44"/>
        <v>4</v>
      </c>
      <c r="H513" s="7">
        <f t="shared" si="45"/>
        <v>0.37788578371810455</v>
      </c>
      <c r="I513">
        <f t="shared" si="46"/>
        <v>2</v>
      </c>
      <c r="J513">
        <f>VLOOKUP(A513,'Housing Cost Calc'!$A$2:$C$827,3,FALSE)</f>
        <v>1752</v>
      </c>
      <c r="K513">
        <f t="shared" si="47"/>
        <v>0.36145955819250386</v>
      </c>
    </row>
    <row r="514" spans="1:11" ht="48" x14ac:dyDescent="0.2">
      <c r="A514" s="4" t="s">
        <v>3044</v>
      </c>
      <c r="B514">
        <v>90543</v>
      </c>
      <c r="C514">
        <v>2.4</v>
      </c>
      <c r="D514">
        <f t="shared" ref="D514:D577" si="48">(B514/(C514)^0.5)</f>
        <v>58445.255185943024</v>
      </c>
      <c r="E514">
        <f t="shared" ref="E514:E577" si="49">D514/1000</f>
        <v>58.445255185943026</v>
      </c>
      <c r="F514" s="7">
        <v>0.62332928311057112</v>
      </c>
      <c r="G514">
        <f t="shared" si="44"/>
        <v>4</v>
      </c>
      <c r="H514" s="7">
        <f t="shared" si="45"/>
        <v>0.37667071688942888</v>
      </c>
      <c r="I514">
        <f t="shared" si="46"/>
        <v>2</v>
      </c>
      <c r="J514">
        <f>VLOOKUP(A514,'Housing Cost Calc'!$A$2:$C$827,3,FALSE)</f>
        <v>1204</v>
      </c>
      <c r="K514">
        <f t="shared" si="47"/>
        <v>0.24720569623716801</v>
      </c>
    </row>
    <row r="515" spans="1:11" ht="48" x14ac:dyDescent="0.2">
      <c r="A515" s="4" t="s">
        <v>3624</v>
      </c>
      <c r="B515">
        <v>90141</v>
      </c>
      <c r="C515">
        <v>2.37</v>
      </c>
      <c r="D515">
        <f t="shared" si="48"/>
        <v>58552.871563693865</v>
      </c>
      <c r="E515">
        <f t="shared" si="49"/>
        <v>58.552871563693863</v>
      </c>
      <c r="F515" s="7">
        <v>0.62454434993924668</v>
      </c>
      <c r="G515">
        <f t="shared" ref="G515:G578" si="50">IF(F515&lt;0.2,1,IF(F515&lt;0.4,2,IF(F515&lt;0.6,3,IF(F515&lt;0.8,4,5))))</f>
        <v>4</v>
      </c>
      <c r="H515" s="7">
        <f t="shared" ref="H515:H578" si="51">1-F515</f>
        <v>0.37545565006075332</v>
      </c>
      <c r="I515">
        <f t="shared" ref="I515:I578" si="52">6-G515</f>
        <v>2</v>
      </c>
      <c r="J515">
        <f>VLOOKUP(A515,'Housing Cost Calc'!$A$2:$C$827,3,FALSE)</f>
        <v>1623</v>
      </c>
      <c r="K515">
        <f t="shared" ref="K515:K578" si="53">(J515*12)/D515</f>
        <v>0.33262245693303</v>
      </c>
    </row>
    <row r="516" spans="1:11" ht="48" x14ac:dyDescent="0.2">
      <c r="A516" s="4" t="s">
        <v>3148</v>
      </c>
      <c r="B516">
        <v>89076</v>
      </c>
      <c r="C516">
        <v>2.31</v>
      </c>
      <c r="D516">
        <f t="shared" si="48"/>
        <v>58607.705180236386</v>
      </c>
      <c r="E516">
        <f t="shared" si="49"/>
        <v>58.607705180236387</v>
      </c>
      <c r="F516" s="7">
        <v>0.62575941676792224</v>
      </c>
      <c r="G516">
        <f t="shared" si="50"/>
        <v>4</v>
      </c>
      <c r="H516" s="7">
        <f t="shared" si="51"/>
        <v>0.37424058323207776</v>
      </c>
      <c r="I516">
        <f t="shared" si="52"/>
        <v>2</v>
      </c>
      <c r="J516">
        <f>VLOOKUP(A516,'Housing Cost Calc'!$A$2:$C$827,3,FALSE)</f>
        <v>1346</v>
      </c>
      <c r="K516">
        <f t="shared" si="53"/>
        <v>0.27559516193865163</v>
      </c>
    </row>
    <row r="517" spans="1:11" ht="48" x14ac:dyDescent="0.2">
      <c r="A517" s="4" t="s">
        <v>3709</v>
      </c>
      <c r="B517">
        <v>95057</v>
      </c>
      <c r="C517">
        <v>2.63</v>
      </c>
      <c r="D517">
        <f t="shared" si="48"/>
        <v>58614.657223640461</v>
      </c>
      <c r="E517">
        <f t="shared" si="49"/>
        <v>58.614657223640464</v>
      </c>
      <c r="F517" s="7">
        <v>0.6269744835965978</v>
      </c>
      <c r="G517">
        <f t="shared" si="50"/>
        <v>4</v>
      </c>
      <c r="H517" s="7">
        <f t="shared" si="51"/>
        <v>0.3730255164034022</v>
      </c>
      <c r="I517">
        <f t="shared" si="52"/>
        <v>2</v>
      </c>
      <c r="J517">
        <f>VLOOKUP(A517,'Housing Cost Calc'!$A$2:$C$827,3,FALSE)</f>
        <v>1694</v>
      </c>
      <c r="K517">
        <f t="shared" si="53"/>
        <v>0.34680745333781993</v>
      </c>
    </row>
    <row r="518" spans="1:11" ht="48" x14ac:dyDescent="0.2">
      <c r="A518" s="4" t="s">
        <v>3626</v>
      </c>
      <c r="B518">
        <v>98611</v>
      </c>
      <c r="C518">
        <v>2.83</v>
      </c>
      <c r="D518">
        <f t="shared" si="48"/>
        <v>58618.155031468588</v>
      </c>
      <c r="E518">
        <f t="shared" si="49"/>
        <v>58.618155031468589</v>
      </c>
      <c r="F518" s="7">
        <v>0.62818955042527336</v>
      </c>
      <c r="G518">
        <f t="shared" si="50"/>
        <v>4</v>
      </c>
      <c r="H518" s="7">
        <f t="shared" si="51"/>
        <v>0.37181044957472664</v>
      </c>
      <c r="I518">
        <f t="shared" si="52"/>
        <v>2</v>
      </c>
      <c r="J518">
        <f>VLOOKUP(A518,'Housing Cost Calc'!$A$2:$C$827,3,FALSE)</f>
        <v>1627</v>
      </c>
      <c r="K518">
        <f t="shared" si="53"/>
        <v>0.33307087180616191</v>
      </c>
    </row>
    <row r="519" spans="1:11" ht="64" x14ac:dyDescent="0.2">
      <c r="A519" s="4" t="s">
        <v>3345</v>
      </c>
      <c r="B519">
        <v>88896</v>
      </c>
      <c r="C519">
        <v>2.29</v>
      </c>
      <c r="D519">
        <f t="shared" si="48"/>
        <v>58744.13030605566</v>
      </c>
      <c r="E519">
        <f t="shared" si="49"/>
        <v>58.744130306055659</v>
      </c>
      <c r="F519" s="7">
        <v>0.62940461725394892</v>
      </c>
      <c r="G519">
        <f t="shared" si="50"/>
        <v>4</v>
      </c>
      <c r="H519" s="7">
        <f t="shared" si="51"/>
        <v>0.37059538274605108</v>
      </c>
      <c r="I519">
        <f t="shared" si="52"/>
        <v>2</v>
      </c>
      <c r="J519">
        <f>VLOOKUP(A519,'Housing Cost Calc'!$A$2:$C$827,3,FALSE)</f>
        <v>1484</v>
      </c>
      <c r="K519">
        <f t="shared" si="53"/>
        <v>0.30314518075628494</v>
      </c>
    </row>
    <row r="520" spans="1:11" ht="48" x14ac:dyDescent="0.2">
      <c r="A520" s="4" t="s">
        <v>3347</v>
      </c>
      <c r="B520">
        <v>93839</v>
      </c>
      <c r="C520">
        <v>2.5499999999999998</v>
      </c>
      <c r="D520">
        <f t="shared" si="48"/>
        <v>58764.261251139345</v>
      </c>
      <c r="E520">
        <f t="shared" si="49"/>
        <v>58.764261251139345</v>
      </c>
      <c r="F520" s="7">
        <v>0.63061968408262459</v>
      </c>
      <c r="G520">
        <f t="shared" si="50"/>
        <v>4</v>
      </c>
      <c r="H520" s="7">
        <f t="shared" si="51"/>
        <v>0.36938031591737541</v>
      </c>
      <c r="I520">
        <f t="shared" si="52"/>
        <v>2</v>
      </c>
      <c r="J520">
        <f>VLOOKUP(A520,'Housing Cost Calc'!$A$2:$C$827,3,FALSE)</f>
        <v>1487</v>
      </c>
      <c r="K520">
        <f t="shared" si="53"/>
        <v>0.30365394918759459</v>
      </c>
    </row>
    <row r="521" spans="1:11" ht="48" x14ac:dyDescent="0.2">
      <c r="A521" s="4" t="s">
        <v>3610</v>
      </c>
      <c r="B521">
        <v>98409</v>
      </c>
      <c r="C521">
        <v>2.8</v>
      </c>
      <c r="D521">
        <f t="shared" si="48"/>
        <v>58810.626107994169</v>
      </c>
      <c r="E521">
        <f t="shared" si="49"/>
        <v>58.810626107994167</v>
      </c>
      <c r="F521" s="7">
        <v>0.63183475091130015</v>
      </c>
      <c r="G521">
        <f t="shared" si="50"/>
        <v>4</v>
      </c>
      <c r="H521" s="7">
        <f t="shared" si="51"/>
        <v>0.36816524908869985</v>
      </c>
      <c r="I521">
        <f t="shared" si="52"/>
        <v>2</v>
      </c>
      <c r="J521">
        <f>VLOOKUP(A521,'Housing Cost Calc'!$A$2:$C$827,3,FALSE)</f>
        <v>1623</v>
      </c>
      <c r="K521">
        <f t="shared" si="53"/>
        <v>0.33116464300577503</v>
      </c>
    </row>
    <row r="522" spans="1:11" ht="64" x14ac:dyDescent="0.2">
      <c r="A522" s="4" t="s">
        <v>3387</v>
      </c>
      <c r="B522">
        <v>88438</v>
      </c>
      <c r="C522">
        <v>2.2599999999999998</v>
      </c>
      <c r="D522">
        <f t="shared" si="48"/>
        <v>58828.082527015191</v>
      </c>
      <c r="E522">
        <f t="shared" si="49"/>
        <v>58.828082527015191</v>
      </c>
      <c r="F522" s="7">
        <v>0.63304981773997571</v>
      </c>
      <c r="G522">
        <f t="shared" si="50"/>
        <v>4</v>
      </c>
      <c r="H522" s="7">
        <f t="shared" si="51"/>
        <v>0.36695018226002429</v>
      </c>
      <c r="I522">
        <f t="shared" si="52"/>
        <v>2</v>
      </c>
      <c r="J522">
        <f>VLOOKUP(A522,'Housing Cost Calc'!$A$2:$C$827,3,FALSE)</f>
        <v>1515</v>
      </c>
      <c r="K522">
        <f t="shared" si="53"/>
        <v>0.30903607969291419</v>
      </c>
    </row>
    <row r="523" spans="1:11" ht="48" x14ac:dyDescent="0.2">
      <c r="A523" s="4" t="s">
        <v>3562</v>
      </c>
      <c r="B523">
        <v>91932</v>
      </c>
      <c r="C523">
        <v>2.44</v>
      </c>
      <c r="D523">
        <f t="shared" si="48"/>
        <v>58853.432229954968</v>
      </c>
      <c r="E523">
        <f t="shared" si="49"/>
        <v>58.853432229954969</v>
      </c>
      <c r="F523" s="7">
        <v>0.63426488456865127</v>
      </c>
      <c r="G523">
        <f t="shared" si="50"/>
        <v>4</v>
      </c>
      <c r="H523" s="7">
        <f t="shared" si="51"/>
        <v>0.36573511543134873</v>
      </c>
      <c r="I523">
        <f t="shared" si="52"/>
        <v>2</v>
      </c>
      <c r="J523">
        <f>VLOOKUP(A523,'Housing Cost Calc'!$A$2:$C$827,3,FALSE)</f>
        <v>1596</v>
      </c>
      <c r="K523">
        <f t="shared" si="53"/>
        <v>0.32541857414820569</v>
      </c>
    </row>
    <row r="524" spans="1:11" ht="48" x14ac:dyDescent="0.2">
      <c r="A524" s="4" t="s">
        <v>3519</v>
      </c>
      <c r="B524">
        <v>92750</v>
      </c>
      <c r="C524">
        <v>2.46</v>
      </c>
      <c r="D524">
        <f t="shared" si="48"/>
        <v>59135.240136624627</v>
      </c>
      <c r="E524">
        <f t="shared" si="49"/>
        <v>59.135240136624624</v>
      </c>
      <c r="F524" s="7">
        <v>0.63547995139732683</v>
      </c>
      <c r="G524">
        <f t="shared" si="50"/>
        <v>4</v>
      </c>
      <c r="H524" s="7">
        <f t="shared" si="51"/>
        <v>0.36452004860267317</v>
      </c>
      <c r="I524">
        <f t="shared" si="52"/>
        <v>2</v>
      </c>
      <c r="J524">
        <f>VLOOKUP(A524,'Housing Cost Calc'!$A$2:$C$827,3,FALSE)</f>
        <v>1582</v>
      </c>
      <c r="K524">
        <f t="shared" si="53"/>
        <v>0.32102685228198663</v>
      </c>
    </row>
    <row r="525" spans="1:11" ht="48" x14ac:dyDescent="0.2">
      <c r="A525" s="4" t="s">
        <v>3780</v>
      </c>
      <c r="B525">
        <v>100286</v>
      </c>
      <c r="C525">
        <v>2.87</v>
      </c>
      <c r="D525">
        <f t="shared" si="48"/>
        <v>59196.954072220404</v>
      </c>
      <c r="E525">
        <f t="shared" si="49"/>
        <v>59.196954072220407</v>
      </c>
      <c r="F525" s="7">
        <v>0.63669501822600238</v>
      </c>
      <c r="G525">
        <f t="shared" si="50"/>
        <v>4</v>
      </c>
      <c r="H525" s="7">
        <f t="shared" si="51"/>
        <v>0.36330498177399762</v>
      </c>
      <c r="I525">
        <f t="shared" si="52"/>
        <v>2</v>
      </c>
      <c r="J525">
        <f>VLOOKUP(A525,'Housing Cost Calc'!$A$2:$C$827,3,FALSE)</f>
        <v>1782</v>
      </c>
      <c r="K525">
        <f t="shared" si="53"/>
        <v>0.36123480228241939</v>
      </c>
    </row>
    <row r="526" spans="1:11" ht="48" x14ac:dyDescent="0.2">
      <c r="A526" s="4" t="s">
        <v>3214</v>
      </c>
      <c r="B526">
        <v>91591</v>
      </c>
      <c r="C526">
        <v>2.39</v>
      </c>
      <c r="D526">
        <f t="shared" si="48"/>
        <v>59245.292809502447</v>
      </c>
      <c r="E526">
        <f t="shared" si="49"/>
        <v>59.245292809502445</v>
      </c>
      <c r="F526" s="7">
        <v>0.63791008505467806</v>
      </c>
      <c r="G526">
        <f t="shared" si="50"/>
        <v>4</v>
      </c>
      <c r="H526" s="7">
        <f t="shared" si="51"/>
        <v>0.36208991494532194</v>
      </c>
      <c r="I526">
        <f t="shared" si="52"/>
        <v>2</v>
      </c>
      <c r="J526">
        <f>VLOOKUP(A526,'Housing Cost Calc'!$A$2:$C$827,3,FALSE)</f>
        <v>1429</v>
      </c>
      <c r="K526">
        <f t="shared" si="53"/>
        <v>0.28944071649941455</v>
      </c>
    </row>
    <row r="527" spans="1:11" ht="64" x14ac:dyDescent="0.2">
      <c r="A527" s="4" t="s">
        <v>3332</v>
      </c>
      <c r="B527">
        <v>94167</v>
      </c>
      <c r="C527">
        <v>2.5099999999999998</v>
      </c>
      <c r="D527">
        <f t="shared" si="48"/>
        <v>59437.683356510839</v>
      </c>
      <c r="E527">
        <f t="shared" si="49"/>
        <v>59.437683356510838</v>
      </c>
      <c r="F527" s="7">
        <v>0.63912515188335361</v>
      </c>
      <c r="G527">
        <f t="shared" si="50"/>
        <v>4</v>
      </c>
      <c r="H527" s="7">
        <f t="shared" si="51"/>
        <v>0.36087484811664639</v>
      </c>
      <c r="I527">
        <f t="shared" si="52"/>
        <v>2</v>
      </c>
      <c r="J527">
        <f>VLOOKUP(A527,'Housing Cost Calc'!$A$2:$C$827,3,FALSE)</f>
        <v>1496</v>
      </c>
      <c r="K527">
        <f t="shared" si="53"/>
        <v>0.30203061401843023</v>
      </c>
    </row>
    <row r="528" spans="1:11" ht="48" x14ac:dyDescent="0.2">
      <c r="A528" s="4" t="s">
        <v>3700</v>
      </c>
      <c r="B528">
        <v>91375</v>
      </c>
      <c r="C528">
        <v>2.36</v>
      </c>
      <c r="D528">
        <f t="shared" si="48"/>
        <v>59480.058704363903</v>
      </c>
      <c r="E528">
        <f t="shared" si="49"/>
        <v>59.480058704363906</v>
      </c>
      <c r="F528" s="7">
        <v>0.64034021871202917</v>
      </c>
      <c r="G528">
        <f t="shared" si="50"/>
        <v>4</v>
      </c>
      <c r="H528" s="7">
        <f t="shared" si="51"/>
        <v>0.35965978128797083</v>
      </c>
      <c r="I528">
        <f t="shared" si="52"/>
        <v>2</v>
      </c>
      <c r="J528">
        <f>VLOOKUP(A528,'Housing Cost Calc'!$A$2:$C$827,3,FALSE)</f>
        <v>1709</v>
      </c>
      <c r="K528">
        <f t="shared" si="53"/>
        <v>0.34478782379707673</v>
      </c>
    </row>
    <row r="529" spans="1:11" ht="64" x14ac:dyDescent="0.2">
      <c r="A529" s="4" t="s">
        <v>3482</v>
      </c>
      <c r="B529">
        <v>90375</v>
      </c>
      <c r="C529">
        <v>2.2999999999999998</v>
      </c>
      <c r="D529">
        <f t="shared" si="48"/>
        <v>59591.510283144256</v>
      </c>
      <c r="E529">
        <f t="shared" si="49"/>
        <v>59.59151028314426</v>
      </c>
      <c r="F529" s="7">
        <v>0.64155528554070473</v>
      </c>
      <c r="G529">
        <f t="shared" si="50"/>
        <v>4</v>
      </c>
      <c r="H529" s="7">
        <f t="shared" si="51"/>
        <v>0.35844471445929527</v>
      </c>
      <c r="I529">
        <f t="shared" si="52"/>
        <v>2</v>
      </c>
      <c r="J529">
        <f>VLOOKUP(A529,'Housing Cost Calc'!$A$2:$C$827,3,FALSE)</f>
        <v>1581</v>
      </c>
      <c r="K529">
        <f t="shared" si="53"/>
        <v>0.31836749748170623</v>
      </c>
    </row>
    <row r="530" spans="1:11" ht="48" x14ac:dyDescent="0.2">
      <c r="A530" s="4" t="s">
        <v>3126</v>
      </c>
      <c r="B530">
        <v>89079</v>
      </c>
      <c r="C530">
        <v>2.23</v>
      </c>
      <c r="D530">
        <f t="shared" si="48"/>
        <v>59651.710499120236</v>
      </c>
      <c r="E530">
        <f t="shared" si="49"/>
        <v>59.651710499120234</v>
      </c>
      <c r="F530" s="7">
        <v>0.64277035236938029</v>
      </c>
      <c r="G530">
        <f t="shared" si="50"/>
        <v>4</v>
      </c>
      <c r="H530" s="7">
        <f t="shared" si="51"/>
        <v>0.35722964763061971</v>
      </c>
      <c r="I530">
        <f t="shared" si="52"/>
        <v>2</v>
      </c>
      <c r="J530">
        <f>VLOOKUP(A530,'Housing Cost Calc'!$A$2:$C$827,3,FALSE)</f>
        <v>1336</v>
      </c>
      <c r="K530">
        <f t="shared" si="53"/>
        <v>0.2687601053826687</v>
      </c>
    </row>
    <row r="531" spans="1:11" ht="64" x14ac:dyDescent="0.2">
      <c r="A531" s="4" t="s">
        <v>3419</v>
      </c>
      <c r="B531">
        <v>89691</v>
      </c>
      <c r="C531">
        <v>2.2599999999999998</v>
      </c>
      <c r="D531">
        <f t="shared" si="48"/>
        <v>59661.565728878079</v>
      </c>
      <c r="E531">
        <f t="shared" si="49"/>
        <v>59.661565728878081</v>
      </c>
      <c r="F531" s="7">
        <v>0.64398541919805585</v>
      </c>
      <c r="G531">
        <f t="shared" si="50"/>
        <v>4</v>
      </c>
      <c r="H531" s="7">
        <f t="shared" si="51"/>
        <v>0.35601458080194415</v>
      </c>
      <c r="I531">
        <f t="shared" si="52"/>
        <v>2</v>
      </c>
      <c r="J531">
        <f>VLOOKUP(A531,'Housing Cost Calc'!$A$2:$C$827,3,FALSE)</f>
        <v>1552</v>
      </c>
      <c r="K531">
        <f t="shared" si="53"/>
        <v>0.31216076501635287</v>
      </c>
    </row>
    <row r="532" spans="1:11" ht="48" x14ac:dyDescent="0.2">
      <c r="A532" s="4" t="s">
        <v>3835</v>
      </c>
      <c r="B532">
        <v>95279</v>
      </c>
      <c r="C532">
        <v>2.5499999999999998</v>
      </c>
      <c r="D532">
        <f t="shared" si="48"/>
        <v>59666.024230301962</v>
      </c>
      <c r="E532">
        <f t="shared" si="49"/>
        <v>59.666024230301964</v>
      </c>
      <c r="F532" s="7">
        <v>0.64520048602673152</v>
      </c>
      <c r="G532">
        <f t="shared" si="50"/>
        <v>4</v>
      </c>
      <c r="H532" s="7">
        <f t="shared" si="51"/>
        <v>0.35479951397326848</v>
      </c>
      <c r="I532">
        <f t="shared" si="52"/>
        <v>2</v>
      </c>
      <c r="J532">
        <f>VLOOKUP(A532,'Housing Cost Calc'!$A$2:$C$827,3,FALSE)</f>
        <v>2131</v>
      </c>
      <c r="K532">
        <f t="shared" si="53"/>
        <v>0.4285856202064996</v>
      </c>
    </row>
    <row r="533" spans="1:11" ht="48" x14ac:dyDescent="0.2">
      <c r="A533" s="4" t="s">
        <v>3062</v>
      </c>
      <c r="B533">
        <v>92500</v>
      </c>
      <c r="C533">
        <v>2.4</v>
      </c>
      <c r="D533">
        <f t="shared" si="48"/>
        <v>59708.493254031011</v>
      </c>
      <c r="E533">
        <f t="shared" si="49"/>
        <v>59.708493254031012</v>
      </c>
      <c r="F533" s="7">
        <v>0.64641555285540708</v>
      </c>
      <c r="G533">
        <f t="shared" si="50"/>
        <v>4</v>
      </c>
      <c r="H533" s="7">
        <f t="shared" si="51"/>
        <v>0.35358444714459292</v>
      </c>
      <c r="I533">
        <f t="shared" si="52"/>
        <v>2</v>
      </c>
      <c r="J533">
        <f>VLOOKUP(A533,'Housing Cost Calc'!$A$2:$C$827,3,FALSE)</f>
        <v>1268</v>
      </c>
      <c r="K533">
        <f t="shared" si="53"/>
        <v>0.25483811717142513</v>
      </c>
    </row>
    <row r="534" spans="1:11" ht="48" x14ac:dyDescent="0.2">
      <c r="A534" s="4" t="s">
        <v>3046</v>
      </c>
      <c r="B534">
        <v>93472</v>
      </c>
      <c r="C534">
        <v>2.4500000000000002</v>
      </c>
      <c r="D534">
        <f t="shared" si="48"/>
        <v>59717.070283674388</v>
      </c>
      <c r="E534">
        <f t="shared" si="49"/>
        <v>59.717070283674389</v>
      </c>
      <c r="F534" s="7">
        <v>0.64763061968408264</v>
      </c>
      <c r="G534">
        <f t="shared" si="50"/>
        <v>4</v>
      </c>
      <c r="H534" s="7">
        <f t="shared" si="51"/>
        <v>0.35236938031591736</v>
      </c>
      <c r="I534">
        <f t="shared" si="52"/>
        <v>2</v>
      </c>
      <c r="J534">
        <f>VLOOKUP(A534,'Housing Cost Calc'!$A$2:$C$827,3,FALSE)</f>
        <v>1240</v>
      </c>
      <c r="K534">
        <f t="shared" si="53"/>
        <v>0.2491749834564127</v>
      </c>
    </row>
    <row r="535" spans="1:11" ht="48" x14ac:dyDescent="0.2">
      <c r="A535" s="4" t="s">
        <v>3774</v>
      </c>
      <c r="B535">
        <v>96875</v>
      </c>
      <c r="C535">
        <v>2.63</v>
      </c>
      <c r="D535">
        <f t="shared" si="48"/>
        <v>59735.684047888841</v>
      </c>
      <c r="E535">
        <f t="shared" si="49"/>
        <v>59.735684047888839</v>
      </c>
      <c r="F535" s="7">
        <v>0.6488456865127582</v>
      </c>
      <c r="G535">
        <f t="shared" si="50"/>
        <v>4</v>
      </c>
      <c r="H535" s="7">
        <f t="shared" si="51"/>
        <v>0.3511543134872418</v>
      </c>
      <c r="I535">
        <f t="shared" si="52"/>
        <v>2</v>
      </c>
      <c r="J535">
        <f>VLOOKUP(A535,'Housing Cost Calc'!$A$2:$C$827,3,FALSE)</f>
        <v>1792</v>
      </c>
      <c r="K535">
        <f t="shared" si="53"/>
        <v>0.35998583330460726</v>
      </c>
    </row>
    <row r="536" spans="1:11" ht="64" x14ac:dyDescent="0.2">
      <c r="A536" s="4" t="s">
        <v>3166</v>
      </c>
      <c r="B536">
        <v>84837</v>
      </c>
      <c r="C536">
        <v>2.0099999999999998</v>
      </c>
      <c r="D536">
        <f t="shared" si="48"/>
        <v>59839.406012595908</v>
      </c>
      <c r="E536">
        <f t="shared" si="49"/>
        <v>59.839406012595909</v>
      </c>
      <c r="F536" s="7">
        <v>0.65006075334143376</v>
      </c>
      <c r="G536">
        <f t="shared" si="50"/>
        <v>4</v>
      </c>
      <c r="H536" s="7">
        <f t="shared" si="51"/>
        <v>0.34993924665856624</v>
      </c>
      <c r="I536">
        <f t="shared" si="52"/>
        <v>2</v>
      </c>
      <c r="J536">
        <f>VLOOKUP(A536,'Housing Cost Calc'!$A$2:$C$827,3,FALSE)</f>
        <v>1408</v>
      </c>
      <c r="K536">
        <f t="shared" si="53"/>
        <v>0.28235574391302404</v>
      </c>
    </row>
    <row r="537" spans="1:11" ht="48" x14ac:dyDescent="0.2">
      <c r="A537" s="4" t="s">
        <v>3292</v>
      </c>
      <c r="B537">
        <v>88021</v>
      </c>
      <c r="C537">
        <v>2.16</v>
      </c>
      <c r="D537">
        <f t="shared" si="48"/>
        <v>59890.704624866143</v>
      </c>
      <c r="E537">
        <f t="shared" si="49"/>
        <v>59.890704624866146</v>
      </c>
      <c r="F537" s="7">
        <v>0.65127582017010932</v>
      </c>
      <c r="G537">
        <f t="shared" si="50"/>
        <v>4</v>
      </c>
      <c r="H537" s="7">
        <f t="shared" si="51"/>
        <v>0.34872417982989068</v>
      </c>
      <c r="I537">
        <f t="shared" si="52"/>
        <v>2</v>
      </c>
      <c r="J537">
        <f>VLOOKUP(A537,'Housing Cost Calc'!$A$2:$C$827,3,FALSE)</f>
        <v>1489</v>
      </c>
      <c r="K537">
        <f t="shared" si="53"/>
        <v>0.29834345933845213</v>
      </c>
    </row>
    <row r="538" spans="1:11" ht="64" x14ac:dyDescent="0.2">
      <c r="A538" s="4" t="s">
        <v>3472</v>
      </c>
      <c r="B538">
        <v>93571</v>
      </c>
      <c r="C538">
        <v>2.44</v>
      </c>
      <c r="D538">
        <f t="shared" si="48"/>
        <v>59902.694461005049</v>
      </c>
      <c r="E538">
        <f t="shared" si="49"/>
        <v>59.902694461005048</v>
      </c>
      <c r="F538" s="7">
        <v>0.65249088699878488</v>
      </c>
      <c r="G538">
        <f t="shared" si="50"/>
        <v>4</v>
      </c>
      <c r="H538" s="7">
        <f t="shared" si="51"/>
        <v>0.34750911300121512</v>
      </c>
      <c r="I538">
        <f t="shared" si="52"/>
        <v>2</v>
      </c>
      <c r="J538">
        <f>VLOOKUP(A538,'Housing Cost Calc'!$A$2:$C$827,3,FALSE)</f>
        <v>1586</v>
      </c>
      <c r="K538">
        <f t="shared" si="53"/>
        <v>0.3177152575730845</v>
      </c>
    </row>
    <row r="539" spans="1:11" ht="48" x14ac:dyDescent="0.2">
      <c r="A539" s="4" t="s">
        <v>3829</v>
      </c>
      <c r="B539">
        <v>105528</v>
      </c>
      <c r="C539">
        <v>3.09</v>
      </c>
      <c r="D539">
        <f t="shared" si="48"/>
        <v>60032.781724266271</v>
      </c>
      <c r="E539">
        <f t="shared" si="49"/>
        <v>60.032781724266272</v>
      </c>
      <c r="F539" s="7">
        <v>0.65370595382746055</v>
      </c>
      <c r="G539">
        <f t="shared" si="50"/>
        <v>4</v>
      </c>
      <c r="H539" s="7">
        <f t="shared" si="51"/>
        <v>0.34629404617253945</v>
      </c>
      <c r="I539">
        <f t="shared" si="52"/>
        <v>2</v>
      </c>
      <c r="J539">
        <f>VLOOKUP(A539,'Housing Cost Calc'!$A$2:$C$827,3,FALSE)</f>
        <v>1936</v>
      </c>
      <c r="K539">
        <f t="shared" si="53"/>
        <v>0.38698856412661004</v>
      </c>
    </row>
    <row r="540" spans="1:11" ht="48" x14ac:dyDescent="0.2">
      <c r="A540" s="4" t="s">
        <v>3068</v>
      </c>
      <c r="B540">
        <v>92813</v>
      </c>
      <c r="C540">
        <v>2.39</v>
      </c>
      <c r="D540">
        <f t="shared" si="48"/>
        <v>60035.738899327996</v>
      </c>
      <c r="E540">
        <f t="shared" si="49"/>
        <v>60.035738899327995</v>
      </c>
      <c r="F540" s="7">
        <v>0.65492102065613611</v>
      </c>
      <c r="G540">
        <f t="shared" si="50"/>
        <v>4</v>
      </c>
      <c r="H540" s="7">
        <f t="shared" si="51"/>
        <v>0.34507897934386389</v>
      </c>
      <c r="I540">
        <f t="shared" si="52"/>
        <v>2</v>
      </c>
      <c r="J540">
        <f>VLOOKUP(A540,'Housing Cost Calc'!$A$2:$C$827,3,FALSE)</f>
        <v>1280</v>
      </c>
      <c r="K540">
        <f t="shared" si="53"/>
        <v>0.25584760480347701</v>
      </c>
    </row>
    <row r="541" spans="1:11" ht="48" x14ac:dyDescent="0.2">
      <c r="A541" s="4" t="s">
        <v>3411</v>
      </c>
      <c r="B541">
        <v>96658</v>
      </c>
      <c r="C541">
        <v>2.59</v>
      </c>
      <c r="D541">
        <f t="shared" si="48"/>
        <v>60060.358842143993</v>
      </c>
      <c r="E541">
        <f t="shared" si="49"/>
        <v>60.060358842143991</v>
      </c>
      <c r="F541" s="7">
        <v>0.65613608748481167</v>
      </c>
      <c r="G541">
        <f t="shared" si="50"/>
        <v>4</v>
      </c>
      <c r="H541" s="7">
        <f t="shared" si="51"/>
        <v>0.34386391251518833</v>
      </c>
      <c r="I541">
        <f t="shared" si="52"/>
        <v>2</v>
      </c>
      <c r="J541">
        <f>VLOOKUP(A541,'Housing Cost Calc'!$A$2:$C$827,3,FALSE)</f>
        <v>1560</v>
      </c>
      <c r="K541">
        <f t="shared" si="53"/>
        <v>0.31168644944665713</v>
      </c>
    </row>
    <row r="542" spans="1:11" ht="64" x14ac:dyDescent="0.2">
      <c r="A542" s="4" t="s">
        <v>3339</v>
      </c>
      <c r="B542">
        <v>100757</v>
      </c>
      <c r="C542">
        <v>2.81</v>
      </c>
      <c r="D542">
        <f t="shared" si="48"/>
        <v>60106.586966797186</v>
      </c>
      <c r="E542">
        <f t="shared" si="49"/>
        <v>60.106586966797188</v>
      </c>
      <c r="F542" s="7">
        <v>0.65735115431348723</v>
      </c>
      <c r="G542">
        <f t="shared" si="50"/>
        <v>4</v>
      </c>
      <c r="H542" s="7">
        <f t="shared" si="51"/>
        <v>0.34264884568651277</v>
      </c>
      <c r="I542">
        <f t="shared" si="52"/>
        <v>2</v>
      </c>
      <c r="J542">
        <f>VLOOKUP(A542,'Housing Cost Calc'!$A$2:$C$827,3,FALSE)</f>
        <v>1517</v>
      </c>
      <c r="K542">
        <f t="shared" si="53"/>
        <v>0.30286198100144779</v>
      </c>
    </row>
    <row r="543" spans="1:11" ht="48" x14ac:dyDescent="0.2">
      <c r="A543" s="4" t="s">
        <v>3660</v>
      </c>
      <c r="B543">
        <v>95234</v>
      </c>
      <c r="C543">
        <v>2.5099999999999998</v>
      </c>
      <c r="D543">
        <f t="shared" si="48"/>
        <v>60111.167784616191</v>
      </c>
      <c r="E543">
        <f t="shared" si="49"/>
        <v>60.111167784616192</v>
      </c>
      <c r="F543" s="7">
        <v>0.65856622114216279</v>
      </c>
      <c r="G543">
        <f t="shared" si="50"/>
        <v>4</v>
      </c>
      <c r="H543" s="7">
        <f t="shared" si="51"/>
        <v>0.34143377885783721</v>
      </c>
      <c r="I543">
        <f t="shared" si="52"/>
        <v>2</v>
      </c>
      <c r="J543">
        <f>VLOOKUP(A543,'Housing Cost Calc'!$A$2:$C$827,3,FALSE)</f>
        <v>1694</v>
      </c>
      <c r="K543">
        <f t="shared" si="53"/>
        <v>0.33817343347640627</v>
      </c>
    </row>
    <row r="544" spans="1:11" ht="48" x14ac:dyDescent="0.2">
      <c r="A544" s="4" t="s">
        <v>3274</v>
      </c>
      <c r="B544">
        <v>89036</v>
      </c>
      <c r="C544">
        <v>2.1800000000000002</v>
      </c>
      <c r="D544">
        <f t="shared" si="48"/>
        <v>60302.788348208305</v>
      </c>
      <c r="E544">
        <f t="shared" si="49"/>
        <v>60.302788348208303</v>
      </c>
      <c r="F544" s="7">
        <v>0.65978128797083835</v>
      </c>
      <c r="G544">
        <f t="shared" si="50"/>
        <v>4</v>
      </c>
      <c r="H544" s="7">
        <f t="shared" si="51"/>
        <v>0.34021871202916165</v>
      </c>
      <c r="I544">
        <f t="shared" si="52"/>
        <v>2</v>
      </c>
      <c r="J544">
        <f>VLOOKUP(A544,'Housing Cost Calc'!$A$2:$C$827,3,FALSE)</f>
        <v>1489</v>
      </c>
      <c r="K544">
        <f t="shared" si="53"/>
        <v>0.29630470645609686</v>
      </c>
    </row>
    <row r="545" spans="1:11" ht="48" x14ac:dyDescent="0.2">
      <c r="A545" s="4" t="s">
        <v>3789</v>
      </c>
      <c r="B545">
        <v>86705</v>
      </c>
      <c r="C545">
        <v>2.06</v>
      </c>
      <c r="D545">
        <f t="shared" si="48"/>
        <v>60410.236004154707</v>
      </c>
      <c r="E545">
        <f t="shared" si="49"/>
        <v>60.410236004154704</v>
      </c>
      <c r="F545" s="7">
        <v>0.66099635479951402</v>
      </c>
      <c r="G545">
        <f t="shared" si="50"/>
        <v>4</v>
      </c>
      <c r="H545" s="7">
        <f t="shared" si="51"/>
        <v>0.33900364520048598</v>
      </c>
      <c r="I545">
        <f t="shared" si="52"/>
        <v>2</v>
      </c>
      <c r="J545">
        <f>VLOOKUP(A545,'Housing Cost Calc'!$A$2:$C$827,3,FALSE)</f>
        <v>1908</v>
      </c>
      <c r="K545">
        <f t="shared" si="53"/>
        <v>0.37900861699042743</v>
      </c>
    </row>
    <row r="546" spans="1:11" ht="64" x14ac:dyDescent="0.2">
      <c r="A546" s="4" t="s">
        <v>3343</v>
      </c>
      <c r="B546">
        <v>97750</v>
      </c>
      <c r="C546">
        <v>2.61</v>
      </c>
      <c r="D546">
        <f t="shared" si="48"/>
        <v>60505.731022689404</v>
      </c>
      <c r="E546">
        <f t="shared" si="49"/>
        <v>60.505731022689403</v>
      </c>
      <c r="F546" s="7">
        <v>0.66221142162818958</v>
      </c>
      <c r="G546">
        <f t="shared" si="50"/>
        <v>4</v>
      </c>
      <c r="H546" s="7">
        <f t="shared" si="51"/>
        <v>0.33778857837181042</v>
      </c>
      <c r="I546">
        <f t="shared" si="52"/>
        <v>2</v>
      </c>
      <c r="J546">
        <f>VLOOKUP(A546,'Housing Cost Calc'!$A$2:$C$827,3,FALSE)</f>
        <v>1528</v>
      </c>
      <c r="K546">
        <f t="shared" si="53"/>
        <v>0.30304567336148824</v>
      </c>
    </row>
    <row r="547" spans="1:11" ht="64" x14ac:dyDescent="0.2">
      <c r="A547" s="4" t="s">
        <v>3176</v>
      </c>
      <c r="B547">
        <v>90571</v>
      </c>
      <c r="C547">
        <v>2.23</v>
      </c>
      <c r="D547">
        <f t="shared" si="48"/>
        <v>60650.82759815242</v>
      </c>
      <c r="E547">
        <f t="shared" si="49"/>
        <v>60.650827598152418</v>
      </c>
      <c r="F547" s="7">
        <v>0.66342648845686514</v>
      </c>
      <c r="G547">
        <f t="shared" si="50"/>
        <v>4</v>
      </c>
      <c r="H547" s="7">
        <f t="shared" si="51"/>
        <v>0.33657351154313486</v>
      </c>
      <c r="I547">
        <f t="shared" si="52"/>
        <v>2</v>
      </c>
      <c r="J547">
        <f>VLOOKUP(A547,'Housing Cost Calc'!$A$2:$C$827,3,FALSE)</f>
        <v>1431</v>
      </c>
      <c r="K547">
        <f t="shared" si="53"/>
        <v>0.28312886534334947</v>
      </c>
    </row>
    <row r="548" spans="1:11" ht="48" x14ac:dyDescent="0.2">
      <c r="A548" s="4" t="s">
        <v>3794</v>
      </c>
      <c r="B548">
        <v>100156</v>
      </c>
      <c r="C548">
        <v>2.72</v>
      </c>
      <c r="D548">
        <f t="shared" si="48"/>
        <v>60728.495152847412</v>
      </c>
      <c r="E548">
        <f t="shared" si="49"/>
        <v>60.728495152847415</v>
      </c>
      <c r="F548" s="7">
        <v>0.6646415552855407</v>
      </c>
      <c r="G548">
        <f t="shared" si="50"/>
        <v>4</v>
      </c>
      <c r="H548" s="7">
        <f t="shared" si="51"/>
        <v>0.3353584447144593</v>
      </c>
      <c r="I548">
        <f t="shared" si="52"/>
        <v>2</v>
      </c>
      <c r="J548">
        <f>VLOOKUP(A548,'Housing Cost Calc'!$A$2:$C$827,3,FALSE)</f>
        <v>1861</v>
      </c>
      <c r="K548">
        <f t="shared" si="53"/>
        <v>0.36773511254959701</v>
      </c>
    </row>
    <row r="549" spans="1:11" ht="48" x14ac:dyDescent="0.2">
      <c r="A549" s="4" t="s">
        <v>3336</v>
      </c>
      <c r="B549">
        <v>89699</v>
      </c>
      <c r="C549">
        <v>2.1800000000000002</v>
      </c>
      <c r="D549">
        <f t="shared" si="48"/>
        <v>60751.828609168617</v>
      </c>
      <c r="E549">
        <f t="shared" si="49"/>
        <v>60.751828609168619</v>
      </c>
      <c r="F549" s="7">
        <v>0.66585662211421626</v>
      </c>
      <c r="G549">
        <f t="shared" si="50"/>
        <v>4</v>
      </c>
      <c r="H549" s="7">
        <f t="shared" si="51"/>
        <v>0.33414337788578374</v>
      </c>
      <c r="I549">
        <f t="shared" si="52"/>
        <v>2</v>
      </c>
      <c r="J549">
        <f>VLOOKUP(A549,'Housing Cost Calc'!$A$2:$C$827,3,FALSE)</f>
        <v>1530</v>
      </c>
      <c r="K549">
        <f t="shared" si="53"/>
        <v>0.30221312543716788</v>
      </c>
    </row>
    <row r="550" spans="1:11" ht="48" x14ac:dyDescent="0.2">
      <c r="A550" s="4" t="s">
        <v>3312</v>
      </c>
      <c r="B550">
        <v>101848</v>
      </c>
      <c r="C550">
        <v>2.81</v>
      </c>
      <c r="D550">
        <f t="shared" si="48"/>
        <v>60757.423001819821</v>
      </c>
      <c r="E550">
        <f t="shared" si="49"/>
        <v>60.757423001819824</v>
      </c>
      <c r="F550" s="7">
        <v>0.66707168894289182</v>
      </c>
      <c r="G550">
        <f t="shared" si="50"/>
        <v>4</v>
      </c>
      <c r="H550" s="7">
        <f t="shared" si="51"/>
        <v>0.33292831105710818</v>
      </c>
      <c r="I550">
        <f t="shared" si="52"/>
        <v>2</v>
      </c>
      <c r="J550">
        <f>VLOOKUP(A550,'Housing Cost Calc'!$A$2:$C$827,3,FALSE)</f>
        <v>1522</v>
      </c>
      <c r="K550">
        <f t="shared" si="53"/>
        <v>0.30060524455510484</v>
      </c>
    </row>
    <row r="551" spans="1:11" ht="64" x14ac:dyDescent="0.2">
      <c r="A551" s="4" t="s">
        <v>3260</v>
      </c>
      <c r="B551">
        <v>96607</v>
      </c>
      <c r="C551">
        <v>2.52</v>
      </c>
      <c r="D551">
        <f t="shared" si="48"/>
        <v>60856.689740004025</v>
      </c>
      <c r="E551">
        <f t="shared" si="49"/>
        <v>60.856689740004022</v>
      </c>
      <c r="F551" s="7">
        <v>0.66828675577156749</v>
      </c>
      <c r="G551">
        <f t="shared" si="50"/>
        <v>4</v>
      </c>
      <c r="H551" s="7">
        <f t="shared" si="51"/>
        <v>0.33171324422843251</v>
      </c>
      <c r="I551">
        <f t="shared" si="52"/>
        <v>2</v>
      </c>
      <c r="J551">
        <f>VLOOKUP(A551,'Housing Cost Calc'!$A$2:$C$827,3,FALSE)</f>
        <v>1494</v>
      </c>
      <c r="K551">
        <f t="shared" si="53"/>
        <v>0.29459374271905336</v>
      </c>
    </row>
    <row r="552" spans="1:11" ht="48" x14ac:dyDescent="0.2">
      <c r="A552" s="4" t="s">
        <v>3808</v>
      </c>
      <c r="B552">
        <v>96916</v>
      </c>
      <c r="C552">
        <v>2.5299999999999998</v>
      </c>
      <c r="D552">
        <f t="shared" si="48"/>
        <v>60930.567158276557</v>
      </c>
      <c r="E552">
        <f t="shared" si="49"/>
        <v>60.93056715827656</v>
      </c>
      <c r="F552" s="7">
        <v>0.66950182260024305</v>
      </c>
      <c r="G552">
        <f t="shared" si="50"/>
        <v>4</v>
      </c>
      <c r="H552" s="7">
        <f t="shared" si="51"/>
        <v>0.33049817739975695</v>
      </c>
      <c r="I552">
        <f t="shared" si="52"/>
        <v>2</v>
      </c>
      <c r="J552">
        <f>VLOOKUP(A552,'Housing Cost Calc'!$A$2:$C$827,3,FALSE)</f>
        <v>1905</v>
      </c>
      <c r="K552">
        <f t="shared" si="53"/>
        <v>0.37518114578874051</v>
      </c>
    </row>
    <row r="553" spans="1:11" ht="64" x14ac:dyDescent="0.2">
      <c r="A553" s="4" t="s">
        <v>3124</v>
      </c>
      <c r="B553">
        <v>85378</v>
      </c>
      <c r="C553">
        <v>1.96</v>
      </c>
      <c r="D553">
        <f t="shared" si="48"/>
        <v>60984.285714285717</v>
      </c>
      <c r="E553">
        <f t="shared" si="49"/>
        <v>60.984285714285718</v>
      </c>
      <c r="F553" s="7">
        <v>0.67071688942891861</v>
      </c>
      <c r="G553">
        <f t="shared" si="50"/>
        <v>4</v>
      </c>
      <c r="H553" s="7">
        <f t="shared" si="51"/>
        <v>0.32928311057108139</v>
      </c>
      <c r="I553">
        <f t="shared" si="52"/>
        <v>2</v>
      </c>
      <c r="J553">
        <f>VLOOKUP(A553,'Housing Cost Calc'!$A$2:$C$827,3,FALSE)</f>
        <v>1363</v>
      </c>
      <c r="K553">
        <f t="shared" si="53"/>
        <v>0.26820023893743117</v>
      </c>
    </row>
    <row r="554" spans="1:11" ht="48" x14ac:dyDescent="0.2">
      <c r="A554" s="4" t="s">
        <v>3397</v>
      </c>
      <c r="B554">
        <v>96111</v>
      </c>
      <c r="C554">
        <v>2.48</v>
      </c>
      <c r="D554">
        <f t="shared" si="48"/>
        <v>61030.546030576545</v>
      </c>
      <c r="E554">
        <f t="shared" si="49"/>
        <v>61.030546030576545</v>
      </c>
      <c r="F554" s="7">
        <v>0.67193195625759417</v>
      </c>
      <c r="G554">
        <f t="shared" si="50"/>
        <v>4</v>
      </c>
      <c r="H554" s="7">
        <f t="shared" si="51"/>
        <v>0.32806804374240583</v>
      </c>
      <c r="I554">
        <f t="shared" si="52"/>
        <v>2</v>
      </c>
      <c r="J554">
        <f>VLOOKUP(A554,'Housing Cost Calc'!$A$2:$C$827,3,FALSE)</f>
        <v>1576</v>
      </c>
      <c r="K554">
        <f t="shared" si="53"/>
        <v>0.30987761424459503</v>
      </c>
    </row>
    <row r="555" spans="1:11" ht="48" x14ac:dyDescent="0.2">
      <c r="A555" s="4" t="s">
        <v>3735</v>
      </c>
      <c r="B555">
        <v>87227</v>
      </c>
      <c r="C555">
        <v>2.04</v>
      </c>
      <c r="D555">
        <f t="shared" si="48"/>
        <v>61071.115444755611</v>
      </c>
      <c r="E555">
        <f t="shared" si="49"/>
        <v>61.071115444755613</v>
      </c>
      <c r="F555" s="7">
        <v>0.67314702308626972</v>
      </c>
      <c r="G555">
        <f t="shared" si="50"/>
        <v>4</v>
      </c>
      <c r="H555" s="7">
        <f t="shared" si="51"/>
        <v>0.32685297691373028</v>
      </c>
      <c r="I555">
        <f t="shared" si="52"/>
        <v>2</v>
      </c>
      <c r="J555">
        <f>VLOOKUP(A555,'Housing Cost Calc'!$A$2:$C$827,3,FALSE)</f>
        <v>1786</v>
      </c>
      <c r="K555">
        <f t="shared" si="53"/>
        <v>0.35093513265509613</v>
      </c>
    </row>
    <row r="556" spans="1:11" ht="64" x14ac:dyDescent="0.2">
      <c r="A556" s="4" t="s">
        <v>3266</v>
      </c>
      <c r="B556">
        <v>102656</v>
      </c>
      <c r="C556">
        <v>2.82</v>
      </c>
      <c r="D556">
        <f t="shared" si="48"/>
        <v>61130.758401111263</v>
      </c>
      <c r="E556">
        <f t="shared" si="49"/>
        <v>61.130758401111265</v>
      </c>
      <c r="F556" s="7">
        <v>0.67436208991494528</v>
      </c>
      <c r="G556">
        <f t="shared" si="50"/>
        <v>4</v>
      </c>
      <c r="H556" s="7">
        <f t="shared" si="51"/>
        <v>0.32563791008505472</v>
      </c>
      <c r="I556">
        <f t="shared" si="52"/>
        <v>2</v>
      </c>
      <c r="J556">
        <f>VLOOKUP(A556,'Housing Cost Calc'!$A$2:$C$827,3,FALSE)</f>
        <v>1507</v>
      </c>
      <c r="K556">
        <f t="shared" si="53"/>
        <v>0.29582489196913447</v>
      </c>
    </row>
    <row r="557" spans="1:11" ht="48" x14ac:dyDescent="0.2">
      <c r="A557" s="4" t="s">
        <v>3445</v>
      </c>
      <c r="B557">
        <v>89261</v>
      </c>
      <c r="C557">
        <v>2.13</v>
      </c>
      <c r="D557">
        <f t="shared" si="48"/>
        <v>61160.629427915308</v>
      </c>
      <c r="E557">
        <f t="shared" si="49"/>
        <v>61.16062942791531</v>
      </c>
      <c r="F557" s="7">
        <v>0.67557715674362095</v>
      </c>
      <c r="G557">
        <f t="shared" si="50"/>
        <v>4</v>
      </c>
      <c r="H557" s="7">
        <f t="shared" si="51"/>
        <v>0.32442284325637905</v>
      </c>
      <c r="I557">
        <f t="shared" si="52"/>
        <v>2</v>
      </c>
      <c r="J557">
        <f>VLOOKUP(A557,'Housing Cost Calc'!$A$2:$C$827,3,FALSE)</f>
        <v>1605</v>
      </c>
      <c r="K557">
        <f t="shared" si="53"/>
        <v>0.31490846611871581</v>
      </c>
    </row>
    <row r="558" spans="1:11" ht="48" x14ac:dyDescent="0.2">
      <c r="A558" s="4" t="s">
        <v>3815</v>
      </c>
      <c r="B558">
        <v>90929</v>
      </c>
      <c r="C558">
        <v>2.21</v>
      </c>
      <c r="D558">
        <f t="shared" si="48"/>
        <v>61165.464485290693</v>
      </c>
      <c r="E558">
        <f t="shared" si="49"/>
        <v>61.165464485290691</v>
      </c>
      <c r="F558" s="7">
        <v>0.67679222357229651</v>
      </c>
      <c r="G558">
        <f t="shared" si="50"/>
        <v>4</v>
      </c>
      <c r="H558" s="7">
        <f t="shared" si="51"/>
        <v>0.32320777642770349</v>
      </c>
      <c r="I558">
        <f t="shared" si="52"/>
        <v>2</v>
      </c>
      <c r="J558">
        <f>VLOOKUP(A558,'Housing Cost Calc'!$A$2:$C$827,3,FALSE)</f>
        <v>1930</v>
      </c>
      <c r="K558">
        <f t="shared" si="53"/>
        <v>0.37864504414201916</v>
      </c>
    </row>
    <row r="559" spans="1:11" ht="48" x14ac:dyDescent="0.2">
      <c r="A559" s="4" t="s">
        <v>3843</v>
      </c>
      <c r="B559">
        <v>100357</v>
      </c>
      <c r="C559">
        <v>2.68</v>
      </c>
      <c r="D559">
        <f t="shared" si="48"/>
        <v>61302.79463632861</v>
      </c>
      <c r="E559">
        <f t="shared" si="49"/>
        <v>61.302794636328613</v>
      </c>
      <c r="F559" s="7">
        <v>0.67800729040097207</v>
      </c>
      <c r="G559">
        <f t="shared" si="50"/>
        <v>4</v>
      </c>
      <c r="H559" s="7">
        <f t="shared" si="51"/>
        <v>0.32199270959902793</v>
      </c>
      <c r="I559">
        <f t="shared" si="52"/>
        <v>2</v>
      </c>
      <c r="J559">
        <f>VLOOKUP(A559,'Housing Cost Calc'!$A$2:$C$827,3,FALSE)</f>
        <v>2200</v>
      </c>
      <c r="K559">
        <f t="shared" si="53"/>
        <v>0.43064920867987821</v>
      </c>
    </row>
    <row r="560" spans="1:11" ht="48" x14ac:dyDescent="0.2">
      <c r="A560" s="4" t="s">
        <v>3810</v>
      </c>
      <c r="B560">
        <v>101974</v>
      </c>
      <c r="C560">
        <v>2.76</v>
      </c>
      <c r="D560">
        <f t="shared" si="48"/>
        <v>61381.134912841146</v>
      </c>
      <c r="E560">
        <f t="shared" si="49"/>
        <v>61.381134912841148</v>
      </c>
      <c r="F560" s="7">
        <v>0.67922235722964763</v>
      </c>
      <c r="G560">
        <f t="shared" si="50"/>
        <v>4</v>
      </c>
      <c r="H560" s="7">
        <f t="shared" si="51"/>
        <v>0.32077764277035237</v>
      </c>
      <c r="I560">
        <f t="shared" si="52"/>
        <v>2</v>
      </c>
      <c r="J560">
        <f>VLOOKUP(A560,'Housing Cost Calc'!$A$2:$C$827,3,FALSE)</f>
        <v>1923</v>
      </c>
      <c r="K560">
        <f t="shared" si="53"/>
        <v>0.37594612795555238</v>
      </c>
    </row>
    <row r="561" spans="1:11" ht="48" x14ac:dyDescent="0.2">
      <c r="A561" s="4" t="s">
        <v>3768</v>
      </c>
      <c r="B561">
        <v>93558</v>
      </c>
      <c r="C561">
        <v>2.3199999999999998</v>
      </c>
      <c r="D561">
        <f t="shared" si="48"/>
        <v>61423.836227449618</v>
      </c>
      <c r="E561">
        <f t="shared" si="49"/>
        <v>61.42383622744962</v>
      </c>
      <c r="F561" s="7">
        <v>0.68043742405832319</v>
      </c>
      <c r="G561">
        <f t="shared" si="50"/>
        <v>4</v>
      </c>
      <c r="H561" s="7">
        <f t="shared" si="51"/>
        <v>0.31956257594167681</v>
      </c>
      <c r="I561">
        <f t="shared" si="52"/>
        <v>2</v>
      </c>
      <c r="J561">
        <f>VLOOKUP(A561,'Housing Cost Calc'!$A$2:$C$827,3,FALSE)</f>
        <v>1831</v>
      </c>
      <c r="K561">
        <f t="shared" si="53"/>
        <v>0.35771129498715615</v>
      </c>
    </row>
    <row r="562" spans="1:11" ht="48" x14ac:dyDescent="0.2">
      <c r="A562" s="4" t="s">
        <v>3106</v>
      </c>
      <c r="B562">
        <v>95240</v>
      </c>
      <c r="C562">
        <v>2.4</v>
      </c>
      <c r="D562">
        <f t="shared" si="48"/>
        <v>61477.15564879906</v>
      </c>
      <c r="E562">
        <f t="shared" si="49"/>
        <v>61.477155648799062</v>
      </c>
      <c r="F562" s="7">
        <v>0.68165249088699875</v>
      </c>
      <c r="G562">
        <f t="shared" si="50"/>
        <v>4</v>
      </c>
      <c r="H562" s="7">
        <f t="shared" si="51"/>
        <v>0.31834750911300125</v>
      </c>
      <c r="I562">
        <f t="shared" si="52"/>
        <v>2</v>
      </c>
      <c r="J562">
        <f>VLOOKUP(A562,'Housing Cost Calc'!$A$2:$C$827,3,FALSE)</f>
        <v>1358</v>
      </c>
      <c r="K562">
        <f t="shared" si="53"/>
        <v>0.26507407227969793</v>
      </c>
    </row>
    <row r="563" spans="1:11" ht="48" x14ac:dyDescent="0.2">
      <c r="A563" s="4" t="s">
        <v>3752</v>
      </c>
      <c r="B563">
        <v>93843</v>
      </c>
      <c r="C563">
        <v>2.33</v>
      </c>
      <c r="D563">
        <f t="shared" si="48"/>
        <v>61478.593395772703</v>
      </c>
      <c r="E563">
        <f t="shared" si="49"/>
        <v>61.478593395772705</v>
      </c>
      <c r="F563" s="7">
        <v>0.68286755771567431</v>
      </c>
      <c r="G563">
        <f t="shared" si="50"/>
        <v>4</v>
      </c>
      <c r="H563" s="7">
        <f t="shared" si="51"/>
        <v>0.31713244228432569</v>
      </c>
      <c r="I563">
        <f t="shared" si="52"/>
        <v>2</v>
      </c>
      <c r="J563">
        <f>VLOOKUP(A563,'Housing Cost Calc'!$A$2:$C$827,3,FALSE)</f>
        <v>1818</v>
      </c>
      <c r="K563">
        <f t="shared" si="53"/>
        <v>0.35485522350125986</v>
      </c>
    </row>
    <row r="564" spans="1:11" ht="48" x14ac:dyDescent="0.2">
      <c r="A564" s="4" t="s">
        <v>3703</v>
      </c>
      <c r="B564">
        <v>98000</v>
      </c>
      <c r="C564">
        <v>2.54</v>
      </c>
      <c r="D564">
        <f t="shared" si="48"/>
        <v>61490.668903539539</v>
      </c>
      <c r="E564">
        <f t="shared" si="49"/>
        <v>61.490668903539536</v>
      </c>
      <c r="F564" s="7">
        <v>0.68408262454434998</v>
      </c>
      <c r="G564">
        <f t="shared" si="50"/>
        <v>4</v>
      </c>
      <c r="H564" s="7">
        <f t="shared" si="51"/>
        <v>0.31591737545565002</v>
      </c>
      <c r="I564">
        <f t="shared" si="52"/>
        <v>2</v>
      </c>
      <c r="J564">
        <f>VLOOKUP(A564,'Housing Cost Calc'!$A$2:$C$827,3,FALSE)</f>
        <v>1768</v>
      </c>
      <c r="K564">
        <f t="shared" si="53"/>
        <v>0.34502795917347323</v>
      </c>
    </row>
    <row r="565" spans="1:11" ht="48" x14ac:dyDescent="0.2">
      <c r="A565" s="4" t="s">
        <v>3451</v>
      </c>
      <c r="B565">
        <v>103348</v>
      </c>
      <c r="C565">
        <v>2.82</v>
      </c>
      <c r="D565">
        <f t="shared" si="48"/>
        <v>61542.838404360649</v>
      </c>
      <c r="E565">
        <f t="shared" si="49"/>
        <v>61.542838404360651</v>
      </c>
      <c r="F565" s="7">
        <v>0.68529769137302554</v>
      </c>
      <c r="G565">
        <f t="shared" si="50"/>
        <v>4</v>
      </c>
      <c r="H565" s="7">
        <f t="shared" si="51"/>
        <v>0.31470230862697446</v>
      </c>
      <c r="I565">
        <f t="shared" si="52"/>
        <v>2</v>
      </c>
      <c r="J565">
        <f>VLOOKUP(A565,'Housing Cost Calc'!$A$2:$C$827,3,FALSE)</f>
        <v>1618</v>
      </c>
      <c r="K565">
        <f t="shared" si="53"/>
        <v>0.31548756124033872</v>
      </c>
    </row>
    <row r="566" spans="1:11" ht="48" x14ac:dyDescent="0.2">
      <c r="A566" s="4" t="s">
        <v>3682</v>
      </c>
      <c r="B566">
        <v>101679</v>
      </c>
      <c r="C566">
        <v>2.72</v>
      </c>
      <c r="D566">
        <f t="shared" si="48"/>
        <v>61651.949545173251</v>
      </c>
      <c r="E566">
        <f t="shared" si="49"/>
        <v>61.651949545173252</v>
      </c>
      <c r="F566" s="7">
        <v>0.6865127582017011</v>
      </c>
      <c r="G566">
        <f t="shared" si="50"/>
        <v>4</v>
      </c>
      <c r="H566" s="7">
        <f t="shared" si="51"/>
        <v>0.3134872417982989</v>
      </c>
      <c r="I566">
        <f t="shared" si="52"/>
        <v>2</v>
      </c>
      <c r="J566">
        <f>VLOOKUP(A566,'Housing Cost Calc'!$A$2:$C$827,3,FALSE)</f>
        <v>1757</v>
      </c>
      <c r="K566">
        <f t="shared" si="53"/>
        <v>0.34198431932069651</v>
      </c>
    </row>
    <row r="567" spans="1:11" ht="64" x14ac:dyDescent="0.2">
      <c r="A567" s="4" t="s">
        <v>3328</v>
      </c>
      <c r="B567">
        <v>93125</v>
      </c>
      <c r="C567">
        <v>2.2799999999999998</v>
      </c>
      <c r="D567">
        <f t="shared" si="48"/>
        <v>61673.53787584111</v>
      </c>
      <c r="E567">
        <f t="shared" si="49"/>
        <v>61.673537875841113</v>
      </c>
      <c r="F567" s="7">
        <v>0.68772782503037666</v>
      </c>
      <c r="G567">
        <f t="shared" si="50"/>
        <v>4</v>
      </c>
      <c r="H567" s="7">
        <f t="shared" si="51"/>
        <v>0.31227217496962334</v>
      </c>
      <c r="I567">
        <f t="shared" si="52"/>
        <v>2</v>
      </c>
      <c r="J567">
        <f>VLOOKUP(A567,'Housing Cost Calc'!$A$2:$C$827,3,FALSE)</f>
        <v>1552</v>
      </c>
      <c r="K567">
        <f t="shared" si="53"/>
        <v>0.30197716300130456</v>
      </c>
    </row>
    <row r="568" spans="1:11" ht="64" x14ac:dyDescent="0.2">
      <c r="A568" s="4" t="s">
        <v>3244</v>
      </c>
      <c r="B568">
        <v>96719</v>
      </c>
      <c r="C568">
        <v>2.4500000000000002</v>
      </c>
      <c r="D568">
        <f t="shared" si="48"/>
        <v>61791.502490229192</v>
      </c>
      <c r="E568">
        <f t="shared" si="49"/>
        <v>61.791502490229192</v>
      </c>
      <c r="F568" s="7">
        <v>0.68894289185905222</v>
      </c>
      <c r="G568">
        <f t="shared" si="50"/>
        <v>4</v>
      </c>
      <c r="H568" s="7">
        <f t="shared" si="51"/>
        <v>0.31105710814094778</v>
      </c>
      <c r="I568">
        <f t="shared" si="52"/>
        <v>2</v>
      </c>
      <c r="J568">
        <f>VLOOKUP(A568,'Housing Cost Calc'!$A$2:$C$827,3,FALSE)</f>
        <v>1506</v>
      </c>
      <c r="K568">
        <f t="shared" si="53"/>
        <v>0.29246739877959177</v>
      </c>
    </row>
    <row r="569" spans="1:11" ht="48" x14ac:dyDescent="0.2">
      <c r="A569" s="4" t="s">
        <v>3196</v>
      </c>
      <c r="B569">
        <v>99722</v>
      </c>
      <c r="C569">
        <v>2.6</v>
      </c>
      <c r="D569">
        <f t="shared" si="48"/>
        <v>61844.959013525222</v>
      </c>
      <c r="E569">
        <f t="shared" si="49"/>
        <v>61.844959013525219</v>
      </c>
      <c r="F569" s="7">
        <v>0.69015795868772778</v>
      </c>
      <c r="G569">
        <f t="shared" si="50"/>
        <v>4</v>
      </c>
      <c r="H569" s="7">
        <f t="shared" si="51"/>
        <v>0.30984204131227222</v>
      </c>
      <c r="I569">
        <f t="shared" si="52"/>
        <v>2</v>
      </c>
      <c r="J569">
        <f>VLOOKUP(A569,'Housing Cost Calc'!$A$2:$C$827,3,FALSE)</f>
        <v>1473</v>
      </c>
      <c r="K569">
        <f t="shared" si="53"/>
        <v>0.28581149186523569</v>
      </c>
    </row>
    <row r="570" spans="1:11" ht="48" x14ac:dyDescent="0.2">
      <c r="A570" s="4" t="s">
        <v>3310</v>
      </c>
      <c r="B570">
        <v>98664</v>
      </c>
      <c r="C570">
        <v>2.54</v>
      </c>
      <c r="D570">
        <f t="shared" si="48"/>
        <v>61907.299558151281</v>
      </c>
      <c r="E570">
        <f t="shared" si="49"/>
        <v>61.90729955815128</v>
      </c>
      <c r="F570" s="7">
        <v>0.69137302551640345</v>
      </c>
      <c r="G570">
        <f t="shared" si="50"/>
        <v>4</v>
      </c>
      <c r="H570" s="7">
        <f t="shared" si="51"/>
        <v>0.30862697448359655</v>
      </c>
      <c r="I570">
        <f t="shared" si="52"/>
        <v>2</v>
      </c>
      <c r="J570">
        <f>VLOOKUP(A570,'Housing Cost Calc'!$A$2:$C$827,3,FALSE)</f>
        <v>1549</v>
      </c>
      <c r="K570">
        <f t="shared" si="53"/>
        <v>0.30025538398003881</v>
      </c>
    </row>
    <row r="571" spans="1:11" ht="64" x14ac:dyDescent="0.2">
      <c r="A571" s="4" t="s">
        <v>3493</v>
      </c>
      <c r="B571">
        <v>89079</v>
      </c>
      <c r="C571">
        <v>2.0699999999999998</v>
      </c>
      <c r="D571">
        <f t="shared" si="48"/>
        <v>61914.184965967215</v>
      </c>
      <c r="E571">
        <f t="shared" si="49"/>
        <v>61.914184965967216</v>
      </c>
      <c r="F571" s="7">
        <v>0.69258809234507901</v>
      </c>
      <c r="G571">
        <f t="shared" si="50"/>
        <v>4</v>
      </c>
      <c r="H571" s="7">
        <f t="shared" si="51"/>
        <v>0.30741190765492099</v>
      </c>
      <c r="I571">
        <f t="shared" si="52"/>
        <v>2</v>
      </c>
      <c r="J571">
        <f>VLOOKUP(A571,'Housing Cost Calc'!$A$2:$C$827,3,FALSE)</f>
        <v>1650</v>
      </c>
      <c r="K571">
        <f t="shared" si="53"/>
        <v>0.3197974746963656</v>
      </c>
    </row>
    <row r="572" spans="1:11" ht="64" x14ac:dyDescent="0.2">
      <c r="A572" s="4" t="s">
        <v>3836</v>
      </c>
      <c r="B572">
        <v>106904</v>
      </c>
      <c r="C572">
        <v>2.98</v>
      </c>
      <c r="D572">
        <f t="shared" si="48"/>
        <v>61927.824454042777</v>
      </c>
      <c r="E572">
        <f t="shared" si="49"/>
        <v>61.927824454042778</v>
      </c>
      <c r="F572" s="7">
        <v>0.69380315917375457</v>
      </c>
      <c r="G572">
        <f t="shared" si="50"/>
        <v>4</v>
      </c>
      <c r="H572" s="7">
        <f t="shared" si="51"/>
        <v>0.30619684082624543</v>
      </c>
      <c r="I572">
        <f t="shared" si="52"/>
        <v>2</v>
      </c>
      <c r="J572">
        <f>VLOOKUP(A572,'Housing Cost Calc'!$A$2:$C$827,3,FALSE)</f>
        <v>2045</v>
      </c>
      <c r="K572">
        <f t="shared" si="53"/>
        <v>0.39626775550966375</v>
      </c>
    </row>
    <row r="573" spans="1:11" ht="48" x14ac:dyDescent="0.2">
      <c r="A573" s="4" t="s">
        <v>3845</v>
      </c>
      <c r="B573">
        <v>100813</v>
      </c>
      <c r="C573">
        <v>2.65</v>
      </c>
      <c r="D573">
        <f t="shared" si="48"/>
        <v>61928.933613381123</v>
      </c>
      <c r="E573">
        <f t="shared" si="49"/>
        <v>61.928933613381126</v>
      </c>
      <c r="F573" s="7">
        <v>0.69501822600243013</v>
      </c>
      <c r="G573">
        <f t="shared" si="50"/>
        <v>4</v>
      </c>
      <c r="H573" s="7">
        <f t="shared" si="51"/>
        <v>0.30498177399756987</v>
      </c>
      <c r="I573">
        <f t="shared" si="52"/>
        <v>2</v>
      </c>
      <c r="J573">
        <f>VLOOKUP(A573,'Housing Cost Calc'!$A$2:$C$827,3,FALSE)</f>
        <v>2347</v>
      </c>
      <c r="K573">
        <f t="shared" si="53"/>
        <v>0.45477934717601115</v>
      </c>
    </row>
    <row r="574" spans="1:11" ht="48" x14ac:dyDescent="0.2">
      <c r="A574" s="4" t="s">
        <v>3084</v>
      </c>
      <c r="B574">
        <v>90054</v>
      </c>
      <c r="C574">
        <v>2.11</v>
      </c>
      <c r="D574">
        <f t="shared" si="48"/>
        <v>61995.730307040641</v>
      </c>
      <c r="E574">
        <f t="shared" si="49"/>
        <v>61.995730307040638</v>
      </c>
      <c r="F574" s="7">
        <v>0.69623329283110569</v>
      </c>
      <c r="G574">
        <f t="shared" si="50"/>
        <v>4</v>
      </c>
      <c r="H574" s="7">
        <f t="shared" si="51"/>
        <v>0.30376670716889431</v>
      </c>
      <c r="I574">
        <f t="shared" si="52"/>
        <v>2</v>
      </c>
      <c r="J574">
        <f>VLOOKUP(A574,'Housing Cost Calc'!$A$2:$C$827,3,FALSE)</f>
        <v>1342</v>
      </c>
      <c r="K574">
        <f t="shared" si="53"/>
        <v>0.25975982410793741</v>
      </c>
    </row>
    <row r="575" spans="1:11" ht="48" x14ac:dyDescent="0.2">
      <c r="A575" s="4" t="s">
        <v>3478</v>
      </c>
      <c r="B575">
        <v>94872</v>
      </c>
      <c r="C575">
        <v>2.33</v>
      </c>
      <c r="D575">
        <f t="shared" si="48"/>
        <v>62152.713709533455</v>
      </c>
      <c r="E575">
        <f t="shared" si="49"/>
        <v>62.152713709533458</v>
      </c>
      <c r="F575" s="7">
        <v>0.69744835965978125</v>
      </c>
      <c r="G575">
        <f t="shared" si="50"/>
        <v>4</v>
      </c>
      <c r="H575" s="7">
        <f t="shared" si="51"/>
        <v>0.30255164034021875</v>
      </c>
      <c r="I575">
        <f t="shared" si="52"/>
        <v>2</v>
      </c>
      <c r="J575">
        <f>VLOOKUP(A575,'Housing Cost Calc'!$A$2:$C$827,3,FALSE)</f>
        <v>1648</v>
      </c>
      <c r="K575">
        <f t="shared" si="53"/>
        <v>0.31818401514086436</v>
      </c>
    </row>
    <row r="576" spans="1:11" ht="48" x14ac:dyDescent="0.2">
      <c r="A576" s="4" t="s">
        <v>3508</v>
      </c>
      <c r="B576">
        <v>102697</v>
      </c>
      <c r="C576">
        <v>2.72</v>
      </c>
      <c r="D576">
        <f t="shared" si="48"/>
        <v>62269.202710890713</v>
      </c>
      <c r="E576">
        <f t="shared" si="49"/>
        <v>62.26920271089071</v>
      </c>
      <c r="F576" s="7">
        <v>0.69866342648845692</v>
      </c>
      <c r="G576">
        <f t="shared" si="50"/>
        <v>4</v>
      </c>
      <c r="H576" s="7">
        <f t="shared" si="51"/>
        <v>0.30133657351154308</v>
      </c>
      <c r="I576">
        <f t="shared" si="52"/>
        <v>2</v>
      </c>
      <c r="J576">
        <f>VLOOKUP(A576,'Housing Cost Calc'!$A$2:$C$827,3,FALSE)</f>
        <v>1664</v>
      </c>
      <c r="K576">
        <f t="shared" si="53"/>
        <v>0.32067216425926154</v>
      </c>
    </row>
    <row r="577" spans="1:11" ht="48" x14ac:dyDescent="0.2">
      <c r="A577" s="4" t="s">
        <v>3666</v>
      </c>
      <c r="B577">
        <v>105701</v>
      </c>
      <c r="C577">
        <v>2.86</v>
      </c>
      <c r="D577">
        <f t="shared" si="48"/>
        <v>62502.311568442019</v>
      </c>
      <c r="E577">
        <f t="shared" si="49"/>
        <v>62.502311568442018</v>
      </c>
      <c r="F577" s="7">
        <v>0.69987849331713248</v>
      </c>
      <c r="G577">
        <f t="shared" si="50"/>
        <v>4</v>
      </c>
      <c r="H577" s="7">
        <f t="shared" si="51"/>
        <v>0.30012150668286752</v>
      </c>
      <c r="I577">
        <f t="shared" si="52"/>
        <v>2</v>
      </c>
      <c r="J577">
        <f>VLOOKUP(A577,'Housing Cost Calc'!$A$2:$C$827,3,FALSE)</f>
        <v>1769</v>
      </c>
      <c r="K577">
        <f t="shared" si="53"/>
        <v>0.33963543855101525</v>
      </c>
    </row>
    <row r="578" spans="1:11" ht="48" x14ac:dyDescent="0.2">
      <c r="A578" s="4" t="s">
        <v>3802</v>
      </c>
      <c r="B578">
        <v>98636</v>
      </c>
      <c r="C578">
        <v>2.4900000000000002</v>
      </c>
      <c r="D578">
        <f t="shared" ref="D578:D641" si="54">(B578/(C578)^0.5)</f>
        <v>62508.025174732407</v>
      </c>
      <c r="E578">
        <f t="shared" ref="E578:E641" si="55">D578/1000</f>
        <v>62.50802517473241</v>
      </c>
      <c r="F578" s="7">
        <v>0.70109356014580804</v>
      </c>
      <c r="G578">
        <f t="shared" si="50"/>
        <v>4</v>
      </c>
      <c r="H578" s="7">
        <f t="shared" si="51"/>
        <v>0.29890643985419196</v>
      </c>
      <c r="I578">
        <f t="shared" si="52"/>
        <v>2</v>
      </c>
      <c r="J578">
        <f>VLOOKUP(A578,'Housing Cost Calc'!$A$2:$C$827,3,FALSE)</f>
        <v>1940</v>
      </c>
      <c r="K578">
        <f t="shared" si="53"/>
        <v>0.37243217866704359</v>
      </c>
    </row>
    <row r="579" spans="1:11" ht="48" x14ac:dyDescent="0.2">
      <c r="A579" s="4" t="s">
        <v>3826</v>
      </c>
      <c r="B579">
        <v>91996</v>
      </c>
      <c r="C579">
        <v>2.16</v>
      </c>
      <c r="D579">
        <f t="shared" si="54"/>
        <v>62595.349549189232</v>
      </c>
      <c r="E579">
        <f t="shared" si="55"/>
        <v>62.59534954918923</v>
      </c>
      <c r="F579" s="7">
        <v>0.7023086269744836</v>
      </c>
      <c r="G579">
        <f t="shared" ref="G579:G642" si="56">IF(F579&lt;0.2,1,IF(F579&lt;0.4,2,IF(F579&lt;0.6,3,IF(F579&lt;0.8,4,5))))</f>
        <v>4</v>
      </c>
      <c r="H579" s="7">
        <f t="shared" ref="H579:H642" si="57">1-F579</f>
        <v>0.2976913730255164</v>
      </c>
      <c r="I579">
        <f t="shared" ref="I579:I642" si="58">6-G579</f>
        <v>2</v>
      </c>
      <c r="J579">
        <f>VLOOKUP(A579,'Housing Cost Calc'!$A$2:$C$827,3,FALSE)</f>
        <v>2280</v>
      </c>
      <c r="K579">
        <f t="shared" ref="K579:K642" si="59">(J579*12)/D579</f>
        <v>0.43709317380678131</v>
      </c>
    </row>
    <row r="580" spans="1:11" ht="48" x14ac:dyDescent="0.2">
      <c r="A580" s="4" t="s">
        <v>3447</v>
      </c>
      <c r="B580">
        <v>104500</v>
      </c>
      <c r="C580">
        <v>2.78</v>
      </c>
      <c r="D580">
        <f t="shared" si="54"/>
        <v>62674.935037975025</v>
      </c>
      <c r="E580">
        <f t="shared" si="55"/>
        <v>62.674935037975025</v>
      </c>
      <c r="F580" s="7">
        <v>0.70352369380315916</v>
      </c>
      <c r="G580">
        <f t="shared" si="56"/>
        <v>4</v>
      </c>
      <c r="H580" s="7">
        <f t="shared" si="57"/>
        <v>0.29647630619684084</v>
      </c>
      <c r="I580">
        <f t="shared" si="58"/>
        <v>2</v>
      </c>
      <c r="J580">
        <f>VLOOKUP(A580,'Housing Cost Calc'!$A$2:$C$827,3,FALSE)</f>
        <v>1647</v>
      </c>
      <c r="K580">
        <f t="shared" si="59"/>
        <v>0.31534137192204353</v>
      </c>
    </row>
    <row r="581" spans="1:11" ht="48" x14ac:dyDescent="0.2">
      <c r="A581" s="4" t="s">
        <v>3784</v>
      </c>
      <c r="B581">
        <v>103810</v>
      </c>
      <c r="C581">
        <v>2.74</v>
      </c>
      <c r="D581">
        <f t="shared" si="54"/>
        <v>62713.914508605667</v>
      </c>
      <c r="E581">
        <f t="shared" si="55"/>
        <v>62.713914508605669</v>
      </c>
      <c r="F581" s="7">
        <v>0.70473876063183472</v>
      </c>
      <c r="G581">
        <f t="shared" si="56"/>
        <v>4</v>
      </c>
      <c r="H581" s="7">
        <f t="shared" si="57"/>
        <v>0.29526123936816528</v>
      </c>
      <c r="I581">
        <f t="shared" si="58"/>
        <v>2</v>
      </c>
      <c r="J581">
        <f>VLOOKUP(A581,'Housing Cost Calc'!$A$2:$C$827,3,FALSE)</f>
        <v>1898</v>
      </c>
      <c r="K581">
        <f t="shared" si="59"/>
        <v>0.36317299244451812</v>
      </c>
    </row>
    <row r="582" spans="1:11" ht="64" x14ac:dyDescent="0.2">
      <c r="A582" s="4" t="s">
        <v>3811</v>
      </c>
      <c r="B582">
        <v>99112</v>
      </c>
      <c r="C582">
        <v>2.4900000000000002</v>
      </c>
      <c r="D582">
        <f t="shared" si="54"/>
        <v>62809.677917982059</v>
      </c>
      <c r="E582">
        <f t="shared" si="55"/>
        <v>62.809677917982057</v>
      </c>
      <c r="F582" s="7">
        <v>0.70595382746051027</v>
      </c>
      <c r="G582">
        <f t="shared" si="56"/>
        <v>4</v>
      </c>
      <c r="H582" s="7">
        <f t="shared" si="57"/>
        <v>0.29404617253948973</v>
      </c>
      <c r="I582">
        <f t="shared" si="58"/>
        <v>2</v>
      </c>
      <c r="J582">
        <f>VLOOKUP(A582,'Housing Cost Calc'!$A$2:$C$827,3,FALSE)</f>
        <v>1969</v>
      </c>
      <c r="K582">
        <f t="shared" si="59"/>
        <v>0.37618406562845047</v>
      </c>
    </row>
    <row r="583" spans="1:11" ht="48" x14ac:dyDescent="0.2">
      <c r="A583" s="4" t="s">
        <v>3302</v>
      </c>
      <c r="B583">
        <v>98250</v>
      </c>
      <c r="C583">
        <v>2.44</v>
      </c>
      <c r="D583">
        <f t="shared" si="54"/>
        <v>62898.117267035152</v>
      </c>
      <c r="E583">
        <f t="shared" si="55"/>
        <v>62.898117267035154</v>
      </c>
      <c r="F583" s="7">
        <v>0.70716889428918595</v>
      </c>
      <c r="G583">
        <f t="shared" si="56"/>
        <v>4</v>
      </c>
      <c r="H583" s="7">
        <f t="shared" si="57"/>
        <v>0.29283110571081405</v>
      </c>
      <c r="I583">
        <f t="shared" si="58"/>
        <v>2</v>
      </c>
      <c r="J583">
        <f>VLOOKUP(A583,'Housing Cost Calc'!$A$2:$C$827,3,FALSE)</f>
        <v>1570</v>
      </c>
      <c r="K583">
        <f t="shared" si="59"/>
        <v>0.29953201810500024</v>
      </c>
    </row>
    <row r="584" spans="1:11" ht="48" x14ac:dyDescent="0.2">
      <c r="A584" s="4" t="s">
        <v>3334</v>
      </c>
      <c r="B584">
        <v>100833</v>
      </c>
      <c r="C584">
        <v>2.56</v>
      </c>
      <c r="D584">
        <f t="shared" si="54"/>
        <v>63020.625</v>
      </c>
      <c r="E584">
        <f t="shared" si="55"/>
        <v>63.020625000000003</v>
      </c>
      <c r="F584" s="7">
        <v>0.7083839611178615</v>
      </c>
      <c r="G584">
        <f t="shared" si="56"/>
        <v>4</v>
      </c>
      <c r="H584" s="7">
        <f t="shared" si="57"/>
        <v>0.2916160388821385</v>
      </c>
      <c r="I584">
        <f t="shared" si="58"/>
        <v>2</v>
      </c>
      <c r="J584">
        <f>VLOOKUP(A584,'Housing Cost Calc'!$A$2:$C$827,3,FALSE)</f>
        <v>1587</v>
      </c>
      <c r="K584">
        <f t="shared" si="59"/>
        <v>0.30218678408854244</v>
      </c>
    </row>
    <row r="585" spans="1:11" ht="48" x14ac:dyDescent="0.2">
      <c r="A585" s="4" t="s">
        <v>3800</v>
      </c>
      <c r="B585">
        <v>95948</v>
      </c>
      <c r="C585">
        <v>2.31</v>
      </c>
      <c r="D585">
        <f t="shared" si="54"/>
        <v>63129.149227999915</v>
      </c>
      <c r="E585">
        <f t="shared" si="55"/>
        <v>63.129149227999918</v>
      </c>
      <c r="F585" s="7">
        <v>0.70959902794653706</v>
      </c>
      <c r="G585">
        <f t="shared" si="56"/>
        <v>4</v>
      </c>
      <c r="H585" s="7">
        <f t="shared" si="57"/>
        <v>0.29040097205346294</v>
      </c>
      <c r="I585">
        <f t="shared" si="58"/>
        <v>2</v>
      </c>
      <c r="J585">
        <f>VLOOKUP(A585,'Housing Cost Calc'!$A$2:$C$827,3,FALSE)</f>
        <v>1955</v>
      </c>
      <c r="K585">
        <f t="shared" si="59"/>
        <v>0.37161913770247196</v>
      </c>
    </row>
    <row r="586" spans="1:11" ht="48" x14ac:dyDescent="0.2">
      <c r="A586" s="4" t="s">
        <v>3369</v>
      </c>
      <c r="B586">
        <v>103598</v>
      </c>
      <c r="C586">
        <v>2.69</v>
      </c>
      <c r="D586">
        <f t="shared" si="54"/>
        <v>63164.815402506436</v>
      </c>
      <c r="E586">
        <f t="shared" si="55"/>
        <v>63.164815402506434</v>
      </c>
      <c r="F586" s="7">
        <v>0.71081409477521262</v>
      </c>
      <c r="G586">
        <f t="shared" si="56"/>
        <v>4</v>
      </c>
      <c r="H586" s="7">
        <f t="shared" si="57"/>
        <v>0.28918590522478738</v>
      </c>
      <c r="I586">
        <f t="shared" si="58"/>
        <v>2</v>
      </c>
      <c r="J586">
        <f>VLOOKUP(A586,'Housing Cost Calc'!$A$2:$C$827,3,FALSE)</f>
        <v>1613</v>
      </c>
      <c r="K586">
        <f t="shared" si="59"/>
        <v>0.30643642155300177</v>
      </c>
    </row>
    <row r="587" spans="1:11" ht="48" x14ac:dyDescent="0.2">
      <c r="A587" s="4" t="s">
        <v>3512</v>
      </c>
      <c r="B587">
        <v>75881</v>
      </c>
      <c r="C587">
        <v>1.44</v>
      </c>
      <c r="D587">
        <f t="shared" si="54"/>
        <v>63234.166666666672</v>
      </c>
      <c r="E587">
        <f t="shared" si="55"/>
        <v>63.234166666666674</v>
      </c>
      <c r="F587" s="7">
        <v>0.71202916160388818</v>
      </c>
      <c r="G587">
        <f t="shared" si="56"/>
        <v>4</v>
      </c>
      <c r="H587" s="7">
        <f t="shared" si="57"/>
        <v>0.28797083839611182</v>
      </c>
      <c r="I587">
        <f t="shared" si="58"/>
        <v>2</v>
      </c>
      <c r="J587">
        <f>VLOOKUP(A587,'Housing Cost Calc'!$A$2:$C$827,3,FALSE)</f>
        <v>1690</v>
      </c>
      <c r="K587">
        <f t="shared" si="59"/>
        <v>0.32071269487750553</v>
      </c>
    </row>
    <row r="588" spans="1:11" ht="64" x14ac:dyDescent="0.2">
      <c r="A588" s="4" t="s">
        <v>3098</v>
      </c>
      <c r="B588">
        <v>98000</v>
      </c>
      <c r="C588">
        <v>2.37</v>
      </c>
      <c r="D588">
        <f t="shared" si="54"/>
        <v>63657.840641239825</v>
      </c>
      <c r="E588">
        <f t="shared" si="55"/>
        <v>63.657840641239822</v>
      </c>
      <c r="F588" s="7">
        <v>0.71324422843256374</v>
      </c>
      <c r="G588">
        <f t="shared" si="56"/>
        <v>4</v>
      </c>
      <c r="H588" s="7">
        <f t="shared" si="57"/>
        <v>0.28675577156743626</v>
      </c>
      <c r="I588">
        <f t="shared" si="58"/>
        <v>2</v>
      </c>
      <c r="J588">
        <f>VLOOKUP(A588,'Housing Cost Calc'!$A$2:$C$827,3,FALSE)</f>
        <v>1396</v>
      </c>
      <c r="K588">
        <f t="shared" si="59"/>
        <v>0.26315689993963531</v>
      </c>
    </row>
    <row r="589" spans="1:11" ht="48" x14ac:dyDescent="0.2">
      <c r="A589" s="4" t="s">
        <v>3304</v>
      </c>
      <c r="B589">
        <v>99743</v>
      </c>
      <c r="C589">
        <v>2.4500000000000002</v>
      </c>
      <c r="D589">
        <f t="shared" si="54"/>
        <v>63723.465222789004</v>
      </c>
      <c r="E589">
        <f t="shared" si="55"/>
        <v>63.723465222789002</v>
      </c>
      <c r="F589" s="7">
        <v>0.71445929526123941</v>
      </c>
      <c r="G589">
        <f t="shared" si="56"/>
        <v>4</v>
      </c>
      <c r="H589" s="7">
        <f t="shared" si="57"/>
        <v>0.28554070473876059</v>
      </c>
      <c r="I589">
        <f t="shared" si="58"/>
        <v>2</v>
      </c>
      <c r="J589">
        <f>VLOOKUP(A589,'Housing Cost Calc'!$A$2:$C$827,3,FALSE)</f>
        <v>1591</v>
      </c>
      <c r="K589">
        <f t="shared" si="59"/>
        <v>0.29960705892642281</v>
      </c>
    </row>
    <row r="590" spans="1:11" ht="48" x14ac:dyDescent="0.2">
      <c r="A590" s="4" t="s">
        <v>3684</v>
      </c>
      <c r="B590">
        <v>99779</v>
      </c>
      <c r="C590">
        <v>2.44</v>
      </c>
      <c r="D590">
        <f t="shared" si="54"/>
        <v>63876.959214122136</v>
      </c>
      <c r="E590">
        <f t="shared" si="55"/>
        <v>63.876959214122138</v>
      </c>
      <c r="F590" s="7">
        <v>0.71567436208991497</v>
      </c>
      <c r="G590">
        <f t="shared" si="56"/>
        <v>4</v>
      </c>
      <c r="H590" s="7">
        <f t="shared" si="57"/>
        <v>0.28432563791008503</v>
      </c>
      <c r="I590">
        <f t="shared" si="58"/>
        <v>2</v>
      </c>
      <c r="J590">
        <f>VLOOKUP(A590,'Housing Cost Calc'!$A$2:$C$827,3,FALSE)</f>
        <v>1823</v>
      </c>
      <c r="K590">
        <f t="shared" si="59"/>
        <v>0.34247090451925549</v>
      </c>
    </row>
    <row r="591" spans="1:11" ht="64" x14ac:dyDescent="0.2">
      <c r="A591" s="4" t="s">
        <v>3541</v>
      </c>
      <c r="B591">
        <v>102610</v>
      </c>
      <c r="C591">
        <v>2.57</v>
      </c>
      <c r="D591">
        <f t="shared" si="54"/>
        <v>64006.359423830749</v>
      </c>
      <c r="E591">
        <f t="shared" si="55"/>
        <v>64.006359423830745</v>
      </c>
      <c r="F591" s="7">
        <v>0.71688942891859053</v>
      </c>
      <c r="G591">
        <f t="shared" si="56"/>
        <v>4</v>
      </c>
      <c r="H591" s="7">
        <f t="shared" si="57"/>
        <v>0.28311057108140947</v>
      </c>
      <c r="I591">
        <f t="shared" si="58"/>
        <v>2</v>
      </c>
      <c r="J591">
        <f>VLOOKUP(A591,'Housing Cost Calc'!$A$2:$C$827,3,FALSE)</f>
        <v>1720</v>
      </c>
      <c r="K591">
        <f t="shared" si="59"/>
        <v>0.32246795764977293</v>
      </c>
    </row>
    <row r="592" spans="1:11" ht="48" x14ac:dyDescent="0.2">
      <c r="A592" s="4" t="s">
        <v>3178</v>
      </c>
      <c r="B592">
        <v>99617</v>
      </c>
      <c r="C592">
        <v>2.42</v>
      </c>
      <c r="D592">
        <f t="shared" si="54"/>
        <v>64036.232928600279</v>
      </c>
      <c r="E592">
        <f t="shared" si="55"/>
        <v>64.036232928600285</v>
      </c>
      <c r="F592" s="7">
        <v>0.71810449574726609</v>
      </c>
      <c r="G592">
        <f t="shared" si="56"/>
        <v>4</v>
      </c>
      <c r="H592" s="7">
        <f t="shared" si="57"/>
        <v>0.28189550425273391</v>
      </c>
      <c r="I592">
        <f t="shared" si="58"/>
        <v>2</v>
      </c>
      <c r="J592">
        <f>VLOOKUP(A592,'Housing Cost Calc'!$A$2:$C$827,3,FALSE)</f>
        <v>1511</v>
      </c>
      <c r="K592">
        <f t="shared" si="59"/>
        <v>0.28315219635447619</v>
      </c>
    </row>
    <row r="593" spans="1:11" ht="64" x14ac:dyDescent="0.2">
      <c r="A593" s="4" t="s">
        <v>3407</v>
      </c>
      <c r="B593">
        <v>95642</v>
      </c>
      <c r="C593">
        <v>2.23</v>
      </c>
      <c r="D593">
        <f t="shared" si="54"/>
        <v>64046.620365707495</v>
      </c>
      <c r="E593">
        <f t="shared" si="55"/>
        <v>64.046620365707497</v>
      </c>
      <c r="F593" s="7">
        <v>0.71931956257594165</v>
      </c>
      <c r="G593">
        <f t="shared" si="56"/>
        <v>4</v>
      </c>
      <c r="H593" s="7">
        <f t="shared" si="57"/>
        <v>0.28068043742405835</v>
      </c>
      <c r="I593">
        <f t="shared" si="58"/>
        <v>2</v>
      </c>
      <c r="J593">
        <f>VLOOKUP(A593,'Housing Cost Calc'!$A$2:$C$827,3,FALSE)</f>
        <v>1661</v>
      </c>
      <c r="K593">
        <f t="shared" si="59"/>
        <v>0.31121080060412054</v>
      </c>
    </row>
    <row r="594" spans="1:11" ht="48" x14ac:dyDescent="0.2">
      <c r="A594" s="4" t="s">
        <v>3296</v>
      </c>
      <c r="B594">
        <v>93945</v>
      </c>
      <c r="C594">
        <v>2.15</v>
      </c>
      <c r="D594">
        <f t="shared" si="54"/>
        <v>64069.958221553628</v>
      </c>
      <c r="E594">
        <f t="shared" si="55"/>
        <v>64.069958221553634</v>
      </c>
      <c r="F594" s="7">
        <v>0.72053462940461721</v>
      </c>
      <c r="G594">
        <f t="shared" si="56"/>
        <v>4</v>
      </c>
      <c r="H594" s="7">
        <f t="shared" si="57"/>
        <v>0.27946537059538279</v>
      </c>
      <c r="I594">
        <f t="shared" si="58"/>
        <v>2</v>
      </c>
      <c r="J594">
        <f>VLOOKUP(A594,'Housing Cost Calc'!$A$2:$C$827,3,FALSE)</f>
        <v>1594</v>
      </c>
      <c r="K594">
        <f t="shared" si="59"/>
        <v>0.29854865729513141</v>
      </c>
    </row>
    <row r="595" spans="1:11" ht="64" x14ac:dyDescent="0.2">
      <c r="A595" s="4" t="s">
        <v>3491</v>
      </c>
      <c r="B595">
        <v>95125</v>
      </c>
      <c r="C595">
        <v>2.19</v>
      </c>
      <c r="D595">
        <f t="shared" si="54"/>
        <v>64279.518120251101</v>
      </c>
      <c r="E595">
        <f t="shared" si="55"/>
        <v>64.279518120251097</v>
      </c>
      <c r="F595" s="7">
        <v>0.72174969623329288</v>
      </c>
      <c r="G595">
        <f t="shared" si="56"/>
        <v>4</v>
      </c>
      <c r="H595" s="7">
        <f t="shared" si="57"/>
        <v>0.27825030376670712</v>
      </c>
      <c r="I595">
        <f t="shared" si="58"/>
        <v>2</v>
      </c>
      <c r="J595">
        <f>VLOOKUP(A595,'Housing Cost Calc'!$A$2:$C$827,3,FALSE)</f>
        <v>1710</v>
      </c>
      <c r="K595">
        <f t="shared" si="59"/>
        <v>0.3192307689925763</v>
      </c>
    </row>
    <row r="596" spans="1:11" ht="64" x14ac:dyDescent="0.2">
      <c r="A596" s="4" t="s">
        <v>3760</v>
      </c>
      <c r="B596">
        <v>106063</v>
      </c>
      <c r="C596">
        <v>2.72</v>
      </c>
      <c r="D596">
        <f t="shared" si="54"/>
        <v>64310.139995571459</v>
      </c>
      <c r="E596">
        <f t="shared" si="55"/>
        <v>64.310139995571461</v>
      </c>
      <c r="F596" s="7">
        <v>0.72296476306196844</v>
      </c>
      <c r="G596">
        <f t="shared" si="56"/>
        <v>4</v>
      </c>
      <c r="H596" s="7">
        <f t="shared" si="57"/>
        <v>0.27703523693803156</v>
      </c>
      <c r="I596">
        <f t="shared" si="58"/>
        <v>2</v>
      </c>
      <c r="J596">
        <f>VLOOKUP(A596,'Housing Cost Calc'!$A$2:$C$827,3,FALSE)</f>
        <v>1906</v>
      </c>
      <c r="K596">
        <f t="shared" si="59"/>
        <v>0.35565153491463425</v>
      </c>
    </row>
    <row r="597" spans="1:11" ht="48" x14ac:dyDescent="0.2">
      <c r="A597" s="4" t="s">
        <v>3028</v>
      </c>
      <c r="B597">
        <v>104336</v>
      </c>
      <c r="C597">
        <v>2.62</v>
      </c>
      <c r="D597">
        <f t="shared" si="54"/>
        <v>64458.996067622727</v>
      </c>
      <c r="E597">
        <f t="shared" si="55"/>
        <v>64.458996067622721</v>
      </c>
      <c r="F597" s="7">
        <v>0.724179829890644</v>
      </c>
      <c r="G597">
        <f t="shared" si="56"/>
        <v>4</v>
      </c>
      <c r="H597" s="7">
        <f t="shared" si="57"/>
        <v>0.275820170109356</v>
      </c>
      <c r="I597">
        <f t="shared" si="58"/>
        <v>2</v>
      </c>
      <c r="J597">
        <f>VLOOKUP(A597,'Housing Cost Calc'!$A$2:$C$827,3,FALSE)</f>
        <v>1214</v>
      </c>
      <c r="K597">
        <f t="shared" si="59"/>
        <v>0.22600414044173112</v>
      </c>
    </row>
    <row r="598" spans="1:11" ht="48" x14ac:dyDescent="0.2">
      <c r="A598" s="4" t="s">
        <v>3608</v>
      </c>
      <c r="B598">
        <v>105772</v>
      </c>
      <c r="C598">
        <v>2.69</v>
      </c>
      <c r="D598">
        <f t="shared" si="54"/>
        <v>64490.326596593666</v>
      </c>
      <c r="E598">
        <f t="shared" si="55"/>
        <v>64.490326596593661</v>
      </c>
      <c r="F598" s="7">
        <v>0.72539489671931956</v>
      </c>
      <c r="G598">
        <f t="shared" si="56"/>
        <v>4</v>
      </c>
      <c r="H598" s="7">
        <f t="shared" si="57"/>
        <v>0.27460510328068044</v>
      </c>
      <c r="I598">
        <f t="shared" si="58"/>
        <v>2</v>
      </c>
      <c r="J598">
        <f>VLOOKUP(A598,'Housing Cost Calc'!$A$2:$C$827,3,FALSE)</f>
        <v>1778</v>
      </c>
      <c r="K598">
        <f t="shared" si="59"/>
        <v>0.33084031553232907</v>
      </c>
    </row>
    <row r="599" spans="1:11" ht="48" x14ac:dyDescent="0.2">
      <c r="A599" s="4" t="s">
        <v>3632</v>
      </c>
      <c r="B599">
        <v>102222</v>
      </c>
      <c r="C599">
        <v>2.5099999999999998</v>
      </c>
      <c r="D599">
        <f t="shared" si="54"/>
        <v>64521.954273463642</v>
      </c>
      <c r="E599">
        <f t="shared" si="55"/>
        <v>64.521954273463635</v>
      </c>
      <c r="F599" s="7">
        <v>0.72660996354799512</v>
      </c>
      <c r="G599">
        <f t="shared" si="56"/>
        <v>4</v>
      </c>
      <c r="H599" s="7">
        <f t="shared" si="57"/>
        <v>0.27339003645200488</v>
      </c>
      <c r="I599">
        <f t="shared" si="58"/>
        <v>2</v>
      </c>
      <c r="J599">
        <f>VLOOKUP(A599,'Housing Cost Calc'!$A$2:$C$827,3,FALSE)</f>
        <v>1797</v>
      </c>
      <c r="K599">
        <f t="shared" si="59"/>
        <v>0.33421182360046348</v>
      </c>
    </row>
    <row r="600" spans="1:11" ht="64" x14ac:dyDescent="0.2">
      <c r="A600" s="4" t="s">
        <v>3681</v>
      </c>
      <c r="B600">
        <v>105441</v>
      </c>
      <c r="C600">
        <v>2.67</v>
      </c>
      <c r="D600">
        <f t="shared" si="54"/>
        <v>64528.844060081668</v>
      </c>
      <c r="E600">
        <f t="shared" si="55"/>
        <v>64.528844060081667</v>
      </c>
      <c r="F600" s="7">
        <v>0.72782503037667068</v>
      </c>
      <c r="G600">
        <f t="shared" si="56"/>
        <v>4</v>
      </c>
      <c r="H600" s="7">
        <f t="shared" si="57"/>
        <v>0.27217496962332932</v>
      </c>
      <c r="I600">
        <f t="shared" si="58"/>
        <v>2</v>
      </c>
      <c r="J600">
        <f>VLOOKUP(A600,'Housing Cost Calc'!$A$2:$C$827,3,FALSE)</f>
        <v>1838</v>
      </c>
      <c r="K600">
        <f t="shared" si="59"/>
        <v>0.3418006369285656</v>
      </c>
    </row>
    <row r="601" spans="1:11" ht="48" x14ac:dyDescent="0.2">
      <c r="A601" s="4" t="s">
        <v>3827</v>
      </c>
      <c r="B601">
        <v>110625</v>
      </c>
      <c r="C601">
        <v>2.93</v>
      </c>
      <c r="D601">
        <f t="shared" si="54"/>
        <v>64627.815060716573</v>
      </c>
      <c r="E601">
        <f t="shared" si="55"/>
        <v>64.627815060716571</v>
      </c>
      <c r="F601" s="7">
        <v>0.72904009720534635</v>
      </c>
      <c r="G601">
        <f t="shared" si="56"/>
        <v>4</v>
      </c>
      <c r="H601" s="7">
        <f t="shared" si="57"/>
        <v>0.27095990279465365</v>
      </c>
      <c r="I601">
        <f t="shared" si="58"/>
        <v>2</v>
      </c>
      <c r="J601">
        <f>VLOOKUP(A601,'Housing Cost Calc'!$A$2:$C$827,3,FALSE)</f>
        <v>2079</v>
      </c>
      <c r="K601">
        <f t="shared" si="59"/>
        <v>0.38602573793593115</v>
      </c>
    </row>
    <row r="602" spans="1:11" ht="48" x14ac:dyDescent="0.2">
      <c r="A602" s="4" t="s">
        <v>3672</v>
      </c>
      <c r="B602">
        <v>101818</v>
      </c>
      <c r="C602">
        <v>2.48</v>
      </c>
      <c r="D602">
        <f t="shared" si="54"/>
        <v>64654.494654526978</v>
      </c>
      <c r="E602">
        <f t="shared" si="55"/>
        <v>64.654494654526971</v>
      </c>
      <c r="F602" s="7">
        <v>0.73025516403402191</v>
      </c>
      <c r="G602">
        <f t="shared" si="56"/>
        <v>4</v>
      </c>
      <c r="H602" s="7">
        <f t="shared" si="57"/>
        <v>0.26974483596597809</v>
      </c>
      <c r="I602">
        <f t="shared" si="58"/>
        <v>2</v>
      </c>
      <c r="J602">
        <f>VLOOKUP(A602,'Housing Cost Calc'!$A$2:$C$827,3,FALSE)</f>
        <v>1838</v>
      </c>
      <c r="K602">
        <f t="shared" si="59"/>
        <v>0.34113637602232322</v>
      </c>
    </row>
    <row r="603" spans="1:11" ht="64" x14ac:dyDescent="0.2">
      <c r="A603" s="4" t="s">
        <v>3224</v>
      </c>
      <c r="B603">
        <v>94592</v>
      </c>
      <c r="C603">
        <v>2.14</v>
      </c>
      <c r="D603">
        <f t="shared" si="54"/>
        <v>64661.760009116937</v>
      </c>
      <c r="E603">
        <f t="shared" si="55"/>
        <v>64.661760009116932</v>
      </c>
      <c r="F603" s="7">
        <v>0.73147023086269747</v>
      </c>
      <c r="G603">
        <f t="shared" si="56"/>
        <v>4</v>
      </c>
      <c r="H603" s="7">
        <f t="shared" si="57"/>
        <v>0.26852976913730253</v>
      </c>
      <c r="I603">
        <f t="shared" si="58"/>
        <v>2</v>
      </c>
      <c r="J603">
        <f>VLOOKUP(A603,'Housing Cost Calc'!$A$2:$C$827,3,FALSE)</f>
        <v>1565</v>
      </c>
      <c r="K603">
        <f t="shared" si="59"/>
        <v>0.29043440817806582</v>
      </c>
    </row>
    <row r="604" spans="1:11" ht="48" x14ac:dyDescent="0.2">
      <c r="A604" s="4" t="s">
        <v>3758</v>
      </c>
      <c r="B604">
        <v>104417</v>
      </c>
      <c r="C604">
        <v>2.6</v>
      </c>
      <c r="D604">
        <f t="shared" si="54"/>
        <v>64756.674408006889</v>
      </c>
      <c r="E604">
        <f t="shared" si="55"/>
        <v>64.756674408006887</v>
      </c>
      <c r="F604" s="7">
        <v>0.73268529769137303</v>
      </c>
      <c r="G604">
        <f t="shared" si="56"/>
        <v>4</v>
      </c>
      <c r="H604" s="7">
        <f t="shared" si="57"/>
        <v>0.26731470230862697</v>
      </c>
      <c r="I604">
        <f t="shared" si="58"/>
        <v>2</v>
      </c>
      <c r="J604">
        <f>VLOOKUP(A604,'Housing Cost Calc'!$A$2:$C$827,3,FALSE)</f>
        <v>1919</v>
      </c>
      <c r="K604">
        <f t="shared" si="59"/>
        <v>0.35560813167936067</v>
      </c>
    </row>
    <row r="605" spans="1:11" ht="48" x14ac:dyDescent="0.2">
      <c r="A605" s="4" t="s">
        <v>3034</v>
      </c>
      <c r="B605">
        <v>105708</v>
      </c>
      <c r="C605">
        <v>2.66</v>
      </c>
      <c r="D605">
        <f t="shared" si="54"/>
        <v>64813.733298276762</v>
      </c>
      <c r="E605">
        <f t="shared" si="55"/>
        <v>64.813733298276759</v>
      </c>
      <c r="F605" s="7">
        <v>0.73390036452004859</v>
      </c>
      <c r="G605">
        <f t="shared" si="56"/>
        <v>4</v>
      </c>
      <c r="H605" s="7">
        <f t="shared" si="57"/>
        <v>0.26609963547995141</v>
      </c>
      <c r="I605">
        <f t="shared" si="58"/>
        <v>2</v>
      </c>
      <c r="J605">
        <f>VLOOKUP(A605,'Housing Cost Calc'!$A$2:$C$827,3,FALSE)</f>
        <v>1281</v>
      </c>
      <c r="K605">
        <f t="shared" si="59"/>
        <v>0.23717195751179948</v>
      </c>
    </row>
    <row r="606" spans="1:11" ht="64" x14ac:dyDescent="0.2">
      <c r="A606" s="4" t="s">
        <v>3385</v>
      </c>
      <c r="B606">
        <v>103631</v>
      </c>
      <c r="C606">
        <v>2.5499999999999998</v>
      </c>
      <c r="D606">
        <f t="shared" si="54"/>
        <v>64896.24950944513</v>
      </c>
      <c r="E606">
        <f t="shared" si="55"/>
        <v>64.896249509445127</v>
      </c>
      <c r="F606" s="7">
        <v>0.73511543134872415</v>
      </c>
      <c r="G606">
        <f t="shared" si="56"/>
        <v>4</v>
      </c>
      <c r="H606" s="7">
        <f t="shared" si="57"/>
        <v>0.26488456865127585</v>
      </c>
      <c r="I606">
        <f t="shared" si="58"/>
        <v>2</v>
      </c>
      <c r="J606">
        <f>VLOOKUP(A606,'Housing Cost Calc'!$A$2:$C$827,3,FALSE)</f>
        <v>1669</v>
      </c>
      <c r="K606">
        <f t="shared" si="59"/>
        <v>0.30861567735258855</v>
      </c>
    </row>
    <row r="607" spans="1:11" ht="48" x14ac:dyDescent="0.2">
      <c r="A607" s="4" t="s">
        <v>3146</v>
      </c>
      <c r="B607">
        <v>105328</v>
      </c>
      <c r="C607">
        <v>2.63</v>
      </c>
      <c r="D607">
        <f t="shared" si="54"/>
        <v>64948.027142152627</v>
      </c>
      <c r="E607">
        <f t="shared" si="55"/>
        <v>64.948027142152625</v>
      </c>
      <c r="F607" s="7">
        <v>0.73633049817739971</v>
      </c>
      <c r="G607">
        <f t="shared" si="56"/>
        <v>4</v>
      </c>
      <c r="H607" s="7">
        <f t="shared" si="57"/>
        <v>0.26366950182260029</v>
      </c>
      <c r="I607">
        <f t="shared" si="58"/>
        <v>2</v>
      </c>
      <c r="J607">
        <f>VLOOKUP(A607,'Housing Cost Calc'!$A$2:$C$827,3,FALSE)</f>
        <v>1487</v>
      </c>
      <c r="K607">
        <f t="shared" si="59"/>
        <v>0.2747427564034331</v>
      </c>
    </row>
    <row r="608" spans="1:11" ht="64" x14ac:dyDescent="0.2">
      <c r="A608" s="4" t="s">
        <v>3539</v>
      </c>
      <c r="B608">
        <v>102688</v>
      </c>
      <c r="C608">
        <v>2.4900000000000002</v>
      </c>
      <c r="D608">
        <f t="shared" si="54"/>
        <v>65075.875837857588</v>
      </c>
      <c r="E608">
        <f t="shared" si="55"/>
        <v>65.075875837857581</v>
      </c>
      <c r="F608" s="7">
        <v>0.73754556500607538</v>
      </c>
      <c r="G608">
        <f t="shared" si="56"/>
        <v>4</v>
      </c>
      <c r="H608" s="7">
        <f t="shared" si="57"/>
        <v>0.26245443499392462</v>
      </c>
      <c r="I608">
        <f t="shared" si="58"/>
        <v>2</v>
      </c>
      <c r="J608">
        <f>VLOOKUP(A608,'Housing Cost Calc'!$A$2:$C$827,3,FALSE)</f>
        <v>1746</v>
      </c>
      <c r="K608">
        <f t="shared" si="59"/>
        <v>0.32196262793610025</v>
      </c>
    </row>
    <row r="609" spans="1:11" ht="48" x14ac:dyDescent="0.2">
      <c r="A609" s="4" t="s">
        <v>3152</v>
      </c>
      <c r="B609">
        <v>99554</v>
      </c>
      <c r="C609">
        <v>2.34</v>
      </c>
      <c r="D609">
        <f t="shared" si="54"/>
        <v>65080.485725155908</v>
      </c>
      <c r="E609">
        <f t="shared" si="55"/>
        <v>65.08048572515591</v>
      </c>
      <c r="F609" s="7">
        <v>0.73876063183475094</v>
      </c>
      <c r="G609">
        <f t="shared" si="56"/>
        <v>4</v>
      </c>
      <c r="H609" s="7">
        <f t="shared" si="57"/>
        <v>0.26123936816524906</v>
      </c>
      <c r="I609">
        <f t="shared" si="58"/>
        <v>2</v>
      </c>
      <c r="J609">
        <f>VLOOKUP(A609,'Housing Cost Calc'!$A$2:$C$827,3,FALSE)</f>
        <v>1497</v>
      </c>
      <c r="K609">
        <f t="shared" si="59"/>
        <v>0.27602744201794238</v>
      </c>
    </row>
    <row r="610" spans="1:11" ht="64" x14ac:dyDescent="0.2">
      <c r="A610" s="4" t="s">
        <v>3566</v>
      </c>
      <c r="B610">
        <v>100435</v>
      </c>
      <c r="C610">
        <v>2.36</v>
      </c>
      <c r="D610">
        <f t="shared" si="54"/>
        <v>65377.616371795222</v>
      </c>
      <c r="E610">
        <f t="shared" si="55"/>
        <v>65.377616371795227</v>
      </c>
      <c r="F610" s="7">
        <v>0.7399756986634265</v>
      </c>
      <c r="G610">
        <f t="shared" si="56"/>
        <v>4</v>
      </c>
      <c r="H610" s="7">
        <f t="shared" si="57"/>
        <v>0.2600243013365735</v>
      </c>
      <c r="I610">
        <f t="shared" si="58"/>
        <v>2</v>
      </c>
      <c r="J610">
        <f>VLOOKUP(A610,'Housing Cost Calc'!$A$2:$C$827,3,FALSE)</f>
        <v>1779</v>
      </c>
      <c r="K610">
        <f t="shared" si="59"/>
        <v>0.32653377692139007</v>
      </c>
    </row>
    <row r="611" spans="1:11" ht="48" x14ac:dyDescent="0.2">
      <c r="A611" s="4" t="s">
        <v>3455</v>
      </c>
      <c r="B611">
        <v>106250</v>
      </c>
      <c r="C611">
        <v>2.64</v>
      </c>
      <c r="D611">
        <f t="shared" si="54"/>
        <v>65392.354582770517</v>
      </c>
      <c r="E611">
        <f t="shared" si="55"/>
        <v>65.392354582770523</v>
      </c>
      <c r="F611" s="7">
        <v>0.74119076549210205</v>
      </c>
      <c r="G611">
        <f t="shared" si="56"/>
        <v>4</v>
      </c>
      <c r="H611" s="7">
        <f t="shared" si="57"/>
        <v>0.25880923450789795</v>
      </c>
      <c r="I611">
        <f t="shared" si="58"/>
        <v>2</v>
      </c>
      <c r="J611">
        <f>VLOOKUP(A611,'Housing Cost Calc'!$A$2:$C$827,3,FALSE)</f>
        <v>1724</v>
      </c>
      <c r="K611">
        <f t="shared" si="59"/>
        <v>0.31636725932255766</v>
      </c>
    </row>
    <row r="612" spans="1:11" ht="64" x14ac:dyDescent="0.2">
      <c r="A612" s="4" t="s">
        <v>3786</v>
      </c>
      <c r="B612">
        <v>113500</v>
      </c>
      <c r="C612">
        <v>3.01</v>
      </c>
      <c r="D612">
        <f t="shared" si="54"/>
        <v>65420.31240943067</v>
      </c>
      <c r="E612">
        <f t="shared" si="55"/>
        <v>65.420312409430665</v>
      </c>
      <c r="F612" s="7">
        <v>0.74240583232077761</v>
      </c>
      <c r="G612">
        <f t="shared" si="56"/>
        <v>4</v>
      </c>
      <c r="H612" s="7">
        <f t="shared" si="57"/>
        <v>0.25759416767922239</v>
      </c>
      <c r="I612">
        <f t="shared" si="58"/>
        <v>2</v>
      </c>
      <c r="J612">
        <f>VLOOKUP(A612,'Housing Cost Calc'!$A$2:$C$827,3,FALSE)</f>
        <v>1981</v>
      </c>
      <c r="K612">
        <f t="shared" si="59"/>
        <v>0.36337337937525876</v>
      </c>
    </row>
    <row r="613" spans="1:11" ht="48" x14ac:dyDescent="0.2">
      <c r="A613" s="4" t="s">
        <v>3848</v>
      </c>
      <c r="B613">
        <v>111793</v>
      </c>
      <c r="C613">
        <v>2.92</v>
      </c>
      <c r="D613">
        <f t="shared" si="54"/>
        <v>65421.904842485121</v>
      </c>
      <c r="E613">
        <f t="shared" si="55"/>
        <v>65.42190484248512</v>
      </c>
      <c r="F613" s="7">
        <v>0.74362089914945317</v>
      </c>
      <c r="G613">
        <f t="shared" si="56"/>
        <v>4</v>
      </c>
      <c r="H613" s="7">
        <f t="shared" si="57"/>
        <v>0.25637910085054683</v>
      </c>
      <c r="I613">
        <f t="shared" si="58"/>
        <v>2</v>
      </c>
      <c r="J613">
        <f>VLOOKUP(A613,'Housing Cost Calc'!$A$2:$C$827,3,FALSE)</f>
        <v>2304</v>
      </c>
      <c r="K613">
        <f t="shared" si="59"/>
        <v>0.42261074584372743</v>
      </c>
    </row>
    <row r="614" spans="1:11" ht="48" x14ac:dyDescent="0.2">
      <c r="A614" s="4" t="s">
        <v>3226</v>
      </c>
      <c r="B614">
        <v>102955</v>
      </c>
      <c r="C614">
        <v>2.4700000000000002</v>
      </c>
      <c r="D614">
        <f t="shared" si="54"/>
        <v>65508.697772171196</v>
      </c>
      <c r="E614">
        <f t="shared" si="55"/>
        <v>65.508697772171189</v>
      </c>
      <c r="F614" s="7">
        <v>0.74483596597812884</v>
      </c>
      <c r="G614">
        <f t="shared" si="56"/>
        <v>4</v>
      </c>
      <c r="H614" s="7">
        <f t="shared" si="57"/>
        <v>0.25516403402187116</v>
      </c>
      <c r="I614">
        <f t="shared" si="58"/>
        <v>2</v>
      </c>
      <c r="J614">
        <f>VLOOKUP(A614,'Housing Cost Calc'!$A$2:$C$827,3,FALSE)</f>
        <v>1589</v>
      </c>
      <c r="K614">
        <f t="shared" si="59"/>
        <v>0.29107585173369593</v>
      </c>
    </row>
    <row r="615" spans="1:11" ht="48" x14ac:dyDescent="0.2">
      <c r="A615" s="4" t="s">
        <v>3787</v>
      </c>
      <c r="B615">
        <v>107033</v>
      </c>
      <c r="C615">
        <v>2.66</v>
      </c>
      <c r="D615">
        <f t="shared" si="54"/>
        <v>65626.142923094347</v>
      </c>
      <c r="E615">
        <f t="shared" si="55"/>
        <v>65.626142923094349</v>
      </c>
      <c r="F615" s="7">
        <v>0.7460510328068044</v>
      </c>
      <c r="G615">
        <f t="shared" si="56"/>
        <v>4</v>
      </c>
      <c r="H615" s="7">
        <f t="shared" si="57"/>
        <v>0.2539489671931956</v>
      </c>
      <c r="I615">
        <f t="shared" si="58"/>
        <v>2</v>
      </c>
      <c r="J615">
        <f>VLOOKUP(A615,'Housing Cost Calc'!$A$2:$C$827,3,FALSE)</f>
        <v>1991</v>
      </c>
      <c r="K615">
        <f t="shared" si="59"/>
        <v>0.36406223093132933</v>
      </c>
    </row>
    <row r="616" spans="1:11" ht="48" x14ac:dyDescent="0.2">
      <c r="A616" s="4" t="s">
        <v>3086</v>
      </c>
      <c r="B616">
        <v>95795</v>
      </c>
      <c r="C616">
        <v>2.13</v>
      </c>
      <c r="D616">
        <f t="shared" si="54"/>
        <v>65637.652457928401</v>
      </c>
      <c r="E616">
        <f t="shared" si="55"/>
        <v>65.637652457928397</v>
      </c>
      <c r="F616" s="7">
        <v>0.74726609963547996</v>
      </c>
      <c r="G616">
        <f t="shared" si="56"/>
        <v>4</v>
      </c>
      <c r="H616" s="7">
        <f t="shared" si="57"/>
        <v>0.25273390036452004</v>
      </c>
      <c r="I616">
        <f t="shared" si="58"/>
        <v>2</v>
      </c>
      <c r="J616">
        <f>VLOOKUP(A616,'Housing Cost Calc'!$A$2:$C$827,3,FALSE)</f>
        <v>1421</v>
      </c>
      <c r="K616">
        <f t="shared" si="59"/>
        <v>0.25978991267138596</v>
      </c>
    </row>
    <row r="617" spans="1:11" ht="64" x14ac:dyDescent="0.2">
      <c r="A617" s="4" t="s">
        <v>3170</v>
      </c>
      <c r="B617">
        <v>106782</v>
      </c>
      <c r="C617">
        <v>2.64</v>
      </c>
      <c r="D617">
        <f t="shared" si="54"/>
        <v>65719.777948775532</v>
      </c>
      <c r="E617">
        <f t="shared" si="55"/>
        <v>65.71977794877553</v>
      </c>
      <c r="F617" s="7">
        <v>0.74848116646415552</v>
      </c>
      <c r="G617">
        <f t="shared" si="56"/>
        <v>4</v>
      </c>
      <c r="H617" s="7">
        <f t="shared" si="57"/>
        <v>0.25151883353584448</v>
      </c>
      <c r="I617">
        <f t="shared" si="58"/>
        <v>2</v>
      </c>
      <c r="J617">
        <f>VLOOKUP(A617,'Housing Cost Calc'!$A$2:$C$827,3,FALSE)</f>
        <v>1549</v>
      </c>
      <c r="K617">
        <f t="shared" si="59"/>
        <v>0.28283723074183525</v>
      </c>
    </row>
    <row r="618" spans="1:11" ht="48" x14ac:dyDescent="0.2">
      <c r="A618" s="4" t="s">
        <v>3670</v>
      </c>
      <c r="B618">
        <v>108636</v>
      </c>
      <c r="C618">
        <v>2.73</v>
      </c>
      <c r="D618">
        <f t="shared" si="54"/>
        <v>65749.498239008026</v>
      </c>
      <c r="E618">
        <f t="shared" si="55"/>
        <v>65.74949823900802</v>
      </c>
      <c r="F618" s="7">
        <v>0.74969623329283108</v>
      </c>
      <c r="G618">
        <f t="shared" si="56"/>
        <v>4</v>
      </c>
      <c r="H618" s="7">
        <f t="shared" si="57"/>
        <v>0.25030376670716892</v>
      </c>
      <c r="I618">
        <f t="shared" si="58"/>
        <v>2</v>
      </c>
      <c r="J618">
        <f>VLOOKUP(A618,'Housing Cost Calc'!$A$2:$C$827,3,FALSE)</f>
        <v>1867</v>
      </c>
      <c r="K618">
        <f t="shared" si="59"/>
        <v>0.3407478475129731</v>
      </c>
    </row>
    <row r="619" spans="1:11" ht="64" x14ac:dyDescent="0.2">
      <c r="A619" s="4" t="s">
        <v>3702</v>
      </c>
      <c r="B619">
        <v>104432</v>
      </c>
      <c r="C619">
        <v>2.5099999999999998</v>
      </c>
      <c r="D619">
        <f t="shared" si="54"/>
        <v>65916.893904309793</v>
      </c>
      <c r="E619">
        <f t="shared" si="55"/>
        <v>65.916893904309788</v>
      </c>
      <c r="F619" s="7">
        <v>0.75091130012150664</v>
      </c>
      <c r="G619">
        <f t="shared" si="56"/>
        <v>4</v>
      </c>
      <c r="H619" s="7">
        <f t="shared" si="57"/>
        <v>0.24908869987849336</v>
      </c>
      <c r="I619">
        <f t="shared" si="58"/>
        <v>2</v>
      </c>
      <c r="J619">
        <f>VLOOKUP(A619,'Housing Cost Calc'!$A$2:$C$827,3,FALSE)</f>
        <v>1895</v>
      </c>
      <c r="K619">
        <f t="shared" si="59"/>
        <v>0.34497984739710569</v>
      </c>
    </row>
    <row r="620" spans="1:11" ht="48" x14ac:dyDescent="0.2">
      <c r="A620" s="4" t="s">
        <v>3766</v>
      </c>
      <c r="B620">
        <v>106296</v>
      </c>
      <c r="C620">
        <v>2.6</v>
      </c>
      <c r="D620">
        <f t="shared" si="54"/>
        <v>65921.980739472507</v>
      </c>
      <c r="E620">
        <f t="shared" si="55"/>
        <v>65.921980739472502</v>
      </c>
      <c r="F620" s="7">
        <v>0.75212636695018231</v>
      </c>
      <c r="G620">
        <f t="shared" si="56"/>
        <v>4</v>
      </c>
      <c r="H620" s="7">
        <f t="shared" si="57"/>
        <v>0.24787363304981769</v>
      </c>
      <c r="I620">
        <f t="shared" si="58"/>
        <v>2</v>
      </c>
      <c r="J620">
        <f>VLOOKUP(A620,'Housing Cost Calc'!$A$2:$C$827,3,FALSE)</f>
        <v>1962</v>
      </c>
      <c r="K620">
        <f t="shared" si="59"/>
        <v>0.35714946268145759</v>
      </c>
    </row>
    <row r="621" spans="1:11" ht="48" x14ac:dyDescent="0.2">
      <c r="A621" s="4" t="s">
        <v>3770</v>
      </c>
      <c r="B621">
        <v>106915</v>
      </c>
      <c r="C621">
        <v>2.62</v>
      </c>
      <c r="D621">
        <f t="shared" si="54"/>
        <v>66052.307588654759</v>
      </c>
      <c r="E621">
        <f t="shared" si="55"/>
        <v>66.052307588654756</v>
      </c>
      <c r="F621" s="7">
        <v>0.75334143377885787</v>
      </c>
      <c r="G621">
        <f t="shared" si="56"/>
        <v>4</v>
      </c>
      <c r="H621" s="7">
        <f t="shared" si="57"/>
        <v>0.24665856622114213</v>
      </c>
      <c r="I621">
        <f t="shared" si="58"/>
        <v>2</v>
      </c>
      <c r="J621">
        <f>VLOOKUP(A621,'Housing Cost Calc'!$A$2:$C$827,3,FALSE)</f>
        <v>1972</v>
      </c>
      <c r="K621">
        <f t="shared" si="59"/>
        <v>0.35826151824050068</v>
      </c>
    </row>
    <row r="622" spans="1:11" ht="48" x14ac:dyDescent="0.2">
      <c r="A622" s="4" t="s">
        <v>3102</v>
      </c>
      <c r="B622">
        <v>96472</v>
      </c>
      <c r="C622">
        <v>2.13</v>
      </c>
      <c r="D622">
        <f t="shared" si="54"/>
        <v>66101.525214481633</v>
      </c>
      <c r="E622">
        <f t="shared" si="55"/>
        <v>66.10152521448164</v>
      </c>
      <c r="F622" s="7">
        <v>0.75455650060753343</v>
      </c>
      <c r="G622">
        <f t="shared" si="56"/>
        <v>4</v>
      </c>
      <c r="H622" s="7">
        <f t="shared" si="57"/>
        <v>0.24544349939246657</v>
      </c>
      <c r="I622">
        <f t="shared" si="58"/>
        <v>2</v>
      </c>
      <c r="J622">
        <f>VLOOKUP(A622,'Housing Cost Calc'!$A$2:$C$827,3,FALSE)</f>
        <v>1454</v>
      </c>
      <c r="K622">
        <f t="shared" si="59"/>
        <v>0.26395760072685076</v>
      </c>
    </row>
    <row r="623" spans="1:11" ht="48" x14ac:dyDescent="0.2">
      <c r="A623" s="4" t="s">
        <v>3777</v>
      </c>
      <c r="B623">
        <v>107109</v>
      </c>
      <c r="C623">
        <v>2.62</v>
      </c>
      <c r="D623">
        <f t="shared" si="54"/>
        <v>66172.161188918515</v>
      </c>
      <c r="E623">
        <f t="shared" si="55"/>
        <v>66.172161188918508</v>
      </c>
      <c r="F623" s="7">
        <v>0.75577156743620899</v>
      </c>
      <c r="G623">
        <f t="shared" si="56"/>
        <v>4</v>
      </c>
      <c r="H623" s="7">
        <f t="shared" si="57"/>
        <v>0.24422843256379101</v>
      </c>
      <c r="I623">
        <f t="shared" si="58"/>
        <v>2</v>
      </c>
      <c r="J623">
        <f>VLOOKUP(A623,'Housing Cost Calc'!$A$2:$C$827,3,FALSE)</f>
        <v>1988</v>
      </c>
      <c r="K623">
        <f t="shared" si="59"/>
        <v>0.36051414327986364</v>
      </c>
    </row>
    <row r="624" spans="1:11" ht="48" x14ac:dyDescent="0.2">
      <c r="A624" s="4" t="s">
        <v>3288</v>
      </c>
      <c r="B624">
        <v>106765</v>
      </c>
      <c r="C624">
        <v>2.59</v>
      </c>
      <c r="D624">
        <f t="shared" si="54"/>
        <v>66340.543067118124</v>
      </c>
      <c r="E624">
        <f t="shared" si="55"/>
        <v>66.340543067118119</v>
      </c>
      <c r="F624" s="7">
        <v>0.75698663426488455</v>
      </c>
      <c r="G624">
        <f t="shared" si="56"/>
        <v>4</v>
      </c>
      <c r="H624" s="7">
        <f t="shared" si="57"/>
        <v>0.24301336573511545</v>
      </c>
      <c r="I624">
        <f t="shared" si="58"/>
        <v>2</v>
      </c>
      <c r="J624">
        <f>VLOOKUP(A624,'Housing Cost Calc'!$A$2:$C$827,3,FALSE)</f>
        <v>1649</v>
      </c>
      <c r="K624">
        <f t="shared" si="59"/>
        <v>0.29827913799228423</v>
      </c>
    </row>
    <row r="625" spans="1:11" ht="48" x14ac:dyDescent="0.2">
      <c r="A625" s="4" t="s">
        <v>3738</v>
      </c>
      <c r="B625">
        <v>110543</v>
      </c>
      <c r="C625">
        <v>2.77</v>
      </c>
      <c r="D625">
        <f t="shared" si="54"/>
        <v>66418.851573964537</v>
      </c>
      <c r="E625">
        <f t="shared" si="55"/>
        <v>66.418851573964531</v>
      </c>
      <c r="F625" s="7">
        <v>0.75820170109356011</v>
      </c>
      <c r="G625">
        <f t="shared" si="56"/>
        <v>4</v>
      </c>
      <c r="H625" s="7">
        <f t="shared" si="57"/>
        <v>0.24179829890643989</v>
      </c>
      <c r="I625">
        <f t="shared" si="58"/>
        <v>2</v>
      </c>
      <c r="J625">
        <f>VLOOKUP(A625,'Housing Cost Calc'!$A$2:$C$827,3,FALSE)</f>
        <v>1948</v>
      </c>
      <c r="K625">
        <f t="shared" si="59"/>
        <v>0.35194827140255969</v>
      </c>
    </row>
    <row r="626" spans="1:11" ht="64" x14ac:dyDescent="0.2">
      <c r="A626" s="4" t="s">
        <v>3588</v>
      </c>
      <c r="B626">
        <v>105769</v>
      </c>
      <c r="C626">
        <v>2.5299999999999998</v>
      </c>
      <c r="D626">
        <f t="shared" si="54"/>
        <v>66496.400571255028</v>
      </c>
      <c r="E626">
        <f t="shared" si="55"/>
        <v>66.496400571255023</v>
      </c>
      <c r="F626" s="7">
        <v>0.75941676792223567</v>
      </c>
      <c r="G626">
        <f t="shared" si="56"/>
        <v>4</v>
      </c>
      <c r="H626" s="7">
        <f t="shared" si="57"/>
        <v>0.24058323207776433</v>
      </c>
      <c r="I626">
        <f t="shared" si="58"/>
        <v>2</v>
      </c>
      <c r="J626">
        <f>VLOOKUP(A626,'Housing Cost Calc'!$A$2:$C$827,3,FALSE)</f>
        <v>1827</v>
      </c>
      <c r="K626">
        <f t="shared" si="59"/>
        <v>0.329702056226443</v>
      </c>
    </row>
    <row r="627" spans="1:11" ht="48" x14ac:dyDescent="0.2">
      <c r="A627" s="4" t="s">
        <v>3435</v>
      </c>
      <c r="B627">
        <v>109688</v>
      </c>
      <c r="C627">
        <v>2.72</v>
      </c>
      <c r="D627">
        <f t="shared" si="54"/>
        <v>66508.119097463219</v>
      </c>
      <c r="E627">
        <f t="shared" si="55"/>
        <v>66.508119097463222</v>
      </c>
      <c r="F627" s="7">
        <v>0.76063183475091134</v>
      </c>
      <c r="G627">
        <f t="shared" si="56"/>
        <v>4</v>
      </c>
      <c r="H627" s="7">
        <f t="shared" si="57"/>
        <v>0.23936816524908866</v>
      </c>
      <c r="I627">
        <f t="shared" si="58"/>
        <v>2</v>
      </c>
      <c r="J627">
        <f>VLOOKUP(A627,'Housing Cost Calc'!$A$2:$C$827,3,FALSE)</f>
        <v>1739</v>
      </c>
      <c r="K627">
        <f t="shared" si="59"/>
        <v>0.31376620303183339</v>
      </c>
    </row>
    <row r="628" spans="1:11" ht="64" x14ac:dyDescent="0.2">
      <c r="A628" s="4" t="s">
        <v>3506</v>
      </c>
      <c r="B628">
        <v>107500</v>
      </c>
      <c r="C628">
        <v>2.61</v>
      </c>
      <c r="D628">
        <f t="shared" si="54"/>
        <v>66540.82951344359</v>
      </c>
      <c r="E628">
        <f t="shared" si="55"/>
        <v>66.540829513443583</v>
      </c>
      <c r="F628" s="7">
        <v>0.7618469015795869</v>
      </c>
      <c r="G628">
        <f t="shared" si="56"/>
        <v>4</v>
      </c>
      <c r="H628" s="7">
        <f t="shared" si="57"/>
        <v>0.2381530984204131</v>
      </c>
      <c r="I628">
        <f t="shared" si="58"/>
        <v>2</v>
      </c>
      <c r="J628">
        <f>VLOOKUP(A628,'Housing Cost Calc'!$A$2:$C$827,3,FALSE)</f>
        <v>1778</v>
      </c>
      <c r="K628">
        <f t="shared" si="59"/>
        <v>0.32064523625587471</v>
      </c>
    </row>
    <row r="629" spans="1:11" ht="64" x14ac:dyDescent="0.2">
      <c r="A629" s="4" t="s">
        <v>3172</v>
      </c>
      <c r="B629">
        <v>107670</v>
      </c>
      <c r="C629">
        <v>2.61</v>
      </c>
      <c r="D629">
        <f t="shared" si="54"/>
        <v>66646.056871743916</v>
      </c>
      <c r="E629">
        <f t="shared" si="55"/>
        <v>66.646056871743923</v>
      </c>
      <c r="F629" s="7">
        <v>0.76306196840826246</v>
      </c>
      <c r="G629">
        <f t="shared" si="56"/>
        <v>4</v>
      </c>
      <c r="H629" s="7">
        <f t="shared" si="57"/>
        <v>0.23693803159173754</v>
      </c>
      <c r="I629">
        <f t="shared" si="58"/>
        <v>2</v>
      </c>
      <c r="J629">
        <f>VLOOKUP(A629,'Housing Cost Calc'!$A$2:$C$827,3,FALSE)</f>
        <v>1572</v>
      </c>
      <c r="K629">
        <f t="shared" si="59"/>
        <v>0.28304750326493533</v>
      </c>
    </row>
    <row r="630" spans="1:11" ht="48" x14ac:dyDescent="0.2">
      <c r="A630" s="4" t="s">
        <v>3730</v>
      </c>
      <c r="B630">
        <v>104375</v>
      </c>
      <c r="C630">
        <v>2.4500000000000002</v>
      </c>
      <c r="D630">
        <f t="shared" si="54"/>
        <v>66682.741471868736</v>
      </c>
      <c r="E630">
        <f t="shared" si="55"/>
        <v>66.682741471868738</v>
      </c>
      <c r="F630" s="7">
        <v>0.76427703523693802</v>
      </c>
      <c r="G630">
        <f t="shared" si="56"/>
        <v>4</v>
      </c>
      <c r="H630" s="7">
        <f t="shared" si="57"/>
        <v>0.23572296476306198</v>
      </c>
      <c r="I630">
        <f t="shared" si="58"/>
        <v>2</v>
      </c>
      <c r="J630">
        <f>VLOOKUP(A630,'Housing Cost Calc'!$A$2:$C$827,3,FALSE)</f>
        <v>1948</v>
      </c>
      <c r="K630">
        <f t="shared" si="59"/>
        <v>0.35055547333580411</v>
      </c>
    </row>
    <row r="631" spans="1:11" ht="48" x14ac:dyDescent="0.2">
      <c r="A631" s="4" t="s">
        <v>3230</v>
      </c>
      <c r="B631">
        <v>110365</v>
      </c>
      <c r="C631">
        <v>2.73</v>
      </c>
      <c r="D631">
        <f t="shared" si="54"/>
        <v>66795.936642992383</v>
      </c>
      <c r="E631">
        <f t="shared" si="55"/>
        <v>66.795936642992388</v>
      </c>
      <c r="F631" s="7">
        <v>0.76549210206561358</v>
      </c>
      <c r="G631">
        <f t="shared" si="56"/>
        <v>4</v>
      </c>
      <c r="H631" s="7">
        <f t="shared" si="57"/>
        <v>0.23450789793438642</v>
      </c>
      <c r="I631">
        <f t="shared" si="58"/>
        <v>2</v>
      </c>
      <c r="J631">
        <f>VLOOKUP(A631,'Housing Cost Calc'!$A$2:$C$827,3,FALSE)</f>
        <v>1621</v>
      </c>
      <c r="K631">
        <f t="shared" si="59"/>
        <v>0.29121531903903208</v>
      </c>
    </row>
    <row r="632" spans="1:11" ht="48" x14ac:dyDescent="0.2">
      <c r="A632" s="4" t="s">
        <v>3036</v>
      </c>
      <c r="B632">
        <v>101964</v>
      </c>
      <c r="C632">
        <v>2.3199999999999998</v>
      </c>
      <c r="D632">
        <f t="shared" si="54"/>
        <v>66942.645600543765</v>
      </c>
      <c r="E632">
        <f t="shared" si="55"/>
        <v>66.94264560054377</v>
      </c>
      <c r="F632" s="7">
        <v>0.76670716889428914</v>
      </c>
      <c r="G632">
        <f t="shared" si="56"/>
        <v>4</v>
      </c>
      <c r="H632" s="7">
        <f t="shared" si="57"/>
        <v>0.23329283110571086</v>
      </c>
      <c r="I632">
        <f t="shared" si="58"/>
        <v>2</v>
      </c>
      <c r="J632">
        <f>VLOOKUP(A632,'Housing Cost Calc'!$A$2:$C$827,3,FALSE)</f>
        <v>1333</v>
      </c>
      <c r="K632">
        <f t="shared" si="59"/>
        <v>0.23895081911537219</v>
      </c>
    </row>
    <row r="633" spans="1:11" ht="64" x14ac:dyDescent="0.2">
      <c r="A633" s="4" t="s">
        <v>3723</v>
      </c>
      <c r="B633">
        <v>113466</v>
      </c>
      <c r="C633">
        <v>2.86</v>
      </c>
      <c r="D633">
        <f t="shared" si="54"/>
        <v>67093.852323297251</v>
      </c>
      <c r="E633">
        <f t="shared" si="55"/>
        <v>67.093852323297256</v>
      </c>
      <c r="F633" s="7">
        <v>0.76792223572296481</v>
      </c>
      <c r="G633">
        <f t="shared" si="56"/>
        <v>4</v>
      </c>
      <c r="H633" s="7">
        <f t="shared" si="57"/>
        <v>0.23207776427703519</v>
      </c>
      <c r="I633">
        <f t="shared" si="58"/>
        <v>2</v>
      </c>
      <c r="J633">
        <f>VLOOKUP(A633,'Housing Cost Calc'!$A$2:$C$827,3,FALSE)</f>
        <v>1955</v>
      </c>
      <c r="K633">
        <f t="shared" si="59"/>
        <v>0.34965945742623422</v>
      </c>
    </row>
    <row r="634" spans="1:11" ht="48" x14ac:dyDescent="0.2">
      <c r="A634" s="4" t="s">
        <v>3850</v>
      </c>
      <c r="B634">
        <v>113636</v>
      </c>
      <c r="C634">
        <v>2.85</v>
      </c>
      <c r="D634">
        <f t="shared" si="54"/>
        <v>67312.157073032213</v>
      </c>
      <c r="E634">
        <f t="shared" si="55"/>
        <v>67.312157073032211</v>
      </c>
      <c r="F634" s="7">
        <v>0.76913730255164037</v>
      </c>
      <c r="G634">
        <f t="shared" si="56"/>
        <v>4</v>
      </c>
      <c r="H634" s="7">
        <f t="shared" si="57"/>
        <v>0.23086269744835963</v>
      </c>
      <c r="I634">
        <f t="shared" si="58"/>
        <v>2</v>
      </c>
      <c r="J634">
        <f>VLOOKUP(A634,'Housing Cost Calc'!$A$2:$C$827,3,FALSE)</f>
        <v>2439</v>
      </c>
      <c r="K634">
        <f t="shared" si="59"/>
        <v>0.43481001460471491</v>
      </c>
    </row>
    <row r="635" spans="1:11" ht="64" x14ac:dyDescent="0.2">
      <c r="A635" s="4" t="s">
        <v>3108</v>
      </c>
      <c r="B635">
        <v>102227</v>
      </c>
      <c r="C635">
        <v>2.29</v>
      </c>
      <c r="D635">
        <f t="shared" si="54"/>
        <v>67553.503068722464</v>
      </c>
      <c r="E635">
        <f t="shared" si="55"/>
        <v>67.553503068722463</v>
      </c>
      <c r="F635" s="7">
        <v>0.77035236938031593</v>
      </c>
      <c r="G635">
        <f t="shared" si="56"/>
        <v>4</v>
      </c>
      <c r="H635" s="7">
        <f t="shared" si="57"/>
        <v>0.22964763061968407</v>
      </c>
      <c r="I635">
        <f t="shared" si="58"/>
        <v>2</v>
      </c>
      <c r="J635">
        <f>VLOOKUP(A635,'Housing Cost Calc'!$A$2:$C$827,3,FALSE)</f>
        <v>1493</v>
      </c>
      <c r="K635">
        <f t="shared" si="59"/>
        <v>0.26521200509430248</v>
      </c>
    </row>
    <row r="636" spans="1:11" ht="48" x14ac:dyDescent="0.2">
      <c r="A636" s="4" t="s">
        <v>3549</v>
      </c>
      <c r="B636">
        <v>107619</v>
      </c>
      <c r="C636">
        <v>2.5299999999999998</v>
      </c>
      <c r="D636">
        <f t="shared" si="54"/>
        <v>67659.485606159607</v>
      </c>
      <c r="E636">
        <f t="shared" si="55"/>
        <v>67.659485606159606</v>
      </c>
      <c r="F636" s="7">
        <v>0.77156743620899149</v>
      </c>
      <c r="G636">
        <f t="shared" si="56"/>
        <v>4</v>
      </c>
      <c r="H636" s="7">
        <f t="shared" si="57"/>
        <v>0.22843256379100851</v>
      </c>
      <c r="I636">
        <f t="shared" si="58"/>
        <v>2</v>
      </c>
      <c r="J636">
        <f>VLOOKUP(A636,'Housing Cost Calc'!$A$2:$C$827,3,FALSE)</f>
        <v>1824</v>
      </c>
      <c r="K636">
        <f t="shared" si="59"/>
        <v>0.32350231167006321</v>
      </c>
    </row>
    <row r="637" spans="1:11" ht="64" x14ac:dyDescent="0.2">
      <c r="A637" s="4" t="s">
        <v>3824</v>
      </c>
      <c r="B637">
        <v>116500</v>
      </c>
      <c r="C637">
        <v>2.96</v>
      </c>
      <c r="D637">
        <f t="shared" si="54"/>
        <v>67714.249568274739</v>
      </c>
      <c r="E637">
        <f t="shared" si="55"/>
        <v>67.714249568274738</v>
      </c>
      <c r="F637" s="7">
        <v>0.77278250303766705</v>
      </c>
      <c r="G637">
        <f t="shared" si="56"/>
        <v>4</v>
      </c>
      <c r="H637" s="7">
        <f t="shared" si="57"/>
        <v>0.22721749696233295</v>
      </c>
      <c r="I637">
        <f t="shared" si="58"/>
        <v>2</v>
      </c>
      <c r="J637">
        <f>VLOOKUP(A637,'Housing Cost Calc'!$A$2:$C$827,3,FALSE)</f>
        <v>2158</v>
      </c>
      <c r="K637">
        <f t="shared" si="59"/>
        <v>0.38243058388898854</v>
      </c>
    </row>
    <row r="638" spans="1:11" ht="64" x14ac:dyDescent="0.2">
      <c r="A638" s="4" t="s">
        <v>3409</v>
      </c>
      <c r="B638">
        <v>105000</v>
      </c>
      <c r="C638">
        <v>2.4</v>
      </c>
      <c r="D638">
        <f t="shared" si="54"/>
        <v>67777.208558629791</v>
      </c>
      <c r="E638">
        <f t="shared" si="55"/>
        <v>67.777208558629795</v>
      </c>
      <c r="F638" s="7">
        <v>0.77399756986634261</v>
      </c>
      <c r="G638">
        <f t="shared" si="56"/>
        <v>4</v>
      </c>
      <c r="H638" s="7">
        <f t="shared" si="57"/>
        <v>0.22600243013365739</v>
      </c>
      <c r="I638">
        <f t="shared" si="58"/>
        <v>2</v>
      </c>
      <c r="J638">
        <f>VLOOKUP(A638,'Housing Cost Calc'!$A$2:$C$827,3,FALSE)</f>
        <v>1759</v>
      </c>
      <c r="K638">
        <f t="shared" si="59"/>
        <v>0.31143212370189016</v>
      </c>
    </row>
    <row r="639" spans="1:11" ht="48" x14ac:dyDescent="0.2">
      <c r="A639" s="4" t="s">
        <v>3617</v>
      </c>
      <c r="B639">
        <v>109167</v>
      </c>
      <c r="C639">
        <v>2.59</v>
      </c>
      <c r="D639">
        <f t="shared" si="54"/>
        <v>67833.073245053005</v>
      </c>
      <c r="E639">
        <f t="shared" si="55"/>
        <v>67.833073245053001</v>
      </c>
      <c r="F639" s="7">
        <v>0.77521263669501828</v>
      </c>
      <c r="G639">
        <f t="shared" si="56"/>
        <v>4</v>
      </c>
      <c r="H639" s="7">
        <f t="shared" si="57"/>
        <v>0.22478736330498172</v>
      </c>
      <c r="I639">
        <f t="shared" si="58"/>
        <v>2</v>
      </c>
      <c r="J639">
        <f>VLOOKUP(A639,'Housing Cost Calc'!$A$2:$C$827,3,FALSE)</f>
        <v>1878</v>
      </c>
      <c r="K639">
        <f t="shared" si="59"/>
        <v>0.33222731806042011</v>
      </c>
    </row>
    <row r="640" spans="1:11" ht="48" x14ac:dyDescent="0.2">
      <c r="A640" s="4" t="s">
        <v>3072</v>
      </c>
      <c r="B640">
        <v>109886</v>
      </c>
      <c r="C640">
        <v>2.62</v>
      </c>
      <c r="D640">
        <f t="shared" si="54"/>
        <v>67887.797518467167</v>
      </c>
      <c r="E640">
        <f t="shared" si="55"/>
        <v>67.887797518467167</v>
      </c>
      <c r="F640" s="7">
        <v>0.77642770352369384</v>
      </c>
      <c r="G640">
        <f t="shared" si="56"/>
        <v>4</v>
      </c>
      <c r="H640" s="7">
        <f t="shared" si="57"/>
        <v>0.22357229647630616</v>
      </c>
      <c r="I640">
        <f t="shared" si="58"/>
        <v>2</v>
      </c>
      <c r="J640">
        <f>VLOOKUP(A640,'Housing Cost Calc'!$A$2:$C$827,3,FALSE)</f>
        <v>1464</v>
      </c>
      <c r="K640">
        <f t="shared" si="59"/>
        <v>0.25877993751706363</v>
      </c>
    </row>
    <row r="641" spans="1:11" ht="48" x14ac:dyDescent="0.2">
      <c r="A641" s="4" t="s">
        <v>3252</v>
      </c>
      <c r="B641">
        <v>109605</v>
      </c>
      <c r="C641">
        <v>2.6</v>
      </c>
      <c r="D641">
        <f t="shared" si="54"/>
        <v>67974.135423250962</v>
      </c>
      <c r="E641">
        <f t="shared" si="55"/>
        <v>67.974135423250956</v>
      </c>
      <c r="F641" s="7">
        <v>0.77764277035236939</v>
      </c>
      <c r="G641">
        <f t="shared" si="56"/>
        <v>4</v>
      </c>
      <c r="H641" s="7">
        <f t="shared" si="57"/>
        <v>0.22235722964763061</v>
      </c>
      <c r="I641">
        <f t="shared" si="58"/>
        <v>2</v>
      </c>
      <c r="J641">
        <f>VLOOKUP(A641,'Housing Cost Calc'!$A$2:$C$827,3,FALSE)</f>
        <v>1660</v>
      </c>
      <c r="K641">
        <f t="shared" si="59"/>
        <v>0.29305264239059736</v>
      </c>
    </row>
    <row r="642" spans="1:11" ht="48" x14ac:dyDescent="0.2">
      <c r="A642" s="4" t="s">
        <v>3844</v>
      </c>
      <c r="B642">
        <v>112188</v>
      </c>
      <c r="C642">
        <v>2.7</v>
      </c>
      <c r="D642">
        <f t="shared" ref="D642:D705" si="60">(B642/(C642)^0.5)</f>
        <v>68275.442534877307</v>
      </c>
      <c r="E642">
        <f t="shared" ref="E642:E705" si="61">D642/1000</f>
        <v>68.275442534877314</v>
      </c>
      <c r="F642" s="7">
        <v>0.77885783718104495</v>
      </c>
      <c r="G642">
        <f t="shared" si="56"/>
        <v>4</v>
      </c>
      <c r="H642" s="7">
        <f t="shared" si="57"/>
        <v>0.22114216281895505</v>
      </c>
      <c r="I642">
        <f t="shared" si="58"/>
        <v>2</v>
      </c>
      <c r="J642">
        <f>VLOOKUP(A642,'Housing Cost Calc'!$A$2:$C$827,3,FALSE)</f>
        <v>2357</v>
      </c>
      <c r="K642">
        <f t="shared" si="59"/>
        <v>0.4142631515797443</v>
      </c>
    </row>
    <row r="643" spans="1:11" ht="48" x14ac:dyDescent="0.2">
      <c r="A643" s="4" t="s">
        <v>3557</v>
      </c>
      <c r="B643">
        <v>112500</v>
      </c>
      <c r="C643">
        <v>2.71</v>
      </c>
      <c r="D643">
        <f t="shared" si="60"/>
        <v>68338.883163463543</v>
      </c>
      <c r="E643">
        <f t="shared" si="61"/>
        <v>68.338883163463549</v>
      </c>
      <c r="F643" s="7">
        <v>0.78007290400972051</v>
      </c>
      <c r="G643">
        <f t="shared" ref="G643:G706" si="62">IF(F643&lt;0.2,1,IF(F643&lt;0.4,2,IF(F643&lt;0.6,3,IF(F643&lt;0.8,4,5))))</f>
        <v>4</v>
      </c>
      <c r="H643" s="7">
        <f t="shared" ref="H643:H706" si="63">1-F643</f>
        <v>0.21992709599027949</v>
      </c>
      <c r="I643">
        <f t="shared" ref="I643:I706" si="64">6-G643</f>
        <v>2</v>
      </c>
      <c r="J643">
        <f>VLOOKUP(A643,'Housing Cost Calc'!$A$2:$C$827,3,FALSE)</f>
        <v>1850</v>
      </c>
      <c r="K643">
        <f t="shared" ref="K643:K706" si="65">(J643*12)/D643</f>
        <v>0.32485166529424536</v>
      </c>
    </row>
    <row r="644" spans="1:11" ht="48" x14ac:dyDescent="0.2">
      <c r="A644" s="4" t="s">
        <v>3501</v>
      </c>
      <c r="B644">
        <v>109429</v>
      </c>
      <c r="C644">
        <v>2.56</v>
      </c>
      <c r="D644">
        <f t="shared" si="60"/>
        <v>68393.125</v>
      </c>
      <c r="E644">
        <f t="shared" si="61"/>
        <v>68.393124999999998</v>
      </c>
      <c r="F644" s="7">
        <v>0.78128797083839607</v>
      </c>
      <c r="G644">
        <f t="shared" si="62"/>
        <v>4</v>
      </c>
      <c r="H644" s="7">
        <f t="shared" si="63"/>
        <v>0.21871202916160393</v>
      </c>
      <c r="I644">
        <f t="shared" si="64"/>
        <v>2</v>
      </c>
      <c r="J644">
        <f>VLOOKUP(A644,'Housing Cost Calc'!$A$2:$C$827,3,FALSE)</f>
        <v>1826</v>
      </c>
      <c r="K644">
        <f t="shared" si="65"/>
        <v>0.32038307943963668</v>
      </c>
    </row>
    <row r="645" spans="1:11" ht="48" x14ac:dyDescent="0.2">
      <c r="A645" s="4" t="s">
        <v>3573</v>
      </c>
      <c r="B645">
        <v>110497</v>
      </c>
      <c r="C645">
        <v>2.61</v>
      </c>
      <c r="D645">
        <f t="shared" si="60"/>
        <v>68395.925941832335</v>
      </c>
      <c r="E645">
        <f t="shared" si="61"/>
        <v>68.395925941832331</v>
      </c>
      <c r="F645" s="7">
        <v>0.78250303766707174</v>
      </c>
      <c r="G645">
        <f t="shared" si="62"/>
        <v>4</v>
      </c>
      <c r="H645" s="7">
        <f t="shared" si="63"/>
        <v>0.21749696233292826</v>
      </c>
      <c r="I645">
        <f t="shared" si="64"/>
        <v>2</v>
      </c>
      <c r="J645">
        <f>VLOOKUP(A645,'Housing Cost Calc'!$A$2:$C$827,3,FALSE)</f>
        <v>1867</v>
      </c>
      <c r="K645">
        <f t="shared" si="65"/>
        <v>0.32756337006174308</v>
      </c>
    </row>
    <row r="646" spans="1:11" ht="48" x14ac:dyDescent="0.2">
      <c r="A646" s="4" t="s">
        <v>3544</v>
      </c>
      <c r="B646">
        <v>112557</v>
      </c>
      <c r="C646">
        <v>2.68</v>
      </c>
      <c r="D646">
        <f t="shared" si="60"/>
        <v>68755.130742063237</v>
      </c>
      <c r="E646">
        <f t="shared" si="61"/>
        <v>68.75513074206323</v>
      </c>
      <c r="F646" s="7">
        <v>0.7837181044957473</v>
      </c>
      <c r="G646">
        <f t="shared" si="62"/>
        <v>4</v>
      </c>
      <c r="H646" s="7">
        <f t="shared" si="63"/>
        <v>0.2162818955042527</v>
      </c>
      <c r="I646">
        <f t="shared" si="64"/>
        <v>2</v>
      </c>
      <c r="J646">
        <f>VLOOKUP(A646,'Housing Cost Calc'!$A$2:$C$827,3,FALSE)</f>
        <v>1849</v>
      </c>
      <c r="K646">
        <f t="shared" si="65"/>
        <v>0.32271046190340169</v>
      </c>
    </row>
    <row r="647" spans="1:11" ht="64" x14ac:dyDescent="0.2">
      <c r="A647" s="4" t="s">
        <v>3162</v>
      </c>
      <c r="B647">
        <v>109671</v>
      </c>
      <c r="C647">
        <v>2.54</v>
      </c>
      <c r="D647">
        <f t="shared" si="60"/>
        <v>68813.705605306983</v>
      </c>
      <c r="E647">
        <f t="shared" si="61"/>
        <v>68.813705605306978</v>
      </c>
      <c r="F647" s="7">
        <v>0.78493317132442286</v>
      </c>
      <c r="G647">
        <f t="shared" si="62"/>
        <v>4</v>
      </c>
      <c r="H647" s="7">
        <f t="shared" si="63"/>
        <v>0.21506682867557714</v>
      </c>
      <c r="I647">
        <f t="shared" si="64"/>
        <v>2</v>
      </c>
      <c r="J647">
        <f>VLOOKUP(A647,'Housing Cost Calc'!$A$2:$C$827,3,FALSE)</f>
        <v>1615</v>
      </c>
      <c r="K647">
        <f t="shared" si="65"/>
        <v>0.28162994318540802</v>
      </c>
    </row>
    <row r="648" spans="1:11" ht="64" x14ac:dyDescent="0.2">
      <c r="A648" s="4" t="s">
        <v>3054</v>
      </c>
      <c r="B648">
        <v>111849</v>
      </c>
      <c r="C648">
        <v>2.64</v>
      </c>
      <c r="D648">
        <f t="shared" si="60"/>
        <v>68838.300872736931</v>
      </c>
      <c r="E648">
        <f t="shared" si="61"/>
        <v>68.838300872736937</v>
      </c>
      <c r="F648" s="7">
        <v>0.78614823815309842</v>
      </c>
      <c r="G648">
        <f t="shared" si="62"/>
        <v>4</v>
      </c>
      <c r="H648" s="7">
        <f t="shared" si="63"/>
        <v>0.21385176184690158</v>
      </c>
      <c r="I648">
        <f t="shared" si="64"/>
        <v>2</v>
      </c>
      <c r="J648">
        <f>VLOOKUP(A648,'Housing Cost Calc'!$A$2:$C$827,3,FALSE)</f>
        <v>1443</v>
      </c>
      <c r="K648">
        <f t="shared" si="65"/>
        <v>0.25154601116626218</v>
      </c>
    </row>
    <row r="649" spans="1:11" ht="48" x14ac:dyDescent="0.2">
      <c r="A649" s="4" t="s">
        <v>3202</v>
      </c>
      <c r="B649">
        <v>105759</v>
      </c>
      <c r="C649">
        <v>2.36</v>
      </c>
      <c r="D649">
        <f t="shared" si="60"/>
        <v>68843.245182104758</v>
      </c>
      <c r="E649">
        <f t="shared" si="61"/>
        <v>68.843245182104752</v>
      </c>
      <c r="F649" s="7">
        <v>0.78736330498177398</v>
      </c>
      <c r="G649">
        <f t="shared" si="62"/>
        <v>4</v>
      </c>
      <c r="H649" s="7">
        <f t="shared" si="63"/>
        <v>0.21263669501822602</v>
      </c>
      <c r="I649">
        <f t="shared" si="64"/>
        <v>2</v>
      </c>
      <c r="J649">
        <f>VLOOKUP(A649,'Housing Cost Calc'!$A$2:$C$827,3,FALSE)</f>
        <v>1649</v>
      </c>
      <c r="K649">
        <f t="shared" si="65"/>
        <v>0.28743560748271829</v>
      </c>
    </row>
    <row r="650" spans="1:11" ht="48" x14ac:dyDescent="0.2">
      <c r="A650" s="4" t="s">
        <v>3078</v>
      </c>
      <c r="B650">
        <v>82355</v>
      </c>
      <c r="C650">
        <v>1.43</v>
      </c>
      <c r="D650">
        <f t="shared" si="60"/>
        <v>68868.710734133958</v>
      </c>
      <c r="E650">
        <f t="shared" si="61"/>
        <v>68.868710734133955</v>
      </c>
      <c r="F650" s="7">
        <v>0.78857837181044954</v>
      </c>
      <c r="G650">
        <f t="shared" si="62"/>
        <v>4</v>
      </c>
      <c r="H650" s="7">
        <f t="shared" si="63"/>
        <v>0.21142162818955046</v>
      </c>
      <c r="I650">
        <f t="shared" si="64"/>
        <v>2</v>
      </c>
      <c r="J650">
        <f>VLOOKUP(A650,'Housing Cost Calc'!$A$2:$C$827,3,FALSE)</f>
        <v>1487</v>
      </c>
      <c r="K650">
        <f t="shared" si="65"/>
        <v>0.2591016995931047</v>
      </c>
    </row>
    <row r="651" spans="1:11" ht="48" x14ac:dyDescent="0.2">
      <c r="A651" s="4" t="s">
        <v>3318</v>
      </c>
      <c r="B651">
        <v>105833</v>
      </c>
      <c r="C651">
        <v>2.36</v>
      </c>
      <c r="D651">
        <f t="shared" si="60"/>
        <v>68891.415079167666</v>
      </c>
      <c r="E651">
        <f t="shared" si="61"/>
        <v>68.891415079167672</v>
      </c>
      <c r="F651" s="7">
        <v>0.7897934386391251</v>
      </c>
      <c r="G651">
        <f t="shared" si="62"/>
        <v>4</v>
      </c>
      <c r="H651" s="7">
        <f t="shared" si="63"/>
        <v>0.2102065613608749</v>
      </c>
      <c r="I651">
        <f t="shared" si="64"/>
        <v>2</v>
      </c>
      <c r="J651">
        <f>VLOOKUP(A651,'Housing Cost Calc'!$A$2:$C$827,3,FALSE)</f>
        <v>1727</v>
      </c>
      <c r="K651">
        <f t="shared" si="65"/>
        <v>0.30082122679850148</v>
      </c>
    </row>
    <row r="652" spans="1:11" ht="64" x14ac:dyDescent="0.2">
      <c r="A652" s="4" t="s">
        <v>3144</v>
      </c>
      <c r="B652">
        <v>108750</v>
      </c>
      <c r="C652">
        <v>2.4900000000000002</v>
      </c>
      <c r="D652">
        <f t="shared" si="60"/>
        <v>68917.512244536978</v>
      </c>
      <c r="E652">
        <f t="shared" si="61"/>
        <v>68.917512244536979</v>
      </c>
      <c r="F652" s="7">
        <v>0.79100850546780077</v>
      </c>
      <c r="G652">
        <f t="shared" si="62"/>
        <v>4</v>
      </c>
      <c r="H652" s="7">
        <f t="shared" si="63"/>
        <v>0.20899149453219923</v>
      </c>
      <c r="I652">
        <f t="shared" si="64"/>
        <v>2</v>
      </c>
      <c r="J652">
        <f>VLOOKUP(A652,'Housing Cost Calc'!$A$2:$C$827,3,FALSE)</f>
        <v>1577</v>
      </c>
      <c r="K652">
        <f t="shared" si="65"/>
        <v>0.27458913393235673</v>
      </c>
    </row>
    <row r="653" spans="1:11" ht="48" x14ac:dyDescent="0.2">
      <c r="A653" s="4" t="s">
        <v>3820</v>
      </c>
      <c r="B653">
        <v>118819</v>
      </c>
      <c r="C653">
        <v>2.97</v>
      </c>
      <c r="D653">
        <f t="shared" si="60"/>
        <v>68945.776676666865</v>
      </c>
      <c r="E653">
        <f t="shared" si="61"/>
        <v>68.945776676666867</v>
      </c>
      <c r="F653" s="7">
        <v>0.79222357229647633</v>
      </c>
      <c r="G653">
        <f t="shared" si="62"/>
        <v>4</v>
      </c>
      <c r="H653" s="7">
        <f t="shared" si="63"/>
        <v>0.20777642770352367</v>
      </c>
      <c r="I653">
        <f t="shared" si="64"/>
        <v>2</v>
      </c>
      <c r="J653">
        <f>VLOOKUP(A653,'Housing Cost Calc'!$A$2:$C$827,3,FALSE)</f>
        <v>2194</v>
      </c>
      <c r="K653">
        <f t="shared" si="65"/>
        <v>0.38186530443292716</v>
      </c>
    </row>
    <row r="654" spans="1:11" ht="48" x14ac:dyDescent="0.2">
      <c r="A654" s="4" t="s">
        <v>3764</v>
      </c>
      <c r="B654">
        <v>113814</v>
      </c>
      <c r="C654">
        <v>2.69</v>
      </c>
      <c r="D654">
        <f t="shared" si="60"/>
        <v>69393.620535346898</v>
      </c>
      <c r="E654">
        <f t="shared" si="61"/>
        <v>69.393620535346898</v>
      </c>
      <c r="F654" s="7">
        <v>0.79343863912515189</v>
      </c>
      <c r="G654">
        <f t="shared" si="62"/>
        <v>4</v>
      </c>
      <c r="H654" s="7">
        <f t="shared" si="63"/>
        <v>0.20656136087484811</v>
      </c>
      <c r="I654">
        <f t="shared" si="64"/>
        <v>2</v>
      </c>
      <c r="J654">
        <f>VLOOKUP(A654,'Housing Cost Calc'!$A$2:$C$827,3,FALSE)</f>
        <v>2062</v>
      </c>
      <c r="K654">
        <f t="shared" si="65"/>
        <v>0.35657456419061168</v>
      </c>
    </row>
    <row r="655" spans="1:11" ht="48" x14ac:dyDescent="0.2">
      <c r="A655" s="4" t="s">
        <v>3842</v>
      </c>
      <c r="B655">
        <v>113765</v>
      </c>
      <c r="C655">
        <v>2.68</v>
      </c>
      <c r="D655">
        <f t="shared" si="60"/>
        <v>69493.03418597531</v>
      </c>
      <c r="E655">
        <f t="shared" si="61"/>
        <v>69.493034185975304</v>
      </c>
      <c r="F655" s="7">
        <v>0.79465370595382745</v>
      </c>
      <c r="G655">
        <f t="shared" si="62"/>
        <v>4</v>
      </c>
      <c r="H655" s="7">
        <f t="shared" si="63"/>
        <v>0.20534629404617255</v>
      </c>
      <c r="I655">
        <f t="shared" si="64"/>
        <v>2</v>
      </c>
      <c r="J655">
        <f>VLOOKUP(A655,'Housing Cost Calc'!$A$2:$C$827,3,FALSE)</f>
        <v>2369</v>
      </c>
      <c r="K655">
        <f t="shared" si="65"/>
        <v>0.40907697200156468</v>
      </c>
    </row>
    <row r="656" spans="1:11" ht="48" x14ac:dyDescent="0.2">
      <c r="A656" s="4" t="s">
        <v>3200</v>
      </c>
      <c r="B656">
        <v>115625</v>
      </c>
      <c r="C656">
        <v>2.76</v>
      </c>
      <c r="D656">
        <f t="shared" si="60"/>
        <v>69598.071315210327</v>
      </c>
      <c r="E656">
        <f t="shared" si="61"/>
        <v>69.598071315210333</v>
      </c>
      <c r="F656" s="7">
        <v>0.79586877278250301</v>
      </c>
      <c r="G656">
        <f t="shared" si="62"/>
        <v>4</v>
      </c>
      <c r="H656" s="7">
        <f t="shared" si="63"/>
        <v>0.20413122721749699</v>
      </c>
      <c r="I656">
        <f t="shared" si="64"/>
        <v>2</v>
      </c>
      <c r="J656">
        <f>VLOOKUP(A656,'Housing Cost Calc'!$A$2:$C$827,3,FALSE)</f>
        <v>1667</v>
      </c>
      <c r="K656">
        <f t="shared" si="65"/>
        <v>0.28742175784443358</v>
      </c>
    </row>
    <row r="657" spans="1:11" ht="48" x14ac:dyDescent="0.2">
      <c r="A657" s="4" t="s">
        <v>3092</v>
      </c>
      <c r="B657">
        <v>109962</v>
      </c>
      <c r="C657">
        <v>2.4900000000000002</v>
      </c>
      <c r="D657">
        <f t="shared" si="60"/>
        <v>69685.586036172637</v>
      </c>
      <c r="E657">
        <f t="shared" si="61"/>
        <v>69.685586036172637</v>
      </c>
      <c r="F657" s="7">
        <v>0.79708383961117857</v>
      </c>
      <c r="G657">
        <f t="shared" si="62"/>
        <v>4</v>
      </c>
      <c r="H657" s="7">
        <f t="shared" si="63"/>
        <v>0.20291616038882143</v>
      </c>
      <c r="I657">
        <f t="shared" si="64"/>
        <v>2</v>
      </c>
      <c r="J657">
        <f>VLOOKUP(A657,'Housing Cost Calc'!$A$2:$C$827,3,FALSE)</f>
        <v>1517</v>
      </c>
      <c r="K657">
        <f t="shared" si="65"/>
        <v>0.26123049306854657</v>
      </c>
    </row>
    <row r="658" spans="1:11" ht="48" x14ac:dyDescent="0.2">
      <c r="A658" s="4" t="s">
        <v>3395</v>
      </c>
      <c r="B658">
        <v>100309</v>
      </c>
      <c r="C658">
        <v>2.0699999999999998</v>
      </c>
      <c r="D658">
        <f t="shared" si="60"/>
        <v>69719.574532170387</v>
      </c>
      <c r="E658">
        <f t="shared" si="61"/>
        <v>69.719574532170384</v>
      </c>
      <c r="F658" s="7">
        <v>0.79829890643985424</v>
      </c>
      <c r="G658">
        <f t="shared" si="62"/>
        <v>4</v>
      </c>
      <c r="H658" s="7">
        <f t="shared" si="63"/>
        <v>0.20170109356014576</v>
      </c>
      <c r="I658">
        <f t="shared" si="64"/>
        <v>2</v>
      </c>
      <c r="J658">
        <f>VLOOKUP(A658,'Housing Cost Calc'!$A$2:$C$827,3,FALSE)</f>
        <v>1797</v>
      </c>
      <c r="K658">
        <f t="shared" si="65"/>
        <v>0.30929620762458643</v>
      </c>
    </row>
    <row r="659" spans="1:11" ht="64" x14ac:dyDescent="0.2">
      <c r="A659" s="4" t="s">
        <v>3204</v>
      </c>
      <c r="B659">
        <v>109460</v>
      </c>
      <c r="C659">
        <v>2.46</v>
      </c>
      <c r="D659">
        <f t="shared" si="60"/>
        <v>69789.14701191301</v>
      </c>
      <c r="E659">
        <f t="shared" si="61"/>
        <v>69.789147011913016</v>
      </c>
      <c r="F659" s="7">
        <v>0.7995139732685298</v>
      </c>
      <c r="G659">
        <f t="shared" si="62"/>
        <v>4</v>
      </c>
      <c r="H659" s="7">
        <f t="shared" si="63"/>
        <v>0.2004860267314702</v>
      </c>
      <c r="I659">
        <f t="shared" si="64"/>
        <v>2</v>
      </c>
      <c r="J659">
        <f>VLOOKUP(A659,'Housing Cost Calc'!$A$2:$C$827,3,FALSE)</f>
        <v>1674</v>
      </c>
      <c r="K659">
        <f t="shared" si="65"/>
        <v>0.28783845139375291</v>
      </c>
    </row>
    <row r="660" spans="1:11" ht="64" x14ac:dyDescent="0.2">
      <c r="A660" s="4" t="s">
        <v>3142</v>
      </c>
      <c r="B660">
        <v>106111</v>
      </c>
      <c r="C660">
        <v>2.31</v>
      </c>
      <c r="D660">
        <f t="shared" si="60"/>
        <v>69815.912303876044</v>
      </c>
      <c r="E660">
        <f t="shared" si="61"/>
        <v>69.815912303876047</v>
      </c>
      <c r="F660" s="7">
        <v>0.80072904009720536</v>
      </c>
      <c r="G660">
        <f t="shared" si="62"/>
        <v>5</v>
      </c>
      <c r="H660" s="7">
        <f t="shared" si="63"/>
        <v>0.19927095990279464</v>
      </c>
      <c r="I660">
        <f t="shared" si="64"/>
        <v>1</v>
      </c>
      <c r="J660">
        <f>VLOOKUP(A660,'Housing Cost Calc'!$A$2:$C$827,3,FALSE)</f>
        <v>1589</v>
      </c>
      <c r="K660">
        <f t="shared" si="65"/>
        <v>0.27311825299948678</v>
      </c>
    </row>
    <row r="661" spans="1:11" ht="48" x14ac:dyDescent="0.2">
      <c r="A661" s="4" t="s">
        <v>3603</v>
      </c>
      <c r="B661">
        <v>116222</v>
      </c>
      <c r="C661">
        <v>2.77</v>
      </c>
      <c r="D661">
        <f t="shared" si="60"/>
        <v>69831.031975152713</v>
      </c>
      <c r="E661">
        <f t="shared" si="61"/>
        <v>69.831031975152712</v>
      </c>
      <c r="F661" s="7">
        <v>0.80194410692588092</v>
      </c>
      <c r="G661">
        <f t="shared" si="62"/>
        <v>5</v>
      </c>
      <c r="H661" s="7">
        <f t="shared" si="63"/>
        <v>0.19805589307411908</v>
      </c>
      <c r="I661">
        <f t="shared" si="64"/>
        <v>1</v>
      </c>
      <c r="J661">
        <f>VLOOKUP(A661,'Housing Cost Calc'!$A$2:$C$827,3,FALSE)</f>
        <v>1923</v>
      </c>
      <c r="K661">
        <f t="shared" si="65"/>
        <v>0.33045480422243945</v>
      </c>
    </row>
    <row r="662" spans="1:11" ht="48" x14ac:dyDescent="0.2">
      <c r="A662" s="4" t="s">
        <v>3182</v>
      </c>
      <c r="B662">
        <v>116250</v>
      </c>
      <c r="C662">
        <v>2.76</v>
      </c>
      <c r="D662">
        <f t="shared" si="60"/>
        <v>69974.277106103356</v>
      </c>
      <c r="E662">
        <f t="shared" si="61"/>
        <v>69.974277106103358</v>
      </c>
      <c r="F662" s="7">
        <v>0.80315917375455648</v>
      </c>
      <c r="G662">
        <f t="shared" si="62"/>
        <v>5</v>
      </c>
      <c r="H662" s="7">
        <f t="shared" si="63"/>
        <v>0.19684082624544352</v>
      </c>
      <c r="I662">
        <f t="shared" si="64"/>
        <v>1</v>
      </c>
      <c r="J662">
        <f>VLOOKUP(A662,'Housing Cost Calc'!$A$2:$C$827,3,FALSE)</f>
        <v>1652</v>
      </c>
      <c r="K662">
        <f t="shared" si="65"/>
        <v>0.28330410573503295</v>
      </c>
    </row>
    <row r="663" spans="1:11" ht="64" x14ac:dyDescent="0.2">
      <c r="A663" s="4" t="s">
        <v>3732</v>
      </c>
      <c r="B663">
        <v>122431</v>
      </c>
      <c r="C663">
        <v>3.06</v>
      </c>
      <c r="D663">
        <f t="shared" si="60"/>
        <v>69989.144258608329</v>
      </c>
      <c r="E663">
        <f t="shared" si="61"/>
        <v>69.989144258608334</v>
      </c>
      <c r="F663" s="7">
        <v>0.80437424058323204</v>
      </c>
      <c r="G663">
        <f t="shared" si="62"/>
        <v>5</v>
      </c>
      <c r="H663" s="7">
        <f t="shared" si="63"/>
        <v>0.19562575941676796</v>
      </c>
      <c r="I663">
        <f t="shared" si="64"/>
        <v>1</v>
      </c>
      <c r="J663">
        <f>VLOOKUP(A663,'Housing Cost Calc'!$A$2:$C$827,3,FALSE)</f>
        <v>2046</v>
      </c>
      <c r="K663">
        <f t="shared" si="65"/>
        <v>0.35079725949042767</v>
      </c>
    </row>
    <row r="664" spans="1:11" ht="64" x14ac:dyDescent="0.2">
      <c r="A664" s="4" t="s">
        <v>3212</v>
      </c>
      <c r="B664">
        <v>117635</v>
      </c>
      <c r="C664">
        <v>2.82</v>
      </c>
      <c r="D664">
        <f t="shared" si="60"/>
        <v>70050.62309572479</v>
      </c>
      <c r="E664">
        <f t="shared" si="61"/>
        <v>70.050623095724788</v>
      </c>
      <c r="F664" s="7">
        <v>0.80558930741190771</v>
      </c>
      <c r="G664">
        <f t="shared" si="62"/>
        <v>5</v>
      </c>
      <c r="H664" s="7">
        <f t="shared" si="63"/>
        <v>0.19441069258809229</v>
      </c>
      <c r="I664">
        <f t="shared" si="64"/>
        <v>1</v>
      </c>
      <c r="J664">
        <f>VLOOKUP(A664,'Housing Cost Calc'!$A$2:$C$827,3,FALSE)</f>
        <v>1688</v>
      </c>
      <c r="K664">
        <f t="shared" si="65"/>
        <v>0.28916231012420829</v>
      </c>
    </row>
    <row r="665" spans="1:11" ht="48" x14ac:dyDescent="0.2">
      <c r="A665" s="4" t="s">
        <v>3831</v>
      </c>
      <c r="B665">
        <v>120476</v>
      </c>
      <c r="C665">
        <v>2.93</v>
      </c>
      <c r="D665">
        <f t="shared" si="60"/>
        <v>70382.830709648726</v>
      </c>
      <c r="E665">
        <f t="shared" si="61"/>
        <v>70.382830709648729</v>
      </c>
      <c r="F665" s="7">
        <v>0.80680437424058327</v>
      </c>
      <c r="G665">
        <f t="shared" si="62"/>
        <v>5</v>
      </c>
      <c r="H665" s="7">
        <f t="shared" si="63"/>
        <v>0.19319562575941673</v>
      </c>
      <c r="I665">
        <f t="shared" si="64"/>
        <v>1</v>
      </c>
      <c r="J665">
        <f>VLOOKUP(A665,'Housing Cost Calc'!$A$2:$C$827,3,FALSE)</f>
        <v>2277</v>
      </c>
      <c r="K665">
        <f t="shared" si="65"/>
        <v>0.38821967977844024</v>
      </c>
    </row>
    <row r="666" spans="1:11" ht="64" x14ac:dyDescent="0.2">
      <c r="A666" s="4" t="s">
        <v>3234</v>
      </c>
      <c r="B666">
        <v>110625</v>
      </c>
      <c r="C666">
        <v>2.4700000000000002</v>
      </c>
      <c r="D666">
        <f t="shared" si="60"/>
        <v>70389.001904195407</v>
      </c>
      <c r="E666">
        <f t="shared" si="61"/>
        <v>70.38900190419541</v>
      </c>
      <c r="F666" s="7">
        <v>0.80801944106925883</v>
      </c>
      <c r="G666">
        <f t="shared" si="62"/>
        <v>5</v>
      </c>
      <c r="H666" s="7">
        <f t="shared" si="63"/>
        <v>0.19198055893074117</v>
      </c>
      <c r="I666">
        <f t="shared" si="64"/>
        <v>1</v>
      </c>
      <c r="J666">
        <f>VLOOKUP(A666,'Housing Cost Calc'!$A$2:$C$827,3,FALSE)</f>
        <v>1712</v>
      </c>
      <c r="K666">
        <f t="shared" si="65"/>
        <v>0.29186377763903926</v>
      </c>
    </row>
    <row r="667" spans="1:11" ht="64" x14ac:dyDescent="0.2">
      <c r="A667" s="4" t="s">
        <v>3413</v>
      </c>
      <c r="B667">
        <v>117401</v>
      </c>
      <c r="C667">
        <v>2.77</v>
      </c>
      <c r="D667">
        <f t="shared" si="60"/>
        <v>70539.424419773393</v>
      </c>
      <c r="E667">
        <f t="shared" si="61"/>
        <v>70.539424419773397</v>
      </c>
      <c r="F667" s="7">
        <v>0.80923450789793439</v>
      </c>
      <c r="G667">
        <f t="shared" si="62"/>
        <v>5</v>
      </c>
      <c r="H667" s="7">
        <f t="shared" si="63"/>
        <v>0.19076549210206561</v>
      </c>
      <c r="I667">
        <f t="shared" si="64"/>
        <v>1</v>
      </c>
      <c r="J667">
        <f>VLOOKUP(A667,'Housing Cost Calc'!$A$2:$C$827,3,FALSE)</f>
        <v>1833</v>
      </c>
      <c r="K667">
        <f t="shared" si="65"/>
        <v>0.31182562348544129</v>
      </c>
    </row>
    <row r="668" spans="1:11" ht="48" x14ac:dyDescent="0.2">
      <c r="A668" s="4" t="s">
        <v>3790</v>
      </c>
      <c r="B668">
        <v>121802</v>
      </c>
      <c r="C668">
        <v>2.97</v>
      </c>
      <c r="D668">
        <f t="shared" si="60"/>
        <v>70676.688835719688</v>
      </c>
      <c r="E668">
        <f t="shared" si="61"/>
        <v>70.676688835719688</v>
      </c>
      <c r="F668" s="7">
        <v>0.81044957472660994</v>
      </c>
      <c r="G668">
        <f t="shared" si="62"/>
        <v>5</v>
      </c>
      <c r="H668" s="7">
        <f t="shared" si="63"/>
        <v>0.18955042527339006</v>
      </c>
      <c r="I668">
        <f t="shared" si="64"/>
        <v>1</v>
      </c>
      <c r="J668">
        <f>VLOOKUP(A668,'Housing Cost Calc'!$A$2:$C$827,3,FALSE)</f>
        <v>2161</v>
      </c>
      <c r="K668">
        <f t="shared" si="65"/>
        <v>0.3669102277877806</v>
      </c>
    </row>
    <row r="669" spans="1:11" ht="64" x14ac:dyDescent="0.2">
      <c r="A669" s="4" t="s">
        <v>3698</v>
      </c>
      <c r="B669">
        <v>119042</v>
      </c>
      <c r="C669">
        <v>2.83</v>
      </c>
      <c r="D669">
        <f t="shared" si="60"/>
        <v>70763.123903581582</v>
      </c>
      <c r="E669">
        <f t="shared" si="61"/>
        <v>70.763123903581587</v>
      </c>
      <c r="F669" s="7">
        <v>0.8116646415552855</v>
      </c>
      <c r="G669">
        <f t="shared" si="62"/>
        <v>5</v>
      </c>
      <c r="H669" s="7">
        <f t="shared" si="63"/>
        <v>0.1883353584447145</v>
      </c>
      <c r="I669">
        <f t="shared" si="64"/>
        <v>1</v>
      </c>
      <c r="J669">
        <f>VLOOKUP(A669,'Housing Cost Calc'!$A$2:$C$827,3,FALSE)</f>
        <v>2032</v>
      </c>
      <c r="K669">
        <f t="shared" si="65"/>
        <v>0.34458625700618395</v>
      </c>
    </row>
    <row r="670" spans="1:11" ht="64" x14ac:dyDescent="0.2">
      <c r="A670" s="4" t="s">
        <v>3206</v>
      </c>
      <c r="B670">
        <v>114792</v>
      </c>
      <c r="C670">
        <v>2.63</v>
      </c>
      <c r="D670">
        <f t="shared" si="60"/>
        <v>70783.779542970384</v>
      </c>
      <c r="E670">
        <f t="shared" si="61"/>
        <v>70.783779542970379</v>
      </c>
      <c r="F670" s="7">
        <v>0.81287970838396106</v>
      </c>
      <c r="G670">
        <f t="shared" si="62"/>
        <v>5</v>
      </c>
      <c r="H670" s="7">
        <f t="shared" si="63"/>
        <v>0.18712029161603894</v>
      </c>
      <c r="I670">
        <f t="shared" si="64"/>
        <v>1</v>
      </c>
      <c r="J670">
        <f>VLOOKUP(A670,'Housing Cost Calc'!$A$2:$C$827,3,FALSE)</f>
        <v>1698</v>
      </c>
      <c r="K670">
        <f t="shared" si="65"/>
        <v>0.28786256020181056</v>
      </c>
    </row>
    <row r="671" spans="1:11" ht="48" x14ac:dyDescent="0.2">
      <c r="A671" s="4" t="s">
        <v>3371</v>
      </c>
      <c r="B671">
        <v>121296</v>
      </c>
      <c r="C671">
        <v>2.93</v>
      </c>
      <c r="D671">
        <f t="shared" si="60"/>
        <v>70861.879824675052</v>
      </c>
      <c r="E671">
        <f t="shared" si="61"/>
        <v>70.861879824675057</v>
      </c>
      <c r="F671" s="7">
        <v>0.81409477521263673</v>
      </c>
      <c r="G671">
        <f t="shared" si="62"/>
        <v>5</v>
      </c>
      <c r="H671" s="7">
        <f t="shared" si="63"/>
        <v>0.18590522478736327</v>
      </c>
      <c r="I671">
        <f t="shared" si="64"/>
        <v>1</v>
      </c>
      <c r="J671">
        <f>VLOOKUP(A671,'Housing Cost Calc'!$A$2:$C$827,3,FALSE)</f>
        <v>1813</v>
      </c>
      <c r="K671">
        <f t="shared" si="65"/>
        <v>0.30701979758126979</v>
      </c>
    </row>
    <row r="672" spans="1:11" ht="64" x14ac:dyDescent="0.2">
      <c r="A672" s="4" t="s">
        <v>3638</v>
      </c>
      <c r="B672">
        <v>114773</v>
      </c>
      <c r="C672">
        <v>2.62</v>
      </c>
      <c r="D672">
        <f t="shared" si="60"/>
        <v>70906.996201399932</v>
      </c>
      <c r="E672">
        <f t="shared" si="61"/>
        <v>70.906996201399934</v>
      </c>
      <c r="F672" s="7">
        <v>0.81530984204131229</v>
      </c>
      <c r="G672">
        <f t="shared" si="62"/>
        <v>5</v>
      </c>
      <c r="H672" s="7">
        <f t="shared" si="63"/>
        <v>0.18469015795868771</v>
      </c>
      <c r="I672">
        <f t="shared" si="64"/>
        <v>1</v>
      </c>
      <c r="J672">
        <f>VLOOKUP(A672,'Housing Cost Calc'!$A$2:$C$827,3,FALSE)</f>
        <v>1980</v>
      </c>
      <c r="K672">
        <f t="shared" si="65"/>
        <v>0.33508682179278243</v>
      </c>
    </row>
    <row r="673" spans="1:11" ht="48" x14ac:dyDescent="0.2">
      <c r="A673" s="4" t="s">
        <v>3837</v>
      </c>
      <c r="B673">
        <v>122097</v>
      </c>
      <c r="C673">
        <v>2.96</v>
      </c>
      <c r="D673">
        <f t="shared" si="60"/>
        <v>70967.439738520523</v>
      </c>
      <c r="E673">
        <f t="shared" si="61"/>
        <v>70.967439738520525</v>
      </c>
      <c r="F673" s="7">
        <v>0.81652490886998785</v>
      </c>
      <c r="G673">
        <f t="shared" si="62"/>
        <v>5</v>
      </c>
      <c r="H673" s="7">
        <f t="shared" si="63"/>
        <v>0.18347509113001215</v>
      </c>
      <c r="I673">
        <f t="shared" si="64"/>
        <v>1</v>
      </c>
      <c r="J673">
        <f>VLOOKUP(A673,'Housing Cost Calc'!$A$2:$C$827,3,FALSE)</f>
        <v>2348</v>
      </c>
      <c r="K673">
        <f t="shared" si="65"/>
        <v>0.39702714517833038</v>
      </c>
    </row>
    <row r="674" spans="1:11" ht="48" x14ac:dyDescent="0.2">
      <c r="A674" s="4" t="s">
        <v>3294</v>
      </c>
      <c r="B674">
        <v>122222</v>
      </c>
      <c r="C674">
        <v>2.96</v>
      </c>
      <c r="D674">
        <f t="shared" si="60"/>
        <v>71040.094512735406</v>
      </c>
      <c r="E674">
        <f t="shared" si="61"/>
        <v>71.040094512735408</v>
      </c>
      <c r="F674" s="7">
        <v>0.81773997569866341</v>
      </c>
      <c r="G674">
        <f t="shared" si="62"/>
        <v>5</v>
      </c>
      <c r="H674" s="7">
        <f t="shared" si="63"/>
        <v>0.18226002430133659</v>
      </c>
      <c r="I674">
        <f t="shared" si="64"/>
        <v>1</v>
      </c>
      <c r="J674">
        <f>VLOOKUP(A674,'Housing Cost Calc'!$A$2:$C$827,3,FALSE)</f>
        <v>1767</v>
      </c>
      <c r="K674">
        <f t="shared" si="65"/>
        <v>0.29847933262812232</v>
      </c>
    </row>
    <row r="675" spans="1:11" ht="64" x14ac:dyDescent="0.2">
      <c r="A675" s="4" t="s">
        <v>3216</v>
      </c>
      <c r="B675">
        <v>117895</v>
      </c>
      <c r="C675">
        <v>2.73</v>
      </c>
      <c r="D675">
        <f t="shared" si="60"/>
        <v>71353.299963988466</v>
      </c>
      <c r="E675">
        <f t="shared" si="61"/>
        <v>71.353299963988462</v>
      </c>
      <c r="F675" s="7">
        <v>0.81895504252733897</v>
      </c>
      <c r="G675">
        <f t="shared" si="62"/>
        <v>5</v>
      </c>
      <c r="H675" s="7">
        <f t="shared" si="63"/>
        <v>0.18104495747266103</v>
      </c>
      <c r="I675">
        <f t="shared" si="64"/>
        <v>1</v>
      </c>
      <c r="J675">
        <f>VLOOKUP(A675,'Housing Cost Calc'!$A$2:$C$827,3,FALSE)</f>
        <v>1722</v>
      </c>
      <c r="K675">
        <f t="shared" si="65"/>
        <v>0.28960118187146189</v>
      </c>
    </row>
    <row r="676" spans="1:11" ht="48" x14ac:dyDescent="0.2">
      <c r="A676" s="4" t="s">
        <v>3474</v>
      </c>
      <c r="B676">
        <v>111250</v>
      </c>
      <c r="C676">
        <v>2.4300000000000002</v>
      </c>
      <c r="D676">
        <f t="shared" si="60"/>
        <v>71366.908274828747</v>
      </c>
      <c r="E676">
        <f t="shared" si="61"/>
        <v>71.366908274828745</v>
      </c>
      <c r="F676" s="7">
        <v>0.82017010935601453</v>
      </c>
      <c r="G676">
        <f t="shared" si="62"/>
        <v>5</v>
      </c>
      <c r="H676" s="7">
        <f t="shared" si="63"/>
        <v>0.17982989064398547</v>
      </c>
      <c r="I676">
        <f t="shared" si="64"/>
        <v>1</v>
      </c>
      <c r="J676">
        <f>VLOOKUP(A676,'Housing Cost Calc'!$A$2:$C$827,3,FALSE)</f>
        <v>1890</v>
      </c>
      <c r="K676">
        <f t="shared" si="65"/>
        <v>0.31779434682333413</v>
      </c>
    </row>
    <row r="677" spans="1:11" ht="64" x14ac:dyDescent="0.2">
      <c r="A677" s="4" t="s">
        <v>3158</v>
      </c>
      <c r="B677">
        <v>118388</v>
      </c>
      <c r="C677">
        <v>2.75</v>
      </c>
      <c r="D677">
        <f t="shared" si="60"/>
        <v>71390.650123744563</v>
      </c>
      <c r="E677">
        <f t="shared" si="61"/>
        <v>71.390650123744564</v>
      </c>
      <c r="F677" s="7">
        <v>0.8213851761846902</v>
      </c>
      <c r="G677">
        <f t="shared" si="62"/>
        <v>5</v>
      </c>
      <c r="H677" s="7">
        <f t="shared" si="63"/>
        <v>0.1786148238153098</v>
      </c>
      <c r="I677">
        <f t="shared" si="64"/>
        <v>1</v>
      </c>
      <c r="J677">
        <f>VLOOKUP(A677,'Housing Cost Calc'!$A$2:$C$827,3,FALSE)</f>
        <v>1660</v>
      </c>
      <c r="K677">
        <f t="shared" si="65"/>
        <v>0.27902813555377048</v>
      </c>
    </row>
    <row r="678" spans="1:11" ht="64" x14ac:dyDescent="0.2">
      <c r="A678" s="4" t="s">
        <v>3668</v>
      </c>
      <c r="B678">
        <v>120893</v>
      </c>
      <c r="C678">
        <v>2.86</v>
      </c>
      <c r="D678">
        <f t="shared" si="60"/>
        <v>71485.529488308166</v>
      </c>
      <c r="E678">
        <f t="shared" si="61"/>
        <v>71.48552948830816</v>
      </c>
      <c r="F678" s="7">
        <v>0.82260024301336576</v>
      </c>
      <c r="G678">
        <f t="shared" si="62"/>
        <v>5</v>
      </c>
      <c r="H678" s="7">
        <f t="shared" si="63"/>
        <v>0.17739975698663424</v>
      </c>
      <c r="I678">
        <f t="shared" si="64"/>
        <v>1</v>
      </c>
      <c r="J678">
        <f>VLOOKUP(A678,'Housing Cost Calc'!$A$2:$C$827,3,FALSE)</f>
        <v>2028</v>
      </c>
      <c r="K678">
        <f t="shared" si="65"/>
        <v>0.34043253472690976</v>
      </c>
    </row>
    <row r="679" spans="1:11" ht="48" x14ac:dyDescent="0.2">
      <c r="A679" s="4" t="s">
        <v>3495</v>
      </c>
      <c r="B679">
        <v>108250</v>
      </c>
      <c r="C679">
        <v>2.27</v>
      </c>
      <c r="D679">
        <f t="shared" si="60"/>
        <v>71848.048480696962</v>
      </c>
      <c r="E679">
        <f t="shared" si="61"/>
        <v>71.84804848069696</v>
      </c>
      <c r="F679" s="7">
        <v>0.82381530984204132</v>
      </c>
      <c r="G679">
        <f t="shared" si="62"/>
        <v>5</v>
      </c>
      <c r="H679" s="7">
        <f t="shared" si="63"/>
        <v>0.17618469015795868</v>
      </c>
      <c r="I679">
        <f t="shared" si="64"/>
        <v>1</v>
      </c>
      <c r="J679">
        <f>VLOOKUP(A679,'Housing Cost Calc'!$A$2:$C$827,3,FALSE)</f>
        <v>1915</v>
      </c>
      <c r="K679">
        <f t="shared" si="65"/>
        <v>0.31984167261235935</v>
      </c>
    </row>
    <row r="680" spans="1:11" ht="48" x14ac:dyDescent="0.2">
      <c r="A680" s="4" t="s">
        <v>3783</v>
      </c>
      <c r="B680">
        <v>111983</v>
      </c>
      <c r="C680">
        <v>2.42</v>
      </c>
      <c r="D680">
        <f t="shared" si="60"/>
        <v>71985.39879783013</v>
      </c>
      <c r="E680">
        <f t="shared" si="61"/>
        <v>71.985398797830129</v>
      </c>
      <c r="F680" s="7">
        <v>0.82503037667071688</v>
      </c>
      <c r="G680">
        <f t="shared" si="62"/>
        <v>5</v>
      </c>
      <c r="H680" s="7">
        <f t="shared" si="63"/>
        <v>0.17496962332928312</v>
      </c>
      <c r="I680">
        <f t="shared" si="64"/>
        <v>1</v>
      </c>
      <c r="J680">
        <f>VLOOKUP(A680,'Housing Cost Calc'!$A$2:$C$827,3,FALSE)</f>
        <v>2174</v>
      </c>
      <c r="K680">
        <f t="shared" si="65"/>
        <v>0.36240682743548785</v>
      </c>
    </row>
    <row r="681" spans="1:11" ht="48" x14ac:dyDescent="0.2">
      <c r="A681" s="4" t="s">
        <v>3248</v>
      </c>
      <c r="B681">
        <v>118906</v>
      </c>
      <c r="C681">
        <v>2.72</v>
      </c>
      <c r="D681">
        <f t="shared" si="60"/>
        <v>72097.352576425517</v>
      </c>
      <c r="E681">
        <f t="shared" si="61"/>
        <v>72.097352576425521</v>
      </c>
      <c r="F681" s="7">
        <v>0.82624544349939244</v>
      </c>
      <c r="G681">
        <f t="shared" si="62"/>
        <v>5</v>
      </c>
      <c r="H681" s="7">
        <f t="shared" si="63"/>
        <v>0.17375455650060756</v>
      </c>
      <c r="I681">
        <f t="shared" si="64"/>
        <v>1</v>
      </c>
      <c r="J681">
        <f>VLOOKUP(A681,'Housing Cost Calc'!$A$2:$C$827,3,FALSE)</f>
        <v>1759</v>
      </c>
      <c r="K681">
        <f t="shared" si="65"/>
        <v>0.29277080566342351</v>
      </c>
    </row>
    <row r="682" spans="1:11" ht="64" x14ac:dyDescent="0.2">
      <c r="A682" s="4" t="s">
        <v>3254</v>
      </c>
      <c r="B682">
        <v>103558</v>
      </c>
      <c r="C682">
        <v>2.06</v>
      </c>
      <c r="D682">
        <f t="shared" si="60"/>
        <v>72152.27749401133</v>
      </c>
      <c r="E682">
        <f t="shared" si="61"/>
        <v>72.152277494011329</v>
      </c>
      <c r="F682" s="7">
        <v>0.827460510328068</v>
      </c>
      <c r="G682">
        <f t="shared" si="62"/>
        <v>5</v>
      </c>
      <c r="H682" s="7">
        <f t="shared" si="63"/>
        <v>0.172539489671932</v>
      </c>
      <c r="I682">
        <f t="shared" si="64"/>
        <v>1</v>
      </c>
      <c r="J682">
        <f>VLOOKUP(A682,'Housing Cost Calc'!$A$2:$C$827,3,FALSE)</f>
        <v>1763</v>
      </c>
      <c r="K682">
        <f t="shared" si="65"/>
        <v>0.29321319762575693</v>
      </c>
    </row>
    <row r="683" spans="1:11" ht="48" x14ac:dyDescent="0.2">
      <c r="A683" s="4" t="s">
        <v>3042</v>
      </c>
      <c r="B683">
        <v>105066</v>
      </c>
      <c r="C683">
        <v>2.12</v>
      </c>
      <c r="D683">
        <f t="shared" si="60"/>
        <v>72159.625059164799</v>
      </c>
      <c r="E683">
        <f t="shared" si="61"/>
        <v>72.159625059164796</v>
      </c>
      <c r="F683" s="7">
        <v>0.82867557715674367</v>
      </c>
      <c r="G683">
        <f t="shared" si="62"/>
        <v>5</v>
      </c>
      <c r="H683" s="7">
        <f t="shared" si="63"/>
        <v>0.17132442284325633</v>
      </c>
      <c r="I683">
        <f t="shared" si="64"/>
        <v>1</v>
      </c>
      <c r="J683">
        <f>VLOOKUP(A683,'Housing Cost Calc'!$A$2:$C$827,3,FALSE)</f>
        <v>1483</v>
      </c>
      <c r="K683">
        <f t="shared" si="65"/>
        <v>0.24661990670556816</v>
      </c>
    </row>
    <row r="684" spans="1:11" ht="64" x14ac:dyDescent="0.2">
      <c r="A684" s="4" t="s">
        <v>3132</v>
      </c>
      <c r="B684">
        <v>116000</v>
      </c>
      <c r="C684">
        <v>2.57</v>
      </c>
      <c r="D684">
        <f t="shared" si="60"/>
        <v>72358.811940009429</v>
      </c>
      <c r="E684">
        <f t="shared" si="61"/>
        <v>72.358811940009431</v>
      </c>
      <c r="F684" s="7">
        <v>0.82989064398541923</v>
      </c>
      <c r="G684">
        <f t="shared" si="62"/>
        <v>5</v>
      </c>
      <c r="H684" s="7">
        <f t="shared" si="63"/>
        <v>0.17010935601458077</v>
      </c>
      <c r="I684">
        <f t="shared" si="64"/>
        <v>1</v>
      </c>
      <c r="J684">
        <f>VLOOKUP(A684,'Housing Cost Calc'!$A$2:$C$827,3,FALSE)</f>
        <v>1628</v>
      </c>
      <c r="K684">
        <f t="shared" si="65"/>
        <v>0.269987849112237</v>
      </c>
    </row>
    <row r="685" spans="1:11" ht="48" x14ac:dyDescent="0.2">
      <c r="A685" s="4" t="s">
        <v>3056</v>
      </c>
      <c r="B685">
        <v>117009</v>
      </c>
      <c r="C685">
        <v>2.6</v>
      </c>
      <c r="D685">
        <f t="shared" si="60"/>
        <v>72565.901297743461</v>
      </c>
      <c r="E685">
        <f t="shared" si="61"/>
        <v>72.565901297743466</v>
      </c>
      <c r="F685" s="7">
        <v>0.83110571081409479</v>
      </c>
      <c r="G685">
        <f t="shared" si="62"/>
        <v>5</v>
      </c>
      <c r="H685" s="7">
        <f t="shared" si="63"/>
        <v>0.16889428918590521</v>
      </c>
      <c r="I685">
        <f t="shared" si="64"/>
        <v>1</v>
      </c>
      <c r="J685">
        <f>VLOOKUP(A685,'Housing Cost Calc'!$A$2:$C$827,3,FALSE)</f>
        <v>1522</v>
      </c>
      <c r="K685">
        <f t="shared" si="65"/>
        <v>0.25168846074220735</v>
      </c>
    </row>
    <row r="686" spans="1:11" ht="64" x14ac:dyDescent="0.2">
      <c r="A686" s="4" t="s">
        <v>3320</v>
      </c>
      <c r="B686">
        <v>119917</v>
      </c>
      <c r="C686">
        <v>2.73</v>
      </c>
      <c r="D686">
        <f t="shared" si="60"/>
        <v>72577.070035044788</v>
      </c>
      <c r="E686">
        <f t="shared" si="61"/>
        <v>72.577070035044784</v>
      </c>
      <c r="F686" s="7">
        <v>0.83232077764277035</v>
      </c>
      <c r="G686">
        <f t="shared" si="62"/>
        <v>5</v>
      </c>
      <c r="H686" s="7">
        <f t="shared" si="63"/>
        <v>0.16767922235722965</v>
      </c>
      <c r="I686">
        <f t="shared" si="64"/>
        <v>1</v>
      </c>
      <c r="J686">
        <f>VLOOKUP(A686,'Housing Cost Calc'!$A$2:$C$827,3,FALSE)</f>
        <v>1820</v>
      </c>
      <c r="K686">
        <f t="shared" si="65"/>
        <v>0.30092148924521572</v>
      </c>
    </row>
    <row r="687" spans="1:11" ht="48" x14ac:dyDescent="0.2">
      <c r="A687" s="4" t="s">
        <v>3156</v>
      </c>
      <c r="B687">
        <v>111809</v>
      </c>
      <c r="C687">
        <v>2.36</v>
      </c>
      <c r="D687">
        <f t="shared" si="60"/>
        <v>72781.45973927468</v>
      </c>
      <c r="E687">
        <f t="shared" si="61"/>
        <v>72.78145973927468</v>
      </c>
      <c r="F687" s="7">
        <v>0.83353584447144591</v>
      </c>
      <c r="G687">
        <f t="shared" si="62"/>
        <v>5</v>
      </c>
      <c r="H687" s="7">
        <f t="shared" si="63"/>
        <v>0.16646415552855409</v>
      </c>
      <c r="I687">
        <f t="shared" si="64"/>
        <v>1</v>
      </c>
      <c r="J687">
        <f>VLOOKUP(A687,'Housing Cost Calc'!$A$2:$C$827,3,FALSE)</f>
        <v>1678</v>
      </c>
      <c r="K687">
        <f t="shared" si="65"/>
        <v>0.27666386566212431</v>
      </c>
    </row>
    <row r="688" spans="1:11" ht="48" x14ac:dyDescent="0.2">
      <c r="A688" s="4" t="s">
        <v>3460</v>
      </c>
      <c r="B688">
        <v>117625</v>
      </c>
      <c r="C688">
        <v>2.6</v>
      </c>
      <c r="D688">
        <f t="shared" si="60"/>
        <v>72947.928280278211</v>
      </c>
      <c r="E688">
        <f t="shared" si="61"/>
        <v>72.947928280278205</v>
      </c>
      <c r="F688" s="7">
        <v>0.83475091130012147</v>
      </c>
      <c r="G688">
        <f t="shared" si="62"/>
        <v>5</v>
      </c>
      <c r="H688" s="7">
        <f t="shared" si="63"/>
        <v>0.16524908869987853</v>
      </c>
      <c r="I688">
        <f t="shared" si="64"/>
        <v>1</v>
      </c>
      <c r="J688">
        <f>VLOOKUP(A688,'Housing Cost Calc'!$A$2:$C$827,3,FALSE)</f>
        <v>1927</v>
      </c>
      <c r="K688">
        <f t="shared" si="65"/>
        <v>0.31699323812396291</v>
      </c>
    </row>
    <row r="689" spans="1:11" ht="48" x14ac:dyDescent="0.2">
      <c r="A689" s="4" t="s">
        <v>3090</v>
      </c>
      <c r="B689">
        <v>120833</v>
      </c>
      <c r="C689">
        <v>2.74</v>
      </c>
      <c r="D689">
        <f t="shared" si="60"/>
        <v>72997.884903365266</v>
      </c>
      <c r="E689">
        <f t="shared" si="61"/>
        <v>72.997884903365261</v>
      </c>
      <c r="F689" s="7">
        <v>0.83596597812879714</v>
      </c>
      <c r="G689">
        <f t="shared" si="62"/>
        <v>5</v>
      </c>
      <c r="H689" s="7">
        <f t="shared" si="63"/>
        <v>0.16403402187120286</v>
      </c>
      <c r="I689">
        <f t="shared" si="64"/>
        <v>1</v>
      </c>
      <c r="J689">
        <f>VLOOKUP(A689,'Housing Cost Calc'!$A$2:$C$827,3,FALSE)</f>
        <v>1589</v>
      </c>
      <c r="K689">
        <f t="shared" si="65"/>
        <v>0.261213047819704</v>
      </c>
    </row>
    <row r="690" spans="1:11" ht="48" x14ac:dyDescent="0.2">
      <c r="A690" s="4" t="s">
        <v>3807</v>
      </c>
      <c r="B690">
        <v>113594</v>
      </c>
      <c r="C690">
        <v>2.42</v>
      </c>
      <c r="D690">
        <f t="shared" si="60"/>
        <v>73020.988820095168</v>
      </c>
      <c r="E690">
        <f t="shared" si="61"/>
        <v>73.02098882009517</v>
      </c>
      <c r="F690" s="7">
        <v>0.8371810449574727</v>
      </c>
      <c r="G690">
        <f t="shared" si="62"/>
        <v>5</v>
      </c>
      <c r="H690" s="7">
        <f t="shared" si="63"/>
        <v>0.1628189550425273</v>
      </c>
      <c r="I690">
        <f t="shared" si="64"/>
        <v>1</v>
      </c>
      <c r="J690">
        <f>VLOOKUP(A690,'Housing Cost Calc'!$A$2:$C$827,3,FALSE)</f>
        <v>2278</v>
      </c>
      <c r="K690">
        <f t="shared" si="65"/>
        <v>0.37435811869582913</v>
      </c>
    </row>
    <row r="691" spans="1:11" ht="64" x14ac:dyDescent="0.2">
      <c r="A691" s="4" t="s">
        <v>3218</v>
      </c>
      <c r="B691">
        <v>124141</v>
      </c>
      <c r="C691">
        <v>2.89</v>
      </c>
      <c r="D691">
        <f t="shared" si="60"/>
        <v>73024.117647058825</v>
      </c>
      <c r="E691">
        <f t="shared" si="61"/>
        <v>73.02411764705883</v>
      </c>
      <c r="F691" s="7">
        <v>0.83839611178614826</v>
      </c>
      <c r="G691">
        <f t="shared" si="62"/>
        <v>5</v>
      </c>
      <c r="H691" s="7">
        <f t="shared" si="63"/>
        <v>0.16160388821385174</v>
      </c>
      <c r="I691">
        <f t="shared" si="64"/>
        <v>1</v>
      </c>
      <c r="J691">
        <f>VLOOKUP(A691,'Housing Cost Calc'!$A$2:$C$827,3,FALSE)</f>
        <v>1763</v>
      </c>
      <c r="K691">
        <f t="shared" si="65"/>
        <v>0.28971250432975404</v>
      </c>
    </row>
    <row r="692" spans="1:11" ht="64" x14ac:dyDescent="0.2">
      <c r="A692" s="4" t="s">
        <v>3443</v>
      </c>
      <c r="B692">
        <v>116402</v>
      </c>
      <c r="C692">
        <v>2.54</v>
      </c>
      <c r="D692">
        <f t="shared" si="60"/>
        <v>73037.110629691932</v>
      </c>
      <c r="E692">
        <f t="shared" si="61"/>
        <v>73.037110629691938</v>
      </c>
      <c r="F692" s="7">
        <v>0.83961117861482382</v>
      </c>
      <c r="G692">
        <f t="shared" si="62"/>
        <v>5</v>
      </c>
      <c r="H692" s="7">
        <f t="shared" si="63"/>
        <v>0.16038882138517618</v>
      </c>
      <c r="I692">
        <f t="shared" si="64"/>
        <v>1</v>
      </c>
      <c r="J692">
        <f>VLOOKUP(A692,'Housing Cost Calc'!$A$2:$C$827,3,FALSE)</f>
        <v>1912</v>
      </c>
      <c r="K692">
        <f t="shared" si="65"/>
        <v>0.31414167129815956</v>
      </c>
    </row>
    <row r="693" spans="1:11" ht="64" x14ac:dyDescent="0.2">
      <c r="A693" s="4" t="s">
        <v>3798</v>
      </c>
      <c r="B693">
        <v>122031</v>
      </c>
      <c r="C693">
        <v>2.76</v>
      </c>
      <c r="D693">
        <f t="shared" si="60"/>
        <v>73454.030189547513</v>
      </c>
      <c r="E693">
        <f t="shared" si="61"/>
        <v>73.45403018954751</v>
      </c>
      <c r="F693" s="7">
        <v>0.84082624544349938</v>
      </c>
      <c r="G693">
        <f t="shared" si="62"/>
        <v>5</v>
      </c>
      <c r="H693" s="7">
        <f t="shared" si="63"/>
        <v>0.15917375455650062</v>
      </c>
      <c r="I693">
        <f t="shared" si="64"/>
        <v>1</v>
      </c>
      <c r="J693">
        <f>VLOOKUP(A693,'Housing Cost Calc'!$A$2:$C$827,3,FALSE)</f>
        <v>2272</v>
      </c>
      <c r="K693">
        <f t="shared" si="65"/>
        <v>0.37117092050150924</v>
      </c>
    </row>
    <row r="694" spans="1:11" ht="48" x14ac:dyDescent="0.2">
      <c r="A694" s="4" t="s">
        <v>3060</v>
      </c>
      <c r="B694">
        <v>119861</v>
      </c>
      <c r="C694">
        <v>2.64</v>
      </c>
      <c r="D694">
        <f t="shared" si="60"/>
        <v>73769.346001369006</v>
      </c>
      <c r="E694">
        <f t="shared" si="61"/>
        <v>73.769346001369001</v>
      </c>
      <c r="F694" s="7">
        <v>0.84204131227217494</v>
      </c>
      <c r="G694">
        <f t="shared" si="62"/>
        <v>5</v>
      </c>
      <c r="H694" s="7">
        <f t="shared" si="63"/>
        <v>0.15795868772782506</v>
      </c>
      <c r="I694">
        <f t="shared" si="64"/>
        <v>1</v>
      </c>
      <c r="J694">
        <f>VLOOKUP(A694,'Housing Cost Calc'!$A$2:$C$827,3,FALSE)</f>
        <v>1552</v>
      </c>
      <c r="K694">
        <f t="shared" si="65"/>
        <v>0.25246258791089699</v>
      </c>
    </row>
    <row r="695" spans="1:11" ht="48" x14ac:dyDescent="0.2">
      <c r="A695" s="4" t="s">
        <v>3748</v>
      </c>
      <c r="B695">
        <v>123750</v>
      </c>
      <c r="C695">
        <v>2.79</v>
      </c>
      <c r="D695">
        <f t="shared" si="60"/>
        <v>74087.187086044651</v>
      </c>
      <c r="E695">
        <f t="shared" si="61"/>
        <v>74.087187086044651</v>
      </c>
      <c r="F695" s="7">
        <v>0.84325637910085049</v>
      </c>
      <c r="G695">
        <f t="shared" si="62"/>
        <v>5</v>
      </c>
      <c r="H695" s="7">
        <f t="shared" si="63"/>
        <v>0.15674362089914951</v>
      </c>
      <c r="I695">
        <f t="shared" si="64"/>
        <v>1</v>
      </c>
      <c r="J695">
        <f>VLOOKUP(A695,'Housing Cost Calc'!$A$2:$C$827,3,FALSE)</f>
        <v>2185</v>
      </c>
      <c r="K695">
        <f t="shared" si="65"/>
        <v>0.35390734931734102</v>
      </c>
    </row>
    <row r="696" spans="1:11" ht="48" x14ac:dyDescent="0.2">
      <c r="A696" s="4" t="s">
        <v>3823</v>
      </c>
      <c r="B696">
        <v>128667</v>
      </c>
      <c r="C696">
        <v>2.99</v>
      </c>
      <c r="D696">
        <f t="shared" si="60"/>
        <v>74410.047351300236</v>
      </c>
      <c r="E696">
        <f t="shared" si="61"/>
        <v>74.410047351300236</v>
      </c>
      <c r="F696" s="7">
        <v>0.84447144592952617</v>
      </c>
      <c r="G696">
        <f t="shared" si="62"/>
        <v>5</v>
      </c>
      <c r="H696" s="7">
        <f t="shared" si="63"/>
        <v>0.15552855407047383</v>
      </c>
      <c r="I696">
        <f t="shared" si="64"/>
        <v>1</v>
      </c>
      <c r="J696">
        <f>VLOOKUP(A696,'Housing Cost Calc'!$A$2:$C$827,3,FALSE)</f>
        <v>2371</v>
      </c>
      <c r="K696">
        <f t="shared" si="65"/>
        <v>0.3823677179732749</v>
      </c>
    </row>
    <row r="697" spans="1:11" ht="48" x14ac:dyDescent="0.2">
      <c r="A697" s="4" t="s">
        <v>3809</v>
      </c>
      <c r="B697">
        <v>129559</v>
      </c>
      <c r="C697">
        <v>3.03</v>
      </c>
      <c r="D697">
        <f t="shared" si="60"/>
        <v>74429.700770362339</v>
      </c>
      <c r="E697">
        <f t="shared" si="61"/>
        <v>74.429700770362345</v>
      </c>
      <c r="F697" s="7">
        <v>0.84568651275820172</v>
      </c>
      <c r="G697">
        <f t="shared" si="62"/>
        <v>5</v>
      </c>
      <c r="H697" s="7">
        <f t="shared" si="63"/>
        <v>0.15431348724179828</v>
      </c>
      <c r="I697">
        <f t="shared" si="64"/>
        <v>1</v>
      </c>
      <c r="J697">
        <f>VLOOKUP(A697,'Housing Cost Calc'!$A$2:$C$827,3,FALSE)</f>
        <v>2329</v>
      </c>
      <c r="K697">
        <f t="shared" si="65"/>
        <v>0.37549526211623308</v>
      </c>
    </row>
    <row r="698" spans="1:11" ht="64" x14ac:dyDescent="0.2">
      <c r="A698" s="4" t="s">
        <v>3330</v>
      </c>
      <c r="B698">
        <v>121250</v>
      </c>
      <c r="C698">
        <v>2.64</v>
      </c>
      <c r="D698">
        <f t="shared" si="60"/>
        <v>74624.216406220468</v>
      </c>
      <c r="E698">
        <f t="shared" si="61"/>
        <v>74.624216406220469</v>
      </c>
      <c r="F698" s="7">
        <v>0.84690157958687728</v>
      </c>
      <c r="G698">
        <f t="shared" si="62"/>
        <v>5</v>
      </c>
      <c r="H698" s="7">
        <f t="shared" si="63"/>
        <v>0.15309842041312272</v>
      </c>
      <c r="I698">
        <f t="shared" si="64"/>
        <v>1</v>
      </c>
      <c r="J698">
        <f>VLOOKUP(A698,'Housing Cost Calc'!$A$2:$C$827,3,FALSE)</f>
        <v>1878</v>
      </c>
      <c r="K698">
        <f t="shared" si="65"/>
        <v>0.30199312080309443</v>
      </c>
    </row>
    <row r="699" spans="1:11" ht="48" x14ac:dyDescent="0.2">
      <c r="A699" s="4" t="s">
        <v>3357</v>
      </c>
      <c r="B699">
        <v>119905</v>
      </c>
      <c r="C699">
        <v>2.58</v>
      </c>
      <c r="D699">
        <f t="shared" si="60"/>
        <v>74649.592347158192</v>
      </c>
      <c r="E699">
        <f t="shared" si="61"/>
        <v>74.64959234715819</v>
      </c>
      <c r="F699" s="7">
        <v>0.84811664641555284</v>
      </c>
      <c r="G699">
        <f t="shared" si="62"/>
        <v>5</v>
      </c>
      <c r="H699" s="7">
        <f t="shared" si="63"/>
        <v>0.15188335358444716</v>
      </c>
      <c r="I699">
        <f t="shared" si="64"/>
        <v>1</v>
      </c>
      <c r="J699">
        <f>VLOOKUP(A699,'Housing Cost Calc'!$A$2:$C$827,3,FALSE)</f>
        <v>1897</v>
      </c>
      <c r="K699">
        <f t="shared" si="65"/>
        <v>0.30494473290806384</v>
      </c>
    </row>
    <row r="700" spans="1:11" ht="64" x14ac:dyDescent="0.2">
      <c r="A700" s="4" t="s">
        <v>3517</v>
      </c>
      <c r="B700">
        <v>121889</v>
      </c>
      <c r="C700">
        <v>2.65</v>
      </c>
      <c r="D700">
        <f t="shared" si="60"/>
        <v>74875.817495773474</v>
      </c>
      <c r="E700">
        <f t="shared" si="61"/>
        <v>74.875817495773475</v>
      </c>
      <c r="F700" s="7">
        <v>0.8493317132442284</v>
      </c>
      <c r="G700">
        <f t="shared" si="62"/>
        <v>5</v>
      </c>
      <c r="H700" s="7">
        <f t="shared" si="63"/>
        <v>0.1506682867557716</v>
      </c>
      <c r="I700">
        <f t="shared" si="64"/>
        <v>1</v>
      </c>
      <c r="J700">
        <f>VLOOKUP(A700,'Housing Cost Calc'!$A$2:$C$827,3,FALSE)</f>
        <v>2003</v>
      </c>
      <c r="K700">
        <f t="shared" si="65"/>
        <v>0.32101152019284146</v>
      </c>
    </row>
    <row r="701" spans="1:11" ht="64" x14ac:dyDescent="0.2">
      <c r="A701" s="4" t="s">
        <v>3180</v>
      </c>
      <c r="B701">
        <v>121939</v>
      </c>
      <c r="C701">
        <v>2.63</v>
      </c>
      <c r="D701">
        <f t="shared" si="60"/>
        <v>75190.80853796663</v>
      </c>
      <c r="E701">
        <f t="shared" si="61"/>
        <v>75.190808537966632</v>
      </c>
      <c r="F701" s="7">
        <v>0.85054678007290396</v>
      </c>
      <c r="G701">
        <f t="shared" si="62"/>
        <v>5</v>
      </c>
      <c r="H701" s="7">
        <f t="shared" si="63"/>
        <v>0.14945321992709604</v>
      </c>
      <c r="I701">
        <f t="shared" si="64"/>
        <v>1</v>
      </c>
      <c r="J701">
        <f>VLOOKUP(A701,'Housing Cost Calc'!$A$2:$C$827,3,FALSE)</f>
        <v>1775</v>
      </c>
      <c r="K701">
        <f t="shared" si="65"/>
        <v>0.28327930519918321</v>
      </c>
    </row>
    <row r="702" spans="1:11" ht="48" x14ac:dyDescent="0.2">
      <c r="A702" s="4" t="s">
        <v>3646</v>
      </c>
      <c r="B702">
        <v>126422</v>
      </c>
      <c r="C702">
        <v>2.82</v>
      </c>
      <c r="D702">
        <f t="shared" si="60"/>
        <v>75283.205449124143</v>
      </c>
      <c r="E702">
        <f t="shared" si="61"/>
        <v>75.283205449124139</v>
      </c>
      <c r="F702" s="7">
        <v>0.85176184690157963</v>
      </c>
      <c r="G702">
        <f t="shared" si="62"/>
        <v>5</v>
      </c>
      <c r="H702" s="7">
        <f t="shared" si="63"/>
        <v>0.14823815309842037</v>
      </c>
      <c r="I702">
        <f t="shared" si="64"/>
        <v>1</v>
      </c>
      <c r="J702">
        <f>VLOOKUP(A702,'Housing Cost Calc'!$A$2:$C$827,3,FALSE)</f>
        <v>2107</v>
      </c>
      <c r="K702">
        <f t="shared" si="65"/>
        <v>0.33585179920489366</v>
      </c>
    </row>
    <row r="703" spans="1:11" ht="48" x14ac:dyDescent="0.2">
      <c r="A703" s="4" t="s">
        <v>3533</v>
      </c>
      <c r="B703">
        <v>104868</v>
      </c>
      <c r="C703">
        <v>1.94</v>
      </c>
      <c r="D703">
        <f t="shared" si="60"/>
        <v>75290.836177924968</v>
      </c>
      <c r="E703">
        <f t="shared" si="61"/>
        <v>75.290836177924973</v>
      </c>
      <c r="F703" s="7">
        <v>0.85297691373025519</v>
      </c>
      <c r="G703">
        <f t="shared" si="62"/>
        <v>5</v>
      </c>
      <c r="H703" s="7">
        <f t="shared" si="63"/>
        <v>0.14702308626974481</v>
      </c>
      <c r="I703">
        <f t="shared" si="64"/>
        <v>1</v>
      </c>
      <c r="J703">
        <f>VLOOKUP(A703,'Housing Cost Calc'!$A$2:$C$827,3,FALSE)</f>
        <v>2018</v>
      </c>
      <c r="K703">
        <f t="shared" si="65"/>
        <v>0.32163276740310731</v>
      </c>
    </row>
    <row r="704" spans="1:11" ht="48" x14ac:dyDescent="0.2">
      <c r="A704" s="4" t="s">
        <v>3564</v>
      </c>
      <c r="B704">
        <v>128056</v>
      </c>
      <c r="C704">
        <v>2.87</v>
      </c>
      <c r="D704">
        <f t="shared" si="60"/>
        <v>75589.066775743937</v>
      </c>
      <c r="E704">
        <f t="shared" si="61"/>
        <v>75.58906677574393</v>
      </c>
      <c r="F704" s="7">
        <v>0.85419198055893075</v>
      </c>
      <c r="G704">
        <f t="shared" si="62"/>
        <v>5</v>
      </c>
      <c r="H704" s="7">
        <f t="shared" si="63"/>
        <v>0.14580801944106925</v>
      </c>
      <c r="I704">
        <f t="shared" si="64"/>
        <v>1</v>
      </c>
      <c r="J704">
        <f>VLOOKUP(A704,'Housing Cost Calc'!$A$2:$C$827,3,FALSE)</f>
        <v>2056</v>
      </c>
      <c r="K704">
        <f t="shared" si="65"/>
        <v>0.32639640959183125</v>
      </c>
    </row>
    <row r="705" spans="1:11" ht="48" x14ac:dyDescent="0.2">
      <c r="A705" s="4" t="s">
        <v>3832</v>
      </c>
      <c r="B705">
        <v>126838</v>
      </c>
      <c r="C705">
        <v>2.81</v>
      </c>
      <c r="D705">
        <f t="shared" si="60"/>
        <v>75665.207158754449</v>
      </c>
      <c r="E705">
        <f t="shared" si="61"/>
        <v>75.665207158754455</v>
      </c>
      <c r="F705" s="7">
        <v>0.85540704738760631</v>
      </c>
      <c r="G705">
        <f t="shared" si="62"/>
        <v>5</v>
      </c>
      <c r="H705" s="7">
        <f t="shared" si="63"/>
        <v>0.14459295261239369</v>
      </c>
      <c r="I705">
        <f t="shared" si="64"/>
        <v>1</v>
      </c>
      <c r="J705">
        <f>VLOOKUP(A705,'Housing Cost Calc'!$A$2:$C$827,3,FALSE)</f>
        <v>2452</v>
      </c>
      <c r="K705">
        <f t="shared" si="65"/>
        <v>0.38887093691906516</v>
      </c>
    </row>
    <row r="706" spans="1:11" ht="48" x14ac:dyDescent="0.2">
      <c r="A706" s="4" t="s">
        <v>3058</v>
      </c>
      <c r="B706">
        <v>120745</v>
      </c>
      <c r="C706">
        <v>2.54</v>
      </c>
      <c r="D706">
        <f t="shared" ref="D706:D769" si="66">(B706/(C706)^0.5)</f>
        <v>75762.151191406956</v>
      </c>
      <c r="E706">
        <f t="shared" ref="E706:E769" si="67">D706/1000</f>
        <v>75.762151191406957</v>
      </c>
      <c r="F706" s="7">
        <v>0.85662211421628187</v>
      </c>
      <c r="G706">
        <f t="shared" si="62"/>
        <v>5</v>
      </c>
      <c r="H706" s="7">
        <f t="shared" si="63"/>
        <v>0.14337788578371813</v>
      </c>
      <c r="I706">
        <f t="shared" si="64"/>
        <v>1</v>
      </c>
      <c r="J706">
        <f>VLOOKUP(A706,'Housing Cost Calc'!$A$2:$C$827,3,FALSE)</f>
        <v>1590</v>
      </c>
      <c r="K706">
        <f t="shared" si="65"/>
        <v>0.25184078989251402</v>
      </c>
    </row>
    <row r="707" spans="1:11" ht="48" x14ac:dyDescent="0.2">
      <c r="A707" s="4" t="s">
        <v>3355</v>
      </c>
      <c r="B707">
        <v>123480</v>
      </c>
      <c r="C707">
        <v>2.64</v>
      </c>
      <c r="D707">
        <f t="shared" si="66"/>
        <v>75996.686530640029</v>
      </c>
      <c r="E707">
        <f t="shared" si="67"/>
        <v>75.996686530640034</v>
      </c>
      <c r="F707" s="7">
        <v>0.85783718104495743</v>
      </c>
      <c r="G707">
        <f t="shared" ref="G707:G770" si="68">IF(F707&lt;0.2,1,IF(F707&lt;0.4,2,IF(F707&lt;0.6,3,IF(F707&lt;0.8,4,5))))</f>
        <v>5</v>
      </c>
      <c r="H707" s="7">
        <f t="shared" ref="H707:H770" si="69">1-F707</f>
        <v>0.14216281895504257</v>
      </c>
      <c r="I707">
        <f t="shared" ref="I707:I770" si="70">6-G707</f>
        <v>1</v>
      </c>
      <c r="J707">
        <f>VLOOKUP(A707,'Housing Cost Calc'!$A$2:$C$827,3,FALSE)</f>
        <v>1929</v>
      </c>
      <c r="K707">
        <f t="shared" ref="K707:K770" si="71">(J707*12)/D707</f>
        <v>0.30459222706594302</v>
      </c>
    </row>
    <row r="708" spans="1:11" ht="48" x14ac:dyDescent="0.2">
      <c r="A708" s="4" t="s">
        <v>3476</v>
      </c>
      <c r="B708">
        <v>128750</v>
      </c>
      <c r="C708">
        <v>2.82</v>
      </c>
      <c r="D708">
        <f t="shared" si="66"/>
        <v>76669.509275084507</v>
      </c>
      <c r="E708">
        <f t="shared" si="67"/>
        <v>76.669509275084508</v>
      </c>
      <c r="F708" s="7">
        <v>0.8590522478736331</v>
      </c>
      <c r="G708">
        <f t="shared" si="68"/>
        <v>5</v>
      </c>
      <c r="H708" s="7">
        <f t="shared" si="69"/>
        <v>0.1409477521263669</v>
      </c>
      <c r="I708">
        <f t="shared" si="70"/>
        <v>1</v>
      </c>
      <c r="J708">
        <f>VLOOKUP(A708,'Housing Cost Calc'!$A$2:$C$827,3,FALSE)</f>
        <v>2032</v>
      </c>
      <c r="K708">
        <f t="shared" si="71"/>
        <v>0.31804038177043781</v>
      </c>
    </row>
    <row r="709" spans="1:11" ht="64" x14ac:dyDescent="0.2">
      <c r="A709" s="4" t="s">
        <v>3282</v>
      </c>
      <c r="B709">
        <v>126534</v>
      </c>
      <c r="C709">
        <v>2.68</v>
      </c>
      <c r="D709">
        <f t="shared" si="66"/>
        <v>77292.942360903617</v>
      </c>
      <c r="E709">
        <f t="shared" si="67"/>
        <v>77.292942360903623</v>
      </c>
      <c r="F709" s="7">
        <v>0.86026731470230866</v>
      </c>
      <c r="G709">
        <f t="shared" si="68"/>
        <v>5</v>
      </c>
      <c r="H709" s="7">
        <f t="shared" si="69"/>
        <v>0.13973268529769134</v>
      </c>
      <c r="I709">
        <f t="shared" si="70"/>
        <v>1</v>
      </c>
      <c r="J709">
        <f>VLOOKUP(A709,'Housing Cost Calc'!$A$2:$C$827,3,FALSE)</f>
        <v>1916</v>
      </c>
      <c r="K709">
        <f t="shared" si="71"/>
        <v>0.29746571029271401</v>
      </c>
    </row>
    <row r="710" spans="1:11" ht="48" x14ac:dyDescent="0.2">
      <c r="A710" s="4" t="s">
        <v>3449</v>
      </c>
      <c r="B710">
        <v>118971</v>
      </c>
      <c r="C710">
        <v>2.36</v>
      </c>
      <c r="D710">
        <f t="shared" si="66"/>
        <v>77443.524641497977</v>
      </c>
      <c r="E710">
        <f t="shared" si="67"/>
        <v>77.443524641497973</v>
      </c>
      <c r="F710" s="7">
        <v>0.86148238153098422</v>
      </c>
      <c r="G710">
        <f t="shared" si="68"/>
        <v>5</v>
      </c>
      <c r="H710" s="7">
        <f t="shared" si="69"/>
        <v>0.13851761846901578</v>
      </c>
      <c r="I710">
        <f t="shared" si="70"/>
        <v>1</v>
      </c>
      <c r="J710">
        <f>VLOOKUP(A710,'Housing Cost Calc'!$A$2:$C$827,3,FALSE)</f>
        <v>2036</v>
      </c>
      <c r="K710">
        <f t="shared" si="71"/>
        <v>0.31548150879109338</v>
      </c>
    </row>
    <row r="711" spans="1:11" ht="64" x14ac:dyDescent="0.2">
      <c r="A711" s="4" t="s">
        <v>3300</v>
      </c>
      <c r="B711">
        <v>132740</v>
      </c>
      <c r="C711">
        <v>2.91</v>
      </c>
      <c r="D711">
        <f t="shared" si="66"/>
        <v>77813.566074895294</v>
      </c>
      <c r="E711">
        <f t="shared" si="67"/>
        <v>77.813566074895292</v>
      </c>
      <c r="F711" s="7">
        <v>0.86269744835965978</v>
      </c>
      <c r="G711">
        <f t="shared" si="68"/>
        <v>5</v>
      </c>
      <c r="H711" s="7">
        <f t="shared" si="69"/>
        <v>0.13730255164034022</v>
      </c>
      <c r="I711">
        <f t="shared" si="70"/>
        <v>1</v>
      </c>
      <c r="J711">
        <f>VLOOKUP(A711,'Housing Cost Calc'!$A$2:$C$827,3,FALSE)</f>
        <v>1939</v>
      </c>
      <c r="K711">
        <f t="shared" si="71"/>
        <v>0.29902240924936702</v>
      </c>
    </row>
    <row r="712" spans="1:11" ht="64" x14ac:dyDescent="0.2">
      <c r="A712" s="4" t="s">
        <v>3499</v>
      </c>
      <c r="B712">
        <v>136103</v>
      </c>
      <c r="C712">
        <v>3.05</v>
      </c>
      <c r="D712">
        <f t="shared" si="66"/>
        <v>77932.351095120408</v>
      </c>
      <c r="E712">
        <f t="shared" si="67"/>
        <v>77.93235109512041</v>
      </c>
      <c r="F712" s="7">
        <v>0.86391251518833534</v>
      </c>
      <c r="G712">
        <f t="shared" si="68"/>
        <v>5</v>
      </c>
      <c r="H712" s="7">
        <f t="shared" si="69"/>
        <v>0.13608748481166466</v>
      </c>
      <c r="I712">
        <f t="shared" si="70"/>
        <v>1</v>
      </c>
      <c r="J712">
        <f>VLOOKUP(A712,'Housing Cost Calc'!$A$2:$C$827,3,FALSE)</f>
        <v>2080</v>
      </c>
      <c r="K712">
        <f t="shared" si="71"/>
        <v>0.32027777488112796</v>
      </c>
    </row>
    <row r="713" spans="1:11" ht="48" x14ac:dyDescent="0.2">
      <c r="A713" s="4" t="s">
        <v>3691</v>
      </c>
      <c r="B713">
        <v>129133</v>
      </c>
      <c r="C713">
        <v>2.73</v>
      </c>
      <c r="D713">
        <f t="shared" si="66"/>
        <v>78154.846976120461</v>
      </c>
      <c r="E713">
        <f t="shared" si="67"/>
        <v>78.154846976120467</v>
      </c>
      <c r="F713" s="7">
        <v>0.8651275820170109</v>
      </c>
      <c r="G713">
        <f t="shared" si="68"/>
        <v>5</v>
      </c>
      <c r="H713" s="7">
        <f t="shared" si="69"/>
        <v>0.1348724179829891</v>
      </c>
      <c r="I713">
        <f t="shared" si="70"/>
        <v>1</v>
      </c>
      <c r="J713">
        <f>VLOOKUP(A713,'Housing Cost Calc'!$A$2:$C$827,3,FALSE)</f>
        <v>2240</v>
      </c>
      <c r="K713">
        <f t="shared" si="71"/>
        <v>0.34393260354297606</v>
      </c>
    </row>
    <row r="714" spans="1:11" ht="48" x14ac:dyDescent="0.2">
      <c r="A714" s="4" t="s">
        <v>3825</v>
      </c>
      <c r="B714">
        <v>122633</v>
      </c>
      <c r="C714">
        <v>2.4300000000000002</v>
      </c>
      <c r="D714">
        <f t="shared" si="66"/>
        <v>78669.106179479306</v>
      </c>
      <c r="E714">
        <f t="shared" si="67"/>
        <v>78.6691061794793</v>
      </c>
      <c r="F714" s="7">
        <v>0.86634264884568646</v>
      </c>
      <c r="G714">
        <f t="shared" si="68"/>
        <v>5</v>
      </c>
      <c r="H714" s="7">
        <f t="shared" si="69"/>
        <v>0.13365735115431354</v>
      </c>
      <c r="I714">
        <f t="shared" si="70"/>
        <v>1</v>
      </c>
      <c r="J714">
        <f>VLOOKUP(A714,'Housing Cost Calc'!$A$2:$C$827,3,FALSE)</f>
        <v>2513</v>
      </c>
      <c r="K714">
        <f t="shared" si="71"/>
        <v>0.38332709578777618</v>
      </c>
    </row>
    <row r="715" spans="1:11" ht="48" x14ac:dyDescent="0.2">
      <c r="A715" s="4" t="s">
        <v>3834</v>
      </c>
      <c r="B715">
        <v>129821</v>
      </c>
      <c r="C715">
        <v>2.72</v>
      </c>
      <c r="D715">
        <f t="shared" si="66"/>
        <v>78715.543444604453</v>
      </c>
      <c r="E715">
        <f t="shared" si="67"/>
        <v>78.71554344460445</v>
      </c>
      <c r="F715" s="7">
        <v>0.86755771567436213</v>
      </c>
      <c r="G715">
        <f t="shared" si="68"/>
        <v>5</v>
      </c>
      <c r="H715" s="7">
        <f t="shared" si="69"/>
        <v>0.13244228432563787</v>
      </c>
      <c r="I715">
        <f t="shared" si="70"/>
        <v>1</v>
      </c>
      <c r="J715">
        <f>VLOOKUP(A715,'Housing Cost Calc'!$A$2:$C$827,3,FALSE)</f>
        <v>2593</v>
      </c>
      <c r="K715">
        <f t="shared" si="71"/>
        <v>0.39529676907963773</v>
      </c>
    </row>
    <row r="716" spans="1:11" ht="64" x14ac:dyDescent="0.2">
      <c r="A716" s="4" t="s">
        <v>3164</v>
      </c>
      <c r="B716">
        <v>128661</v>
      </c>
      <c r="C716">
        <v>2.64</v>
      </c>
      <c r="D716">
        <f t="shared" si="66"/>
        <v>79185.371604459637</v>
      </c>
      <c r="E716">
        <f t="shared" si="67"/>
        <v>79.185371604459633</v>
      </c>
      <c r="F716" s="7">
        <v>0.86877278250303769</v>
      </c>
      <c r="G716">
        <f t="shared" si="68"/>
        <v>5</v>
      </c>
      <c r="H716" s="7">
        <f t="shared" si="69"/>
        <v>0.13122721749696231</v>
      </c>
      <c r="I716">
        <f t="shared" si="70"/>
        <v>1</v>
      </c>
      <c r="J716">
        <f>VLOOKUP(A716,'Housing Cost Calc'!$A$2:$C$827,3,FALSE)</f>
        <v>1861</v>
      </c>
      <c r="K716">
        <f t="shared" si="71"/>
        <v>0.28202178694760693</v>
      </c>
    </row>
    <row r="717" spans="1:11" ht="64" x14ac:dyDescent="0.2">
      <c r="A717" s="4" t="s">
        <v>3337</v>
      </c>
      <c r="B717">
        <v>131563</v>
      </c>
      <c r="C717">
        <v>2.76</v>
      </c>
      <c r="D717">
        <f t="shared" si="66"/>
        <v>79191.619947615269</v>
      </c>
      <c r="E717">
        <f t="shared" si="67"/>
        <v>79.191619947615266</v>
      </c>
      <c r="F717" s="7">
        <v>0.86998784933171325</v>
      </c>
      <c r="G717">
        <f t="shared" si="68"/>
        <v>5</v>
      </c>
      <c r="H717" s="7">
        <f t="shared" si="69"/>
        <v>0.13001215066828675</v>
      </c>
      <c r="I717">
        <f t="shared" si="70"/>
        <v>1</v>
      </c>
      <c r="J717">
        <f>VLOOKUP(A717,'Housing Cost Calc'!$A$2:$C$827,3,FALSE)</f>
        <v>1998</v>
      </c>
      <c r="K717">
        <f t="shared" si="71"/>
        <v>0.30275930730877793</v>
      </c>
    </row>
    <row r="718" spans="1:11" ht="64" x14ac:dyDescent="0.2">
      <c r="A718" s="4" t="s">
        <v>3064</v>
      </c>
      <c r="B718">
        <v>130885</v>
      </c>
      <c r="C718">
        <v>2.73</v>
      </c>
      <c r="D718">
        <f t="shared" si="66"/>
        <v>79215.205613356215</v>
      </c>
      <c r="E718">
        <f t="shared" si="67"/>
        <v>79.215205613356218</v>
      </c>
      <c r="F718" s="7">
        <v>0.87120291616038881</v>
      </c>
      <c r="G718">
        <f t="shared" si="68"/>
        <v>5</v>
      </c>
      <c r="H718" s="7">
        <f t="shared" si="69"/>
        <v>0.12879708383961119</v>
      </c>
      <c r="I718">
        <f t="shared" si="70"/>
        <v>1</v>
      </c>
      <c r="J718">
        <f>VLOOKUP(A718,'Housing Cost Calc'!$A$2:$C$827,3,FALSE)</f>
        <v>1686</v>
      </c>
      <c r="K718">
        <f t="shared" si="71"/>
        <v>0.25540551013338214</v>
      </c>
    </row>
    <row r="719" spans="1:11" ht="64" x14ac:dyDescent="0.2">
      <c r="A719" s="4" t="s">
        <v>3577</v>
      </c>
      <c r="B719">
        <v>136053</v>
      </c>
      <c r="C719">
        <v>2.94</v>
      </c>
      <c r="D719">
        <f t="shared" si="66"/>
        <v>79347.720946399932</v>
      </c>
      <c r="E719">
        <f t="shared" si="67"/>
        <v>79.347720946399932</v>
      </c>
      <c r="F719" s="7">
        <v>0.87241798298906437</v>
      </c>
      <c r="G719">
        <f t="shared" si="68"/>
        <v>5</v>
      </c>
      <c r="H719" s="7">
        <f t="shared" si="69"/>
        <v>0.12758201701093563</v>
      </c>
      <c r="I719">
        <f t="shared" si="70"/>
        <v>1</v>
      </c>
      <c r="J719">
        <f>VLOOKUP(A719,'Housing Cost Calc'!$A$2:$C$827,3,FALSE)</f>
        <v>2168</v>
      </c>
      <c r="K719">
        <f t="shared" si="71"/>
        <v>0.32787331116383334</v>
      </c>
    </row>
    <row r="720" spans="1:11" ht="48" x14ac:dyDescent="0.2">
      <c r="A720" s="4" t="s">
        <v>3601</v>
      </c>
      <c r="B720">
        <v>130625</v>
      </c>
      <c r="C720">
        <v>2.7</v>
      </c>
      <c r="D720">
        <f t="shared" si="66"/>
        <v>79495.843415680356</v>
      </c>
      <c r="E720">
        <f t="shared" si="67"/>
        <v>79.495843415680355</v>
      </c>
      <c r="F720" s="7">
        <v>0.87363304981773993</v>
      </c>
      <c r="G720">
        <f t="shared" si="68"/>
        <v>5</v>
      </c>
      <c r="H720" s="7">
        <f t="shared" si="69"/>
        <v>0.12636695018226007</v>
      </c>
      <c r="I720">
        <f t="shared" si="70"/>
        <v>1</v>
      </c>
      <c r="J720">
        <f>VLOOKUP(A720,'Housing Cost Calc'!$A$2:$C$827,3,FALSE)</f>
        <v>2189</v>
      </c>
      <c r="K720">
        <f t="shared" si="71"/>
        <v>0.33043237069195874</v>
      </c>
    </row>
    <row r="721" spans="1:11" ht="48" x14ac:dyDescent="0.2">
      <c r="A721" s="4" t="s">
        <v>3714</v>
      </c>
      <c r="B721">
        <v>133988</v>
      </c>
      <c r="C721">
        <v>2.82</v>
      </c>
      <c r="D721">
        <f t="shared" si="66"/>
        <v>79788.692883495329</v>
      </c>
      <c r="E721">
        <f t="shared" si="67"/>
        <v>79.78869288349533</v>
      </c>
      <c r="F721" s="7">
        <v>0.8748481166464156</v>
      </c>
      <c r="G721">
        <f t="shared" si="68"/>
        <v>5</v>
      </c>
      <c r="H721" s="7">
        <f t="shared" si="69"/>
        <v>0.1251518833535844</v>
      </c>
      <c r="I721">
        <f t="shared" si="70"/>
        <v>1</v>
      </c>
      <c r="J721">
        <f>VLOOKUP(A721,'Housing Cost Calc'!$A$2:$C$827,3,FALSE)</f>
        <v>2313</v>
      </c>
      <c r="K721">
        <f t="shared" si="71"/>
        <v>0.34786883951750336</v>
      </c>
    </row>
    <row r="722" spans="1:11" ht="48" x14ac:dyDescent="0.2">
      <c r="A722" s="4" t="s">
        <v>3128</v>
      </c>
      <c r="B722">
        <v>133417</v>
      </c>
      <c r="C722">
        <v>2.79</v>
      </c>
      <c r="D722">
        <f t="shared" si="66"/>
        <v>79874.66860168743</v>
      </c>
      <c r="E722">
        <f t="shared" si="67"/>
        <v>79.874668601687432</v>
      </c>
      <c r="F722" s="7">
        <v>0.87606318347509116</v>
      </c>
      <c r="G722">
        <f t="shared" si="68"/>
        <v>5</v>
      </c>
      <c r="H722" s="7">
        <f t="shared" si="69"/>
        <v>0.12393681652490884</v>
      </c>
      <c r="I722">
        <f t="shared" si="70"/>
        <v>1</v>
      </c>
      <c r="J722">
        <f>VLOOKUP(A722,'Housing Cost Calc'!$A$2:$C$827,3,FALSE)</f>
        <v>1791</v>
      </c>
      <c r="K722">
        <f t="shared" si="71"/>
        <v>0.26907153890270991</v>
      </c>
    </row>
    <row r="723" spans="1:11" ht="48" x14ac:dyDescent="0.2">
      <c r="A723" s="4" t="s">
        <v>3031</v>
      </c>
      <c r="B723">
        <v>136855</v>
      </c>
      <c r="C723">
        <v>2.93</v>
      </c>
      <c r="D723">
        <f t="shared" si="66"/>
        <v>79951.544679180719</v>
      </c>
      <c r="E723">
        <f t="shared" si="67"/>
        <v>79.951544679180714</v>
      </c>
      <c r="F723" s="7">
        <v>0.87727825030376672</v>
      </c>
      <c r="G723">
        <f t="shared" si="68"/>
        <v>5</v>
      </c>
      <c r="H723" s="7">
        <f t="shared" si="69"/>
        <v>0.12272174969623328</v>
      </c>
      <c r="I723">
        <f t="shared" si="70"/>
        <v>1</v>
      </c>
      <c r="J723">
        <f>VLOOKUP(A723,'Housing Cost Calc'!$A$2:$C$827,3,FALSE)</f>
        <v>1528</v>
      </c>
      <c r="K723">
        <f t="shared" si="71"/>
        <v>0.22933890862992509</v>
      </c>
    </row>
    <row r="724" spans="1:11" ht="48" x14ac:dyDescent="0.2">
      <c r="A724" s="4" t="s">
        <v>3596</v>
      </c>
      <c r="B724">
        <v>130888</v>
      </c>
      <c r="C724">
        <v>2.67</v>
      </c>
      <c r="D724">
        <f t="shared" si="66"/>
        <v>80102.155151563144</v>
      </c>
      <c r="E724">
        <f t="shared" si="67"/>
        <v>80.102155151563139</v>
      </c>
      <c r="F724" s="7">
        <v>0.87849331713244228</v>
      </c>
      <c r="G724">
        <f t="shared" si="68"/>
        <v>5</v>
      </c>
      <c r="H724" s="7">
        <f t="shared" si="69"/>
        <v>0.12150668286755772</v>
      </c>
      <c r="I724">
        <f t="shared" si="70"/>
        <v>1</v>
      </c>
      <c r="J724">
        <f>VLOOKUP(A724,'Housing Cost Calc'!$A$2:$C$827,3,FALSE)</f>
        <v>2202</v>
      </c>
      <c r="K724">
        <f t="shared" si="71"/>
        <v>0.32987876480979239</v>
      </c>
    </row>
    <row r="725" spans="1:11" ht="64" x14ac:dyDescent="0.2">
      <c r="A725" s="4" t="s">
        <v>3791</v>
      </c>
      <c r="B725">
        <v>140337</v>
      </c>
      <c r="C725">
        <v>3.06</v>
      </c>
      <c r="D725">
        <f t="shared" si="66"/>
        <v>80225.32314381421</v>
      </c>
      <c r="E725">
        <f t="shared" si="67"/>
        <v>80.225323143814208</v>
      </c>
      <c r="F725" s="7">
        <v>0.87970838396111783</v>
      </c>
      <c r="G725">
        <f t="shared" si="68"/>
        <v>5</v>
      </c>
      <c r="H725" s="7">
        <f t="shared" si="69"/>
        <v>0.12029161603888217</v>
      </c>
      <c r="I725">
        <f t="shared" si="70"/>
        <v>1</v>
      </c>
      <c r="J725">
        <f>VLOOKUP(A725,'Housing Cost Calc'!$A$2:$C$827,3,FALSE)</f>
        <v>2456</v>
      </c>
      <c r="K725">
        <f t="shared" si="71"/>
        <v>0.36736530119258792</v>
      </c>
    </row>
    <row r="726" spans="1:11" ht="64" x14ac:dyDescent="0.2">
      <c r="A726" s="4" t="s">
        <v>3088</v>
      </c>
      <c r="B726">
        <v>123580</v>
      </c>
      <c r="C726">
        <v>2.37</v>
      </c>
      <c r="D726">
        <f t="shared" si="66"/>
        <v>80273.836188208341</v>
      </c>
      <c r="E726">
        <f t="shared" si="67"/>
        <v>80.273836188208335</v>
      </c>
      <c r="F726" s="7">
        <v>0.88092345078979339</v>
      </c>
      <c r="G726">
        <f t="shared" si="68"/>
        <v>5</v>
      </c>
      <c r="H726" s="7">
        <f t="shared" si="69"/>
        <v>0.11907654921020661</v>
      </c>
      <c r="I726">
        <f t="shared" si="70"/>
        <v>1</v>
      </c>
      <c r="J726">
        <f>VLOOKUP(A726,'Housing Cost Calc'!$A$2:$C$827,3,FALSE)</f>
        <v>1738</v>
      </c>
      <c r="K726">
        <f t="shared" si="71"/>
        <v>0.25981068042022387</v>
      </c>
    </row>
    <row r="727" spans="1:11" ht="48" x14ac:dyDescent="0.2">
      <c r="A727" s="4" t="s">
        <v>3100</v>
      </c>
      <c r="B727">
        <v>133984</v>
      </c>
      <c r="C727">
        <v>2.77</v>
      </c>
      <c r="D727">
        <f t="shared" si="66"/>
        <v>80503.183460608678</v>
      </c>
      <c r="E727">
        <f t="shared" si="67"/>
        <v>80.503183460608682</v>
      </c>
      <c r="F727" s="7">
        <v>0.88213851761846906</v>
      </c>
      <c r="G727">
        <f t="shared" si="68"/>
        <v>5</v>
      </c>
      <c r="H727" s="7">
        <f t="shared" si="69"/>
        <v>0.11786148238153094</v>
      </c>
      <c r="I727">
        <f t="shared" si="70"/>
        <v>1</v>
      </c>
      <c r="J727">
        <f>VLOOKUP(A727,'Housing Cost Calc'!$A$2:$C$827,3,FALSE)</f>
        <v>1768</v>
      </c>
      <c r="K727">
        <f t="shared" si="71"/>
        <v>0.26354237295946542</v>
      </c>
    </row>
    <row r="728" spans="1:11" ht="48" x14ac:dyDescent="0.2">
      <c r="A728" s="4" t="s">
        <v>3744</v>
      </c>
      <c r="B728">
        <v>129250</v>
      </c>
      <c r="C728">
        <v>2.57</v>
      </c>
      <c r="D728">
        <f t="shared" si="66"/>
        <v>80623.934855570842</v>
      </c>
      <c r="E728">
        <f t="shared" si="67"/>
        <v>80.623934855570837</v>
      </c>
      <c r="F728" s="7">
        <v>0.88335358444714462</v>
      </c>
      <c r="G728">
        <f t="shared" si="68"/>
        <v>5</v>
      </c>
      <c r="H728" s="7">
        <f t="shared" si="69"/>
        <v>0.11664641555285538</v>
      </c>
      <c r="I728">
        <f t="shared" si="70"/>
        <v>1</v>
      </c>
      <c r="J728">
        <f>VLOOKUP(A728,'Housing Cost Calc'!$A$2:$C$827,3,FALSE)</f>
        <v>2370</v>
      </c>
      <c r="K728">
        <f t="shared" si="71"/>
        <v>0.35274884624457015</v>
      </c>
    </row>
    <row r="729" spans="1:11" ht="48" x14ac:dyDescent="0.2">
      <c r="A729" s="4" t="s">
        <v>3194</v>
      </c>
      <c r="B729">
        <v>126738</v>
      </c>
      <c r="C729">
        <v>2.46</v>
      </c>
      <c r="D729">
        <f t="shared" si="66"/>
        <v>80805.19746022136</v>
      </c>
      <c r="E729">
        <f t="shared" si="67"/>
        <v>80.805197460221365</v>
      </c>
      <c r="F729" s="7">
        <v>0.88456865127582018</v>
      </c>
      <c r="G729">
        <f t="shared" si="68"/>
        <v>5</v>
      </c>
      <c r="H729" s="7">
        <f t="shared" si="69"/>
        <v>0.11543134872417982</v>
      </c>
      <c r="I729">
        <f t="shared" si="70"/>
        <v>1</v>
      </c>
      <c r="J729">
        <f>VLOOKUP(A729,'Housing Cost Calc'!$A$2:$C$827,3,FALSE)</f>
        <v>1920</v>
      </c>
      <c r="K729">
        <f t="shared" si="71"/>
        <v>0.28513017385227096</v>
      </c>
    </row>
    <row r="730" spans="1:11" ht="64" x14ac:dyDescent="0.2">
      <c r="A730" s="4" t="s">
        <v>3645</v>
      </c>
      <c r="B730">
        <v>137361</v>
      </c>
      <c r="C730">
        <v>2.88</v>
      </c>
      <c r="D730">
        <f t="shared" si="66"/>
        <v>80940.745475471136</v>
      </c>
      <c r="E730">
        <f t="shared" si="67"/>
        <v>80.940745475471132</v>
      </c>
      <c r="F730" s="7">
        <v>0.88578371810449574</v>
      </c>
      <c r="G730">
        <f t="shared" si="68"/>
        <v>5</v>
      </c>
      <c r="H730" s="7">
        <f t="shared" si="69"/>
        <v>0.11421628189550426</v>
      </c>
      <c r="I730">
        <f t="shared" si="70"/>
        <v>1</v>
      </c>
      <c r="J730">
        <f>VLOOKUP(A730,'Housing Cost Calc'!$A$2:$C$827,3,FALSE)</f>
        <v>2262</v>
      </c>
      <c r="K730">
        <f t="shared" si="71"/>
        <v>0.33535643686684247</v>
      </c>
    </row>
    <row r="731" spans="1:11" ht="48" x14ac:dyDescent="0.2">
      <c r="A731" s="4" t="s">
        <v>3727</v>
      </c>
      <c r="B731">
        <v>138169</v>
      </c>
      <c r="C731">
        <v>2.91</v>
      </c>
      <c r="D731">
        <f t="shared" si="66"/>
        <v>80996.102237473315</v>
      </c>
      <c r="E731">
        <f t="shared" si="67"/>
        <v>80.996102237473309</v>
      </c>
      <c r="F731" s="7">
        <v>0.8869987849331713</v>
      </c>
      <c r="G731">
        <f t="shared" si="68"/>
        <v>5</v>
      </c>
      <c r="H731" s="7">
        <f t="shared" si="69"/>
        <v>0.1130012150668287</v>
      </c>
      <c r="I731">
        <f t="shared" si="70"/>
        <v>1</v>
      </c>
      <c r="J731">
        <f>VLOOKUP(A731,'Housing Cost Calc'!$A$2:$C$827,3,FALSE)</f>
        <v>2364</v>
      </c>
      <c r="K731">
        <f t="shared" si="71"/>
        <v>0.35023907591043785</v>
      </c>
    </row>
    <row r="732" spans="1:11" ht="48" x14ac:dyDescent="0.2">
      <c r="A732" s="4" t="s">
        <v>3718</v>
      </c>
      <c r="B732">
        <v>131897</v>
      </c>
      <c r="C732">
        <v>2.65</v>
      </c>
      <c r="D732">
        <f t="shared" si="66"/>
        <v>81023.683025047663</v>
      </c>
      <c r="E732">
        <f t="shared" si="67"/>
        <v>81.02368302504766</v>
      </c>
      <c r="F732" s="7">
        <v>0.88821385176184686</v>
      </c>
      <c r="G732">
        <f t="shared" si="68"/>
        <v>5</v>
      </c>
      <c r="H732" s="7">
        <f t="shared" si="69"/>
        <v>0.11178614823815314</v>
      </c>
      <c r="I732">
        <f t="shared" si="70"/>
        <v>1</v>
      </c>
      <c r="J732">
        <f>VLOOKUP(A732,'Housing Cost Calc'!$A$2:$C$827,3,FALSE)</f>
        <v>2349</v>
      </c>
      <c r="K732">
        <f t="shared" si="71"/>
        <v>0.34789828044827292</v>
      </c>
    </row>
    <row r="733" spans="1:11" ht="48" x14ac:dyDescent="0.2">
      <c r="A733" s="4" t="s">
        <v>3697</v>
      </c>
      <c r="B733">
        <v>135197</v>
      </c>
      <c r="C733">
        <v>2.78</v>
      </c>
      <c r="D733">
        <f t="shared" si="66"/>
        <v>81085.772175398175</v>
      </c>
      <c r="E733">
        <f t="shared" si="67"/>
        <v>81.085772175398176</v>
      </c>
      <c r="F733" s="7">
        <v>0.88942891859052253</v>
      </c>
      <c r="G733">
        <f t="shared" si="68"/>
        <v>5</v>
      </c>
      <c r="H733" s="7">
        <f t="shared" si="69"/>
        <v>0.11057108140947747</v>
      </c>
      <c r="I733">
        <f t="shared" si="70"/>
        <v>1</v>
      </c>
      <c r="J733">
        <f>VLOOKUP(A733,'Housing Cost Calc'!$A$2:$C$827,3,FALSE)</f>
        <v>2328</v>
      </c>
      <c r="K733">
        <f t="shared" si="71"/>
        <v>0.34452406692965948</v>
      </c>
    </row>
    <row r="734" spans="1:11" ht="48" x14ac:dyDescent="0.2">
      <c r="A734" s="4" t="s">
        <v>3847</v>
      </c>
      <c r="B734">
        <v>133482</v>
      </c>
      <c r="C734">
        <v>2.7</v>
      </c>
      <c r="D734">
        <f t="shared" si="66"/>
        <v>81234.558245449531</v>
      </c>
      <c r="E734">
        <f t="shared" si="67"/>
        <v>81.234558245449534</v>
      </c>
      <c r="F734" s="7">
        <v>0.89064398541919809</v>
      </c>
      <c r="G734">
        <f t="shared" si="68"/>
        <v>5</v>
      </c>
      <c r="H734" s="7">
        <f t="shared" si="69"/>
        <v>0.10935601458080191</v>
      </c>
      <c r="I734">
        <f t="shared" si="70"/>
        <v>1</v>
      </c>
      <c r="J734">
        <f>VLOOKUP(A734,'Housing Cost Calc'!$A$2:$C$827,3,FALSE)</f>
        <v>2844</v>
      </c>
      <c r="K734">
        <f t="shared" si="71"/>
        <v>0.42011676726157032</v>
      </c>
    </row>
    <row r="735" spans="1:11" ht="48" x14ac:dyDescent="0.2">
      <c r="A735" s="4" t="s">
        <v>3803</v>
      </c>
      <c r="B735">
        <v>139313</v>
      </c>
      <c r="C735">
        <v>2.93</v>
      </c>
      <c r="D735">
        <f t="shared" si="66"/>
        <v>81387.523611784025</v>
      </c>
      <c r="E735">
        <f t="shared" si="67"/>
        <v>81.387523611784019</v>
      </c>
      <c r="F735" s="7">
        <v>0.89185905224787365</v>
      </c>
      <c r="G735">
        <f t="shared" si="68"/>
        <v>5</v>
      </c>
      <c r="H735" s="7">
        <f t="shared" si="69"/>
        <v>0.10814094775212635</v>
      </c>
      <c r="I735">
        <f t="shared" si="70"/>
        <v>1</v>
      </c>
      <c r="J735">
        <f>VLOOKUP(A735,'Housing Cost Calc'!$A$2:$C$827,3,FALSE)</f>
        <v>2531</v>
      </c>
      <c r="K735">
        <f t="shared" si="71"/>
        <v>0.37317759101350106</v>
      </c>
    </row>
    <row r="736" spans="1:11" ht="64" x14ac:dyDescent="0.2">
      <c r="A736" s="4" t="s">
        <v>3238</v>
      </c>
      <c r="B736">
        <v>136719</v>
      </c>
      <c r="C736">
        <v>2.81</v>
      </c>
      <c r="D736">
        <f t="shared" si="66"/>
        <v>81559.717573107031</v>
      </c>
      <c r="E736">
        <f t="shared" si="67"/>
        <v>81.559717573107037</v>
      </c>
      <c r="F736" s="7">
        <v>0.89307411907654921</v>
      </c>
      <c r="G736">
        <f t="shared" si="68"/>
        <v>5</v>
      </c>
      <c r="H736" s="7">
        <f t="shared" si="69"/>
        <v>0.10692588092345079</v>
      </c>
      <c r="I736">
        <f t="shared" si="70"/>
        <v>1</v>
      </c>
      <c r="J736">
        <f>VLOOKUP(A736,'Housing Cost Calc'!$A$2:$C$827,3,FALSE)</f>
        <v>1985</v>
      </c>
      <c r="K736">
        <f t="shared" si="71"/>
        <v>0.29205594022133119</v>
      </c>
    </row>
    <row r="737" spans="1:11" ht="48" x14ac:dyDescent="0.2">
      <c r="A737" s="4" t="s">
        <v>3805</v>
      </c>
      <c r="B737">
        <v>144519</v>
      </c>
      <c r="C737">
        <v>3.07</v>
      </c>
      <c r="D737">
        <f t="shared" si="66"/>
        <v>82481.349902623188</v>
      </c>
      <c r="E737">
        <f t="shared" si="67"/>
        <v>82.481349902623194</v>
      </c>
      <c r="F737" s="7">
        <v>0.89428918590522477</v>
      </c>
      <c r="G737">
        <f t="shared" si="68"/>
        <v>5</v>
      </c>
      <c r="H737" s="7">
        <f t="shared" si="69"/>
        <v>0.10571081409477523</v>
      </c>
      <c r="I737">
        <f t="shared" si="70"/>
        <v>1</v>
      </c>
      <c r="J737">
        <f>VLOOKUP(A737,'Housing Cost Calc'!$A$2:$C$827,3,FALSE)</f>
        <v>2570</v>
      </c>
      <c r="K737">
        <f t="shared" si="71"/>
        <v>0.3739027069320453</v>
      </c>
    </row>
    <row r="738" spans="1:11" ht="64" x14ac:dyDescent="0.2">
      <c r="A738" s="4" t="s">
        <v>3025</v>
      </c>
      <c r="B738">
        <v>119375</v>
      </c>
      <c r="C738">
        <v>2.09</v>
      </c>
      <c r="D738">
        <f t="shared" si="66"/>
        <v>82573.414124012663</v>
      </c>
      <c r="E738">
        <f t="shared" si="67"/>
        <v>82.573414124012658</v>
      </c>
      <c r="F738" s="7">
        <v>0.89550425273390033</v>
      </c>
      <c r="G738">
        <f t="shared" si="68"/>
        <v>5</v>
      </c>
      <c r="H738" s="7">
        <f t="shared" si="69"/>
        <v>0.10449574726609967</v>
      </c>
      <c r="I738">
        <f t="shared" si="70"/>
        <v>1</v>
      </c>
      <c r="J738">
        <f>VLOOKUP(A738,'Housing Cost Calc'!$A$2:$C$827,3,FALSE)</f>
        <v>1488</v>
      </c>
      <c r="K738">
        <f t="shared" si="71"/>
        <v>0.21624393504164685</v>
      </c>
    </row>
    <row r="739" spans="1:11" ht="48" x14ac:dyDescent="0.2">
      <c r="A739" s="4" t="s">
        <v>3833</v>
      </c>
      <c r="B739">
        <v>140278</v>
      </c>
      <c r="C739">
        <v>2.88</v>
      </c>
      <c r="D739">
        <f t="shared" si="66"/>
        <v>82659.604209405428</v>
      </c>
      <c r="E739">
        <f t="shared" si="67"/>
        <v>82.65960420940543</v>
      </c>
      <c r="F739" s="7">
        <v>0.89671931956257589</v>
      </c>
      <c r="G739">
        <f t="shared" si="68"/>
        <v>5</v>
      </c>
      <c r="H739" s="7">
        <f t="shared" si="69"/>
        <v>0.10328068043742411</v>
      </c>
      <c r="I739">
        <f t="shared" si="70"/>
        <v>1</v>
      </c>
      <c r="J739">
        <f>VLOOKUP(A739,'Housing Cost Calc'!$A$2:$C$827,3,FALSE)</f>
        <v>2698</v>
      </c>
      <c r="K739">
        <f t="shared" si="71"/>
        <v>0.39167862355087463</v>
      </c>
    </row>
    <row r="740" spans="1:11" ht="48" x14ac:dyDescent="0.2">
      <c r="A740" s="4" t="s">
        <v>3788</v>
      </c>
      <c r="B740">
        <v>131992</v>
      </c>
      <c r="C740">
        <v>2.54</v>
      </c>
      <c r="D740">
        <f t="shared" si="66"/>
        <v>82819.146631795826</v>
      </c>
      <c r="E740">
        <f t="shared" si="67"/>
        <v>82.819146631795832</v>
      </c>
      <c r="F740" s="7">
        <v>0.89793438639125156</v>
      </c>
      <c r="G740">
        <f t="shared" si="68"/>
        <v>5</v>
      </c>
      <c r="H740" s="7">
        <f t="shared" si="69"/>
        <v>0.10206561360874844</v>
      </c>
      <c r="I740">
        <f t="shared" si="70"/>
        <v>1</v>
      </c>
      <c r="J740">
        <f>VLOOKUP(A740,'Housing Cost Calc'!$A$2:$C$827,3,FALSE)</f>
        <v>2518</v>
      </c>
      <c r="K740">
        <f t="shared" si="71"/>
        <v>0.36484317007438843</v>
      </c>
    </row>
    <row r="741" spans="1:11" ht="48" x14ac:dyDescent="0.2">
      <c r="A741" s="4" t="s">
        <v>3192</v>
      </c>
      <c r="B741">
        <v>131583</v>
      </c>
      <c r="C741">
        <v>2.52</v>
      </c>
      <c r="D741">
        <f t="shared" si="66"/>
        <v>82889.498753288572</v>
      </c>
      <c r="E741">
        <f t="shared" si="67"/>
        <v>82.889498753288578</v>
      </c>
      <c r="F741" s="7">
        <v>0.89914945321992712</v>
      </c>
      <c r="G741">
        <f t="shared" si="68"/>
        <v>5</v>
      </c>
      <c r="H741" s="7">
        <f t="shared" si="69"/>
        <v>0.10085054678007288</v>
      </c>
      <c r="I741">
        <f t="shared" si="70"/>
        <v>1</v>
      </c>
      <c r="J741">
        <f>VLOOKUP(A741,'Housing Cost Calc'!$A$2:$C$827,3,FALSE)</f>
        <v>1968</v>
      </c>
      <c r="K741">
        <f t="shared" si="71"/>
        <v>0.28490943189667983</v>
      </c>
    </row>
    <row r="742" spans="1:11" ht="48" x14ac:dyDescent="0.2">
      <c r="A742" s="4" t="s">
        <v>3710</v>
      </c>
      <c r="B742">
        <v>128623</v>
      </c>
      <c r="C742">
        <v>2.35</v>
      </c>
      <c r="D742">
        <f t="shared" si="66"/>
        <v>83904.393740352883</v>
      </c>
      <c r="E742">
        <f t="shared" si="67"/>
        <v>83.904393740352887</v>
      </c>
      <c r="F742" s="7">
        <v>0.90036452004860268</v>
      </c>
      <c r="G742">
        <f t="shared" si="68"/>
        <v>5</v>
      </c>
      <c r="H742" s="7">
        <f t="shared" si="69"/>
        <v>9.9635479951397321E-2</v>
      </c>
      <c r="I742">
        <f t="shared" si="70"/>
        <v>1</v>
      </c>
      <c r="J742">
        <f>VLOOKUP(A742,'Housing Cost Calc'!$A$2:$C$827,3,FALSE)</f>
        <v>2425</v>
      </c>
      <c r="K742">
        <f t="shared" si="71"/>
        <v>0.34682331523724103</v>
      </c>
    </row>
    <row r="743" spans="1:11" ht="48" x14ac:dyDescent="0.2">
      <c r="A743" s="4" t="s">
        <v>3316</v>
      </c>
      <c r="B743">
        <v>130694</v>
      </c>
      <c r="C743">
        <v>2.41</v>
      </c>
      <c r="D743">
        <f t="shared" si="66"/>
        <v>84187.40613083019</v>
      </c>
      <c r="E743">
        <f t="shared" si="67"/>
        <v>84.187406130830183</v>
      </c>
      <c r="F743" s="7">
        <v>0.90157958687727824</v>
      </c>
      <c r="G743">
        <f t="shared" si="68"/>
        <v>5</v>
      </c>
      <c r="H743" s="7">
        <f t="shared" si="69"/>
        <v>9.8420413122721762E-2</v>
      </c>
      <c r="I743">
        <f t="shared" si="70"/>
        <v>1</v>
      </c>
      <c r="J743">
        <f>VLOOKUP(A743,'Housing Cost Calc'!$A$2:$C$827,3,FALSE)</f>
        <v>2109</v>
      </c>
      <c r="K743">
        <f t="shared" si="71"/>
        <v>0.30061503451799521</v>
      </c>
    </row>
    <row r="744" spans="1:11" ht="48" x14ac:dyDescent="0.2">
      <c r="A744" s="4" t="s">
        <v>3614</v>
      </c>
      <c r="B744">
        <v>140625</v>
      </c>
      <c r="C744">
        <v>2.78</v>
      </c>
      <c r="D744">
        <f t="shared" si="66"/>
        <v>84341.270236509445</v>
      </c>
      <c r="E744">
        <f t="shared" si="67"/>
        <v>84.341270236509445</v>
      </c>
      <c r="F744" s="7">
        <v>0.9027946537059538</v>
      </c>
      <c r="G744">
        <f t="shared" si="68"/>
        <v>5</v>
      </c>
      <c r="H744" s="7">
        <f t="shared" si="69"/>
        <v>9.7205346294046202E-2</v>
      </c>
      <c r="I744">
        <f t="shared" si="70"/>
        <v>1</v>
      </c>
      <c r="J744">
        <f>VLOOKUP(A744,'Housing Cost Calc'!$A$2:$C$827,3,FALSE)</f>
        <v>2333</v>
      </c>
      <c r="K744">
        <f t="shared" si="71"/>
        <v>0.3319371396884791</v>
      </c>
    </row>
    <row r="745" spans="1:11" ht="48" x14ac:dyDescent="0.2">
      <c r="A745" s="4" t="s">
        <v>3210</v>
      </c>
      <c r="B745">
        <v>140000</v>
      </c>
      <c r="C745">
        <v>2.74</v>
      </c>
      <c r="D745">
        <f t="shared" si="66"/>
        <v>84577.09306622477</v>
      </c>
      <c r="E745">
        <f t="shared" si="67"/>
        <v>84.577093066224776</v>
      </c>
      <c r="F745" s="7">
        <v>0.90400972053462936</v>
      </c>
      <c r="G745">
        <f t="shared" si="68"/>
        <v>5</v>
      </c>
      <c r="H745" s="7">
        <f t="shared" si="69"/>
        <v>9.5990279465370643E-2</v>
      </c>
      <c r="I745">
        <f t="shared" si="70"/>
        <v>1</v>
      </c>
      <c r="J745">
        <f>VLOOKUP(A745,'Housing Cost Calc'!$A$2:$C$827,3,FALSE)</f>
        <v>2038</v>
      </c>
      <c r="K745">
        <f t="shared" si="71"/>
        <v>0.2891563083263064</v>
      </c>
    </row>
    <row r="746" spans="1:11" ht="48" x14ac:dyDescent="0.2">
      <c r="A746" s="4" t="s">
        <v>3669</v>
      </c>
      <c r="B746">
        <v>136495</v>
      </c>
      <c r="C746">
        <v>2.6</v>
      </c>
      <c r="D746">
        <f t="shared" si="66"/>
        <v>84650.60548877003</v>
      </c>
      <c r="E746">
        <f t="shared" si="67"/>
        <v>84.650605488770026</v>
      </c>
      <c r="F746" s="7">
        <v>0.90522478736330503</v>
      </c>
      <c r="G746">
        <f t="shared" si="68"/>
        <v>5</v>
      </c>
      <c r="H746" s="7">
        <f t="shared" si="69"/>
        <v>9.4775212636694972E-2</v>
      </c>
      <c r="I746">
        <f t="shared" si="70"/>
        <v>1</v>
      </c>
      <c r="J746">
        <f>VLOOKUP(A746,'Housing Cost Calc'!$A$2:$C$827,3,FALSE)</f>
        <v>2403</v>
      </c>
      <c r="K746">
        <f t="shared" si="71"/>
        <v>0.3406472976005524</v>
      </c>
    </row>
    <row r="747" spans="1:11" ht="48" x14ac:dyDescent="0.2">
      <c r="A747" s="4" t="s">
        <v>3462</v>
      </c>
      <c r="B747">
        <v>149107</v>
      </c>
      <c r="C747">
        <v>3.1</v>
      </c>
      <c r="D747">
        <f t="shared" si="66"/>
        <v>84687.085219077097</v>
      </c>
      <c r="E747">
        <f t="shared" si="67"/>
        <v>84.68708521907709</v>
      </c>
      <c r="F747" s="7">
        <v>0.90643985419198059</v>
      </c>
      <c r="G747">
        <f t="shared" si="68"/>
        <v>5</v>
      </c>
      <c r="H747" s="7">
        <f t="shared" si="69"/>
        <v>9.3560145808019413E-2</v>
      </c>
      <c r="I747">
        <f t="shared" si="70"/>
        <v>1</v>
      </c>
      <c r="J747">
        <f>VLOOKUP(A747,'Housing Cost Calc'!$A$2:$C$827,3,FALSE)</f>
        <v>2238</v>
      </c>
      <c r="K747">
        <f t="shared" si="71"/>
        <v>0.31712037237468016</v>
      </c>
    </row>
    <row r="748" spans="1:11" ht="48" x14ac:dyDescent="0.2">
      <c r="A748" s="4" t="s">
        <v>3851</v>
      </c>
      <c r="B748">
        <v>145625</v>
      </c>
      <c r="C748">
        <v>2.95</v>
      </c>
      <c r="D748">
        <f t="shared" si="66"/>
        <v>84786.152980826635</v>
      </c>
      <c r="E748">
        <f t="shared" si="67"/>
        <v>84.786152980826628</v>
      </c>
      <c r="F748" s="7">
        <v>0.90765492102065615</v>
      </c>
      <c r="G748">
        <f t="shared" si="68"/>
        <v>5</v>
      </c>
      <c r="H748" s="7">
        <f t="shared" si="69"/>
        <v>9.2345078979343853E-2</v>
      </c>
      <c r="I748">
        <f t="shared" si="70"/>
        <v>1</v>
      </c>
      <c r="J748">
        <f>VLOOKUP(A748,'Housing Cost Calc'!$A$2:$C$827,3,FALSE)</f>
        <v>3144</v>
      </c>
      <c r="K748">
        <f t="shared" si="71"/>
        <v>0.44497832102998863</v>
      </c>
    </row>
    <row r="749" spans="1:11" ht="48" x14ac:dyDescent="0.2">
      <c r="A749" s="4" t="s">
        <v>3521</v>
      </c>
      <c r="B749">
        <v>130962</v>
      </c>
      <c r="C749">
        <v>2.36</v>
      </c>
      <c r="D749">
        <f t="shared" si="66"/>
        <v>85249.000799353278</v>
      </c>
      <c r="E749">
        <f t="shared" si="67"/>
        <v>85.249000799353283</v>
      </c>
      <c r="F749" s="7">
        <v>0.90886998784933171</v>
      </c>
      <c r="G749">
        <f t="shared" si="68"/>
        <v>5</v>
      </c>
      <c r="H749" s="7">
        <f t="shared" si="69"/>
        <v>9.1130012150668294E-2</v>
      </c>
      <c r="I749">
        <f t="shared" si="70"/>
        <v>1</v>
      </c>
      <c r="J749">
        <f>VLOOKUP(A749,'Housing Cost Calc'!$A$2:$C$827,3,FALSE)</f>
        <v>2282</v>
      </c>
      <c r="K749">
        <f t="shared" si="71"/>
        <v>0.32122370635701036</v>
      </c>
    </row>
    <row r="750" spans="1:11" ht="48" x14ac:dyDescent="0.2">
      <c r="A750" s="4" t="s">
        <v>3560</v>
      </c>
      <c r="B750">
        <v>139000</v>
      </c>
      <c r="C750">
        <v>2.65</v>
      </c>
      <c r="D750">
        <f t="shared" si="66"/>
        <v>85387.021239919224</v>
      </c>
      <c r="E750">
        <f t="shared" si="67"/>
        <v>85.387021239919221</v>
      </c>
      <c r="F750" s="7">
        <v>0.91008505467800727</v>
      </c>
      <c r="G750">
        <f t="shared" si="68"/>
        <v>5</v>
      </c>
      <c r="H750" s="7">
        <f t="shared" si="69"/>
        <v>8.9914945321992734E-2</v>
      </c>
      <c r="I750">
        <f t="shared" si="70"/>
        <v>1</v>
      </c>
      <c r="J750">
        <f>VLOOKUP(A750,'Housing Cost Calc'!$A$2:$C$827,3,FALSE)</f>
        <v>2313</v>
      </c>
      <c r="K750">
        <f t="shared" si="71"/>
        <v>0.32506111112614633</v>
      </c>
    </row>
    <row r="751" spans="1:11" ht="48" x14ac:dyDescent="0.2">
      <c r="A751" s="4" t="s">
        <v>3778</v>
      </c>
      <c r="B751">
        <v>138686</v>
      </c>
      <c r="C751">
        <v>2.61</v>
      </c>
      <c r="D751">
        <f t="shared" si="66"/>
        <v>85844.478901408715</v>
      </c>
      <c r="E751">
        <f t="shared" si="67"/>
        <v>85.844478901408721</v>
      </c>
      <c r="F751" s="7">
        <v>0.91130012150668283</v>
      </c>
      <c r="G751">
        <f t="shared" si="68"/>
        <v>5</v>
      </c>
      <c r="H751" s="7">
        <f t="shared" si="69"/>
        <v>8.8699878493317175E-2</v>
      </c>
      <c r="I751">
        <f t="shared" si="70"/>
        <v>1</v>
      </c>
      <c r="J751">
        <f>VLOOKUP(A751,'Housing Cost Calc'!$A$2:$C$827,3,FALSE)</f>
        <v>2581</v>
      </c>
      <c r="K751">
        <f t="shared" si="71"/>
        <v>0.36079198565082965</v>
      </c>
    </row>
    <row r="752" spans="1:11" ht="48" x14ac:dyDescent="0.2">
      <c r="A752" s="4" t="s">
        <v>3817</v>
      </c>
      <c r="B752">
        <v>145125</v>
      </c>
      <c r="C752">
        <v>2.84</v>
      </c>
      <c r="D752">
        <f t="shared" si="66"/>
        <v>86115.844072691485</v>
      </c>
      <c r="E752">
        <f t="shared" si="67"/>
        <v>86.115844072691488</v>
      </c>
      <c r="F752" s="7">
        <v>0.9125151883353585</v>
      </c>
      <c r="G752">
        <f t="shared" si="68"/>
        <v>5</v>
      </c>
      <c r="H752" s="7">
        <f t="shared" si="69"/>
        <v>8.7484811664641504E-2</v>
      </c>
      <c r="I752">
        <f t="shared" si="70"/>
        <v>1</v>
      </c>
      <c r="J752">
        <f>VLOOKUP(A752,'Housing Cost Calc'!$A$2:$C$827,3,FALSE)</f>
        <v>2718</v>
      </c>
      <c r="K752">
        <f t="shared" si="71"/>
        <v>0.37874563445570386</v>
      </c>
    </row>
    <row r="753" spans="1:11" ht="48" x14ac:dyDescent="0.2">
      <c r="A753" s="4" t="s">
        <v>3118</v>
      </c>
      <c r="B753">
        <v>142566</v>
      </c>
      <c r="C753">
        <v>2.74</v>
      </c>
      <c r="D753">
        <f t="shared" si="66"/>
        <v>86127.270357710004</v>
      </c>
      <c r="E753">
        <f t="shared" si="67"/>
        <v>86.127270357710003</v>
      </c>
      <c r="F753" s="7">
        <v>0.91373025516403406</v>
      </c>
      <c r="G753">
        <f t="shared" si="68"/>
        <v>5</v>
      </c>
      <c r="H753" s="7">
        <f t="shared" si="69"/>
        <v>8.6269744835965945E-2</v>
      </c>
      <c r="I753">
        <f t="shared" si="70"/>
        <v>1</v>
      </c>
      <c r="J753">
        <f>VLOOKUP(A753,'Housing Cost Calc'!$A$2:$C$827,3,FALSE)</f>
        <v>1910</v>
      </c>
      <c r="K753">
        <f t="shared" si="71"/>
        <v>0.26611780339498742</v>
      </c>
    </row>
    <row r="754" spans="1:11" ht="48" x14ac:dyDescent="0.2">
      <c r="A754" s="4" t="s">
        <v>3138</v>
      </c>
      <c r="B754">
        <v>141914</v>
      </c>
      <c r="C754">
        <v>2.69</v>
      </c>
      <c r="D754">
        <f t="shared" si="66"/>
        <v>86526.492915223251</v>
      </c>
      <c r="E754">
        <f t="shared" si="67"/>
        <v>86.526492915223244</v>
      </c>
      <c r="F754" s="7">
        <v>0.91494532199270961</v>
      </c>
      <c r="G754">
        <f t="shared" si="68"/>
        <v>5</v>
      </c>
      <c r="H754" s="7">
        <f t="shared" si="69"/>
        <v>8.5054678007290385E-2</v>
      </c>
      <c r="I754">
        <f t="shared" si="70"/>
        <v>1</v>
      </c>
      <c r="J754">
        <f>VLOOKUP(A754,'Housing Cost Calc'!$A$2:$C$827,3,FALSE)</f>
        <v>1960</v>
      </c>
      <c r="K754">
        <f t="shared" si="71"/>
        <v>0.27182426107393926</v>
      </c>
    </row>
    <row r="755" spans="1:11" ht="48" x14ac:dyDescent="0.2">
      <c r="A755" s="4" t="s">
        <v>3628</v>
      </c>
      <c r="B755">
        <v>143141</v>
      </c>
      <c r="C755">
        <v>2.73</v>
      </c>
      <c r="D755">
        <f t="shared" si="66"/>
        <v>86632.874253745045</v>
      </c>
      <c r="E755">
        <f t="shared" si="67"/>
        <v>86.632874253745044</v>
      </c>
      <c r="F755" s="7">
        <v>0.91616038882138517</v>
      </c>
      <c r="G755">
        <f t="shared" si="68"/>
        <v>5</v>
      </c>
      <c r="H755" s="7">
        <f t="shared" si="69"/>
        <v>8.3839611178614826E-2</v>
      </c>
      <c r="I755">
        <f t="shared" si="70"/>
        <v>1</v>
      </c>
      <c r="J755">
        <f>VLOOKUP(A755,'Housing Cost Calc'!$A$2:$C$827,3,FALSE)</f>
        <v>2407</v>
      </c>
      <c r="K755">
        <f t="shared" si="71"/>
        <v>0.33340692258921995</v>
      </c>
    </row>
    <row r="756" spans="1:11" ht="48" x14ac:dyDescent="0.2">
      <c r="A756" s="4" t="s">
        <v>3849</v>
      </c>
      <c r="B756">
        <v>138542</v>
      </c>
      <c r="C756">
        <v>2.5099999999999998</v>
      </c>
      <c r="D756">
        <f t="shared" si="66"/>
        <v>87446.934993975854</v>
      </c>
      <c r="E756">
        <f t="shared" si="67"/>
        <v>87.446934993975859</v>
      </c>
      <c r="F756" s="7">
        <v>0.91737545565006073</v>
      </c>
      <c r="G756">
        <f t="shared" si="68"/>
        <v>5</v>
      </c>
      <c r="H756" s="7">
        <f t="shared" si="69"/>
        <v>8.2624544349939266E-2</v>
      </c>
      <c r="I756">
        <f t="shared" si="70"/>
        <v>1</v>
      </c>
      <c r="J756">
        <f>VLOOKUP(A756,'Housing Cost Calc'!$A$2:$C$827,3,FALSE)</f>
        <v>3132</v>
      </c>
      <c r="K756">
        <f t="shared" si="71"/>
        <v>0.42979207907731848</v>
      </c>
    </row>
    <row r="757" spans="1:11" ht="48" x14ac:dyDescent="0.2">
      <c r="A757" s="4" t="s">
        <v>3814</v>
      </c>
      <c r="B757">
        <v>143182</v>
      </c>
      <c r="C757">
        <v>2.64</v>
      </c>
      <c r="D757">
        <f t="shared" si="66"/>
        <v>88122.429307014099</v>
      </c>
      <c r="E757">
        <f t="shared" si="67"/>
        <v>88.122429307014102</v>
      </c>
      <c r="F757" s="7">
        <v>0.91859052247873629</v>
      </c>
      <c r="G757">
        <f t="shared" si="68"/>
        <v>5</v>
      </c>
      <c r="H757" s="7">
        <f t="shared" si="69"/>
        <v>8.1409477521263707E-2</v>
      </c>
      <c r="I757">
        <f t="shared" si="70"/>
        <v>1</v>
      </c>
      <c r="J757">
        <f>VLOOKUP(A757,'Housing Cost Calc'!$A$2:$C$827,3,FALSE)</f>
        <v>2775</v>
      </c>
      <c r="K757">
        <f t="shared" si="71"/>
        <v>0.37788336365517661</v>
      </c>
    </row>
    <row r="758" spans="1:11" ht="64" x14ac:dyDescent="0.2">
      <c r="A758" s="4" t="s">
        <v>3070</v>
      </c>
      <c r="B758">
        <v>139236</v>
      </c>
      <c r="C758">
        <v>2.4900000000000002</v>
      </c>
      <c r="D758">
        <f t="shared" si="66"/>
        <v>88237.229746026205</v>
      </c>
      <c r="E758">
        <f t="shared" si="67"/>
        <v>88.237229746026202</v>
      </c>
      <c r="F758" s="7">
        <v>0.91980558930741185</v>
      </c>
      <c r="G758">
        <f t="shared" si="68"/>
        <v>5</v>
      </c>
      <c r="H758" s="7">
        <f t="shared" si="69"/>
        <v>8.0194410692588147E-2</v>
      </c>
      <c r="I758">
        <f t="shared" si="70"/>
        <v>1</v>
      </c>
      <c r="J758">
        <f>VLOOKUP(A758,'Housing Cost Calc'!$A$2:$C$827,3,FALSE)</f>
        <v>1892</v>
      </c>
      <c r="K758">
        <f t="shared" si="71"/>
        <v>0.25730635543918445</v>
      </c>
    </row>
    <row r="759" spans="1:11" ht="48" x14ac:dyDescent="0.2">
      <c r="A759" s="4" t="s">
        <v>3828</v>
      </c>
      <c r="B759">
        <v>144375</v>
      </c>
      <c r="C759">
        <v>2.65</v>
      </c>
      <c r="D759">
        <f t="shared" si="66"/>
        <v>88688.857492901705</v>
      </c>
      <c r="E759">
        <f t="shared" si="67"/>
        <v>88.688857492901704</v>
      </c>
      <c r="F759" s="7">
        <v>0.92102065613608752</v>
      </c>
      <c r="G759">
        <f t="shared" si="68"/>
        <v>5</v>
      </c>
      <c r="H759" s="7">
        <f t="shared" si="69"/>
        <v>7.8979343863912477E-2</v>
      </c>
      <c r="I759">
        <f t="shared" si="70"/>
        <v>1</v>
      </c>
      <c r="J759">
        <f>VLOOKUP(A759,'Housing Cost Calc'!$A$2:$C$827,3,FALSE)</f>
        <v>2854</v>
      </c>
      <c r="K759">
        <f t="shared" si="71"/>
        <v>0.38615899413002441</v>
      </c>
    </row>
    <row r="760" spans="1:11" ht="64" x14ac:dyDescent="0.2">
      <c r="A760" s="4" t="s">
        <v>3487</v>
      </c>
      <c r="B760">
        <v>147778</v>
      </c>
      <c r="C760">
        <v>2.77</v>
      </c>
      <c r="D760">
        <f t="shared" si="66"/>
        <v>88791.194810140238</v>
      </c>
      <c r="E760">
        <f t="shared" si="67"/>
        <v>88.79119481014024</v>
      </c>
      <c r="F760" s="7">
        <v>0.92223572296476308</v>
      </c>
      <c r="G760">
        <f t="shared" si="68"/>
        <v>5</v>
      </c>
      <c r="H760" s="7">
        <f t="shared" si="69"/>
        <v>7.7764277035236917E-2</v>
      </c>
      <c r="I760">
        <f t="shared" si="70"/>
        <v>1</v>
      </c>
      <c r="J760">
        <f>VLOOKUP(A760,'Housing Cost Calc'!$A$2:$C$827,3,FALSE)</f>
        <v>2361</v>
      </c>
      <c r="K760">
        <f t="shared" si="71"/>
        <v>0.3190856938076071</v>
      </c>
    </row>
    <row r="761" spans="1:11" ht="48" x14ac:dyDescent="0.2">
      <c r="A761" s="4" t="s">
        <v>3767</v>
      </c>
      <c r="B761">
        <v>148804</v>
      </c>
      <c r="C761">
        <v>2.76</v>
      </c>
      <c r="D761">
        <f t="shared" si="66"/>
        <v>89569.482412874</v>
      </c>
      <c r="E761">
        <f t="shared" si="67"/>
        <v>89.569482412873995</v>
      </c>
      <c r="F761" s="7">
        <v>0.92345078979343864</v>
      </c>
      <c r="G761">
        <f t="shared" si="68"/>
        <v>5</v>
      </c>
      <c r="H761" s="7">
        <f t="shared" si="69"/>
        <v>7.6549210206561358E-2</v>
      </c>
      <c r="I761">
        <f t="shared" si="70"/>
        <v>1</v>
      </c>
      <c r="J761">
        <f>VLOOKUP(A761,'Housing Cost Calc'!$A$2:$C$827,3,FALSE)</f>
        <v>2670</v>
      </c>
      <c r="K761">
        <f t="shared" si="71"/>
        <v>0.35771112143207862</v>
      </c>
    </row>
    <row r="762" spans="1:11" ht="48" x14ac:dyDescent="0.2">
      <c r="A762" s="4" t="s">
        <v>3074</v>
      </c>
      <c r="B762">
        <v>138542</v>
      </c>
      <c r="C762">
        <v>2.35</v>
      </c>
      <c r="D762">
        <f t="shared" si="66"/>
        <v>90374.835896969977</v>
      </c>
      <c r="E762">
        <f t="shared" si="67"/>
        <v>90.374835896969984</v>
      </c>
      <c r="F762" s="7">
        <v>0.9246658566221142</v>
      </c>
      <c r="G762">
        <f t="shared" si="68"/>
        <v>5</v>
      </c>
      <c r="H762" s="7">
        <f t="shared" si="69"/>
        <v>7.5334143377885798E-2</v>
      </c>
      <c r="I762">
        <f t="shared" si="70"/>
        <v>1</v>
      </c>
      <c r="J762">
        <f>VLOOKUP(A762,'Housing Cost Calc'!$A$2:$C$827,3,FALSE)</f>
        <v>1949</v>
      </c>
      <c r="K762">
        <f t="shared" si="71"/>
        <v>0.25878885165183613</v>
      </c>
    </row>
    <row r="763" spans="1:11" ht="64" x14ac:dyDescent="0.2">
      <c r="A763" s="4" t="s">
        <v>3605</v>
      </c>
      <c r="B763">
        <v>153267</v>
      </c>
      <c r="C763">
        <v>2.87</v>
      </c>
      <c r="D763">
        <f t="shared" si="66"/>
        <v>90470.649540185113</v>
      </c>
      <c r="E763">
        <f t="shared" si="67"/>
        <v>90.470649540185107</v>
      </c>
      <c r="F763" s="7">
        <v>0.92588092345078976</v>
      </c>
      <c r="G763">
        <f t="shared" si="68"/>
        <v>5</v>
      </c>
      <c r="H763" s="7">
        <f t="shared" si="69"/>
        <v>7.4119076549210239E-2</v>
      </c>
      <c r="I763">
        <f t="shared" si="70"/>
        <v>1</v>
      </c>
      <c r="J763">
        <f>VLOOKUP(A763,'Housing Cost Calc'!$A$2:$C$827,3,FALSE)</f>
        <v>2492</v>
      </c>
      <c r="K763">
        <f t="shared" si="71"/>
        <v>0.33053813752842892</v>
      </c>
    </row>
    <row r="764" spans="1:11" ht="48" x14ac:dyDescent="0.2">
      <c r="A764" s="4" t="s">
        <v>3619</v>
      </c>
      <c r="B764">
        <v>163315</v>
      </c>
      <c r="C764">
        <v>3.16</v>
      </c>
      <c r="D764">
        <f t="shared" si="66"/>
        <v>91871.865269866801</v>
      </c>
      <c r="E764">
        <f t="shared" si="67"/>
        <v>91.871865269866802</v>
      </c>
      <c r="F764" s="7">
        <v>0.92709599027946532</v>
      </c>
      <c r="G764">
        <f t="shared" si="68"/>
        <v>5</v>
      </c>
      <c r="H764" s="7">
        <f t="shared" si="69"/>
        <v>7.2904009720534679E-2</v>
      </c>
      <c r="I764">
        <f t="shared" si="70"/>
        <v>1</v>
      </c>
      <c r="J764">
        <f>VLOOKUP(A764,'Housing Cost Calc'!$A$2:$C$827,3,FALSE)</f>
        <v>2544</v>
      </c>
      <c r="K764">
        <f t="shared" si="71"/>
        <v>0.33228888855501365</v>
      </c>
    </row>
    <row r="765" spans="1:11" ht="48" x14ac:dyDescent="0.2">
      <c r="A765" s="4" t="s">
        <v>3529</v>
      </c>
      <c r="B765">
        <v>152708</v>
      </c>
      <c r="C765">
        <v>2.75</v>
      </c>
      <c r="D765">
        <f t="shared" si="66"/>
        <v>92086.388815562255</v>
      </c>
      <c r="E765">
        <f t="shared" si="67"/>
        <v>92.086388815562259</v>
      </c>
      <c r="F765" s="7">
        <v>0.92831105710814099</v>
      </c>
      <c r="G765">
        <f t="shared" si="68"/>
        <v>5</v>
      </c>
      <c r="H765" s="7">
        <f t="shared" si="69"/>
        <v>7.1688942891859009E-2</v>
      </c>
      <c r="I765">
        <f t="shared" si="70"/>
        <v>1</v>
      </c>
      <c r="J765">
        <f>VLOOKUP(A765,'Housing Cost Calc'!$A$2:$C$827,3,FALSE)</f>
        <v>2467</v>
      </c>
      <c r="K765">
        <f t="shared" si="71"/>
        <v>0.32148073543521377</v>
      </c>
    </row>
    <row r="766" spans="1:11" ht="48" x14ac:dyDescent="0.2">
      <c r="A766" s="4" t="s">
        <v>3290</v>
      </c>
      <c r="B766">
        <v>144250</v>
      </c>
      <c r="C766">
        <v>2.4500000000000002</v>
      </c>
      <c r="D766">
        <f t="shared" si="66"/>
        <v>92157.944501241334</v>
      </c>
      <c r="E766">
        <f t="shared" si="67"/>
        <v>92.157944501241332</v>
      </c>
      <c r="F766" s="7">
        <v>0.92952612393681655</v>
      </c>
      <c r="G766">
        <f t="shared" si="68"/>
        <v>5</v>
      </c>
      <c r="H766" s="7">
        <f t="shared" si="69"/>
        <v>7.0473876063183449E-2</v>
      </c>
      <c r="I766">
        <f t="shared" si="70"/>
        <v>1</v>
      </c>
      <c r="J766">
        <f>VLOOKUP(A766,'Housing Cost Calc'!$A$2:$C$827,3,FALSE)</f>
        <v>2291</v>
      </c>
      <c r="K766">
        <f t="shared" si="71"/>
        <v>0.29831394513828041</v>
      </c>
    </row>
    <row r="767" spans="1:11" ht="64" x14ac:dyDescent="0.2">
      <c r="A767" s="4" t="s">
        <v>3066</v>
      </c>
      <c r="B767">
        <v>144886</v>
      </c>
      <c r="C767">
        <v>2.46</v>
      </c>
      <c r="D767">
        <f t="shared" si="66"/>
        <v>92375.939648894826</v>
      </c>
      <c r="E767">
        <f t="shared" si="67"/>
        <v>92.375939648894828</v>
      </c>
      <c r="F767" s="7">
        <v>0.93074119076549211</v>
      </c>
      <c r="G767">
        <f t="shared" si="68"/>
        <v>5</v>
      </c>
      <c r="H767" s="7">
        <f t="shared" si="69"/>
        <v>6.925880923450789E-2</v>
      </c>
      <c r="I767">
        <f t="shared" si="70"/>
        <v>1</v>
      </c>
      <c r="J767">
        <f>VLOOKUP(A767,'Housing Cost Calc'!$A$2:$C$827,3,FALSE)</f>
        <v>1967</v>
      </c>
      <c r="K767">
        <f t="shared" si="71"/>
        <v>0.25552108146033237</v>
      </c>
    </row>
    <row r="768" spans="1:11" ht="64" x14ac:dyDescent="0.2">
      <c r="A768" s="4" t="s">
        <v>3242</v>
      </c>
      <c r="B768">
        <v>153878</v>
      </c>
      <c r="C768">
        <v>2.77</v>
      </c>
      <c r="D768">
        <f t="shared" si="66"/>
        <v>92456.329595709496</v>
      </c>
      <c r="E768">
        <f t="shared" si="67"/>
        <v>92.456329595709491</v>
      </c>
      <c r="F768" s="7">
        <v>0.93195625759416767</v>
      </c>
      <c r="G768">
        <f t="shared" si="68"/>
        <v>5</v>
      </c>
      <c r="H768" s="7">
        <f t="shared" si="69"/>
        <v>6.804374240583233E-2</v>
      </c>
      <c r="I768">
        <f t="shared" si="70"/>
        <v>1</v>
      </c>
      <c r="J768">
        <f>VLOOKUP(A768,'Housing Cost Calc'!$A$2:$C$827,3,FALSE)</f>
        <v>2253</v>
      </c>
      <c r="K768">
        <f t="shared" si="71"/>
        <v>0.29241913580413886</v>
      </c>
    </row>
    <row r="769" spans="1:11" ht="48" x14ac:dyDescent="0.2">
      <c r="A769" s="4" t="s">
        <v>3441</v>
      </c>
      <c r="B769">
        <v>141765</v>
      </c>
      <c r="C769">
        <v>2.34</v>
      </c>
      <c r="D769">
        <f t="shared" si="66"/>
        <v>92674.67965954887</v>
      </c>
      <c r="E769">
        <f t="shared" si="67"/>
        <v>92.674679659548872</v>
      </c>
      <c r="F769" s="7">
        <v>0.93317132442284323</v>
      </c>
      <c r="G769">
        <f t="shared" si="68"/>
        <v>5</v>
      </c>
      <c r="H769" s="7">
        <f t="shared" si="69"/>
        <v>6.6828675577156771E-2</v>
      </c>
      <c r="I769">
        <f t="shared" si="70"/>
        <v>1</v>
      </c>
      <c r="J769">
        <f>VLOOKUP(A769,'Housing Cost Calc'!$A$2:$C$827,3,FALSE)</f>
        <v>2426</v>
      </c>
      <c r="K769">
        <f t="shared" si="71"/>
        <v>0.3141311101041438</v>
      </c>
    </row>
    <row r="770" spans="1:11" ht="48" x14ac:dyDescent="0.2">
      <c r="A770" s="4" t="s">
        <v>3679</v>
      </c>
      <c r="B770">
        <v>163438</v>
      </c>
      <c r="C770">
        <v>2.99</v>
      </c>
      <c r="D770">
        <f t="shared" ref="D770:D833" si="72">(B770/(C770)^0.5)</f>
        <v>94518.635850698367</v>
      </c>
      <c r="E770">
        <f t="shared" ref="E770:E833" si="73">D770/1000</f>
        <v>94.518635850698374</v>
      </c>
      <c r="F770" s="7">
        <v>0.93438639125151879</v>
      </c>
      <c r="G770">
        <f t="shared" si="68"/>
        <v>5</v>
      </c>
      <c r="H770" s="7">
        <f t="shared" si="69"/>
        <v>6.5613608748481211E-2</v>
      </c>
      <c r="I770">
        <f t="shared" si="70"/>
        <v>1</v>
      </c>
      <c r="J770">
        <f>VLOOKUP(A770,'Housing Cost Calc'!$A$2:$C$827,3,FALSE)</f>
        <v>2692</v>
      </c>
      <c r="K770">
        <f t="shared" si="71"/>
        <v>0.34177387040400581</v>
      </c>
    </row>
    <row r="771" spans="1:11" ht="64" x14ac:dyDescent="0.2">
      <c r="A771" s="4" t="s">
        <v>3264</v>
      </c>
      <c r="B771">
        <v>169688</v>
      </c>
      <c r="C771">
        <v>3.17</v>
      </c>
      <c r="D771">
        <f t="shared" si="72"/>
        <v>95306.275912928046</v>
      </c>
      <c r="E771">
        <f t="shared" si="73"/>
        <v>95.306275912928044</v>
      </c>
      <c r="F771" s="7">
        <v>0.93560145808019446</v>
      </c>
      <c r="G771">
        <f t="shared" ref="G771:G834" si="74">IF(F771&lt;0.2,1,IF(F771&lt;0.4,2,IF(F771&lt;0.6,3,IF(F771&lt;0.8,4,5))))</f>
        <v>5</v>
      </c>
      <c r="H771" s="7">
        <f t="shared" ref="H771:H834" si="75">1-F771</f>
        <v>6.4398541919805541E-2</v>
      </c>
      <c r="I771">
        <f t="shared" ref="I771:I834" si="76">6-G771</f>
        <v>1</v>
      </c>
      <c r="J771">
        <f>VLOOKUP(A771,'Housing Cost Calc'!$A$2:$C$827,3,FALSE)</f>
        <v>2347</v>
      </c>
      <c r="K771">
        <f t="shared" ref="K771:K834" si="77">(J771*12)/D771</f>
        <v>0.29551044493366496</v>
      </c>
    </row>
    <row r="772" spans="1:11" ht="64" x14ac:dyDescent="0.2">
      <c r="A772" s="4" t="s">
        <v>3839</v>
      </c>
      <c r="B772">
        <v>166677</v>
      </c>
      <c r="C772">
        <v>3.05</v>
      </c>
      <c r="D772">
        <f t="shared" si="72"/>
        <v>95438.972568432611</v>
      </c>
      <c r="E772">
        <f t="shared" si="73"/>
        <v>95.438972568432618</v>
      </c>
      <c r="F772" s="7">
        <v>0.93681652490887002</v>
      </c>
      <c r="G772">
        <f t="shared" si="74"/>
        <v>5</v>
      </c>
      <c r="H772" s="7">
        <f t="shared" si="75"/>
        <v>6.3183475091129981E-2</v>
      </c>
      <c r="I772">
        <f t="shared" si="76"/>
        <v>1</v>
      </c>
      <c r="J772">
        <f>VLOOKUP(A772,'Housing Cost Calc'!$A$2:$C$827,3,FALSE)</f>
        <v>3214</v>
      </c>
      <c r="K772">
        <f t="shared" si="77"/>
        <v>0.40411164288619711</v>
      </c>
    </row>
    <row r="773" spans="1:11" ht="48" x14ac:dyDescent="0.2">
      <c r="A773" s="4" t="s">
        <v>3795</v>
      </c>
      <c r="B773">
        <v>159338</v>
      </c>
      <c r="C773">
        <v>2.75</v>
      </c>
      <c r="D773">
        <f t="shared" si="72"/>
        <v>96084.429244663406</v>
      </c>
      <c r="E773">
        <f t="shared" si="73"/>
        <v>96.084429244663411</v>
      </c>
      <c r="F773" s="7">
        <v>0.93803159173754558</v>
      </c>
      <c r="G773">
        <f t="shared" si="74"/>
        <v>5</v>
      </c>
      <c r="H773" s="7">
        <f t="shared" si="75"/>
        <v>6.1968408262454422E-2</v>
      </c>
      <c r="I773">
        <f t="shared" si="76"/>
        <v>1</v>
      </c>
      <c r="J773">
        <f>VLOOKUP(A773,'Housing Cost Calc'!$A$2:$C$827,3,FALSE)</f>
        <v>2946</v>
      </c>
      <c r="K773">
        <f t="shared" si="77"/>
        <v>0.36792641927426001</v>
      </c>
    </row>
    <row r="774" spans="1:11" ht="48" x14ac:dyDescent="0.2">
      <c r="A774" s="4" t="s">
        <v>3341</v>
      </c>
      <c r="B774">
        <v>164063</v>
      </c>
      <c r="C774">
        <v>2.89</v>
      </c>
      <c r="D774">
        <f t="shared" si="72"/>
        <v>96507.647058823539</v>
      </c>
      <c r="E774">
        <f t="shared" si="73"/>
        <v>96.507647058823537</v>
      </c>
      <c r="F774" s="7">
        <v>0.93924665856622114</v>
      </c>
      <c r="G774">
        <f t="shared" si="74"/>
        <v>5</v>
      </c>
      <c r="H774" s="7">
        <f t="shared" si="75"/>
        <v>6.0753341433778862E-2</v>
      </c>
      <c r="I774">
        <f t="shared" si="76"/>
        <v>1</v>
      </c>
      <c r="J774">
        <f>VLOOKUP(A774,'Housing Cost Calc'!$A$2:$C$827,3,FALSE)</f>
        <v>2436</v>
      </c>
      <c r="K774">
        <f t="shared" si="77"/>
        <v>0.30289827688144183</v>
      </c>
    </row>
    <row r="775" spans="1:11" ht="64" x14ac:dyDescent="0.2">
      <c r="A775" s="4" t="s">
        <v>3268</v>
      </c>
      <c r="B775">
        <v>168672</v>
      </c>
      <c r="C775">
        <v>3.01</v>
      </c>
      <c r="D775">
        <f t="shared" si="72"/>
        <v>97220.924535008729</v>
      </c>
      <c r="E775">
        <f t="shared" si="73"/>
        <v>97.220924535008734</v>
      </c>
      <c r="F775" s="7">
        <v>0.9404617253948967</v>
      </c>
      <c r="G775">
        <f t="shared" si="74"/>
        <v>5</v>
      </c>
      <c r="H775" s="7">
        <f t="shared" si="75"/>
        <v>5.9538274605103303E-2</v>
      </c>
      <c r="I775">
        <f t="shared" si="76"/>
        <v>1</v>
      </c>
      <c r="J775">
        <f>VLOOKUP(A775,'Housing Cost Calc'!$A$2:$C$827,3,FALSE)</f>
        <v>2397</v>
      </c>
      <c r="K775">
        <f t="shared" si="77"/>
        <v>0.29586223477685852</v>
      </c>
    </row>
    <row r="776" spans="1:11" ht="48" x14ac:dyDescent="0.2">
      <c r="A776" s="4" t="s">
        <v>3704</v>
      </c>
      <c r="B776">
        <v>166908</v>
      </c>
      <c r="C776">
        <v>2.89</v>
      </c>
      <c r="D776">
        <f t="shared" si="72"/>
        <v>98181.176470588238</v>
      </c>
      <c r="E776">
        <f t="shared" si="73"/>
        <v>98.181176470588241</v>
      </c>
      <c r="F776" s="7">
        <v>0.94167679222357226</v>
      </c>
      <c r="G776">
        <f t="shared" si="74"/>
        <v>5</v>
      </c>
      <c r="H776" s="7">
        <f t="shared" si="75"/>
        <v>5.8323207776427743E-2</v>
      </c>
      <c r="I776">
        <f t="shared" si="76"/>
        <v>1</v>
      </c>
      <c r="J776">
        <f>VLOOKUP(A776,'Housing Cost Calc'!$A$2:$C$827,3,FALSE)</f>
        <v>2824</v>
      </c>
      <c r="K776">
        <f t="shared" si="77"/>
        <v>0.34515781148896396</v>
      </c>
    </row>
    <row r="777" spans="1:11" ht="48" x14ac:dyDescent="0.2">
      <c r="A777" s="4" t="s">
        <v>3523</v>
      </c>
      <c r="B777">
        <v>167400</v>
      </c>
      <c r="C777">
        <v>2.88</v>
      </c>
      <c r="D777">
        <f t="shared" si="72"/>
        <v>98641.395975523381</v>
      </c>
      <c r="E777">
        <f t="shared" si="73"/>
        <v>98.64139597552338</v>
      </c>
      <c r="F777" s="7">
        <v>0.94289185905224793</v>
      </c>
      <c r="G777">
        <f t="shared" si="74"/>
        <v>5</v>
      </c>
      <c r="H777" s="7">
        <f t="shared" si="75"/>
        <v>5.7108140947752073E-2</v>
      </c>
      <c r="I777">
        <f t="shared" si="76"/>
        <v>1</v>
      </c>
      <c r="J777">
        <f>VLOOKUP(A777,'Housing Cost Calc'!$A$2:$C$827,3,FALSE)</f>
        <v>2642</v>
      </c>
      <c r="K777">
        <f t="shared" si="77"/>
        <v>0.32140664359481436</v>
      </c>
    </row>
    <row r="778" spans="1:11" ht="48" x14ac:dyDescent="0.2">
      <c r="A778" s="4" t="s">
        <v>3838</v>
      </c>
      <c r="B778">
        <v>170972</v>
      </c>
      <c r="C778">
        <v>2.98</v>
      </c>
      <c r="D778">
        <f t="shared" si="72"/>
        <v>99041.420363658995</v>
      </c>
      <c r="E778">
        <f t="shared" si="73"/>
        <v>99.041420363659</v>
      </c>
      <c r="F778" s="7">
        <v>0.94410692588092349</v>
      </c>
      <c r="G778">
        <f t="shared" si="74"/>
        <v>5</v>
      </c>
      <c r="H778" s="7">
        <f t="shared" si="75"/>
        <v>5.5893074119076513E-2</v>
      </c>
      <c r="I778">
        <f t="shared" si="76"/>
        <v>1</v>
      </c>
      <c r="J778">
        <f>VLOOKUP(A778,'Housing Cost Calc'!$A$2:$C$827,3,FALSE)</f>
        <v>3328</v>
      </c>
      <c r="K778">
        <f t="shared" si="77"/>
        <v>0.40322523499121393</v>
      </c>
    </row>
    <row r="779" spans="1:11" ht="48" x14ac:dyDescent="0.2">
      <c r="A779" s="4" t="s">
        <v>3433</v>
      </c>
      <c r="B779">
        <v>168846</v>
      </c>
      <c r="C779">
        <v>2.8</v>
      </c>
      <c r="D779">
        <f t="shared" si="72"/>
        <v>100904.78488583751</v>
      </c>
      <c r="E779">
        <f t="shared" si="73"/>
        <v>100.9047848858375</v>
      </c>
      <c r="F779" s="7">
        <v>0.94532199270959905</v>
      </c>
      <c r="G779">
        <f t="shared" si="74"/>
        <v>5</v>
      </c>
      <c r="H779" s="7">
        <f t="shared" si="75"/>
        <v>5.4678007290400954E-2</v>
      </c>
      <c r="I779">
        <f t="shared" si="76"/>
        <v>1</v>
      </c>
      <c r="J779">
        <f>VLOOKUP(A779,'Housing Cost Calc'!$A$2:$C$827,3,FALSE)</f>
        <v>2638</v>
      </c>
      <c r="K779">
        <f t="shared" si="77"/>
        <v>0.31372149532666094</v>
      </c>
    </row>
    <row r="780" spans="1:11" ht="48" x14ac:dyDescent="0.2">
      <c r="A780" s="4" t="s">
        <v>3692</v>
      </c>
      <c r="B780">
        <v>169810</v>
      </c>
      <c r="C780">
        <v>2.77</v>
      </c>
      <c r="D780">
        <f t="shared" si="72"/>
        <v>102028.94064549467</v>
      </c>
      <c r="E780">
        <f t="shared" si="73"/>
        <v>102.02894064549467</v>
      </c>
      <c r="F780" s="7">
        <v>0.94653705953827461</v>
      </c>
      <c r="G780">
        <f t="shared" si="74"/>
        <v>5</v>
      </c>
      <c r="H780" s="7">
        <f t="shared" si="75"/>
        <v>5.3462940461725394E-2</v>
      </c>
      <c r="I780">
        <f t="shared" si="76"/>
        <v>1</v>
      </c>
      <c r="J780">
        <f>VLOOKUP(A780,'Housing Cost Calc'!$A$2:$C$827,3,FALSE)</f>
        <v>2925</v>
      </c>
      <c r="K780">
        <f t="shared" si="77"/>
        <v>0.34402003762792105</v>
      </c>
    </row>
    <row r="781" spans="1:11" ht="48" x14ac:dyDescent="0.2">
      <c r="A781" s="4" t="s">
        <v>3308</v>
      </c>
      <c r="B781">
        <v>152321</v>
      </c>
      <c r="C781">
        <v>2.2000000000000002</v>
      </c>
      <c r="D781">
        <f t="shared" si="72"/>
        <v>102694.79725026349</v>
      </c>
      <c r="E781">
        <f t="shared" si="73"/>
        <v>102.69479725026349</v>
      </c>
      <c r="F781" s="7">
        <v>0.94775212636695016</v>
      </c>
      <c r="G781">
        <f t="shared" si="74"/>
        <v>5</v>
      </c>
      <c r="H781" s="7">
        <f t="shared" si="75"/>
        <v>5.2247873633049835E-2</v>
      </c>
      <c r="I781">
        <f t="shared" si="76"/>
        <v>1</v>
      </c>
      <c r="J781">
        <f>VLOOKUP(A781,'Housing Cost Calc'!$A$2:$C$827,3,FALSE)</f>
        <v>2569</v>
      </c>
      <c r="K781">
        <f t="shared" si="77"/>
        <v>0.30019047532537879</v>
      </c>
    </row>
    <row r="782" spans="1:11" ht="48" x14ac:dyDescent="0.2">
      <c r="A782" s="4" t="s">
        <v>3582</v>
      </c>
      <c r="B782">
        <v>175000</v>
      </c>
      <c r="C782">
        <v>2.87</v>
      </c>
      <c r="D782">
        <f t="shared" si="72"/>
        <v>103299.23381766718</v>
      </c>
      <c r="E782">
        <f t="shared" si="73"/>
        <v>103.29923381766717</v>
      </c>
      <c r="F782" s="7">
        <v>0.94896719319562572</v>
      </c>
      <c r="G782">
        <f t="shared" si="74"/>
        <v>5</v>
      </c>
      <c r="H782" s="7">
        <f t="shared" si="75"/>
        <v>5.1032806804374276E-2</v>
      </c>
      <c r="I782">
        <f t="shared" si="76"/>
        <v>1</v>
      </c>
      <c r="J782">
        <f>VLOOKUP(A782,'Housing Cost Calc'!$A$2:$C$827,3,FALSE)</f>
        <v>2833</v>
      </c>
      <c r="K782">
        <f t="shared" si="77"/>
        <v>0.32910215055424441</v>
      </c>
    </row>
    <row r="783" spans="1:11" ht="64" x14ac:dyDescent="0.2">
      <c r="A783" s="4" t="s">
        <v>3818</v>
      </c>
      <c r="B783">
        <v>176875</v>
      </c>
      <c r="C783">
        <v>2.93</v>
      </c>
      <c r="D783">
        <f t="shared" si="72"/>
        <v>103331.4783174169</v>
      </c>
      <c r="E783">
        <f t="shared" si="73"/>
        <v>103.3314783174169</v>
      </c>
      <c r="F783" s="7">
        <v>0.95018226002430128</v>
      </c>
      <c r="G783">
        <f t="shared" si="74"/>
        <v>5</v>
      </c>
      <c r="H783" s="7">
        <f t="shared" si="75"/>
        <v>4.9817739975698716E-2</v>
      </c>
      <c r="I783">
        <f t="shared" si="76"/>
        <v>1</v>
      </c>
      <c r="J783">
        <f>VLOOKUP(A783,'Housing Cost Calc'!$A$2:$C$827,3,FALSE)</f>
        <v>3267</v>
      </c>
      <c r="K783">
        <f t="shared" si="77"/>
        <v>0.37940035929392119</v>
      </c>
    </row>
    <row r="784" spans="1:11" ht="48" x14ac:dyDescent="0.2">
      <c r="A784" s="4" t="s">
        <v>3038</v>
      </c>
      <c r="B784">
        <v>172031</v>
      </c>
      <c r="C784">
        <v>2.77</v>
      </c>
      <c r="D784">
        <f t="shared" si="72"/>
        <v>103363.41021250277</v>
      </c>
      <c r="E784">
        <f t="shared" si="73"/>
        <v>103.36341021250277</v>
      </c>
      <c r="F784" s="7">
        <v>0.95139732685297695</v>
      </c>
      <c r="G784">
        <f t="shared" si="74"/>
        <v>5</v>
      </c>
      <c r="H784" s="7">
        <f t="shared" si="75"/>
        <v>4.8602673147023046E-2</v>
      </c>
      <c r="I784">
        <f t="shared" si="76"/>
        <v>1</v>
      </c>
      <c r="J784">
        <f>VLOOKUP(A784,'Housing Cost Calc'!$A$2:$C$827,3,FALSE)</f>
        <v>2065</v>
      </c>
      <c r="K784">
        <f t="shared" si="77"/>
        <v>0.23973667228137396</v>
      </c>
    </row>
    <row r="785" spans="1:11" ht="48" x14ac:dyDescent="0.2">
      <c r="A785" s="4" t="s">
        <v>3741</v>
      </c>
      <c r="B785">
        <v>171250</v>
      </c>
      <c r="C785">
        <v>2.73</v>
      </c>
      <c r="D785">
        <f t="shared" si="72"/>
        <v>103645.21496953242</v>
      </c>
      <c r="E785">
        <f t="shared" si="73"/>
        <v>103.64521496953242</v>
      </c>
      <c r="F785" s="7">
        <v>0.95261239368165251</v>
      </c>
      <c r="G785">
        <f t="shared" si="74"/>
        <v>5</v>
      </c>
      <c r="H785" s="7">
        <f t="shared" si="75"/>
        <v>4.7387606318347486E-2</v>
      </c>
      <c r="I785">
        <f t="shared" si="76"/>
        <v>1</v>
      </c>
      <c r="J785">
        <f>VLOOKUP(A785,'Housing Cost Calc'!$A$2:$C$827,3,FALSE)</f>
        <v>3043</v>
      </c>
      <c r="K785">
        <f t="shared" si="77"/>
        <v>0.35231727784764838</v>
      </c>
    </row>
    <row r="786" spans="1:11" ht="48" x14ac:dyDescent="0.2">
      <c r="A786" s="4" t="s">
        <v>3598</v>
      </c>
      <c r="B786">
        <v>180694</v>
      </c>
      <c r="C786">
        <v>3.01</v>
      </c>
      <c r="D786">
        <f t="shared" si="72"/>
        <v>104150.29013664904</v>
      </c>
      <c r="E786">
        <f t="shared" si="73"/>
        <v>104.15029013664903</v>
      </c>
      <c r="F786" s="7">
        <v>0.95382746051032807</v>
      </c>
      <c r="G786">
        <f t="shared" si="74"/>
        <v>5</v>
      </c>
      <c r="H786" s="7">
        <f t="shared" si="75"/>
        <v>4.6172539489671927E-2</v>
      </c>
      <c r="I786">
        <f t="shared" si="76"/>
        <v>1</v>
      </c>
      <c r="J786">
        <f>VLOOKUP(A786,'Housing Cost Calc'!$A$2:$C$827,3,FALSE)</f>
        <v>2864</v>
      </c>
      <c r="K786">
        <f t="shared" si="77"/>
        <v>0.3299846784383213</v>
      </c>
    </row>
    <row r="787" spans="1:11" ht="64" x14ac:dyDescent="0.2">
      <c r="A787" s="4" t="s">
        <v>3110</v>
      </c>
      <c r="B787">
        <v>174375</v>
      </c>
      <c r="C787">
        <v>2.7</v>
      </c>
      <c r="D787">
        <f t="shared" si="72"/>
        <v>106121.24551662593</v>
      </c>
      <c r="E787">
        <f t="shared" si="73"/>
        <v>106.12124551662593</v>
      </c>
      <c r="F787" s="7">
        <v>0.95504252733900363</v>
      </c>
      <c r="G787">
        <f t="shared" si="74"/>
        <v>5</v>
      </c>
      <c r="H787" s="7">
        <f t="shared" si="75"/>
        <v>4.4957472660996367E-2</v>
      </c>
      <c r="I787">
        <f t="shared" si="76"/>
        <v>1</v>
      </c>
      <c r="J787">
        <f>VLOOKUP(A787,'Housing Cost Calc'!$A$2:$C$827,3,FALSE)</f>
        <v>2346</v>
      </c>
      <c r="K787">
        <f t="shared" si="77"/>
        <v>0.26528146991630858</v>
      </c>
    </row>
    <row r="788" spans="1:11" ht="48" x14ac:dyDescent="0.2">
      <c r="A788" s="4" t="s">
        <v>3615</v>
      </c>
      <c r="B788">
        <v>177361</v>
      </c>
      <c r="C788">
        <v>2.78</v>
      </c>
      <c r="D788">
        <f t="shared" si="72"/>
        <v>106374.05888296926</v>
      </c>
      <c r="E788">
        <f t="shared" si="73"/>
        <v>106.37405888296925</v>
      </c>
      <c r="F788" s="7">
        <v>0.95625759416767919</v>
      </c>
      <c r="G788">
        <f t="shared" si="74"/>
        <v>5</v>
      </c>
      <c r="H788" s="7">
        <f t="shared" si="75"/>
        <v>4.3742405832320808E-2</v>
      </c>
      <c r="I788">
        <f t="shared" si="76"/>
        <v>1</v>
      </c>
      <c r="J788">
        <f>VLOOKUP(A788,'Housing Cost Calc'!$A$2:$C$827,3,FALSE)</f>
        <v>2944</v>
      </c>
      <c r="K788">
        <f t="shared" si="77"/>
        <v>0.33211104634887723</v>
      </c>
    </row>
    <row r="789" spans="1:11" ht="48" x14ac:dyDescent="0.2">
      <c r="A789" s="4" t="s">
        <v>3322</v>
      </c>
      <c r="B789">
        <v>178696</v>
      </c>
      <c r="C789">
        <v>2.81</v>
      </c>
      <c r="D789">
        <f t="shared" si="72"/>
        <v>106601.0963468423</v>
      </c>
      <c r="E789">
        <f t="shared" si="73"/>
        <v>106.6010963468423</v>
      </c>
      <c r="F789" s="7">
        <v>0.95747266099635475</v>
      </c>
      <c r="G789">
        <f t="shared" si="74"/>
        <v>5</v>
      </c>
      <c r="H789" s="7">
        <f t="shared" si="75"/>
        <v>4.2527339003645248E-2</v>
      </c>
      <c r="I789">
        <f t="shared" si="76"/>
        <v>1</v>
      </c>
      <c r="J789">
        <f>VLOOKUP(A789,'Housing Cost Calc'!$A$2:$C$827,3,FALSE)</f>
        <v>2676</v>
      </c>
      <c r="K789">
        <f t="shared" si="77"/>
        <v>0.30123517581394188</v>
      </c>
    </row>
    <row r="790" spans="1:11" ht="48" x14ac:dyDescent="0.2">
      <c r="A790" s="4" t="s">
        <v>3841</v>
      </c>
      <c r="B790">
        <v>192222</v>
      </c>
      <c r="C790">
        <v>3.19</v>
      </c>
      <c r="D790">
        <f t="shared" si="72"/>
        <v>107623.65824095623</v>
      </c>
      <c r="E790">
        <f t="shared" si="73"/>
        <v>107.62365824095623</v>
      </c>
      <c r="F790" s="7">
        <v>0.95868772782503042</v>
      </c>
      <c r="G790">
        <f t="shared" si="74"/>
        <v>5</v>
      </c>
      <c r="H790" s="7">
        <f t="shared" si="75"/>
        <v>4.1312272174969578E-2</v>
      </c>
      <c r="I790">
        <f t="shared" si="76"/>
        <v>1</v>
      </c>
      <c r="J790">
        <f>VLOOKUP(A790,'Housing Cost Calc'!$A$2:$C$827,3,FALSE)</f>
        <v>3654</v>
      </c>
      <c r="K790">
        <f t="shared" si="77"/>
        <v>0.40741971344097672</v>
      </c>
    </row>
    <row r="791" spans="1:11" ht="48" x14ac:dyDescent="0.2">
      <c r="A791" s="4" t="s">
        <v>3663</v>
      </c>
      <c r="B791">
        <v>175972</v>
      </c>
      <c r="C791">
        <v>2.66</v>
      </c>
      <c r="D791">
        <f t="shared" si="72"/>
        <v>107895.35584784839</v>
      </c>
      <c r="E791">
        <f t="shared" si="73"/>
        <v>107.89535584784839</v>
      </c>
      <c r="F791" s="7">
        <v>0.95990279465370598</v>
      </c>
      <c r="G791">
        <f t="shared" si="74"/>
        <v>5</v>
      </c>
      <c r="H791" s="7">
        <f t="shared" si="75"/>
        <v>4.0097205346294018E-2</v>
      </c>
      <c r="I791">
        <f t="shared" si="76"/>
        <v>1</v>
      </c>
      <c r="J791">
        <f>VLOOKUP(A791,'Housing Cost Calc'!$A$2:$C$827,3,FALSE)</f>
        <v>3048</v>
      </c>
      <c r="K791">
        <f t="shared" si="77"/>
        <v>0.33899512831283168</v>
      </c>
    </row>
    <row r="792" spans="1:11" ht="48" x14ac:dyDescent="0.2">
      <c r="A792" s="4" t="s">
        <v>3116</v>
      </c>
      <c r="B792">
        <v>179821</v>
      </c>
      <c r="C792">
        <v>2.76</v>
      </c>
      <c r="D792">
        <f t="shared" si="72"/>
        <v>108239.52243868052</v>
      </c>
      <c r="E792">
        <f t="shared" si="73"/>
        <v>108.23952243868052</v>
      </c>
      <c r="F792" s="7">
        <v>0.96111786148238154</v>
      </c>
      <c r="G792">
        <f t="shared" si="74"/>
        <v>5</v>
      </c>
      <c r="H792" s="7">
        <f t="shared" si="75"/>
        <v>3.8882138517618459E-2</v>
      </c>
      <c r="I792">
        <f t="shared" si="76"/>
        <v>1</v>
      </c>
      <c r="J792">
        <f>VLOOKUP(A792,'Housing Cost Calc'!$A$2:$C$827,3,FALSE)</f>
        <v>2397</v>
      </c>
      <c r="K792">
        <f t="shared" si="77"/>
        <v>0.26574396626976327</v>
      </c>
    </row>
    <row r="793" spans="1:11" ht="48" x14ac:dyDescent="0.2">
      <c r="A793" s="4" t="s">
        <v>3724</v>
      </c>
      <c r="B793">
        <v>191524</v>
      </c>
      <c r="C793">
        <v>3.04</v>
      </c>
      <c r="D793">
        <f t="shared" si="72"/>
        <v>109846.54753456368</v>
      </c>
      <c r="E793">
        <f t="shared" si="73"/>
        <v>109.84654753456368</v>
      </c>
      <c r="F793" s="7">
        <v>0.9623329283110571</v>
      </c>
      <c r="G793">
        <f t="shared" si="74"/>
        <v>5</v>
      </c>
      <c r="H793" s="7">
        <f t="shared" si="75"/>
        <v>3.7667071688942899E-2</v>
      </c>
      <c r="I793">
        <f t="shared" si="76"/>
        <v>1</v>
      </c>
      <c r="J793">
        <f>VLOOKUP(A793,'Housing Cost Calc'!$A$2:$C$827,3,FALSE)</f>
        <v>3201</v>
      </c>
      <c r="K793">
        <f t="shared" si="77"/>
        <v>0.34968782234975115</v>
      </c>
    </row>
    <row r="794" spans="1:11" ht="64" x14ac:dyDescent="0.2">
      <c r="A794" s="4" t="s">
        <v>3168</v>
      </c>
      <c r="B794">
        <v>195357</v>
      </c>
      <c r="C794">
        <v>3.16</v>
      </c>
      <c r="D794">
        <f t="shared" si="72"/>
        <v>109896.89853060263</v>
      </c>
      <c r="E794">
        <f t="shared" si="73"/>
        <v>109.89689853060263</v>
      </c>
      <c r="F794" s="7">
        <v>0.96354799513973266</v>
      </c>
      <c r="G794">
        <f t="shared" si="74"/>
        <v>5</v>
      </c>
      <c r="H794" s="7">
        <f t="shared" si="75"/>
        <v>3.645200486026734E-2</v>
      </c>
      <c r="I794">
        <f t="shared" si="76"/>
        <v>1</v>
      </c>
      <c r="J794">
        <f>VLOOKUP(A794,'Housing Cost Calc'!$A$2:$C$827,3,FALSE)</f>
        <v>2589</v>
      </c>
      <c r="K794">
        <f t="shared" si="77"/>
        <v>0.28270133566461475</v>
      </c>
    </row>
    <row r="795" spans="1:11" ht="48" x14ac:dyDescent="0.2">
      <c r="A795" s="4" t="s">
        <v>3464</v>
      </c>
      <c r="B795">
        <v>186324</v>
      </c>
      <c r="C795">
        <v>2.77</v>
      </c>
      <c r="D795">
        <f t="shared" si="72"/>
        <v>111951.24160432926</v>
      </c>
      <c r="E795">
        <f t="shared" si="73"/>
        <v>111.95124160432925</v>
      </c>
      <c r="F795" s="7">
        <v>0.96476306196840822</v>
      </c>
      <c r="G795">
        <f t="shared" si="74"/>
        <v>5</v>
      </c>
      <c r="H795" s="7">
        <f t="shared" si="75"/>
        <v>3.523693803159178E-2</v>
      </c>
      <c r="I795">
        <f t="shared" si="76"/>
        <v>1</v>
      </c>
      <c r="J795">
        <f>VLOOKUP(A795,'Housing Cost Calc'!$A$2:$C$827,3,FALSE)</f>
        <v>2959</v>
      </c>
      <c r="K795">
        <f t="shared" si="77"/>
        <v>0.31717379361897913</v>
      </c>
    </row>
    <row r="796" spans="1:11" ht="48" x14ac:dyDescent="0.2">
      <c r="A796" s="4" t="s">
        <v>3734</v>
      </c>
      <c r="B796">
        <v>195250</v>
      </c>
      <c r="C796">
        <v>2.92</v>
      </c>
      <c r="D796">
        <f t="shared" si="72"/>
        <v>114261.41995022247</v>
      </c>
      <c r="E796">
        <f t="shared" si="73"/>
        <v>114.26141995022246</v>
      </c>
      <c r="F796" s="7">
        <v>0.96597812879708389</v>
      </c>
      <c r="G796">
        <f t="shared" si="74"/>
        <v>5</v>
      </c>
      <c r="H796" s="7">
        <f t="shared" si="75"/>
        <v>3.402187120291611E-2</v>
      </c>
      <c r="I796">
        <f t="shared" si="76"/>
        <v>1</v>
      </c>
      <c r="J796">
        <f>VLOOKUP(A796,'Housing Cost Calc'!$A$2:$C$827,3,FALSE)</f>
        <v>3341</v>
      </c>
      <c r="K796">
        <f t="shared" si="77"/>
        <v>0.35087958838132699</v>
      </c>
    </row>
    <row r="797" spans="1:11" ht="48" x14ac:dyDescent="0.2">
      <c r="A797" s="4" t="s">
        <v>3846</v>
      </c>
      <c r="B797">
        <v>189712</v>
      </c>
      <c r="C797">
        <v>2.71</v>
      </c>
      <c r="D797">
        <f t="shared" si="72"/>
        <v>115241.83291295107</v>
      </c>
      <c r="E797">
        <f t="shared" si="73"/>
        <v>115.24183291295107</v>
      </c>
      <c r="F797" s="7">
        <v>0.96719319562575945</v>
      </c>
      <c r="G797">
        <f t="shared" si="74"/>
        <v>5</v>
      </c>
      <c r="H797" s="7">
        <f t="shared" si="75"/>
        <v>3.280680437424055E-2</v>
      </c>
      <c r="I797">
        <f t="shared" si="76"/>
        <v>1</v>
      </c>
      <c r="J797">
        <f>VLOOKUP(A797,'Housing Cost Calc'!$A$2:$C$827,3,FALSE)</f>
        <v>4000</v>
      </c>
      <c r="K797">
        <f t="shared" si="77"/>
        <v>0.41651541620530474</v>
      </c>
    </row>
    <row r="798" spans="1:11" ht="48" x14ac:dyDescent="0.2">
      <c r="A798" s="4" t="s">
        <v>3696</v>
      </c>
      <c r="B798">
        <v>196250</v>
      </c>
      <c r="C798">
        <v>2.86</v>
      </c>
      <c r="D798">
        <f t="shared" si="72"/>
        <v>116045.05771285747</v>
      </c>
      <c r="E798">
        <f t="shared" si="73"/>
        <v>116.04505771285747</v>
      </c>
      <c r="F798" s="7">
        <v>0.96840826245443501</v>
      </c>
      <c r="G798">
        <f t="shared" si="74"/>
        <v>5</v>
      </c>
      <c r="H798" s="7">
        <f t="shared" si="75"/>
        <v>3.1591737545564991E-2</v>
      </c>
      <c r="I798">
        <f t="shared" si="76"/>
        <v>1</v>
      </c>
      <c r="J798">
        <f>VLOOKUP(A798,'Housing Cost Calc'!$A$2:$C$827,3,FALSE)</f>
        <v>3331</v>
      </c>
      <c r="K798">
        <f t="shared" si="77"/>
        <v>0.34445241174257452</v>
      </c>
    </row>
    <row r="799" spans="1:11" ht="48" x14ac:dyDescent="0.2">
      <c r="A799" s="4" t="s">
        <v>3082</v>
      </c>
      <c r="B799">
        <v>174712</v>
      </c>
      <c r="C799">
        <v>2.2400000000000002</v>
      </c>
      <c r="D799">
        <f t="shared" si="72"/>
        <v>116734.36524250872</v>
      </c>
      <c r="E799">
        <f t="shared" si="73"/>
        <v>116.73436524250872</v>
      </c>
      <c r="F799" s="7">
        <v>0.96962332928311057</v>
      </c>
      <c r="G799">
        <f t="shared" si="74"/>
        <v>5</v>
      </c>
      <c r="H799" s="7">
        <f t="shared" si="75"/>
        <v>3.0376670716889431E-2</v>
      </c>
      <c r="I799">
        <f t="shared" si="76"/>
        <v>1</v>
      </c>
      <c r="J799">
        <f>VLOOKUP(A799,'Housing Cost Calc'!$A$2:$C$827,3,FALSE)</f>
        <v>2525</v>
      </c>
      <c r="K799">
        <f t="shared" si="77"/>
        <v>0.25956366779442835</v>
      </c>
    </row>
    <row r="800" spans="1:11" ht="48" x14ac:dyDescent="0.2">
      <c r="A800" s="4" t="s">
        <v>3716</v>
      </c>
      <c r="B800">
        <v>198281</v>
      </c>
      <c r="C800">
        <v>2.83</v>
      </c>
      <c r="D800">
        <f t="shared" si="72"/>
        <v>117865.82022081333</v>
      </c>
      <c r="E800">
        <f t="shared" si="73"/>
        <v>117.86582022081333</v>
      </c>
      <c r="F800" s="7">
        <v>0.97083839611178613</v>
      </c>
      <c r="G800">
        <f t="shared" si="74"/>
        <v>5</v>
      </c>
      <c r="H800" s="7">
        <f t="shared" si="75"/>
        <v>2.9161603888213872E-2</v>
      </c>
      <c r="I800">
        <f t="shared" si="76"/>
        <v>1</v>
      </c>
      <c r="J800">
        <f>VLOOKUP(A800,'Housing Cost Calc'!$A$2:$C$827,3,FALSE)</f>
        <v>3417</v>
      </c>
      <c r="K800">
        <f t="shared" si="77"/>
        <v>0.34788711369574221</v>
      </c>
    </row>
    <row r="801" spans="1:11" ht="48" x14ac:dyDescent="0.2">
      <c r="A801" s="4" t="s">
        <v>3840</v>
      </c>
      <c r="B801">
        <v>202500</v>
      </c>
      <c r="C801">
        <v>2.93</v>
      </c>
      <c r="D801">
        <f t="shared" si="72"/>
        <v>118301.76316198966</v>
      </c>
      <c r="E801">
        <f t="shared" si="73"/>
        <v>118.30176316198965</v>
      </c>
      <c r="F801" s="7">
        <v>0.97205346294046169</v>
      </c>
      <c r="G801">
        <f t="shared" si="74"/>
        <v>5</v>
      </c>
      <c r="H801" s="7">
        <f t="shared" si="75"/>
        <v>2.7946537059538312E-2</v>
      </c>
      <c r="I801">
        <f t="shared" si="76"/>
        <v>1</v>
      </c>
      <c r="J801">
        <f>VLOOKUP(A801,'Housing Cost Calc'!$A$2:$C$827,3,FALSE)</f>
        <v>4000</v>
      </c>
      <c r="K801">
        <f t="shared" si="77"/>
        <v>0.4057420508118208</v>
      </c>
    </row>
    <row r="802" spans="1:11" ht="48" x14ac:dyDescent="0.2">
      <c r="A802" s="4" t="s">
        <v>3654</v>
      </c>
      <c r="B802">
        <v>216500</v>
      </c>
      <c r="C802">
        <v>3.17</v>
      </c>
      <c r="D802">
        <f t="shared" si="72"/>
        <v>121598.51453932465</v>
      </c>
      <c r="E802">
        <f t="shared" si="73"/>
        <v>121.59851453932465</v>
      </c>
      <c r="F802" s="7">
        <v>0.97326852976913725</v>
      </c>
      <c r="G802">
        <f t="shared" si="74"/>
        <v>5</v>
      </c>
      <c r="H802" s="7">
        <f t="shared" si="75"/>
        <v>2.6731470230862753E-2</v>
      </c>
      <c r="I802">
        <f t="shared" si="76"/>
        <v>1</v>
      </c>
      <c r="J802">
        <f>VLOOKUP(A802,'Housing Cost Calc'!$A$2:$C$827,3,FALSE)</f>
        <v>3418</v>
      </c>
      <c r="K802">
        <f t="shared" si="77"/>
        <v>0.33730675210457056</v>
      </c>
    </row>
    <row r="803" spans="1:11" ht="64" x14ac:dyDescent="0.2">
      <c r="A803" s="4" t="s">
        <v>3830</v>
      </c>
      <c r="B803">
        <v>219792</v>
      </c>
      <c r="C803">
        <v>3.15</v>
      </c>
      <c r="D803">
        <f t="shared" si="72"/>
        <v>123838.76263686008</v>
      </c>
      <c r="E803">
        <f t="shared" si="73"/>
        <v>123.83876263686008</v>
      </c>
      <c r="F803" s="7">
        <v>0.97448359659781292</v>
      </c>
      <c r="G803">
        <f t="shared" si="74"/>
        <v>5</v>
      </c>
      <c r="H803" s="7">
        <f t="shared" si="75"/>
        <v>2.5516403402187082E-2</v>
      </c>
      <c r="I803">
        <f t="shared" si="76"/>
        <v>1</v>
      </c>
      <c r="J803">
        <f>VLOOKUP(A803,'Housing Cost Calc'!$A$2:$C$827,3,FALSE)</f>
        <v>4000</v>
      </c>
      <c r="K803">
        <f t="shared" si="77"/>
        <v>0.3876007719873083</v>
      </c>
    </row>
    <row r="804" spans="1:11" ht="48" x14ac:dyDescent="0.2">
      <c r="A804" s="4" t="s">
        <v>3799</v>
      </c>
      <c r="B804">
        <v>229531</v>
      </c>
      <c r="C804">
        <v>3.25</v>
      </c>
      <c r="D804">
        <f t="shared" si="72"/>
        <v>127320.89073977307</v>
      </c>
      <c r="E804">
        <f t="shared" si="73"/>
        <v>127.32089073977306</v>
      </c>
      <c r="F804" s="7">
        <v>0.97569866342648848</v>
      </c>
      <c r="G804">
        <f t="shared" si="74"/>
        <v>5</v>
      </c>
      <c r="H804" s="7">
        <f t="shared" si="75"/>
        <v>2.4301336573511523E-2</v>
      </c>
      <c r="I804">
        <f t="shared" si="76"/>
        <v>1</v>
      </c>
      <c r="J804">
        <f>VLOOKUP(A804,'Housing Cost Calc'!$A$2:$C$827,3,FALSE)</f>
        <v>3941</v>
      </c>
      <c r="K804">
        <f t="shared" si="77"/>
        <v>0.37143943719855482</v>
      </c>
    </row>
    <row r="805" spans="1:11" ht="64" x14ac:dyDescent="0.2">
      <c r="A805" s="4" t="s">
        <v>3298</v>
      </c>
      <c r="B805">
        <v>222839</v>
      </c>
      <c r="C805">
        <v>2.91</v>
      </c>
      <c r="D805">
        <f t="shared" si="72"/>
        <v>130630.53526113901</v>
      </c>
      <c r="E805">
        <f t="shared" si="73"/>
        <v>130.63053526113902</v>
      </c>
      <c r="F805" s="7">
        <v>0.97691373025516404</v>
      </c>
      <c r="G805">
        <f t="shared" si="74"/>
        <v>5</v>
      </c>
      <c r="H805" s="7">
        <f t="shared" si="75"/>
        <v>2.3086269744835963E-2</v>
      </c>
      <c r="I805">
        <f t="shared" si="76"/>
        <v>1</v>
      </c>
      <c r="J805">
        <f>VLOOKUP(A805,'Housing Cost Calc'!$A$2:$C$827,3,FALSE)</f>
        <v>3250</v>
      </c>
      <c r="K805">
        <f t="shared" si="77"/>
        <v>0.29855194210171798</v>
      </c>
    </row>
    <row r="806" spans="1:11" ht="48" x14ac:dyDescent="0.2">
      <c r="A806" s="4" t="s">
        <v>3349</v>
      </c>
      <c r="B806">
        <v>236000</v>
      </c>
      <c r="C806">
        <v>3.19</v>
      </c>
      <c r="D806">
        <f t="shared" si="72"/>
        <v>132134.63258558162</v>
      </c>
      <c r="E806">
        <f t="shared" si="73"/>
        <v>132.13463258558161</v>
      </c>
      <c r="F806" s="7">
        <v>0.9781287970838396</v>
      </c>
      <c r="G806">
        <f t="shared" si="74"/>
        <v>5</v>
      </c>
      <c r="H806" s="7">
        <f t="shared" si="75"/>
        <v>2.1871202916160404E-2</v>
      </c>
      <c r="I806">
        <f t="shared" si="76"/>
        <v>1</v>
      </c>
      <c r="J806">
        <f>VLOOKUP(A806,'Housing Cost Calc'!$A$2:$C$827,3,FALSE)</f>
        <v>3348</v>
      </c>
      <c r="K806">
        <f t="shared" si="77"/>
        <v>0.3040535188530426</v>
      </c>
    </row>
    <row r="807" spans="1:11" ht="48" x14ac:dyDescent="0.2">
      <c r="A807" s="4" t="s">
        <v>3746</v>
      </c>
      <c r="B807">
        <v>250000</v>
      </c>
      <c r="C807">
        <v>3.39</v>
      </c>
      <c r="D807">
        <f t="shared" si="72"/>
        <v>135781.36164839211</v>
      </c>
      <c r="E807">
        <f t="shared" si="73"/>
        <v>135.78136164839211</v>
      </c>
      <c r="F807" s="7">
        <v>0.97934386391251516</v>
      </c>
      <c r="G807">
        <f t="shared" si="74"/>
        <v>5</v>
      </c>
      <c r="H807" s="7">
        <f t="shared" si="75"/>
        <v>2.0656136087484844E-2</v>
      </c>
      <c r="I807">
        <f t="shared" si="76"/>
        <v>1</v>
      </c>
      <c r="J807">
        <f>VLOOKUP(A807,'Housing Cost Calc'!$A$2:$C$827,3,FALSE)</f>
        <v>4000</v>
      </c>
      <c r="K807">
        <f t="shared" si="77"/>
        <v>0.35350949067882181</v>
      </c>
    </row>
    <row r="808" spans="1:11" ht="48" x14ac:dyDescent="0.2">
      <c r="A808" s="4" t="s">
        <v>3198</v>
      </c>
      <c r="B808">
        <v>219783</v>
      </c>
      <c r="C808">
        <v>2.57</v>
      </c>
      <c r="D808">
        <f t="shared" si="72"/>
        <v>137096.86866044044</v>
      </c>
      <c r="E808">
        <f t="shared" si="73"/>
        <v>137.09686866044044</v>
      </c>
      <c r="F808" s="7">
        <v>0.98055893074119072</v>
      </c>
      <c r="G808">
        <f t="shared" si="74"/>
        <v>5</v>
      </c>
      <c r="H808" s="7">
        <f t="shared" si="75"/>
        <v>1.9441069258809285E-2</v>
      </c>
      <c r="I808">
        <f t="shared" si="76"/>
        <v>1</v>
      </c>
      <c r="J808">
        <f>VLOOKUP(A808,'Housing Cost Calc'!$A$2:$C$827,3,FALSE)</f>
        <v>3273</v>
      </c>
      <c r="K808">
        <f t="shared" si="77"/>
        <v>0.28648356730362845</v>
      </c>
    </row>
    <row r="809" spans="1:11" ht="48" x14ac:dyDescent="0.2">
      <c r="A809" s="4" t="s">
        <v>3726</v>
      </c>
      <c r="B809">
        <v>250000</v>
      </c>
      <c r="C809">
        <v>3.32</v>
      </c>
      <c r="D809">
        <f t="shared" si="72"/>
        <v>137205.32498711292</v>
      </c>
      <c r="E809">
        <f t="shared" si="73"/>
        <v>137.20532498711293</v>
      </c>
      <c r="F809" s="7">
        <v>0.98177399756986639</v>
      </c>
      <c r="G809">
        <f t="shared" si="74"/>
        <v>5</v>
      </c>
      <c r="H809" s="7">
        <f t="shared" si="75"/>
        <v>1.8226002430133614E-2</v>
      </c>
      <c r="I809">
        <f t="shared" si="76"/>
        <v>1</v>
      </c>
      <c r="J809">
        <f>VLOOKUP(A809,'Housing Cost Calc'!$A$2:$C$827,3,FALSE)</f>
        <v>4000</v>
      </c>
      <c r="K809">
        <f t="shared" si="77"/>
        <v>0.34984064943914112</v>
      </c>
    </row>
    <row r="810" spans="1:11" ht="48" x14ac:dyDescent="0.2">
      <c r="A810" s="4" t="s">
        <v>3592</v>
      </c>
      <c r="B810">
        <v>242500</v>
      </c>
      <c r="C810">
        <v>3.12</v>
      </c>
      <c r="D810">
        <f t="shared" si="72"/>
        <v>137288.59039003224</v>
      </c>
      <c r="E810">
        <f t="shared" si="73"/>
        <v>137.28859039003225</v>
      </c>
      <c r="F810" s="7">
        <v>0.98298906439854195</v>
      </c>
      <c r="G810">
        <f t="shared" si="74"/>
        <v>5</v>
      </c>
      <c r="H810" s="7">
        <f t="shared" si="75"/>
        <v>1.7010935601458055E-2</v>
      </c>
      <c r="I810">
        <f t="shared" si="76"/>
        <v>1</v>
      </c>
      <c r="J810">
        <f>VLOOKUP(A810,'Housing Cost Calc'!$A$2:$C$827,3,FALSE)</f>
        <v>3773</v>
      </c>
      <c r="K810">
        <f t="shared" si="77"/>
        <v>0.32978705565679139</v>
      </c>
    </row>
    <row r="811" spans="1:11" ht="48" x14ac:dyDescent="0.2">
      <c r="A811" s="4" t="s">
        <v>3720</v>
      </c>
      <c r="B811">
        <v>250000</v>
      </c>
      <c r="C811">
        <v>3.3</v>
      </c>
      <c r="D811">
        <f t="shared" si="72"/>
        <v>137620.47064079507</v>
      </c>
      <c r="E811">
        <f t="shared" si="73"/>
        <v>137.62047064079508</v>
      </c>
      <c r="F811" s="7">
        <v>0.9842041312272175</v>
      </c>
      <c r="G811">
        <f t="shared" si="74"/>
        <v>5</v>
      </c>
      <c r="H811" s="7">
        <f t="shared" si="75"/>
        <v>1.5795868772782495E-2</v>
      </c>
      <c r="I811">
        <f t="shared" si="76"/>
        <v>1</v>
      </c>
      <c r="J811">
        <f>VLOOKUP(A811,'Housing Cost Calc'!$A$2:$C$827,3,FALSE)</f>
        <v>4000</v>
      </c>
      <c r="K811">
        <f t="shared" si="77"/>
        <v>0.34878532079203106</v>
      </c>
    </row>
    <row r="812" spans="1:11" ht="48" x14ac:dyDescent="0.2">
      <c r="A812" s="4" t="s">
        <v>3468</v>
      </c>
      <c r="B812">
        <v>233750</v>
      </c>
      <c r="C812">
        <v>2.88</v>
      </c>
      <c r="D812">
        <f t="shared" si="72"/>
        <v>137738.50841862956</v>
      </c>
      <c r="E812">
        <f t="shared" si="73"/>
        <v>137.73850841862955</v>
      </c>
      <c r="F812" s="7">
        <v>0.98541919805589306</v>
      </c>
      <c r="G812">
        <f t="shared" si="74"/>
        <v>5</v>
      </c>
      <c r="H812" s="7">
        <f t="shared" si="75"/>
        <v>1.4580801944106936E-2</v>
      </c>
      <c r="I812">
        <f t="shared" si="76"/>
        <v>1</v>
      </c>
      <c r="J812">
        <f>VLOOKUP(A812,'Housing Cost Calc'!$A$2:$C$827,3,FALSE)</f>
        <v>3644</v>
      </c>
      <c r="K812">
        <f t="shared" si="77"/>
        <v>0.3174711306376079</v>
      </c>
    </row>
    <row r="813" spans="1:11" ht="48" x14ac:dyDescent="0.2">
      <c r="A813" s="4" t="s">
        <v>3687</v>
      </c>
      <c r="B813">
        <v>250000</v>
      </c>
      <c r="C813">
        <v>3.2</v>
      </c>
      <c r="D813">
        <f t="shared" si="72"/>
        <v>139754.24859373685</v>
      </c>
      <c r="E813">
        <f t="shared" si="73"/>
        <v>139.75424859373686</v>
      </c>
      <c r="F813" s="7">
        <v>0.98663426488456862</v>
      </c>
      <c r="G813">
        <f t="shared" si="74"/>
        <v>5</v>
      </c>
      <c r="H813" s="7">
        <f t="shared" si="75"/>
        <v>1.3365735115431376E-2</v>
      </c>
      <c r="I813">
        <f t="shared" si="76"/>
        <v>1</v>
      </c>
      <c r="J813">
        <f>VLOOKUP(A813,'Housing Cost Calc'!$A$2:$C$827,3,FALSE)</f>
        <v>4000</v>
      </c>
      <c r="K813">
        <f t="shared" si="77"/>
        <v>0.34346004134396774</v>
      </c>
    </row>
    <row r="814" spans="1:11" ht="64" x14ac:dyDescent="0.2">
      <c r="A814" s="4" t="s">
        <v>3675</v>
      </c>
      <c r="B814">
        <v>250000</v>
      </c>
      <c r="C814">
        <v>3.16</v>
      </c>
      <c r="D814">
        <f t="shared" si="72"/>
        <v>140635.98761575299</v>
      </c>
      <c r="E814">
        <f t="shared" si="73"/>
        <v>140.63598761575298</v>
      </c>
      <c r="F814" s="7">
        <v>0.98784933171324418</v>
      </c>
      <c r="G814">
        <f t="shared" si="74"/>
        <v>5</v>
      </c>
      <c r="H814" s="7">
        <f t="shared" si="75"/>
        <v>1.2150668286755817E-2</v>
      </c>
      <c r="I814">
        <f t="shared" si="76"/>
        <v>1</v>
      </c>
      <c r="J814">
        <f>VLOOKUP(A814,'Housing Cost Calc'!$A$2:$C$827,3,FALSE)</f>
        <v>4000</v>
      </c>
      <c r="K814">
        <f t="shared" si="77"/>
        <v>0.34130666562491857</v>
      </c>
    </row>
    <row r="815" spans="1:11" ht="64" x14ac:dyDescent="0.2">
      <c r="A815" s="4" t="s">
        <v>3314</v>
      </c>
      <c r="B815">
        <v>250000</v>
      </c>
      <c r="C815">
        <v>3.16</v>
      </c>
      <c r="D815">
        <f t="shared" si="72"/>
        <v>140635.98761575299</v>
      </c>
      <c r="E815">
        <f t="shared" si="73"/>
        <v>140.63598761575298</v>
      </c>
      <c r="F815" s="7">
        <v>0.98784933171324418</v>
      </c>
      <c r="G815">
        <f t="shared" si="74"/>
        <v>5</v>
      </c>
      <c r="H815" s="7">
        <f t="shared" si="75"/>
        <v>1.2150668286755817E-2</v>
      </c>
      <c r="I815">
        <f t="shared" si="76"/>
        <v>1</v>
      </c>
      <c r="J815">
        <f>VLOOKUP(A815,'Housing Cost Calc'!$A$2:$C$827,3,FALSE)</f>
        <v>3523</v>
      </c>
      <c r="K815">
        <f t="shared" si="77"/>
        <v>0.30060584574914706</v>
      </c>
    </row>
    <row r="816" spans="1:11" ht="48" x14ac:dyDescent="0.2">
      <c r="A816" s="4" t="s">
        <v>3351</v>
      </c>
      <c r="B816">
        <v>250000</v>
      </c>
      <c r="C816">
        <v>3.16</v>
      </c>
      <c r="D816">
        <f t="shared" si="72"/>
        <v>140635.98761575299</v>
      </c>
      <c r="E816">
        <f t="shared" si="73"/>
        <v>140.63598761575298</v>
      </c>
      <c r="F816" s="7">
        <v>0.98784933171324418</v>
      </c>
      <c r="G816">
        <f t="shared" si="74"/>
        <v>5</v>
      </c>
      <c r="H816" s="7">
        <f t="shared" si="75"/>
        <v>1.2150668286755817E-2</v>
      </c>
      <c r="I816">
        <f t="shared" si="76"/>
        <v>1</v>
      </c>
      <c r="J816">
        <f>VLOOKUP(A816,'Housing Cost Calc'!$A$2:$C$827,3,FALSE)</f>
        <v>3565</v>
      </c>
      <c r="K816">
        <f t="shared" si="77"/>
        <v>0.30418956573820871</v>
      </c>
    </row>
    <row r="817" spans="1:11" ht="48" x14ac:dyDescent="0.2">
      <c r="A817" s="4" t="s">
        <v>3505</v>
      </c>
      <c r="B817">
        <v>228558</v>
      </c>
      <c r="C817">
        <v>2.64</v>
      </c>
      <c r="D817">
        <f t="shared" si="72"/>
        <v>140667.72497627165</v>
      </c>
      <c r="E817">
        <f t="shared" si="73"/>
        <v>140.66772497627164</v>
      </c>
      <c r="F817" s="7">
        <v>0.99149453219927097</v>
      </c>
      <c r="G817">
        <f t="shared" si="74"/>
        <v>5</v>
      </c>
      <c r="H817" s="7">
        <f t="shared" si="75"/>
        <v>8.5054678007290274E-3</v>
      </c>
      <c r="I817">
        <f t="shared" si="76"/>
        <v>1</v>
      </c>
      <c r="J817">
        <f>VLOOKUP(A817,'Housing Cost Calc'!$A$2:$C$827,3,FALSE)</f>
        <v>3756</v>
      </c>
      <c r="K817">
        <f t="shared" si="77"/>
        <v>0.32041465096277705</v>
      </c>
    </row>
    <row r="818" spans="1:11" ht="48" x14ac:dyDescent="0.2">
      <c r="A818" s="4" t="s">
        <v>3470</v>
      </c>
      <c r="B818">
        <v>247361</v>
      </c>
      <c r="C818">
        <v>3.05</v>
      </c>
      <c r="D818">
        <f t="shared" si="72"/>
        <v>141638.49657421277</v>
      </c>
      <c r="E818">
        <f t="shared" si="73"/>
        <v>141.63849657421278</v>
      </c>
      <c r="F818" s="7">
        <v>0.99270959902794653</v>
      </c>
      <c r="G818">
        <f t="shared" si="74"/>
        <v>5</v>
      </c>
      <c r="H818" s="7">
        <f t="shared" si="75"/>
        <v>7.2904009720534679E-3</v>
      </c>
      <c r="I818">
        <f t="shared" si="76"/>
        <v>1</v>
      </c>
      <c r="J818">
        <f>VLOOKUP(A818,'Housing Cost Calc'!$A$2:$C$827,3,FALSE)</f>
        <v>3750</v>
      </c>
      <c r="K818">
        <f t="shared" si="77"/>
        <v>0.31771023477661559</v>
      </c>
    </row>
    <row r="819" spans="1:11" ht="48" x14ac:dyDescent="0.2">
      <c r="A819" s="4" t="s">
        <v>3361</v>
      </c>
      <c r="B819">
        <v>242125</v>
      </c>
      <c r="C819">
        <v>2.92</v>
      </c>
      <c r="D819">
        <f t="shared" si="72"/>
        <v>141692.93882431556</v>
      </c>
      <c r="E819">
        <f t="shared" si="73"/>
        <v>141.69293882431555</v>
      </c>
      <c r="F819" s="7">
        <v>0.99392466585662209</v>
      </c>
      <c r="G819">
        <f t="shared" si="74"/>
        <v>5</v>
      </c>
      <c r="H819" s="7">
        <f t="shared" si="75"/>
        <v>6.0753341433779084E-3</v>
      </c>
      <c r="I819">
        <f t="shared" si="76"/>
        <v>1</v>
      </c>
      <c r="J819">
        <f>VLOOKUP(A819,'Housing Cost Calc'!$A$2:$C$827,3,FALSE)</f>
        <v>3609</v>
      </c>
      <c r="K819">
        <f t="shared" si="77"/>
        <v>0.30564684704364414</v>
      </c>
    </row>
    <row r="820" spans="1:11" ht="48" x14ac:dyDescent="0.2">
      <c r="A820" s="4" t="s">
        <v>3658</v>
      </c>
      <c r="B820">
        <v>250000</v>
      </c>
      <c r="C820">
        <v>3.1</v>
      </c>
      <c r="D820">
        <f t="shared" si="72"/>
        <v>141990.45856176619</v>
      </c>
      <c r="E820">
        <f t="shared" si="73"/>
        <v>141.99045856176619</v>
      </c>
      <c r="F820" s="7">
        <v>0.99513973268529765</v>
      </c>
      <c r="G820">
        <f t="shared" si="74"/>
        <v>5</v>
      </c>
      <c r="H820" s="7">
        <f t="shared" si="75"/>
        <v>4.860267314702349E-3</v>
      </c>
      <c r="I820">
        <f t="shared" si="76"/>
        <v>1</v>
      </c>
      <c r="J820">
        <f>VLOOKUP(A820,'Housing Cost Calc'!$A$2:$C$827,3,FALSE)</f>
        <v>4000</v>
      </c>
      <c r="K820">
        <f t="shared" si="77"/>
        <v>0.338050883743853</v>
      </c>
    </row>
    <row r="821" spans="1:11" ht="48" x14ac:dyDescent="0.2">
      <c r="A821" s="4" t="s">
        <v>3643</v>
      </c>
      <c r="B821">
        <v>250000</v>
      </c>
      <c r="C821">
        <v>3.05</v>
      </c>
      <c r="D821">
        <f t="shared" si="72"/>
        <v>143149.58357846705</v>
      </c>
      <c r="E821">
        <f t="shared" si="73"/>
        <v>143.14958357846706</v>
      </c>
      <c r="F821" s="7">
        <v>0.99635479951397332</v>
      </c>
      <c r="G821">
        <f t="shared" si="74"/>
        <v>5</v>
      </c>
      <c r="H821" s="7">
        <f t="shared" si="75"/>
        <v>3.6452004860266785E-3</v>
      </c>
      <c r="I821">
        <f t="shared" si="76"/>
        <v>1</v>
      </c>
      <c r="J821">
        <f>VLOOKUP(A821,'Housing Cost Calc'!$A$2:$C$827,3,FALSE)</f>
        <v>4000</v>
      </c>
      <c r="K821">
        <f t="shared" si="77"/>
        <v>0.33531358457420124</v>
      </c>
    </row>
    <row r="822" spans="1:11" ht="48" x14ac:dyDescent="0.2">
      <c r="A822" s="4" t="s">
        <v>3150</v>
      </c>
      <c r="B822">
        <v>238068</v>
      </c>
      <c r="C822">
        <v>2.76</v>
      </c>
      <c r="D822">
        <f t="shared" si="72"/>
        <v>143300.09636211451</v>
      </c>
      <c r="E822">
        <f t="shared" si="73"/>
        <v>143.30009636211452</v>
      </c>
      <c r="F822" s="7">
        <v>0.99756986634264888</v>
      </c>
      <c r="G822">
        <f t="shared" si="74"/>
        <v>5</v>
      </c>
      <c r="H822" s="7">
        <f t="shared" si="75"/>
        <v>2.430133657351119E-3</v>
      </c>
      <c r="I822">
        <f t="shared" si="76"/>
        <v>1</v>
      </c>
      <c r="J822">
        <f>VLOOKUP(A822,'Housing Cost Calc'!$A$2:$C$827,3,FALSE)</f>
        <v>3293</v>
      </c>
      <c r="K822">
        <f t="shared" si="77"/>
        <v>0.27575696739340916</v>
      </c>
    </row>
    <row r="823" spans="1:11" ht="48" x14ac:dyDescent="0.2">
      <c r="A823" s="4" t="s">
        <v>3256</v>
      </c>
      <c r="B823">
        <v>238750</v>
      </c>
      <c r="C823">
        <v>2.72</v>
      </c>
      <c r="D823">
        <f t="shared" si="72"/>
        <v>144763.45119356122</v>
      </c>
      <c r="E823">
        <f t="shared" si="73"/>
        <v>144.76345119356122</v>
      </c>
      <c r="F823" s="7">
        <v>0.99878493317132444</v>
      </c>
      <c r="G823">
        <f t="shared" si="74"/>
        <v>5</v>
      </c>
      <c r="H823" s="7">
        <f t="shared" si="75"/>
        <v>1.2150668286755595E-3</v>
      </c>
      <c r="I823">
        <f t="shared" si="76"/>
        <v>1</v>
      </c>
      <c r="J823">
        <f>VLOOKUP(A823,'Housing Cost Calc'!$A$2:$C$827,3,FALSE)</f>
        <v>3541</v>
      </c>
      <c r="K823">
        <f t="shared" si="77"/>
        <v>0.29352712752878851</v>
      </c>
    </row>
    <row r="824" spans="1:11" ht="48" x14ac:dyDescent="0.2">
      <c r="A824" s="4" t="s">
        <v>3405</v>
      </c>
      <c r="B824">
        <v>247169</v>
      </c>
      <c r="C824">
        <v>2.83</v>
      </c>
      <c r="D824">
        <f t="shared" si="72"/>
        <v>146926.71974701667</v>
      </c>
      <c r="E824">
        <f t="shared" si="73"/>
        <v>146.92671974701668</v>
      </c>
      <c r="F824" s="7">
        <v>1</v>
      </c>
      <c r="G824">
        <f t="shared" si="74"/>
        <v>5</v>
      </c>
      <c r="H824" s="7">
        <f t="shared" si="75"/>
        <v>0</v>
      </c>
      <c r="I824">
        <f t="shared" si="76"/>
        <v>1</v>
      </c>
      <c r="J824">
        <f>VLOOKUP(A824,'Housing Cost Calc'!$A$2:$C$827,3,FALSE)</f>
        <v>3810</v>
      </c>
      <c r="K824">
        <f t="shared" si="77"/>
        <v>0.31117553075929433</v>
      </c>
    </row>
    <row r="825" spans="1:11" ht="48" x14ac:dyDescent="0.2">
      <c r="A825" s="4" t="s">
        <v>3852</v>
      </c>
      <c r="B825" t="s">
        <v>3877</v>
      </c>
      <c r="C825">
        <v>6.5</v>
      </c>
      <c r="D825" t="e">
        <f t="shared" si="72"/>
        <v>#VALUE!</v>
      </c>
      <c r="E825" t="e">
        <f t="shared" si="73"/>
        <v>#VALUE!</v>
      </c>
      <c r="G825">
        <f t="shared" si="74"/>
        <v>1</v>
      </c>
      <c r="H825" s="7">
        <f t="shared" si="75"/>
        <v>1</v>
      </c>
      <c r="I825">
        <f t="shared" si="76"/>
        <v>5</v>
      </c>
      <c r="J825" t="e">
        <f>VLOOKUP(A825,'Housing Cost Calc'!$A$2:$C$827,3,FALSE)</f>
        <v>#N/A</v>
      </c>
      <c r="K825" t="e">
        <f t="shared" si="77"/>
        <v>#N/A</v>
      </c>
    </row>
    <row r="826" spans="1:11" ht="48" x14ac:dyDescent="0.2">
      <c r="A826" s="4" t="s">
        <v>3853</v>
      </c>
      <c r="B826" t="s">
        <v>3877</v>
      </c>
      <c r="C826">
        <v>0</v>
      </c>
      <c r="D826" t="e">
        <f t="shared" si="72"/>
        <v>#VALUE!</v>
      </c>
      <c r="E826" t="e">
        <f t="shared" si="73"/>
        <v>#VALUE!</v>
      </c>
      <c r="G826">
        <f t="shared" si="74"/>
        <v>1</v>
      </c>
      <c r="H826" s="7">
        <f t="shared" si="75"/>
        <v>1</v>
      </c>
      <c r="I826">
        <f t="shared" si="76"/>
        <v>5</v>
      </c>
      <c r="J826" t="e">
        <f>VLOOKUP(A826,'Housing Cost Calc'!$A$2:$C$827,3,FALSE)</f>
        <v>#N/A</v>
      </c>
      <c r="K826" t="e">
        <f t="shared" si="77"/>
        <v>#N/A</v>
      </c>
    </row>
    <row r="827" spans="1:11" ht="48" x14ac:dyDescent="0.2">
      <c r="A827" s="4" t="s">
        <v>3854</v>
      </c>
      <c r="B827" t="s">
        <v>3877</v>
      </c>
      <c r="C827">
        <v>0</v>
      </c>
      <c r="D827" t="e">
        <f t="shared" si="72"/>
        <v>#VALUE!</v>
      </c>
      <c r="E827" t="e">
        <f t="shared" si="73"/>
        <v>#VALUE!</v>
      </c>
      <c r="G827">
        <f t="shared" si="74"/>
        <v>1</v>
      </c>
      <c r="H827" s="7">
        <f t="shared" si="75"/>
        <v>1</v>
      </c>
      <c r="I827">
        <f t="shared" si="76"/>
        <v>5</v>
      </c>
      <c r="J827" t="e">
        <f>VLOOKUP(A827,'Housing Cost Calc'!$A$2:$C$827,3,FALSE)</f>
        <v>#N/A</v>
      </c>
      <c r="K827" t="e">
        <f t="shared" si="77"/>
        <v>#N/A</v>
      </c>
    </row>
    <row r="828" spans="1:11" ht="48" x14ac:dyDescent="0.2">
      <c r="A828" s="4" t="s">
        <v>3855</v>
      </c>
      <c r="B828" t="s">
        <v>3877</v>
      </c>
      <c r="C828">
        <v>0</v>
      </c>
      <c r="D828" t="e">
        <f t="shared" si="72"/>
        <v>#VALUE!</v>
      </c>
      <c r="E828" t="e">
        <f t="shared" si="73"/>
        <v>#VALUE!</v>
      </c>
      <c r="G828">
        <f t="shared" si="74"/>
        <v>1</v>
      </c>
      <c r="H828" s="7">
        <f t="shared" si="75"/>
        <v>1</v>
      </c>
      <c r="I828">
        <f t="shared" si="76"/>
        <v>5</v>
      </c>
      <c r="J828" t="e">
        <f>VLOOKUP(A828,'Housing Cost Calc'!$A$2:$C$827,3,FALSE)</f>
        <v>#N/A</v>
      </c>
      <c r="K828" t="e">
        <f t="shared" si="77"/>
        <v>#N/A</v>
      </c>
    </row>
    <row r="829" spans="1:11" ht="48" x14ac:dyDescent="0.2">
      <c r="A829" s="4" t="s">
        <v>3856</v>
      </c>
      <c r="B829" t="s">
        <v>3877</v>
      </c>
      <c r="C829">
        <v>0</v>
      </c>
      <c r="D829" t="e">
        <f t="shared" si="72"/>
        <v>#VALUE!</v>
      </c>
      <c r="E829" t="e">
        <f t="shared" si="73"/>
        <v>#VALUE!</v>
      </c>
      <c r="G829">
        <f t="shared" si="74"/>
        <v>1</v>
      </c>
      <c r="H829" s="7">
        <f t="shared" si="75"/>
        <v>1</v>
      </c>
      <c r="I829">
        <f t="shared" si="76"/>
        <v>5</v>
      </c>
      <c r="J829" t="e">
        <f>VLOOKUP(A829,'Housing Cost Calc'!$A$2:$C$827,3,FALSE)</f>
        <v>#N/A</v>
      </c>
      <c r="K829" t="e">
        <f t="shared" si="77"/>
        <v>#N/A</v>
      </c>
    </row>
    <row r="830" spans="1:11" ht="64" x14ac:dyDescent="0.2">
      <c r="A830" s="4" t="s">
        <v>3857</v>
      </c>
      <c r="B830" t="s">
        <v>3877</v>
      </c>
      <c r="C830">
        <v>0</v>
      </c>
      <c r="D830" t="e">
        <f t="shared" si="72"/>
        <v>#VALUE!</v>
      </c>
      <c r="E830" t="e">
        <f t="shared" si="73"/>
        <v>#VALUE!</v>
      </c>
      <c r="G830">
        <f t="shared" si="74"/>
        <v>1</v>
      </c>
      <c r="H830" s="7">
        <f t="shared" si="75"/>
        <v>1</v>
      </c>
      <c r="I830">
        <f t="shared" si="76"/>
        <v>5</v>
      </c>
      <c r="J830" t="e">
        <f>VLOOKUP(A830,'Housing Cost Calc'!$A$2:$C$827,3,FALSE)</f>
        <v>#N/A</v>
      </c>
      <c r="K830" t="e">
        <f t="shared" si="77"/>
        <v>#N/A</v>
      </c>
    </row>
    <row r="831" spans="1:11" ht="48" x14ac:dyDescent="0.2">
      <c r="A831" s="4" t="s">
        <v>3858</v>
      </c>
      <c r="B831" t="s">
        <v>3877</v>
      </c>
      <c r="C831">
        <v>0</v>
      </c>
      <c r="D831" t="e">
        <f t="shared" si="72"/>
        <v>#VALUE!</v>
      </c>
      <c r="E831" t="e">
        <f t="shared" si="73"/>
        <v>#VALUE!</v>
      </c>
      <c r="G831">
        <f t="shared" si="74"/>
        <v>1</v>
      </c>
      <c r="H831" s="7">
        <f t="shared" si="75"/>
        <v>1</v>
      </c>
      <c r="I831">
        <f t="shared" si="76"/>
        <v>5</v>
      </c>
      <c r="J831" t="e">
        <f>VLOOKUP(A831,'Housing Cost Calc'!$A$2:$C$827,3,FALSE)</f>
        <v>#N/A</v>
      </c>
      <c r="K831" t="e">
        <f t="shared" si="77"/>
        <v>#N/A</v>
      </c>
    </row>
    <row r="832" spans="1:11" ht="48" x14ac:dyDescent="0.2">
      <c r="A832" s="4" t="s">
        <v>3859</v>
      </c>
      <c r="B832" t="s">
        <v>3877</v>
      </c>
      <c r="C832">
        <v>0</v>
      </c>
      <c r="D832" t="e">
        <f t="shared" si="72"/>
        <v>#VALUE!</v>
      </c>
      <c r="E832" t="e">
        <f t="shared" si="73"/>
        <v>#VALUE!</v>
      </c>
      <c r="G832">
        <f t="shared" si="74"/>
        <v>1</v>
      </c>
      <c r="H832" s="7">
        <f t="shared" si="75"/>
        <v>1</v>
      </c>
      <c r="I832">
        <f t="shared" si="76"/>
        <v>5</v>
      </c>
      <c r="J832" t="e">
        <f>VLOOKUP(A832,'Housing Cost Calc'!$A$2:$C$827,3,FALSE)</f>
        <v>#N/A</v>
      </c>
      <c r="K832" t="e">
        <f t="shared" si="77"/>
        <v>#N/A</v>
      </c>
    </row>
    <row r="833" spans="1:11" ht="48" x14ac:dyDescent="0.2">
      <c r="A833" s="4" t="s">
        <v>3860</v>
      </c>
      <c r="B833" t="s">
        <v>3877</v>
      </c>
      <c r="C833">
        <v>0</v>
      </c>
      <c r="D833" t="e">
        <f t="shared" si="72"/>
        <v>#VALUE!</v>
      </c>
      <c r="E833" t="e">
        <f t="shared" si="73"/>
        <v>#VALUE!</v>
      </c>
      <c r="G833">
        <f t="shared" si="74"/>
        <v>1</v>
      </c>
      <c r="H833" s="7">
        <f t="shared" si="75"/>
        <v>1</v>
      </c>
      <c r="I833">
        <f t="shared" si="76"/>
        <v>5</v>
      </c>
      <c r="J833" t="e">
        <f>VLOOKUP(A833,'Housing Cost Calc'!$A$2:$C$827,3,FALSE)</f>
        <v>#N/A</v>
      </c>
      <c r="K833" t="e">
        <f t="shared" si="77"/>
        <v>#N/A</v>
      </c>
    </row>
    <row r="834" spans="1:11" ht="64" x14ac:dyDescent="0.2">
      <c r="A834" s="4" t="s">
        <v>3861</v>
      </c>
      <c r="B834" t="s">
        <v>3877</v>
      </c>
      <c r="C834">
        <v>0</v>
      </c>
      <c r="D834" t="e">
        <f t="shared" ref="D834:D835" si="78">(B834/(C834)^0.5)</f>
        <v>#VALUE!</v>
      </c>
      <c r="E834" t="e">
        <f t="shared" ref="E834" si="79">D834/1000</f>
        <v>#VALUE!</v>
      </c>
      <c r="G834">
        <f t="shared" si="74"/>
        <v>1</v>
      </c>
      <c r="H834" s="7">
        <f t="shared" si="75"/>
        <v>1</v>
      </c>
      <c r="I834">
        <f t="shared" si="76"/>
        <v>5</v>
      </c>
      <c r="J834" t="e">
        <f>VLOOKUP(A834,'Housing Cost Calc'!$A$2:$C$827,3,FALSE)</f>
        <v>#N/A</v>
      </c>
      <c r="K834" t="e">
        <f t="shared" si="77"/>
        <v>#N/A</v>
      </c>
    </row>
    <row r="835" spans="1:11" x14ac:dyDescent="0.2">
      <c r="C835">
        <v>8878.9400000000296</v>
      </c>
      <c r="D835">
        <f t="shared" si="78"/>
        <v>0</v>
      </c>
      <c r="G835">
        <f t="shared" ref="G835" si="80">IF(F835&lt;0.2,1,IF(F835&lt;0.4,2,IF(F835&lt;0.6,3,IF(F835&lt;0.8,4,5))))</f>
        <v>1</v>
      </c>
      <c r="H835" s="7">
        <f t="shared" ref="H835" si="81">1-F835</f>
        <v>1</v>
      </c>
      <c r="I835">
        <f t="shared" ref="I835" si="82">6-G835</f>
        <v>5</v>
      </c>
      <c r="J835" t="e">
        <f>VLOOKUP(A835,'Housing Cost Calc'!$A$2:$C$827,3,FALSE)</f>
        <v>#N/A</v>
      </c>
      <c r="K835" t="e">
        <f t="shared" ref="K835" si="83">(J835*12)/D835</f>
        <v>#N/A</v>
      </c>
    </row>
  </sheetData>
  <sortState xmlns:xlrd2="http://schemas.microsoft.com/office/spreadsheetml/2017/richdata2" ref="A2:J835">
    <sortCondition ref="E2:E83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EAAED-7449-462D-B7BD-0A02DB2D96BE}">
  <sheetPr>
    <tabColor theme="8" tint="0.59999389629810485"/>
  </sheetPr>
  <dimension ref="A1:X823"/>
  <sheetViews>
    <sheetView workbookViewId="0">
      <selection activeCell="I1" sqref="I1"/>
    </sheetView>
  </sheetViews>
  <sheetFormatPr baseColWidth="10" defaultColWidth="8.83203125" defaultRowHeight="15" x14ac:dyDescent="0.2"/>
  <cols>
    <col min="1" max="1" width="21.6640625" bestFit="1" customWidth="1"/>
    <col min="2" max="2" width="11" bestFit="1" customWidth="1"/>
    <col min="3" max="3" width="50.83203125" bestFit="1" customWidth="1"/>
    <col min="4" max="4" width="22.5" customWidth="1"/>
    <col min="5" max="5" width="15.83203125" customWidth="1"/>
    <col min="6" max="6" width="18.1640625" customWidth="1"/>
    <col min="7" max="7" width="15.5" customWidth="1"/>
    <col min="8" max="8" width="10.6640625" customWidth="1"/>
    <col min="10" max="10" width="16.1640625" customWidth="1"/>
    <col min="11" max="11" width="18.6640625" customWidth="1"/>
    <col min="12" max="12" width="18.5" customWidth="1"/>
    <col min="13" max="14" width="18.1640625" customWidth="1"/>
    <col min="15" max="15" width="18.5" customWidth="1"/>
    <col min="16" max="16" width="14.33203125" customWidth="1"/>
  </cols>
  <sheetData>
    <row r="1" spans="1:24" ht="78" customHeight="1" x14ac:dyDescent="0.2">
      <c r="A1" t="s">
        <v>1011</v>
      </c>
      <c r="B1" t="s">
        <v>1012</v>
      </c>
      <c r="C1" t="s">
        <v>1013</v>
      </c>
      <c r="D1" s="108" t="s">
        <v>1014</v>
      </c>
      <c r="E1" s="108" t="s">
        <v>1015</v>
      </c>
      <c r="F1" s="108" t="s">
        <v>1016</v>
      </c>
      <c r="G1" s="108" t="s">
        <v>1017</v>
      </c>
      <c r="H1" s="108" t="s">
        <v>1018</v>
      </c>
      <c r="I1" s="108" t="s">
        <v>1019</v>
      </c>
      <c r="J1" s="109" t="s">
        <v>1020</v>
      </c>
      <c r="K1" s="109" t="s">
        <v>1021</v>
      </c>
      <c r="L1" s="109" t="s">
        <v>1022</v>
      </c>
      <c r="M1" s="110" t="s">
        <v>1023</v>
      </c>
      <c r="N1" s="109" t="s">
        <v>1024</v>
      </c>
      <c r="O1" s="109" t="s">
        <v>1025</v>
      </c>
      <c r="P1" s="111" t="s">
        <v>1026</v>
      </c>
      <c r="R1" s="1" t="s">
        <v>1027</v>
      </c>
      <c r="S1" s="1" t="s">
        <v>1028</v>
      </c>
      <c r="T1" s="1" t="s">
        <v>1029</v>
      </c>
    </row>
    <row r="2" spans="1:24" x14ac:dyDescent="0.2">
      <c r="A2" t="s">
        <v>1030</v>
      </c>
      <c r="B2">
        <v>9001010101</v>
      </c>
      <c r="C2" t="s">
        <v>1031</v>
      </c>
      <c r="D2">
        <v>176875</v>
      </c>
      <c r="E2">
        <v>2.93</v>
      </c>
      <c r="F2">
        <v>103331.4783</v>
      </c>
      <c r="G2">
        <v>103.331</v>
      </c>
      <c r="H2">
        <v>0.95</v>
      </c>
      <c r="I2">
        <v>5</v>
      </c>
      <c r="J2">
        <v>3267</v>
      </c>
      <c r="K2">
        <v>0.37940035900000002</v>
      </c>
      <c r="L2">
        <v>0.63</v>
      </c>
      <c r="M2">
        <v>4</v>
      </c>
      <c r="N2">
        <v>3.5999999999999997E-2</v>
      </c>
      <c r="O2">
        <v>1</v>
      </c>
      <c r="P2">
        <v>1</v>
      </c>
      <c r="S2" s="115"/>
      <c r="U2" t="s">
        <v>1032</v>
      </c>
      <c r="X2">
        <f>65045*0.6</f>
        <v>39027</v>
      </c>
    </row>
    <row r="3" spans="1:24" x14ac:dyDescent="0.2">
      <c r="A3" t="s">
        <v>1033</v>
      </c>
      <c r="B3">
        <v>9001010102</v>
      </c>
      <c r="C3" t="s">
        <v>1034</v>
      </c>
      <c r="D3">
        <v>250000</v>
      </c>
      <c r="E3">
        <v>3.16</v>
      </c>
      <c r="F3">
        <v>140635.98759999999</v>
      </c>
      <c r="G3">
        <v>140.636</v>
      </c>
      <c r="H3">
        <v>0.98699999999999999</v>
      </c>
      <c r="I3">
        <v>5</v>
      </c>
      <c r="J3">
        <v>4000</v>
      </c>
      <c r="K3">
        <v>0.34130666599999998</v>
      </c>
      <c r="L3">
        <v>0.42699999999999999</v>
      </c>
      <c r="M3">
        <v>3</v>
      </c>
      <c r="N3">
        <v>1.0999999999999999E-2</v>
      </c>
      <c r="O3">
        <v>1</v>
      </c>
      <c r="P3">
        <v>1</v>
      </c>
      <c r="S3" s="114" t="s">
        <v>944</v>
      </c>
    </row>
    <row r="4" spans="1:24" x14ac:dyDescent="0.2">
      <c r="A4" t="s">
        <v>1035</v>
      </c>
      <c r="B4">
        <v>9001010201</v>
      </c>
      <c r="C4" t="s">
        <v>1036</v>
      </c>
      <c r="D4">
        <v>250000</v>
      </c>
      <c r="E4">
        <v>3.16</v>
      </c>
      <c r="F4">
        <v>140635.98759999999</v>
      </c>
      <c r="G4">
        <v>140.636</v>
      </c>
      <c r="H4">
        <v>0.98699999999999999</v>
      </c>
      <c r="I4">
        <v>5</v>
      </c>
      <c r="J4">
        <v>3523</v>
      </c>
      <c r="K4">
        <v>0.30060584600000001</v>
      </c>
      <c r="L4">
        <v>0.17299999999999999</v>
      </c>
      <c r="M4">
        <v>1</v>
      </c>
      <c r="N4">
        <v>2.5000000000000001E-2</v>
      </c>
      <c r="O4">
        <v>1</v>
      </c>
      <c r="P4">
        <v>1</v>
      </c>
      <c r="S4" s="116" t="s">
        <v>944</v>
      </c>
    </row>
    <row r="5" spans="1:24" x14ac:dyDescent="0.2">
      <c r="A5" t="s">
        <v>1037</v>
      </c>
      <c r="B5">
        <v>9001010202</v>
      </c>
      <c r="C5" t="s">
        <v>1038</v>
      </c>
      <c r="D5">
        <v>222839</v>
      </c>
      <c r="E5">
        <v>2.91</v>
      </c>
      <c r="F5">
        <v>130630.5353</v>
      </c>
      <c r="G5">
        <v>130.631</v>
      </c>
      <c r="H5">
        <v>0.97599999999999998</v>
      </c>
      <c r="I5">
        <v>5</v>
      </c>
      <c r="J5">
        <v>3250</v>
      </c>
      <c r="K5">
        <v>0.29855194200000001</v>
      </c>
      <c r="L5">
        <v>0.16400000000000001</v>
      </c>
      <c r="M5">
        <v>1</v>
      </c>
      <c r="N5">
        <v>3.6999999999999998E-2</v>
      </c>
      <c r="O5">
        <v>1</v>
      </c>
      <c r="P5">
        <v>1</v>
      </c>
      <c r="S5" s="114" t="s">
        <v>944</v>
      </c>
    </row>
    <row r="6" spans="1:24" x14ac:dyDescent="0.2">
      <c r="A6" t="s">
        <v>1039</v>
      </c>
      <c r="B6">
        <v>9001010300</v>
      </c>
      <c r="C6" t="s">
        <v>1040</v>
      </c>
      <c r="D6">
        <v>238750</v>
      </c>
      <c r="E6">
        <v>2.72</v>
      </c>
      <c r="F6">
        <v>144763.45120000001</v>
      </c>
      <c r="G6">
        <v>144.76300000000001</v>
      </c>
      <c r="H6">
        <v>0.998</v>
      </c>
      <c r="I6">
        <v>5</v>
      </c>
      <c r="J6">
        <v>3541</v>
      </c>
      <c r="K6">
        <v>0.29352712800000003</v>
      </c>
      <c r="L6">
        <v>0.13800000000000001</v>
      </c>
      <c r="M6">
        <v>1</v>
      </c>
      <c r="N6">
        <v>2.4E-2</v>
      </c>
      <c r="O6">
        <v>1</v>
      </c>
      <c r="P6">
        <v>1</v>
      </c>
      <c r="S6" s="116" t="s">
        <v>944</v>
      </c>
    </row>
    <row r="7" spans="1:24" x14ac:dyDescent="0.2">
      <c r="A7" t="s">
        <v>1041</v>
      </c>
      <c r="B7">
        <v>9001010400</v>
      </c>
      <c r="C7" t="s">
        <v>1042</v>
      </c>
      <c r="D7">
        <v>116222</v>
      </c>
      <c r="E7">
        <v>2.77</v>
      </c>
      <c r="F7">
        <v>69831.03198</v>
      </c>
      <c r="G7">
        <v>69.831000000000003</v>
      </c>
      <c r="H7">
        <v>0.80100000000000005</v>
      </c>
      <c r="I7">
        <v>5</v>
      </c>
      <c r="J7">
        <v>1923</v>
      </c>
      <c r="K7">
        <v>0.33045480399999999</v>
      </c>
      <c r="L7">
        <v>0.36199999999999999</v>
      </c>
      <c r="M7">
        <v>2</v>
      </c>
      <c r="N7">
        <v>0.19800000000000001</v>
      </c>
      <c r="O7">
        <v>1</v>
      </c>
      <c r="P7">
        <v>1</v>
      </c>
      <c r="S7" s="114" t="s">
        <v>944</v>
      </c>
    </row>
    <row r="8" spans="1:24" x14ac:dyDescent="0.2">
      <c r="A8" t="s">
        <v>1043</v>
      </c>
      <c r="B8">
        <v>9001010500</v>
      </c>
      <c r="C8" t="s">
        <v>1044</v>
      </c>
      <c r="D8">
        <v>91556</v>
      </c>
      <c r="E8">
        <v>2.5499999999999998</v>
      </c>
      <c r="F8">
        <v>57334.591189999999</v>
      </c>
      <c r="G8">
        <v>57.335000000000001</v>
      </c>
      <c r="H8">
        <v>0.6</v>
      </c>
      <c r="I8">
        <v>3</v>
      </c>
      <c r="J8">
        <v>1979</v>
      </c>
      <c r="K8">
        <v>0.41420021499999998</v>
      </c>
      <c r="L8">
        <v>0.71</v>
      </c>
      <c r="M8">
        <v>4</v>
      </c>
      <c r="N8">
        <v>0.17100000000000001</v>
      </c>
      <c r="O8">
        <v>1</v>
      </c>
      <c r="P8">
        <v>2</v>
      </c>
      <c r="S8" s="116" t="s">
        <v>944</v>
      </c>
    </row>
    <row r="9" spans="1:24" x14ac:dyDescent="0.2">
      <c r="A9" t="s">
        <v>1045</v>
      </c>
      <c r="B9">
        <v>9001010600</v>
      </c>
      <c r="C9" t="s">
        <v>1046</v>
      </c>
      <c r="D9">
        <v>104868</v>
      </c>
      <c r="E9">
        <v>1.94</v>
      </c>
      <c r="F9">
        <v>75290.836179999998</v>
      </c>
      <c r="G9">
        <v>75.290999999999997</v>
      </c>
      <c r="H9">
        <v>0.85199999999999998</v>
      </c>
      <c r="I9">
        <v>5</v>
      </c>
      <c r="J9">
        <v>2018</v>
      </c>
      <c r="K9">
        <v>0.32163276699999999</v>
      </c>
      <c r="L9">
        <v>0.311</v>
      </c>
      <c r="M9">
        <v>2</v>
      </c>
      <c r="N9">
        <v>0.16</v>
      </c>
      <c r="O9">
        <v>1</v>
      </c>
      <c r="P9">
        <v>1</v>
      </c>
      <c r="S9" s="114" t="s">
        <v>944</v>
      </c>
    </row>
    <row r="10" spans="1:24" x14ac:dyDescent="0.2">
      <c r="A10" t="s">
        <v>1047</v>
      </c>
      <c r="B10">
        <v>9001010700</v>
      </c>
      <c r="C10" t="s">
        <v>1048</v>
      </c>
      <c r="D10">
        <v>61667</v>
      </c>
      <c r="E10">
        <v>2.13</v>
      </c>
      <c r="F10">
        <v>42253.532169999999</v>
      </c>
      <c r="G10">
        <v>42.253999999999998</v>
      </c>
      <c r="H10">
        <v>0.32500000000000001</v>
      </c>
      <c r="I10">
        <v>2</v>
      </c>
      <c r="J10">
        <v>1586</v>
      </c>
      <c r="K10">
        <v>0.450423882</v>
      </c>
      <c r="L10">
        <v>0.78500000000000003</v>
      </c>
      <c r="M10">
        <v>4</v>
      </c>
      <c r="N10">
        <v>0.40100000000000002</v>
      </c>
      <c r="O10">
        <v>3</v>
      </c>
      <c r="P10">
        <v>4</v>
      </c>
      <c r="S10" s="116" t="s">
        <v>944</v>
      </c>
    </row>
    <row r="11" spans="1:24" x14ac:dyDescent="0.2">
      <c r="A11" t="s">
        <v>1049</v>
      </c>
      <c r="B11">
        <v>9001010800</v>
      </c>
      <c r="C11" t="s">
        <v>1050</v>
      </c>
      <c r="D11">
        <v>136495</v>
      </c>
      <c r="E11">
        <v>2.6</v>
      </c>
      <c r="F11">
        <v>84650.605490000002</v>
      </c>
      <c r="G11">
        <v>84.650999999999996</v>
      </c>
      <c r="H11">
        <v>0.90500000000000003</v>
      </c>
      <c r="I11">
        <v>5</v>
      </c>
      <c r="J11">
        <v>2403</v>
      </c>
      <c r="K11">
        <v>0.34064729799999999</v>
      </c>
      <c r="L11">
        <v>0.41899999999999998</v>
      </c>
      <c r="M11">
        <v>3</v>
      </c>
      <c r="N11">
        <v>8.8999999999999996E-2</v>
      </c>
      <c r="O11">
        <v>1</v>
      </c>
      <c r="P11">
        <v>1</v>
      </c>
      <c r="S11" s="114" t="s">
        <v>944</v>
      </c>
    </row>
    <row r="12" spans="1:24" x14ac:dyDescent="0.2">
      <c r="A12" t="s">
        <v>1051</v>
      </c>
      <c r="B12">
        <v>9001010900</v>
      </c>
      <c r="C12" t="s">
        <v>1052</v>
      </c>
      <c r="D12">
        <v>164063</v>
      </c>
      <c r="E12">
        <v>2.89</v>
      </c>
      <c r="F12">
        <v>96507.647060000003</v>
      </c>
      <c r="G12">
        <v>96.507999999999996</v>
      </c>
      <c r="H12">
        <v>0.93899999999999995</v>
      </c>
      <c r="I12">
        <v>5</v>
      </c>
      <c r="J12">
        <v>2436</v>
      </c>
      <c r="K12">
        <v>0.30289827699999999</v>
      </c>
      <c r="L12">
        <v>0.19</v>
      </c>
      <c r="M12">
        <v>1</v>
      </c>
      <c r="N12">
        <v>8.4000000000000005E-2</v>
      </c>
      <c r="O12">
        <v>1</v>
      </c>
      <c r="P12">
        <v>1</v>
      </c>
      <c r="S12" s="116" t="s">
        <v>944</v>
      </c>
    </row>
    <row r="13" spans="1:24" x14ac:dyDescent="0.2">
      <c r="A13" t="s">
        <v>1053</v>
      </c>
      <c r="B13">
        <v>9001011000</v>
      </c>
      <c r="C13" t="s">
        <v>1054</v>
      </c>
      <c r="D13">
        <v>236000</v>
      </c>
      <c r="E13">
        <v>3.19</v>
      </c>
      <c r="F13">
        <v>132134.63260000001</v>
      </c>
      <c r="G13">
        <v>132.13499999999999</v>
      </c>
      <c r="H13">
        <v>0.97799999999999998</v>
      </c>
      <c r="I13">
        <v>5</v>
      </c>
      <c r="J13">
        <v>3348</v>
      </c>
      <c r="K13">
        <v>0.30405351899999999</v>
      </c>
      <c r="L13">
        <v>0.19500000000000001</v>
      </c>
      <c r="M13">
        <v>1</v>
      </c>
      <c r="N13">
        <v>2.8000000000000001E-2</v>
      </c>
      <c r="O13">
        <v>1</v>
      </c>
      <c r="P13">
        <v>1</v>
      </c>
      <c r="S13" s="114" t="s">
        <v>944</v>
      </c>
    </row>
    <row r="14" spans="1:24" x14ac:dyDescent="0.2">
      <c r="A14" t="s">
        <v>1055</v>
      </c>
      <c r="B14">
        <v>9001011100</v>
      </c>
      <c r="C14" t="s">
        <v>1056</v>
      </c>
      <c r="D14">
        <v>250000</v>
      </c>
      <c r="E14">
        <v>3.2</v>
      </c>
      <c r="F14">
        <v>139754.24859999999</v>
      </c>
      <c r="G14">
        <v>139.75399999999999</v>
      </c>
      <c r="H14">
        <v>0.98599999999999999</v>
      </c>
      <c r="I14">
        <v>5</v>
      </c>
      <c r="J14">
        <v>4000</v>
      </c>
      <c r="K14">
        <v>0.34346004099999999</v>
      </c>
      <c r="L14">
        <v>0.439</v>
      </c>
      <c r="M14">
        <v>3</v>
      </c>
      <c r="N14">
        <v>1.0999999999999999E-2</v>
      </c>
      <c r="O14">
        <v>1</v>
      </c>
      <c r="P14">
        <v>1</v>
      </c>
      <c r="S14" s="116" t="s">
        <v>944</v>
      </c>
    </row>
    <row r="15" spans="1:24" x14ac:dyDescent="0.2">
      <c r="A15" t="s">
        <v>1057</v>
      </c>
      <c r="B15">
        <v>9001011200</v>
      </c>
      <c r="C15" t="s">
        <v>1058</v>
      </c>
      <c r="D15">
        <v>238068</v>
      </c>
      <c r="E15">
        <v>2.76</v>
      </c>
      <c r="F15">
        <v>143300.09640000001</v>
      </c>
      <c r="G15">
        <v>143.30000000000001</v>
      </c>
      <c r="H15">
        <v>0.997</v>
      </c>
      <c r="I15">
        <v>5</v>
      </c>
      <c r="J15">
        <v>3293</v>
      </c>
      <c r="K15">
        <v>0.27575696700000002</v>
      </c>
      <c r="L15">
        <v>7.3999999999999996E-2</v>
      </c>
      <c r="M15">
        <v>1</v>
      </c>
      <c r="N15">
        <v>3.3000000000000002E-2</v>
      </c>
      <c r="O15">
        <v>1</v>
      </c>
      <c r="P15">
        <v>1</v>
      </c>
      <c r="S15" s="114" t="s">
        <v>944</v>
      </c>
    </row>
    <row r="16" spans="1:24" x14ac:dyDescent="0.2">
      <c r="A16" t="s">
        <v>1059</v>
      </c>
      <c r="B16">
        <v>9001011300</v>
      </c>
      <c r="C16" t="s">
        <v>1060</v>
      </c>
      <c r="D16">
        <v>80882</v>
      </c>
      <c r="E16">
        <v>2.72</v>
      </c>
      <c r="F16">
        <v>49041.916060000003</v>
      </c>
      <c r="G16">
        <v>49.042000000000002</v>
      </c>
      <c r="H16">
        <v>0.45200000000000001</v>
      </c>
      <c r="I16">
        <v>3</v>
      </c>
      <c r="J16">
        <v>1944</v>
      </c>
      <c r="K16">
        <v>0.47567472599999999</v>
      </c>
      <c r="L16">
        <v>0.81799999999999995</v>
      </c>
      <c r="M16">
        <v>5</v>
      </c>
      <c r="N16">
        <v>0.188</v>
      </c>
      <c r="O16">
        <v>1</v>
      </c>
      <c r="P16">
        <v>2</v>
      </c>
      <c r="S16" s="116" t="s">
        <v>944</v>
      </c>
    </row>
    <row r="17" spans="1:19" x14ac:dyDescent="0.2">
      <c r="A17" t="s">
        <v>1061</v>
      </c>
      <c r="B17">
        <v>9001020100</v>
      </c>
      <c r="C17" t="s">
        <v>1062</v>
      </c>
      <c r="D17">
        <v>63514</v>
      </c>
      <c r="E17">
        <v>1.77</v>
      </c>
      <c r="F17">
        <v>47740.045819999999</v>
      </c>
      <c r="G17">
        <v>47.74</v>
      </c>
      <c r="H17">
        <v>0.41899999999999998</v>
      </c>
      <c r="I17">
        <v>3</v>
      </c>
      <c r="J17">
        <v>1542</v>
      </c>
      <c r="K17">
        <v>0.38759912499999999</v>
      </c>
      <c r="L17">
        <v>0.65300000000000002</v>
      </c>
      <c r="M17">
        <v>4</v>
      </c>
      <c r="N17">
        <v>0.432</v>
      </c>
      <c r="O17">
        <v>3</v>
      </c>
      <c r="P17">
        <v>3</v>
      </c>
      <c r="S17" s="114" t="s">
        <v>944</v>
      </c>
    </row>
    <row r="18" spans="1:19" x14ac:dyDescent="0.2">
      <c r="A18" t="s">
        <v>1063</v>
      </c>
      <c r="B18">
        <v>9001020200</v>
      </c>
      <c r="C18" t="s">
        <v>1064</v>
      </c>
      <c r="D18">
        <v>233750</v>
      </c>
      <c r="E18">
        <v>2.88</v>
      </c>
      <c r="F18">
        <v>137738.50839999999</v>
      </c>
      <c r="G18">
        <v>137.739</v>
      </c>
      <c r="H18">
        <v>0.98499999999999999</v>
      </c>
      <c r="I18">
        <v>5</v>
      </c>
      <c r="J18">
        <v>3644</v>
      </c>
      <c r="K18">
        <v>0.31747113100000002</v>
      </c>
      <c r="L18">
        <v>0.26800000000000002</v>
      </c>
      <c r="M18">
        <v>2</v>
      </c>
      <c r="N18">
        <v>0.02</v>
      </c>
      <c r="O18">
        <v>1</v>
      </c>
      <c r="P18">
        <v>1</v>
      </c>
      <c r="S18" s="116" t="s">
        <v>944</v>
      </c>
    </row>
    <row r="19" spans="1:19" x14ac:dyDescent="0.2">
      <c r="A19" t="s">
        <v>1065</v>
      </c>
      <c r="B19">
        <v>9001020300</v>
      </c>
      <c r="C19" t="s">
        <v>1066</v>
      </c>
      <c r="D19">
        <v>196250</v>
      </c>
      <c r="E19">
        <v>2.86</v>
      </c>
      <c r="F19">
        <v>116045.0577</v>
      </c>
      <c r="G19">
        <v>116.045</v>
      </c>
      <c r="H19">
        <v>0.96799999999999997</v>
      </c>
      <c r="I19">
        <v>5</v>
      </c>
      <c r="J19">
        <v>3331</v>
      </c>
      <c r="K19">
        <v>0.34445241199999999</v>
      </c>
      <c r="L19">
        <v>0.44700000000000001</v>
      </c>
      <c r="M19">
        <v>3</v>
      </c>
      <c r="N19">
        <v>3.1E-2</v>
      </c>
      <c r="O19">
        <v>1</v>
      </c>
      <c r="P19">
        <v>1</v>
      </c>
      <c r="S19" s="114" t="s">
        <v>944</v>
      </c>
    </row>
    <row r="20" spans="1:19" x14ac:dyDescent="0.2">
      <c r="A20" t="s">
        <v>1067</v>
      </c>
      <c r="B20">
        <v>9001020400</v>
      </c>
      <c r="C20" t="s">
        <v>1068</v>
      </c>
      <c r="D20">
        <v>170972</v>
      </c>
      <c r="E20">
        <v>2.98</v>
      </c>
      <c r="F20">
        <v>99041.420360000004</v>
      </c>
      <c r="G20">
        <v>99.040999999999997</v>
      </c>
      <c r="H20">
        <v>0.94399999999999995</v>
      </c>
      <c r="I20">
        <v>5</v>
      </c>
      <c r="J20">
        <v>3328</v>
      </c>
      <c r="K20">
        <v>0.40322523500000002</v>
      </c>
      <c r="L20">
        <v>0.68400000000000005</v>
      </c>
      <c r="M20">
        <v>4</v>
      </c>
      <c r="N20">
        <v>3.2000000000000001E-2</v>
      </c>
      <c r="O20">
        <v>1</v>
      </c>
      <c r="P20">
        <v>1</v>
      </c>
      <c r="S20" s="116" t="s">
        <v>944</v>
      </c>
    </row>
    <row r="21" spans="1:19" x14ac:dyDescent="0.2">
      <c r="A21" t="s">
        <v>1069</v>
      </c>
      <c r="B21">
        <v>9001020500</v>
      </c>
      <c r="C21" t="s">
        <v>1070</v>
      </c>
      <c r="D21">
        <v>186324</v>
      </c>
      <c r="E21">
        <v>2.77</v>
      </c>
      <c r="F21">
        <v>111951.24159999999</v>
      </c>
      <c r="G21">
        <v>111.95099999999999</v>
      </c>
      <c r="H21">
        <v>0.96399999999999997</v>
      </c>
      <c r="I21">
        <v>5</v>
      </c>
      <c r="J21">
        <v>2959</v>
      </c>
      <c r="K21">
        <v>0.31717379400000001</v>
      </c>
      <c r="L21">
        <v>0.26600000000000001</v>
      </c>
      <c r="M21">
        <v>2</v>
      </c>
      <c r="N21">
        <v>4.5999999999999999E-2</v>
      </c>
      <c r="O21">
        <v>1</v>
      </c>
      <c r="P21">
        <v>1</v>
      </c>
      <c r="S21" s="114" t="s">
        <v>944</v>
      </c>
    </row>
    <row r="22" spans="1:19" x14ac:dyDescent="0.2">
      <c r="A22" t="s">
        <v>1071</v>
      </c>
      <c r="B22">
        <v>9001020600</v>
      </c>
      <c r="C22" t="s">
        <v>1072</v>
      </c>
      <c r="D22">
        <v>144519</v>
      </c>
      <c r="E22">
        <v>3.07</v>
      </c>
      <c r="F22">
        <v>82481.349900000001</v>
      </c>
      <c r="G22">
        <v>82.480999999999995</v>
      </c>
      <c r="H22">
        <v>0.89400000000000002</v>
      </c>
      <c r="I22">
        <v>5</v>
      </c>
      <c r="J22">
        <v>2570</v>
      </c>
      <c r="K22">
        <v>0.373902707</v>
      </c>
      <c r="L22">
        <v>0.60899999999999999</v>
      </c>
      <c r="M22">
        <v>4</v>
      </c>
      <c r="N22">
        <v>7.0000000000000007E-2</v>
      </c>
      <c r="O22">
        <v>1</v>
      </c>
      <c r="P22">
        <v>1</v>
      </c>
      <c r="S22" s="116" t="s">
        <v>944</v>
      </c>
    </row>
    <row r="23" spans="1:19" x14ac:dyDescent="0.2">
      <c r="A23" t="s">
        <v>1073</v>
      </c>
      <c r="B23">
        <v>9001020700</v>
      </c>
      <c r="C23" t="s">
        <v>1074</v>
      </c>
      <c r="D23">
        <v>131897</v>
      </c>
      <c r="E23">
        <v>2.65</v>
      </c>
      <c r="F23">
        <v>81023.68303</v>
      </c>
      <c r="G23">
        <v>81.024000000000001</v>
      </c>
      <c r="H23">
        <v>0.88800000000000001</v>
      </c>
      <c r="I23">
        <v>5</v>
      </c>
      <c r="J23">
        <v>2349</v>
      </c>
      <c r="K23">
        <v>0.34789828</v>
      </c>
      <c r="L23">
        <v>0.46899999999999997</v>
      </c>
      <c r="M23">
        <v>3</v>
      </c>
      <c r="N23">
        <v>0.1</v>
      </c>
      <c r="O23">
        <v>1</v>
      </c>
      <c r="P23">
        <v>1</v>
      </c>
      <c r="S23" s="114" t="s">
        <v>944</v>
      </c>
    </row>
    <row r="24" spans="1:19" x14ac:dyDescent="0.2">
      <c r="A24" t="s">
        <v>1075</v>
      </c>
      <c r="B24">
        <v>9001020800</v>
      </c>
      <c r="C24" t="s">
        <v>1076</v>
      </c>
      <c r="D24">
        <v>168846</v>
      </c>
      <c r="E24">
        <v>2.8</v>
      </c>
      <c r="F24">
        <v>100904.7849</v>
      </c>
      <c r="G24">
        <v>100.905</v>
      </c>
      <c r="H24">
        <v>0.94499999999999995</v>
      </c>
      <c r="I24">
        <v>5</v>
      </c>
      <c r="J24">
        <v>2638</v>
      </c>
      <c r="K24">
        <v>0.31372149500000002</v>
      </c>
      <c r="L24">
        <v>0.246</v>
      </c>
      <c r="M24">
        <v>2</v>
      </c>
      <c r="N24">
        <v>6.5000000000000002E-2</v>
      </c>
      <c r="O24">
        <v>1</v>
      </c>
      <c r="P24">
        <v>1</v>
      </c>
      <c r="S24" s="116" t="s">
        <v>944</v>
      </c>
    </row>
    <row r="25" spans="1:19" x14ac:dyDescent="0.2">
      <c r="A25" t="s">
        <v>1077</v>
      </c>
      <c r="B25">
        <v>9001020900</v>
      </c>
      <c r="C25" t="s">
        <v>1078</v>
      </c>
      <c r="D25">
        <v>64044</v>
      </c>
      <c r="E25">
        <v>2.38</v>
      </c>
      <c r="F25">
        <v>41513.559269999998</v>
      </c>
      <c r="G25">
        <v>41.514000000000003</v>
      </c>
      <c r="H25">
        <v>0.309</v>
      </c>
      <c r="I25">
        <v>2</v>
      </c>
      <c r="J25">
        <v>1852</v>
      </c>
      <c r="K25">
        <v>0.53534316000000004</v>
      </c>
      <c r="L25">
        <v>0.878</v>
      </c>
      <c r="M25">
        <v>5</v>
      </c>
      <c r="N25">
        <v>0.23200000000000001</v>
      </c>
      <c r="O25">
        <v>2</v>
      </c>
      <c r="P25">
        <v>3</v>
      </c>
      <c r="S25" s="114" t="s">
        <v>944</v>
      </c>
    </row>
    <row r="26" spans="1:19" x14ac:dyDescent="0.2">
      <c r="A26" t="s">
        <v>1079</v>
      </c>
      <c r="B26">
        <v>9001021000</v>
      </c>
      <c r="C26" t="s">
        <v>1080</v>
      </c>
      <c r="D26">
        <v>133988</v>
      </c>
      <c r="E26">
        <v>2.82</v>
      </c>
      <c r="F26">
        <v>79788.692880000002</v>
      </c>
      <c r="G26">
        <v>79.789000000000001</v>
      </c>
      <c r="H26">
        <v>0.874</v>
      </c>
      <c r="I26">
        <v>5</v>
      </c>
      <c r="J26">
        <v>2313</v>
      </c>
      <c r="K26">
        <v>0.34786884000000001</v>
      </c>
      <c r="L26">
        <v>0.46700000000000003</v>
      </c>
      <c r="M26">
        <v>3</v>
      </c>
      <c r="N26">
        <v>0.111</v>
      </c>
      <c r="O26">
        <v>1</v>
      </c>
      <c r="P26">
        <v>1</v>
      </c>
      <c r="S26" s="116" t="s">
        <v>944</v>
      </c>
    </row>
    <row r="27" spans="1:19" x14ac:dyDescent="0.2">
      <c r="A27" t="s">
        <v>1081</v>
      </c>
      <c r="B27">
        <v>9001021100</v>
      </c>
      <c r="C27" t="s">
        <v>1082</v>
      </c>
      <c r="D27">
        <v>103810</v>
      </c>
      <c r="E27">
        <v>2.74</v>
      </c>
      <c r="F27">
        <v>62713.914510000002</v>
      </c>
      <c r="G27">
        <v>62.713999999999999</v>
      </c>
      <c r="H27">
        <v>0.70399999999999996</v>
      </c>
      <c r="I27">
        <v>4</v>
      </c>
      <c r="J27">
        <v>1898</v>
      </c>
      <c r="K27">
        <v>0.36317299199999997</v>
      </c>
      <c r="L27">
        <v>0.55400000000000005</v>
      </c>
      <c r="M27">
        <v>3</v>
      </c>
      <c r="N27">
        <v>0.21099999999999999</v>
      </c>
      <c r="O27">
        <v>2</v>
      </c>
      <c r="P27">
        <v>2</v>
      </c>
      <c r="S27" s="114" t="s">
        <v>944</v>
      </c>
    </row>
    <row r="28" spans="1:19" x14ac:dyDescent="0.2">
      <c r="A28" t="s">
        <v>1083</v>
      </c>
      <c r="B28">
        <v>9001021200</v>
      </c>
      <c r="C28" t="s">
        <v>1084</v>
      </c>
      <c r="D28">
        <v>138686</v>
      </c>
      <c r="E28">
        <v>2.61</v>
      </c>
      <c r="F28">
        <v>85844.478900000002</v>
      </c>
      <c r="G28">
        <v>85.843999999999994</v>
      </c>
      <c r="H28">
        <v>0.91100000000000003</v>
      </c>
      <c r="I28">
        <v>5</v>
      </c>
      <c r="J28">
        <v>2581</v>
      </c>
      <c r="K28">
        <v>0.36079198600000001</v>
      </c>
      <c r="L28">
        <v>0.54300000000000004</v>
      </c>
      <c r="M28">
        <v>3</v>
      </c>
      <c r="N28">
        <v>6.9000000000000006E-2</v>
      </c>
      <c r="O28">
        <v>1</v>
      </c>
      <c r="P28">
        <v>1</v>
      </c>
      <c r="S28" s="116" t="s">
        <v>944</v>
      </c>
    </row>
    <row r="29" spans="1:19" x14ac:dyDescent="0.2">
      <c r="A29" t="s">
        <v>1085</v>
      </c>
      <c r="B29">
        <v>9001021300</v>
      </c>
      <c r="C29" t="s">
        <v>1086</v>
      </c>
      <c r="D29">
        <v>112188</v>
      </c>
      <c r="E29">
        <v>2.7</v>
      </c>
      <c r="F29">
        <v>68275.44253</v>
      </c>
      <c r="G29">
        <v>68.275000000000006</v>
      </c>
      <c r="H29">
        <v>0.77800000000000002</v>
      </c>
      <c r="I29">
        <v>4</v>
      </c>
      <c r="J29">
        <v>2357</v>
      </c>
      <c r="K29">
        <v>0.41426315200000002</v>
      </c>
      <c r="L29">
        <v>0.71099999999999997</v>
      </c>
      <c r="M29">
        <v>4</v>
      </c>
      <c r="N29">
        <v>9.9000000000000005E-2</v>
      </c>
      <c r="O29">
        <v>1</v>
      </c>
      <c r="P29">
        <v>2</v>
      </c>
      <c r="S29" s="114" t="s">
        <v>944</v>
      </c>
    </row>
    <row r="30" spans="1:19" x14ac:dyDescent="0.2">
      <c r="A30" t="s">
        <v>1087</v>
      </c>
      <c r="B30">
        <v>9001021400</v>
      </c>
      <c r="C30" t="s">
        <v>1088</v>
      </c>
      <c r="D30">
        <v>46566</v>
      </c>
      <c r="E30">
        <v>2.98</v>
      </c>
      <c r="F30">
        <v>26974.95953</v>
      </c>
      <c r="G30">
        <v>26.975000000000001</v>
      </c>
      <c r="H30">
        <v>0.13400000000000001</v>
      </c>
      <c r="I30">
        <v>1</v>
      </c>
      <c r="J30">
        <v>1793</v>
      </c>
      <c r="K30">
        <v>0.79762862899999998</v>
      </c>
      <c r="L30">
        <v>0.98399999999999999</v>
      </c>
      <c r="M30">
        <v>5</v>
      </c>
      <c r="N30">
        <v>0.25600000000000001</v>
      </c>
      <c r="O30">
        <v>2</v>
      </c>
      <c r="P30">
        <v>4</v>
      </c>
      <c r="S30" s="116" t="s">
        <v>936</v>
      </c>
    </row>
    <row r="31" spans="1:19" x14ac:dyDescent="0.2">
      <c r="A31" t="s">
        <v>1089</v>
      </c>
      <c r="B31">
        <v>9001021500</v>
      </c>
      <c r="C31" t="s">
        <v>1090</v>
      </c>
      <c r="D31">
        <v>43357</v>
      </c>
      <c r="E31">
        <v>3.08</v>
      </c>
      <c r="F31">
        <v>24704.943569999999</v>
      </c>
      <c r="G31">
        <v>24.704999999999998</v>
      </c>
      <c r="H31">
        <v>0.109</v>
      </c>
      <c r="I31">
        <v>1</v>
      </c>
      <c r="J31">
        <v>1564</v>
      </c>
      <c r="K31">
        <v>0.75968601000000002</v>
      </c>
      <c r="L31">
        <v>0.97899999999999998</v>
      </c>
      <c r="M31">
        <v>5</v>
      </c>
      <c r="N31">
        <v>0.41899999999999998</v>
      </c>
      <c r="O31">
        <v>3</v>
      </c>
      <c r="P31">
        <v>4</v>
      </c>
      <c r="S31" s="114" t="s">
        <v>936</v>
      </c>
    </row>
    <row r="32" spans="1:19" x14ac:dyDescent="0.2">
      <c r="A32" t="s">
        <v>1091</v>
      </c>
      <c r="B32">
        <v>9001021600</v>
      </c>
      <c r="C32" t="s">
        <v>1092</v>
      </c>
      <c r="D32">
        <v>85420</v>
      </c>
      <c r="E32">
        <v>2.29</v>
      </c>
      <c r="F32">
        <v>56447.12485</v>
      </c>
      <c r="G32">
        <v>56.447000000000003</v>
      </c>
      <c r="H32">
        <v>0.58599999999999997</v>
      </c>
      <c r="I32">
        <v>3</v>
      </c>
      <c r="J32">
        <v>2014</v>
      </c>
      <c r="K32">
        <v>0.42815289600000001</v>
      </c>
      <c r="L32">
        <v>0.746</v>
      </c>
      <c r="M32">
        <v>4</v>
      </c>
      <c r="N32">
        <v>0.161</v>
      </c>
      <c r="O32">
        <v>1</v>
      </c>
      <c r="P32">
        <v>2</v>
      </c>
      <c r="S32" s="116" t="s">
        <v>944</v>
      </c>
    </row>
    <row r="33" spans="1:19" x14ac:dyDescent="0.2">
      <c r="A33" t="s">
        <v>1093</v>
      </c>
      <c r="B33">
        <v>9001021700</v>
      </c>
      <c r="C33" t="s">
        <v>1094</v>
      </c>
      <c r="D33">
        <v>86705</v>
      </c>
      <c r="E33">
        <v>2.06</v>
      </c>
      <c r="F33">
        <v>60410.235999999997</v>
      </c>
      <c r="G33">
        <v>60.41</v>
      </c>
      <c r="H33">
        <v>0.66</v>
      </c>
      <c r="I33">
        <v>4</v>
      </c>
      <c r="J33">
        <v>1908</v>
      </c>
      <c r="K33">
        <v>0.37900861699999999</v>
      </c>
      <c r="L33">
        <v>0.628</v>
      </c>
      <c r="M33">
        <v>4</v>
      </c>
      <c r="N33">
        <v>0.20699999999999999</v>
      </c>
      <c r="O33">
        <v>2</v>
      </c>
      <c r="P33">
        <v>2</v>
      </c>
      <c r="S33" s="114" t="s">
        <v>944</v>
      </c>
    </row>
    <row r="34" spans="1:19" x14ac:dyDescent="0.2">
      <c r="A34" t="s">
        <v>1095</v>
      </c>
      <c r="B34">
        <v>9001021801</v>
      </c>
      <c r="C34" t="s">
        <v>1096</v>
      </c>
      <c r="D34">
        <v>99112</v>
      </c>
      <c r="E34">
        <v>2.4900000000000002</v>
      </c>
      <c r="F34">
        <v>62809.677920000002</v>
      </c>
      <c r="G34">
        <v>62.81</v>
      </c>
      <c r="H34">
        <v>0.70499999999999996</v>
      </c>
      <c r="I34">
        <v>4</v>
      </c>
      <c r="J34">
        <v>1969</v>
      </c>
      <c r="K34">
        <v>0.37618406599999998</v>
      </c>
      <c r="L34">
        <v>0.61899999999999999</v>
      </c>
      <c r="M34">
        <v>4</v>
      </c>
      <c r="N34">
        <v>0.17399999999999999</v>
      </c>
      <c r="O34">
        <v>1</v>
      </c>
      <c r="P34">
        <v>2</v>
      </c>
      <c r="S34" s="116" t="s">
        <v>944</v>
      </c>
    </row>
    <row r="35" spans="1:19" x14ac:dyDescent="0.2">
      <c r="A35" t="s">
        <v>1097</v>
      </c>
      <c r="B35">
        <v>9001021802</v>
      </c>
      <c r="C35" t="s">
        <v>1098</v>
      </c>
      <c r="D35">
        <v>68599</v>
      </c>
      <c r="E35">
        <v>2.77</v>
      </c>
      <c r="F35">
        <v>41217.14445</v>
      </c>
      <c r="G35">
        <v>41.216999999999999</v>
      </c>
      <c r="H35">
        <v>0.30599999999999999</v>
      </c>
      <c r="I35">
        <v>2</v>
      </c>
      <c r="J35">
        <v>1630</v>
      </c>
      <c r="K35">
        <v>0.47455980399999997</v>
      </c>
      <c r="L35">
        <v>0.81599999999999995</v>
      </c>
      <c r="M35">
        <v>5</v>
      </c>
      <c r="N35">
        <v>0.36099999999999999</v>
      </c>
      <c r="O35">
        <v>2</v>
      </c>
      <c r="P35">
        <v>3</v>
      </c>
      <c r="S35" s="114" t="s">
        <v>944</v>
      </c>
    </row>
    <row r="36" spans="1:19" x14ac:dyDescent="0.2">
      <c r="A36" t="s">
        <v>1099</v>
      </c>
      <c r="B36">
        <v>9001021900</v>
      </c>
      <c r="C36" t="s">
        <v>1100</v>
      </c>
      <c r="D36">
        <v>66250</v>
      </c>
      <c r="E36">
        <v>2.81</v>
      </c>
      <c r="F36">
        <v>39521.436589999998</v>
      </c>
      <c r="G36">
        <v>39.521000000000001</v>
      </c>
      <c r="H36">
        <v>0.28699999999999998</v>
      </c>
      <c r="I36">
        <v>2</v>
      </c>
      <c r="J36">
        <v>2096</v>
      </c>
      <c r="K36">
        <v>0.63641411299999995</v>
      </c>
      <c r="L36">
        <v>0.94199999999999995</v>
      </c>
      <c r="M36">
        <v>5</v>
      </c>
      <c r="N36">
        <v>0.14399999999999999</v>
      </c>
      <c r="O36">
        <v>1</v>
      </c>
      <c r="P36">
        <v>3</v>
      </c>
      <c r="S36" s="116" t="s">
        <v>944</v>
      </c>
    </row>
    <row r="37" spans="1:19" x14ac:dyDescent="0.2">
      <c r="A37" t="s">
        <v>1101</v>
      </c>
      <c r="B37">
        <v>9001022000</v>
      </c>
      <c r="C37" t="s">
        <v>1102</v>
      </c>
      <c r="D37">
        <v>82753</v>
      </c>
      <c r="E37">
        <v>2.86</v>
      </c>
      <c r="F37">
        <v>48932.874709999996</v>
      </c>
      <c r="G37">
        <v>48.933</v>
      </c>
      <c r="H37">
        <v>0.44800000000000001</v>
      </c>
      <c r="I37">
        <v>3</v>
      </c>
      <c r="J37">
        <v>1441</v>
      </c>
      <c r="K37">
        <v>0.35338205900000003</v>
      </c>
      <c r="L37">
        <v>0.497</v>
      </c>
      <c r="M37">
        <v>3</v>
      </c>
      <c r="N37">
        <v>0.53800000000000003</v>
      </c>
      <c r="O37">
        <v>3</v>
      </c>
      <c r="P37">
        <v>3</v>
      </c>
      <c r="S37" s="114" t="s">
        <v>944</v>
      </c>
    </row>
    <row r="38" spans="1:19" x14ac:dyDescent="0.2">
      <c r="A38" t="s">
        <v>1103</v>
      </c>
      <c r="B38">
        <v>9001022100</v>
      </c>
      <c r="C38" t="s">
        <v>1104</v>
      </c>
      <c r="D38">
        <v>58273</v>
      </c>
      <c r="E38">
        <v>3.07</v>
      </c>
      <c r="F38">
        <v>33258.157769999998</v>
      </c>
      <c r="G38">
        <v>33.258000000000003</v>
      </c>
      <c r="H38">
        <v>0.216</v>
      </c>
      <c r="I38">
        <v>2</v>
      </c>
      <c r="J38">
        <v>1834</v>
      </c>
      <c r="K38">
        <v>0.66173238300000004</v>
      </c>
      <c r="L38">
        <v>0.95</v>
      </c>
      <c r="M38">
        <v>5</v>
      </c>
      <c r="N38">
        <v>0.24</v>
      </c>
      <c r="O38">
        <v>2</v>
      </c>
      <c r="P38">
        <v>3</v>
      </c>
      <c r="S38" s="116" t="s">
        <v>944</v>
      </c>
    </row>
    <row r="39" spans="1:19" x14ac:dyDescent="0.2">
      <c r="A39" t="s">
        <v>1105</v>
      </c>
      <c r="B39">
        <v>9001022200</v>
      </c>
      <c r="C39" t="s">
        <v>1106</v>
      </c>
      <c r="D39">
        <v>91996</v>
      </c>
      <c r="E39">
        <v>2.16</v>
      </c>
      <c r="F39">
        <v>62595.349549999999</v>
      </c>
      <c r="G39">
        <v>62.594999999999999</v>
      </c>
      <c r="H39">
        <v>0.70199999999999996</v>
      </c>
      <c r="I39">
        <v>4</v>
      </c>
      <c r="J39">
        <v>2280</v>
      </c>
      <c r="K39">
        <v>0.43709317399999997</v>
      </c>
      <c r="L39">
        <v>0.76300000000000001</v>
      </c>
      <c r="M39">
        <v>4</v>
      </c>
      <c r="N39">
        <v>0.11600000000000001</v>
      </c>
      <c r="O39">
        <v>1</v>
      </c>
      <c r="P39">
        <v>2</v>
      </c>
      <c r="S39" s="114" t="s">
        <v>944</v>
      </c>
    </row>
    <row r="40" spans="1:19" x14ac:dyDescent="0.2">
      <c r="A40" t="s">
        <v>1107</v>
      </c>
      <c r="B40">
        <v>9001022300</v>
      </c>
      <c r="C40" t="s">
        <v>1108</v>
      </c>
      <c r="D40">
        <v>80816</v>
      </c>
      <c r="E40">
        <v>2.58</v>
      </c>
      <c r="F40">
        <v>50313.843919999999</v>
      </c>
      <c r="G40">
        <v>50.314</v>
      </c>
      <c r="H40">
        <v>0.47499999999999998</v>
      </c>
      <c r="I40">
        <v>3</v>
      </c>
      <c r="J40">
        <v>2170</v>
      </c>
      <c r="K40">
        <v>0.51755139299999997</v>
      </c>
      <c r="L40">
        <v>0.86399999999999999</v>
      </c>
      <c r="M40">
        <v>5</v>
      </c>
      <c r="N40">
        <v>0.13400000000000001</v>
      </c>
      <c r="O40">
        <v>1</v>
      </c>
      <c r="P40">
        <v>2</v>
      </c>
      <c r="S40" s="116" t="s">
        <v>944</v>
      </c>
    </row>
    <row r="41" spans="1:19" x14ac:dyDescent="0.2">
      <c r="A41" t="s">
        <v>1109</v>
      </c>
      <c r="B41">
        <v>9001022400</v>
      </c>
      <c r="C41" t="s">
        <v>1110</v>
      </c>
      <c r="D41">
        <v>189712</v>
      </c>
      <c r="E41">
        <v>2.71</v>
      </c>
      <c r="F41">
        <v>115241.83289999999</v>
      </c>
      <c r="G41">
        <v>115.242</v>
      </c>
      <c r="H41">
        <v>0.96699999999999997</v>
      </c>
      <c r="I41">
        <v>5</v>
      </c>
      <c r="J41">
        <v>4000</v>
      </c>
      <c r="K41">
        <v>0.41651541600000003</v>
      </c>
      <c r="L41">
        <v>0.71499999999999997</v>
      </c>
      <c r="M41">
        <v>4</v>
      </c>
      <c r="N41">
        <v>1.0999999999999999E-2</v>
      </c>
      <c r="O41">
        <v>1</v>
      </c>
      <c r="P41">
        <v>1</v>
      </c>
      <c r="S41" s="114" t="s">
        <v>944</v>
      </c>
    </row>
    <row r="42" spans="1:19" x14ac:dyDescent="0.2">
      <c r="A42" t="s">
        <v>1111</v>
      </c>
      <c r="B42">
        <v>9001030100</v>
      </c>
      <c r="C42" t="s">
        <v>1112</v>
      </c>
      <c r="D42">
        <v>250000</v>
      </c>
      <c r="E42">
        <v>3.39</v>
      </c>
      <c r="F42">
        <v>135781.3616</v>
      </c>
      <c r="G42">
        <v>135.78100000000001</v>
      </c>
      <c r="H42">
        <v>0.97899999999999998</v>
      </c>
      <c r="I42">
        <v>5</v>
      </c>
      <c r="J42">
        <v>4000</v>
      </c>
      <c r="K42">
        <v>0.35350949100000001</v>
      </c>
      <c r="L42">
        <v>0.498</v>
      </c>
      <c r="M42">
        <v>3</v>
      </c>
      <c r="N42">
        <v>1.0999999999999999E-2</v>
      </c>
      <c r="O42">
        <v>1</v>
      </c>
      <c r="P42">
        <v>1</v>
      </c>
      <c r="S42" s="116" t="s">
        <v>944</v>
      </c>
    </row>
    <row r="43" spans="1:19" x14ac:dyDescent="0.2">
      <c r="A43" t="s">
        <v>1113</v>
      </c>
      <c r="B43">
        <v>9001030200</v>
      </c>
      <c r="C43" t="s">
        <v>1114</v>
      </c>
      <c r="D43">
        <v>250000</v>
      </c>
      <c r="E43">
        <v>3.16</v>
      </c>
      <c r="F43">
        <v>140635.98759999999</v>
      </c>
      <c r="G43">
        <v>140.636</v>
      </c>
      <c r="H43">
        <v>0.98699999999999999</v>
      </c>
      <c r="I43">
        <v>5</v>
      </c>
      <c r="J43">
        <v>3565</v>
      </c>
      <c r="K43">
        <v>0.30418956600000002</v>
      </c>
      <c r="L43">
        <v>0.19700000000000001</v>
      </c>
      <c r="M43">
        <v>1</v>
      </c>
      <c r="N43">
        <v>2.1999999999999999E-2</v>
      </c>
      <c r="O43">
        <v>1</v>
      </c>
      <c r="P43">
        <v>1</v>
      </c>
      <c r="S43" s="114" t="s">
        <v>944</v>
      </c>
    </row>
    <row r="44" spans="1:19" x14ac:dyDescent="0.2">
      <c r="A44" t="s">
        <v>1115</v>
      </c>
      <c r="B44">
        <v>9001030300</v>
      </c>
      <c r="C44" t="s">
        <v>1116</v>
      </c>
      <c r="D44">
        <v>250000</v>
      </c>
      <c r="E44">
        <v>3.1</v>
      </c>
      <c r="F44">
        <v>141990.45860000001</v>
      </c>
      <c r="G44">
        <v>141.99</v>
      </c>
      <c r="H44">
        <v>0.995</v>
      </c>
      <c r="I44">
        <v>5</v>
      </c>
      <c r="J44">
        <v>4000</v>
      </c>
      <c r="K44">
        <v>0.338050884</v>
      </c>
      <c r="L44">
        <v>0.41099999999999998</v>
      </c>
      <c r="M44">
        <v>3</v>
      </c>
      <c r="N44">
        <v>1.0999999999999999E-2</v>
      </c>
      <c r="O44">
        <v>1</v>
      </c>
      <c r="P44">
        <v>1</v>
      </c>
      <c r="S44" s="116" t="s">
        <v>944</v>
      </c>
    </row>
    <row r="45" spans="1:19" x14ac:dyDescent="0.2">
      <c r="A45" t="s">
        <v>1117</v>
      </c>
      <c r="B45">
        <v>9001030400</v>
      </c>
      <c r="C45" t="s">
        <v>1118</v>
      </c>
      <c r="D45">
        <v>145625</v>
      </c>
      <c r="E45">
        <v>2.95</v>
      </c>
      <c r="F45">
        <v>84786.152979999999</v>
      </c>
      <c r="G45">
        <v>84.786000000000001</v>
      </c>
      <c r="H45">
        <v>0.90700000000000003</v>
      </c>
      <c r="I45">
        <v>5</v>
      </c>
      <c r="J45">
        <v>3144</v>
      </c>
      <c r="K45">
        <v>0.44497832100000001</v>
      </c>
      <c r="L45">
        <v>0.77900000000000003</v>
      </c>
      <c r="M45">
        <v>4</v>
      </c>
      <c r="N45">
        <v>4.1000000000000002E-2</v>
      </c>
      <c r="O45">
        <v>1</v>
      </c>
      <c r="P45">
        <v>1</v>
      </c>
      <c r="S45" s="114" t="s">
        <v>944</v>
      </c>
    </row>
    <row r="46" spans="1:19" x14ac:dyDescent="0.2">
      <c r="A46" t="s">
        <v>1119</v>
      </c>
      <c r="B46">
        <v>9001030500</v>
      </c>
      <c r="C46" t="s">
        <v>1120</v>
      </c>
      <c r="D46">
        <v>192222</v>
      </c>
      <c r="E46">
        <v>3.19</v>
      </c>
      <c r="F46">
        <v>107623.65820000001</v>
      </c>
      <c r="G46">
        <v>107.624</v>
      </c>
      <c r="H46">
        <v>0.95799999999999996</v>
      </c>
      <c r="I46">
        <v>5</v>
      </c>
      <c r="J46">
        <v>3654</v>
      </c>
      <c r="K46">
        <v>0.40741971399999999</v>
      </c>
      <c r="L46">
        <v>0.69799999999999995</v>
      </c>
      <c r="M46">
        <v>4</v>
      </c>
      <c r="N46">
        <v>1.9E-2</v>
      </c>
      <c r="O46">
        <v>1</v>
      </c>
      <c r="P46">
        <v>1</v>
      </c>
      <c r="S46" s="116" t="s">
        <v>944</v>
      </c>
    </row>
    <row r="47" spans="1:19" x14ac:dyDescent="0.2">
      <c r="A47" t="s">
        <v>1121</v>
      </c>
      <c r="B47">
        <v>9001035100</v>
      </c>
      <c r="C47" t="s">
        <v>1122</v>
      </c>
      <c r="D47">
        <v>128623</v>
      </c>
      <c r="E47">
        <v>2.35</v>
      </c>
      <c r="F47">
        <v>83904.39374</v>
      </c>
      <c r="G47">
        <v>83.903999999999996</v>
      </c>
      <c r="H47">
        <v>0.9</v>
      </c>
      <c r="I47">
        <v>5</v>
      </c>
      <c r="J47">
        <v>2425</v>
      </c>
      <c r="K47">
        <v>0.34682331500000002</v>
      </c>
      <c r="L47">
        <v>0.46300000000000002</v>
      </c>
      <c r="M47">
        <v>3</v>
      </c>
      <c r="N47">
        <v>8.6999999999999994E-2</v>
      </c>
      <c r="O47">
        <v>1</v>
      </c>
      <c r="P47">
        <v>1</v>
      </c>
      <c r="S47" s="114" t="s">
        <v>944</v>
      </c>
    </row>
    <row r="48" spans="1:19" x14ac:dyDescent="0.2">
      <c r="A48" t="s">
        <v>1123</v>
      </c>
      <c r="B48">
        <v>9001035200</v>
      </c>
      <c r="C48" t="s">
        <v>1124</v>
      </c>
      <c r="D48">
        <v>250000</v>
      </c>
      <c r="E48">
        <v>3.05</v>
      </c>
      <c r="F48">
        <v>143149.58360000001</v>
      </c>
      <c r="G48">
        <v>143.15</v>
      </c>
      <c r="H48">
        <v>0.996</v>
      </c>
      <c r="I48">
        <v>5</v>
      </c>
      <c r="J48">
        <v>4000</v>
      </c>
      <c r="K48">
        <v>0.33531358500000003</v>
      </c>
      <c r="L48">
        <v>0.4</v>
      </c>
      <c r="M48">
        <v>2</v>
      </c>
      <c r="N48">
        <v>1.0999999999999999E-2</v>
      </c>
      <c r="O48">
        <v>1</v>
      </c>
      <c r="P48">
        <v>1</v>
      </c>
      <c r="S48" s="116" t="s">
        <v>944</v>
      </c>
    </row>
    <row r="49" spans="1:19" x14ac:dyDescent="0.2">
      <c r="A49" t="s">
        <v>1125</v>
      </c>
      <c r="B49">
        <v>9001035300</v>
      </c>
      <c r="C49" t="s">
        <v>1126</v>
      </c>
      <c r="D49">
        <v>250000</v>
      </c>
      <c r="E49">
        <v>3.3</v>
      </c>
      <c r="F49">
        <v>137620.4706</v>
      </c>
      <c r="G49">
        <v>137.62</v>
      </c>
      <c r="H49">
        <v>0.98399999999999999</v>
      </c>
      <c r="I49">
        <v>5</v>
      </c>
      <c r="J49">
        <v>4000</v>
      </c>
      <c r="K49">
        <v>0.34878532099999998</v>
      </c>
      <c r="L49">
        <v>0.47199999999999998</v>
      </c>
      <c r="M49">
        <v>3</v>
      </c>
      <c r="N49">
        <v>1.0999999999999999E-2</v>
      </c>
      <c r="O49">
        <v>1</v>
      </c>
      <c r="P49">
        <v>1</v>
      </c>
      <c r="S49" s="114" t="s">
        <v>944</v>
      </c>
    </row>
    <row r="50" spans="1:19" x14ac:dyDescent="0.2">
      <c r="A50" t="s">
        <v>1127</v>
      </c>
      <c r="B50">
        <v>9001035400</v>
      </c>
      <c r="C50" t="s">
        <v>1128</v>
      </c>
      <c r="D50">
        <v>250000</v>
      </c>
      <c r="E50">
        <v>3.32</v>
      </c>
      <c r="F50">
        <v>137205.32500000001</v>
      </c>
      <c r="G50">
        <v>137.20500000000001</v>
      </c>
      <c r="H50">
        <v>0.98099999999999998</v>
      </c>
      <c r="I50">
        <v>5</v>
      </c>
      <c r="J50">
        <v>4000</v>
      </c>
      <c r="K50">
        <v>0.349840649</v>
      </c>
      <c r="L50">
        <v>0.47799999999999998</v>
      </c>
      <c r="M50">
        <v>3</v>
      </c>
      <c r="N50">
        <v>1.0999999999999999E-2</v>
      </c>
      <c r="O50">
        <v>1</v>
      </c>
      <c r="P50">
        <v>1</v>
      </c>
      <c r="S50" s="116" t="s">
        <v>944</v>
      </c>
    </row>
    <row r="51" spans="1:19" x14ac:dyDescent="0.2">
      <c r="A51" t="s">
        <v>1129</v>
      </c>
      <c r="B51">
        <v>9001042500</v>
      </c>
      <c r="C51" t="s">
        <v>1130</v>
      </c>
      <c r="D51">
        <v>129821</v>
      </c>
      <c r="E51">
        <v>2.72</v>
      </c>
      <c r="F51">
        <v>78715.543439999994</v>
      </c>
      <c r="G51">
        <v>78.715999999999994</v>
      </c>
      <c r="H51">
        <v>0.86699999999999999</v>
      </c>
      <c r="I51">
        <v>5</v>
      </c>
      <c r="J51">
        <v>2593</v>
      </c>
      <c r="K51">
        <v>0.39529676899999999</v>
      </c>
      <c r="L51">
        <v>0.67500000000000004</v>
      </c>
      <c r="M51">
        <v>4</v>
      </c>
      <c r="N51">
        <v>6.6000000000000003E-2</v>
      </c>
      <c r="O51">
        <v>1</v>
      </c>
      <c r="P51">
        <v>1</v>
      </c>
      <c r="S51" s="114" t="s">
        <v>944</v>
      </c>
    </row>
    <row r="52" spans="1:19" x14ac:dyDescent="0.2">
      <c r="A52" t="s">
        <v>1131</v>
      </c>
      <c r="B52">
        <v>9001042600</v>
      </c>
      <c r="C52" t="s">
        <v>1132</v>
      </c>
      <c r="D52">
        <v>113594</v>
      </c>
      <c r="E52">
        <v>2.42</v>
      </c>
      <c r="F52">
        <v>73020.988819999999</v>
      </c>
      <c r="G52">
        <v>73.021000000000001</v>
      </c>
      <c r="H52">
        <v>0.83699999999999997</v>
      </c>
      <c r="I52">
        <v>5</v>
      </c>
      <c r="J52">
        <v>2278</v>
      </c>
      <c r="K52">
        <v>0.37435811899999999</v>
      </c>
      <c r="L52">
        <v>0.61</v>
      </c>
      <c r="M52">
        <v>4</v>
      </c>
      <c r="N52">
        <v>0.11700000000000001</v>
      </c>
      <c r="O52">
        <v>1</v>
      </c>
      <c r="P52">
        <v>1</v>
      </c>
      <c r="S52" s="116" t="s">
        <v>944</v>
      </c>
    </row>
    <row r="53" spans="1:19" x14ac:dyDescent="0.2">
      <c r="A53" t="s">
        <v>1133</v>
      </c>
      <c r="B53">
        <v>9001042700</v>
      </c>
      <c r="C53" t="s">
        <v>1134</v>
      </c>
      <c r="D53">
        <v>95948</v>
      </c>
      <c r="E53">
        <v>2.31</v>
      </c>
      <c r="F53">
        <v>63129.149230000003</v>
      </c>
      <c r="G53">
        <v>63.128999999999998</v>
      </c>
      <c r="H53">
        <v>0.70899999999999996</v>
      </c>
      <c r="I53">
        <v>4</v>
      </c>
      <c r="J53">
        <v>1955</v>
      </c>
      <c r="K53">
        <v>0.37161913800000002</v>
      </c>
      <c r="L53">
        <v>0.60199999999999998</v>
      </c>
      <c r="M53">
        <v>4</v>
      </c>
      <c r="N53">
        <v>0.183</v>
      </c>
      <c r="O53">
        <v>1</v>
      </c>
      <c r="P53">
        <v>2</v>
      </c>
      <c r="S53" s="114" t="s">
        <v>944</v>
      </c>
    </row>
    <row r="54" spans="1:19" x14ac:dyDescent="0.2">
      <c r="A54" t="s">
        <v>1135</v>
      </c>
      <c r="B54">
        <v>9001042800</v>
      </c>
      <c r="C54" t="s">
        <v>1136</v>
      </c>
      <c r="D54">
        <v>100813</v>
      </c>
      <c r="E54">
        <v>2.65</v>
      </c>
      <c r="F54">
        <v>61928.93361</v>
      </c>
      <c r="G54">
        <v>61.929000000000002</v>
      </c>
      <c r="H54">
        <v>0.69499999999999995</v>
      </c>
      <c r="I54">
        <v>4</v>
      </c>
      <c r="J54">
        <v>2347</v>
      </c>
      <c r="K54">
        <v>0.454779347</v>
      </c>
      <c r="L54">
        <v>0.79100000000000004</v>
      </c>
      <c r="M54">
        <v>4</v>
      </c>
      <c r="N54">
        <v>0.104</v>
      </c>
      <c r="O54">
        <v>1</v>
      </c>
      <c r="P54">
        <v>2</v>
      </c>
      <c r="S54" s="116" t="s">
        <v>944</v>
      </c>
    </row>
    <row r="55" spans="1:19" x14ac:dyDescent="0.2">
      <c r="A55" t="s">
        <v>1137</v>
      </c>
      <c r="B55">
        <v>9001042900</v>
      </c>
      <c r="C55" t="s">
        <v>1138</v>
      </c>
      <c r="D55">
        <v>138542</v>
      </c>
      <c r="E55">
        <v>2.5099999999999998</v>
      </c>
      <c r="F55">
        <v>87446.934989999994</v>
      </c>
      <c r="G55">
        <v>87.447000000000003</v>
      </c>
      <c r="H55">
        <v>0.91700000000000004</v>
      </c>
      <c r="I55">
        <v>5</v>
      </c>
      <c r="J55">
        <v>3132</v>
      </c>
      <c r="K55">
        <v>0.42979207899999999</v>
      </c>
      <c r="L55">
        <v>0.751</v>
      </c>
      <c r="M55">
        <v>4</v>
      </c>
      <c r="N55">
        <v>4.2000000000000003E-2</v>
      </c>
      <c r="O55">
        <v>1</v>
      </c>
      <c r="P55">
        <v>1</v>
      </c>
      <c r="S55" s="114" t="s">
        <v>944</v>
      </c>
    </row>
    <row r="56" spans="1:19" x14ac:dyDescent="0.2">
      <c r="A56" t="s">
        <v>1139</v>
      </c>
      <c r="B56">
        <v>9001043000</v>
      </c>
      <c r="C56" t="s">
        <v>1140</v>
      </c>
      <c r="D56">
        <v>122633</v>
      </c>
      <c r="E56">
        <v>2.4300000000000002</v>
      </c>
      <c r="F56">
        <v>78669.106180000002</v>
      </c>
      <c r="G56">
        <v>78.668999999999997</v>
      </c>
      <c r="H56">
        <v>0.86599999999999999</v>
      </c>
      <c r="I56">
        <v>5</v>
      </c>
      <c r="J56">
        <v>2513</v>
      </c>
      <c r="K56">
        <v>0.38332709599999998</v>
      </c>
      <c r="L56">
        <v>0.64300000000000002</v>
      </c>
      <c r="M56">
        <v>4</v>
      </c>
      <c r="N56">
        <v>7.6999999999999999E-2</v>
      </c>
      <c r="O56">
        <v>1</v>
      </c>
      <c r="P56">
        <v>1</v>
      </c>
      <c r="S56" s="116" t="s">
        <v>944</v>
      </c>
    </row>
    <row r="57" spans="1:19" x14ac:dyDescent="0.2">
      <c r="A57" t="s">
        <v>1141</v>
      </c>
      <c r="B57">
        <v>9001043100</v>
      </c>
      <c r="C57" t="s">
        <v>1142</v>
      </c>
      <c r="D57">
        <v>143141</v>
      </c>
      <c r="E57">
        <v>2.73</v>
      </c>
      <c r="F57">
        <v>86632.874249999993</v>
      </c>
      <c r="G57">
        <v>86.632999999999996</v>
      </c>
      <c r="H57">
        <v>0.91600000000000004</v>
      </c>
      <c r="I57">
        <v>5</v>
      </c>
      <c r="J57">
        <v>2407</v>
      </c>
      <c r="K57">
        <v>0.33340692300000002</v>
      </c>
      <c r="L57">
        <v>0.38500000000000001</v>
      </c>
      <c r="M57">
        <v>2</v>
      </c>
      <c r="N57">
        <v>8.7999999999999995E-2</v>
      </c>
      <c r="O57">
        <v>1</v>
      </c>
      <c r="P57">
        <v>1</v>
      </c>
      <c r="S57" s="114" t="s">
        <v>944</v>
      </c>
    </row>
    <row r="58" spans="1:19" x14ac:dyDescent="0.2">
      <c r="A58" t="s">
        <v>1143</v>
      </c>
      <c r="B58">
        <v>9001043200</v>
      </c>
      <c r="C58" t="s">
        <v>1144</v>
      </c>
      <c r="D58">
        <v>69837</v>
      </c>
      <c r="E58">
        <v>2.74</v>
      </c>
      <c r="F58">
        <v>42190.074630000003</v>
      </c>
      <c r="G58">
        <v>42.19</v>
      </c>
      <c r="H58">
        <v>0.32400000000000001</v>
      </c>
      <c r="I58">
        <v>2</v>
      </c>
      <c r="J58">
        <v>1843</v>
      </c>
      <c r="K58">
        <v>0.52419912000000002</v>
      </c>
      <c r="L58">
        <v>0.86899999999999999</v>
      </c>
      <c r="M58">
        <v>5</v>
      </c>
      <c r="N58">
        <v>0.23699999999999999</v>
      </c>
      <c r="O58">
        <v>2</v>
      </c>
      <c r="P58">
        <v>3</v>
      </c>
      <c r="S58" s="116" t="s">
        <v>944</v>
      </c>
    </row>
    <row r="59" spans="1:19" x14ac:dyDescent="0.2">
      <c r="A59" t="s">
        <v>1145</v>
      </c>
      <c r="B59">
        <v>9001043300</v>
      </c>
      <c r="C59" t="s">
        <v>1146</v>
      </c>
      <c r="D59">
        <v>83672</v>
      </c>
      <c r="E59">
        <v>2.58</v>
      </c>
      <c r="F59">
        <v>52091.911849999997</v>
      </c>
      <c r="G59">
        <v>52.091999999999999</v>
      </c>
      <c r="H59">
        <v>0.504</v>
      </c>
      <c r="I59">
        <v>3</v>
      </c>
      <c r="J59">
        <v>2127</v>
      </c>
      <c r="K59">
        <v>0.489980097</v>
      </c>
      <c r="L59">
        <v>0.83299999999999996</v>
      </c>
      <c r="M59">
        <v>5</v>
      </c>
      <c r="N59">
        <v>0.14000000000000001</v>
      </c>
      <c r="O59">
        <v>1</v>
      </c>
      <c r="P59">
        <v>2</v>
      </c>
      <c r="S59" s="114" t="s">
        <v>944</v>
      </c>
    </row>
    <row r="60" spans="1:19" x14ac:dyDescent="0.2">
      <c r="A60" t="s">
        <v>1147</v>
      </c>
      <c r="B60">
        <v>9001043400</v>
      </c>
      <c r="C60" t="s">
        <v>1148</v>
      </c>
      <c r="D60">
        <v>77917</v>
      </c>
      <c r="E60">
        <v>2.5299999999999998</v>
      </c>
      <c r="F60">
        <v>48985.998200000002</v>
      </c>
      <c r="G60">
        <v>48.985999999999997</v>
      </c>
      <c r="H60">
        <v>0.44900000000000001</v>
      </c>
      <c r="I60">
        <v>3</v>
      </c>
      <c r="J60">
        <v>1672</v>
      </c>
      <c r="K60">
        <v>0.40958642699999998</v>
      </c>
      <c r="L60">
        <v>0.70299999999999996</v>
      </c>
      <c r="M60">
        <v>4</v>
      </c>
      <c r="N60">
        <v>0.32700000000000001</v>
      </c>
      <c r="O60">
        <v>2</v>
      </c>
      <c r="P60">
        <v>3</v>
      </c>
      <c r="S60" s="116" t="s">
        <v>944</v>
      </c>
    </row>
    <row r="61" spans="1:19" x14ac:dyDescent="0.2">
      <c r="A61" t="s">
        <v>1149</v>
      </c>
      <c r="B61">
        <v>9001043500</v>
      </c>
      <c r="C61" t="s">
        <v>1150</v>
      </c>
      <c r="D61">
        <v>104417</v>
      </c>
      <c r="E61">
        <v>2.6</v>
      </c>
      <c r="F61">
        <v>64756.67441</v>
      </c>
      <c r="G61">
        <v>64.757000000000005</v>
      </c>
      <c r="H61">
        <v>0.73199999999999998</v>
      </c>
      <c r="I61">
        <v>4</v>
      </c>
      <c r="J61">
        <v>1919</v>
      </c>
      <c r="K61">
        <v>0.35560813200000002</v>
      </c>
      <c r="L61">
        <v>0.51200000000000001</v>
      </c>
      <c r="M61">
        <v>3</v>
      </c>
      <c r="N61">
        <v>0.2</v>
      </c>
      <c r="O61">
        <v>1</v>
      </c>
      <c r="P61">
        <v>2</v>
      </c>
      <c r="S61" s="114" t="s">
        <v>944</v>
      </c>
    </row>
    <row r="62" spans="1:19" x14ac:dyDescent="0.2">
      <c r="A62" t="s">
        <v>1151</v>
      </c>
      <c r="B62">
        <v>9001043600</v>
      </c>
      <c r="C62" t="s">
        <v>1152</v>
      </c>
      <c r="D62">
        <v>98636</v>
      </c>
      <c r="E62">
        <v>2.4900000000000002</v>
      </c>
      <c r="F62">
        <v>62508.025170000001</v>
      </c>
      <c r="G62">
        <v>62.508000000000003</v>
      </c>
      <c r="H62">
        <v>0.70099999999999996</v>
      </c>
      <c r="I62">
        <v>4</v>
      </c>
      <c r="J62">
        <v>1940</v>
      </c>
      <c r="K62">
        <v>0.37243217899999997</v>
      </c>
      <c r="L62">
        <v>0.60299999999999998</v>
      </c>
      <c r="M62">
        <v>4</v>
      </c>
      <c r="N62">
        <v>0.189</v>
      </c>
      <c r="O62">
        <v>1</v>
      </c>
      <c r="P62">
        <v>2</v>
      </c>
      <c r="S62" s="116" t="s">
        <v>944</v>
      </c>
    </row>
    <row r="63" spans="1:19" x14ac:dyDescent="0.2">
      <c r="A63" t="s">
        <v>1153</v>
      </c>
      <c r="B63">
        <v>9001043700</v>
      </c>
      <c r="C63" t="s">
        <v>1154</v>
      </c>
      <c r="D63">
        <v>71178</v>
      </c>
      <c r="E63">
        <v>1.82</v>
      </c>
      <c r="F63">
        <v>52760.643859999996</v>
      </c>
      <c r="G63">
        <v>52.761000000000003</v>
      </c>
      <c r="H63">
        <v>0.51700000000000002</v>
      </c>
      <c r="I63">
        <v>3</v>
      </c>
      <c r="J63">
        <v>1867</v>
      </c>
      <c r="K63">
        <v>0.42463469700000001</v>
      </c>
      <c r="L63">
        <v>0.74</v>
      </c>
      <c r="M63">
        <v>4</v>
      </c>
      <c r="N63">
        <v>0.223</v>
      </c>
      <c r="O63">
        <v>2</v>
      </c>
      <c r="P63">
        <v>3</v>
      </c>
      <c r="S63" s="114" t="s">
        <v>944</v>
      </c>
    </row>
    <row r="64" spans="1:19" x14ac:dyDescent="0.2">
      <c r="A64" t="s">
        <v>1155</v>
      </c>
      <c r="B64">
        <v>9001043800</v>
      </c>
      <c r="C64" t="s">
        <v>1156</v>
      </c>
      <c r="D64">
        <v>74397</v>
      </c>
      <c r="E64">
        <v>2.46</v>
      </c>
      <c r="F64">
        <v>47433.794719999998</v>
      </c>
      <c r="G64">
        <v>47.433999999999997</v>
      </c>
      <c r="H64">
        <v>0.40799999999999997</v>
      </c>
      <c r="I64">
        <v>3</v>
      </c>
      <c r="J64">
        <v>1726</v>
      </c>
      <c r="K64">
        <v>0.43665070700000003</v>
      </c>
      <c r="L64">
        <v>0.76100000000000001</v>
      </c>
      <c r="M64">
        <v>4</v>
      </c>
      <c r="N64">
        <v>0.29499999999999998</v>
      </c>
      <c r="O64">
        <v>2</v>
      </c>
      <c r="P64">
        <v>3</v>
      </c>
      <c r="S64" s="116" t="s">
        <v>944</v>
      </c>
    </row>
    <row r="65" spans="1:19" x14ac:dyDescent="0.2">
      <c r="A65" t="s">
        <v>1157</v>
      </c>
      <c r="B65">
        <v>9001043900</v>
      </c>
      <c r="C65" t="s">
        <v>1158</v>
      </c>
      <c r="D65">
        <v>89506</v>
      </c>
      <c r="E65">
        <v>3.01</v>
      </c>
      <c r="F65">
        <v>51590.400730000001</v>
      </c>
      <c r="G65">
        <v>51.59</v>
      </c>
      <c r="H65">
        <v>0.49199999999999999</v>
      </c>
      <c r="I65">
        <v>3</v>
      </c>
      <c r="J65">
        <v>2194</v>
      </c>
      <c r="K65">
        <v>0.51032749600000005</v>
      </c>
      <c r="L65">
        <v>0.85699999999999998</v>
      </c>
      <c r="M65">
        <v>5</v>
      </c>
      <c r="N65">
        <v>0.129</v>
      </c>
      <c r="O65">
        <v>1</v>
      </c>
      <c r="P65">
        <v>2</v>
      </c>
      <c r="S65" s="114" t="s">
        <v>944</v>
      </c>
    </row>
    <row r="66" spans="1:19" x14ac:dyDescent="0.2">
      <c r="A66" t="s">
        <v>1159</v>
      </c>
      <c r="B66">
        <v>9001044000</v>
      </c>
      <c r="C66" t="s">
        <v>1160</v>
      </c>
      <c r="D66">
        <v>51875</v>
      </c>
      <c r="E66">
        <v>2.57</v>
      </c>
      <c r="F66">
        <v>32358.735939999999</v>
      </c>
      <c r="G66">
        <v>32.359000000000002</v>
      </c>
      <c r="H66">
        <v>0.20200000000000001</v>
      </c>
      <c r="I66">
        <v>2</v>
      </c>
      <c r="J66">
        <v>1494</v>
      </c>
      <c r="K66">
        <v>0.554038947</v>
      </c>
      <c r="L66">
        <v>0.89</v>
      </c>
      <c r="M66">
        <v>5</v>
      </c>
      <c r="N66">
        <v>0.48099999999999998</v>
      </c>
      <c r="O66">
        <v>3</v>
      </c>
      <c r="P66">
        <v>4</v>
      </c>
      <c r="S66" s="116" t="s">
        <v>944</v>
      </c>
    </row>
    <row r="67" spans="1:19" x14ac:dyDescent="0.2">
      <c r="A67" t="s">
        <v>1161</v>
      </c>
      <c r="B67">
        <v>9001044100</v>
      </c>
      <c r="C67" t="s">
        <v>1162</v>
      </c>
      <c r="D67">
        <v>72344</v>
      </c>
      <c r="E67">
        <v>2.1</v>
      </c>
      <c r="F67">
        <v>49922.102830000003</v>
      </c>
      <c r="G67">
        <v>49.921999999999997</v>
      </c>
      <c r="H67">
        <v>0.47</v>
      </c>
      <c r="I67">
        <v>3</v>
      </c>
      <c r="J67">
        <v>1719</v>
      </c>
      <c r="K67">
        <v>0.41320374799999998</v>
      </c>
      <c r="L67">
        <v>0.70899999999999996</v>
      </c>
      <c r="M67">
        <v>4</v>
      </c>
      <c r="N67">
        <v>0.3</v>
      </c>
      <c r="O67">
        <v>2</v>
      </c>
      <c r="P67">
        <v>3</v>
      </c>
      <c r="S67" s="114" t="s">
        <v>944</v>
      </c>
    </row>
    <row r="68" spans="1:19" x14ac:dyDescent="0.2">
      <c r="A68" t="s">
        <v>1163</v>
      </c>
      <c r="B68">
        <v>9001044200</v>
      </c>
      <c r="C68" t="s">
        <v>1164</v>
      </c>
      <c r="D68">
        <v>54038</v>
      </c>
      <c r="E68">
        <v>2.42</v>
      </c>
      <c r="F68">
        <v>34736.942040000002</v>
      </c>
      <c r="G68">
        <v>34.737000000000002</v>
      </c>
      <c r="H68">
        <v>0.23400000000000001</v>
      </c>
      <c r="I68">
        <v>2</v>
      </c>
      <c r="J68">
        <v>1575</v>
      </c>
      <c r="K68">
        <v>0.54408934399999997</v>
      </c>
      <c r="L68">
        <v>0.88300000000000001</v>
      </c>
      <c r="M68">
        <v>5</v>
      </c>
      <c r="N68">
        <v>0.40799999999999997</v>
      </c>
      <c r="O68">
        <v>3</v>
      </c>
      <c r="P68">
        <v>4</v>
      </c>
      <c r="S68" s="116" t="s">
        <v>944</v>
      </c>
    </row>
    <row r="69" spans="1:19" x14ac:dyDescent="0.2">
      <c r="A69" t="s">
        <v>1165</v>
      </c>
      <c r="B69">
        <v>9001044300</v>
      </c>
      <c r="C69" t="s">
        <v>1166</v>
      </c>
      <c r="D69">
        <v>95279</v>
      </c>
      <c r="E69">
        <v>2.5499999999999998</v>
      </c>
      <c r="F69">
        <v>59666.024230000003</v>
      </c>
      <c r="G69">
        <v>59.665999999999997</v>
      </c>
      <c r="H69">
        <v>0.64500000000000002</v>
      </c>
      <c r="I69">
        <v>4</v>
      </c>
      <c r="J69">
        <v>2131</v>
      </c>
      <c r="K69">
        <v>0.42858562</v>
      </c>
      <c r="L69">
        <v>0.749</v>
      </c>
      <c r="M69">
        <v>4</v>
      </c>
      <c r="N69">
        <v>0.13900000000000001</v>
      </c>
      <c r="O69">
        <v>1</v>
      </c>
      <c r="P69">
        <v>2</v>
      </c>
      <c r="S69" s="114" t="s">
        <v>944</v>
      </c>
    </row>
    <row r="70" spans="1:19" x14ac:dyDescent="0.2">
      <c r="A70" t="s">
        <v>1167</v>
      </c>
      <c r="B70">
        <v>9001044400</v>
      </c>
      <c r="C70" t="s">
        <v>1168</v>
      </c>
      <c r="D70">
        <v>70469</v>
      </c>
      <c r="E70">
        <v>3.11</v>
      </c>
      <c r="F70">
        <v>39959.303899999999</v>
      </c>
      <c r="G70">
        <v>39.959000000000003</v>
      </c>
      <c r="H70">
        <v>0.29399999999999998</v>
      </c>
      <c r="I70">
        <v>2</v>
      </c>
      <c r="J70">
        <v>1660</v>
      </c>
      <c r="K70">
        <v>0.49850718199999999</v>
      </c>
      <c r="L70">
        <v>0.84399999999999997</v>
      </c>
      <c r="M70">
        <v>5</v>
      </c>
      <c r="N70">
        <v>0.34100000000000003</v>
      </c>
      <c r="O70">
        <v>2</v>
      </c>
      <c r="P70">
        <v>3</v>
      </c>
      <c r="S70" s="116" t="s">
        <v>944</v>
      </c>
    </row>
    <row r="71" spans="1:19" x14ac:dyDescent="0.2">
      <c r="A71" t="s">
        <v>1169</v>
      </c>
      <c r="B71">
        <v>9001044500</v>
      </c>
      <c r="C71" t="s">
        <v>1170</v>
      </c>
      <c r="D71">
        <v>58516</v>
      </c>
      <c r="E71">
        <v>3.62</v>
      </c>
      <c r="F71">
        <v>30755.326789999999</v>
      </c>
      <c r="G71">
        <v>30.754999999999999</v>
      </c>
      <c r="H71">
        <v>0.18099999999999999</v>
      </c>
      <c r="I71">
        <v>1</v>
      </c>
      <c r="J71">
        <v>1264</v>
      </c>
      <c r="K71">
        <v>0.49318285899999997</v>
      </c>
      <c r="L71">
        <v>0.83599999999999997</v>
      </c>
      <c r="M71">
        <v>5</v>
      </c>
      <c r="N71">
        <v>0.69899999999999995</v>
      </c>
      <c r="O71">
        <v>4</v>
      </c>
      <c r="P71">
        <v>5</v>
      </c>
      <c r="S71" s="114" t="s">
        <v>944</v>
      </c>
    </row>
    <row r="72" spans="1:19" x14ac:dyDescent="0.2">
      <c r="A72" t="s">
        <v>1171</v>
      </c>
      <c r="B72">
        <v>9001044600</v>
      </c>
      <c r="C72" t="s">
        <v>1172</v>
      </c>
      <c r="D72">
        <v>219783</v>
      </c>
      <c r="E72">
        <v>2.57</v>
      </c>
      <c r="F72">
        <v>137096.86869999999</v>
      </c>
      <c r="G72">
        <v>137.09700000000001</v>
      </c>
      <c r="H72">
        <v>0.98</v>
      </c>
      <c r="I72">
        <v>5</v>
      </c>
      <c r="J72">
        <v>3273</v>
      </c>
      <c r="K72">
        <v>0.28648356699999999</v>
      </c>
      <c r="L72">
        <v>0.10299999999999999</v>
      </c>
      <c r="M72">
        <v>1</v>
      </c>
      <c r="N72">
        <v>3.5000000000000003E-2</v>
      </c>
      <c r="O72">
        <v>1</v>
      </c>
      <c r="P72">
        <v>1</v>
      </c>
      <c r="S72" s="116" t="s">
        <v>944</v>
      </c>
    </row>
    <row r="73" spans="1:19" x14ac:dyDescent="0.2">
      <c r="A73" t="s">
        <v>1173</v>
      </c>
      <c r="B73">
        <v>9001045101</v>
      </c>
      <c r="C73" t="s">
        <v>1174</v>
      </c>
      <c r="D73">
        <v>219792</v>
      </c>
      <c r="E73">
        <v>3.15</v>
      </c>
      <c r="F73">
        <v>123838.7626</v>
      </c>
      <c r="G73">
        <v>123.839</v>
      </c>
      <c r="H73">
        <v>0.97399999999999998</v>
      </c>
      <c r="I73">
        <v>5</v>
      </c>
      <c r="J73">
        <v>4000</v>
      </c>
      <c r="K73">
        <v>0.38760077199999998</v>
      </c>
      <c r="L73">
        <v>0.65400000000000003</v>
      </c>
      <c r="M73">
        <v>4</v>
      </c>
      <c r="N73">
        <v>1.0999999999999999E-2</v>
      </c>
      <c r="O73">
        <v>1</v>
      </c>
      <c r="P73">
        <v>1</v>
      </c>
      <c r="S73" s="114" t="s">
        <v>944</v>
      </c>
    </row>
    <row r="74" spans="1:19" x14ac:dyDescent="0.2">
      <c r="A74" t="s">
        <v>1175</v>
      </c>
      <c r="B74">
        <v>9001045102</v>
      </c>
      <c r="C74" t="s">
        <v>1176</v>
      </c>
      <c r="D74">
        <v>166677</v>
      </c>
      <c r="E74">
        <v>3.05</v>
      </c>
      <c r="F74">
        <v>95438.972569999998</v>
      </c>
      <c r="G74">
        <v>95.438999999999993</v>
      </c>
      <c r="H74">
        <v>0.93600000000000005</v>
      </c>
      <c r="I74">
        <v>5</v>
      </c>
      <c r="J74">
        <v>3214</v>
      </c>
      <c r="K74">
        <v>0.40411164300000002</v>
      </c>
      <c r="L74">
        <v>0.68700000000000006</v>
      </c>
      <c r="M74">
        <v>4</v>
      </c>
      <c r="N74">
        <v>3.7999999999999999E-2</v>
      </c>
      <c r="O74">
        <v>1</v>
      </c>
      <c r="P74">
        <v>1</v>
      </c>
      <c r="S74" s="116" t="s">
        <v>944</v>
      </c>
    </row>
    <row r="75" spans="1:19" x14ac:dyDescent="0.2">
      <c r="A75" t="s">
        <v>1177</v>
      </c>
      <c r="B75">
        <v>9001045200</v>
      </c>
      <c r="C75" t="s">
        <v>1178</v>
      </c>
      <c r="D75">
        <v>144375</v>
      </c>
      <c r="E75">
        <v>2.65</v>
      </c>
      <c r="F75">
        <v>88688.857489999995</v>
      </c>
      <c r="G75">
        <v>88.688999999999993</v>
      </c>
      <c r="H75">
        <v>0.92100000000000004</v>
      </c>
      <c r="I75">
        <v>5</v>
      </c>
      <c r="J75">
        <v>2854</v>
      </c>
      <c r="K75">
        <v>0.38615899399999998</v>
      </c>
      <c r="L75">
        <v>0.64900000000000002</v>
      </c>
      <c r="M75">
        <v>4</v>
      </c>
      <c r="N75">
        <v>5.1999999999999998E-2</v>
      </c>
      <c r="O75">
        <v>1</v>
      </c>
      <c r="P75">
        <v>1</v>
      </c>
      <c r="S75" s="114" t="s">
        <v>944</v>
      </c>
    </row>
    <row r="76" spans="1:19" x14ac:dyDescent="0.2">
      <c r="A76" t="s">
        <v>1179</v>
      </c>
      <c r="B76">
        <v>9001045300</v>
      </c>
      <c r="C76" t="s">
        <v>1180</v>
      </c>
      <c r="D76">
        <v>229531</v>
      </c>
      <c r="E76">
        <v>3.25</v>
      </c>
      <c r="F76">
        <v>127320.8907</v>
      </c>
      <c r="G76">
        <v>127.321</v>
      </c>
      <c r="H76">
        <v>0.97499999999999998</v>
      </c>
      <c r="I76">
        <v>5</v>
      </c>
      <c r="J76">
        <v>3941</v>
      </c>
      <c r="K76">
        <v>0.37143943699999998</v>
      </c>
      <c r="L76">
        <v>0.6</v>
      </c>
      <c r="M76">
        <v>3</v>
      </c>
      <c r="N76">
        <v>1.2999999999999999E-2</v>
      </c>
      <c r="O76">
        <v>1</v>
      </c>
      <c r="P76">
        <v>1</v>
      </c>
      <c r="S76" s="116" t="s">
        <v>944</v>
      </c>
    </row>
    <row r="77" spans="1:19" x14ac:dyDescent="0.2">
      <c r="A77" t="s">
        <v>1181</v>
      </c>
      <c r="B77">
        <v>9001045400</v>
      </c>
      <c r="C77" t="s">
        <v>1182</v>
      </c>
      <c r="D77">
        <v>198281</v>
      </c>
      <c r="E77">
        <v>2.83</v>
      </c>
      <c r="F77">
        <v>117865.8202</v>
      </c>
      <c r="G77">
        <v>117.866</v>
      </c>
      <c r="H77">
        <v>0.97</v>
      </c>
      <c r="I77">
        <v>5</v>
      </c>
      <c r="J77">
        <v>3417</v>
      </c>
      <c r="K77">
        <v>0.347887114</v>
      </c>
      <c r="L77">
        <v>0.46800000000000003</v>
      </c>
      <c r="M77">
        <v>3</v>
      </c>
      <c r="N77">
        <v>2.7E-2</v>
      </c>
      <c r="O77">
        <v>1</v>
      </c>
      <c r="P77">
        <v>1</v>
      </c>
      <c r="S77" s="114" t="s">
        <v>944</v>
      </c>
    </row>
    <row r="78" spans="1:19" x14ac:dyDescent="0.2">
      <c r="A78" t="s">
        <v>1183</v>
      </c>
      <c r="B78">
        <v>9001050100</v>
      </c>
      <c r="C78" t="s">
        <v>1184</v>
      </c>
      <c r="D78">
        <v>242125</v>
      </c>
      <c r="E78">
        <v>2.92</v>
      </c>
      <c r="F78">
        <v>141692.9388</v>
      </c>
      <c r="G78">
        <v>141.69300000000001</v>
      </c>
      <c r="H78">
        <v>0.99299999999999999</v>
      </c>
      <c r="I78">
        <v>5</v>
      </c>
      <c r="J78">
        <v>3609</v>
      </c>
      <c r="K78">
        <v>0.305646847</v>
      </c>
      <c r="L78">
        <v>0.20300000000000001</v>
      </c>
      <c r="M78">
        <v>2</v>
      </c>
      <c r="N78">
        <v>2.1000000000000001E-2</v>
      </c>
      <c r="O78">
        <v>1</v>
      </c>
      <c r="P78">
        <v>1</v>
      </c>
      <c r="S78" s="116" t="s">
        <v>944</v>
      </c>
    </row>
    <row r="79" spans="1:19" x14ac:dyDescent="0.2">
      <c r="A79" t="s">
        <v>1185</v>
      </c>
      <c r="B79">
        <v>9001050200</v>
      </c>
      <c r="C79" t="s">
        <v>1186</v>
      </c>
      <c r="D79">
        <v>175972</v>
      </c>
      <c r="E79">
        <v>2.66</v>
      </c>
      <c r="F79">
        <v>107895.3558</v>
      </c>
      <c r="G79">
        <v>107.895</v>
      </c>
      <c r="H79">
        <v>0.95899999999999996</v>
      </c>
      <c r="I79">
        <v>5</v>
      </c>
      <c r="J79">
        <v>3048</v>
      </c>
      <c r="K79">
        <v>0.33899512799999998</v>
      </c>
      <c r="L79">
        <v>0.41399999999999998</v>
      </c>
      <c r="M79">
        <v>3</v>
      </c>
      <c r="N79">
        <v>4.2999999999999997E-2</v>
      </c>
      <c r="O79">
        <v>1</v>
      </c>
      <c r="P79">
        <v>1</v>
      </c>
      <c r="S79" s="114" t="s">
        <v>944</v>
      </c>
    </row>
    <row r="80" spans="1:19" x14ac:dyDescent="0.2">
      <c r="A80" t="s">
        <v>1187</v>
      </c>
      <c r="B80">
        <v>9001050300</v>
      </c>
      <c r="C80" t="s">
        <v>1188</v>
      </c>
      <c r="D80">
        <v>242500</v>
      </c>
      <c r="E80">
        <v>3.12</v>
      </c>
      <c r="F80">
        <v>137288.59039999999</v>
      </c>
      <c r="G80">
        <v>137.28899999999999</v>
      </c>
      <c r="H80">
        <v>0.98199999999999998</v>
      </c>
      <c r="I80">
        <v>5</v>
      </c>
      <c r="J80">
        <v>3773</v>
      </c>
      <c r="K80">
        <v>0.32978705600000002</v>
      </c>
      <c r="L80">
        <v>0.35399999999999998</v>
      </c>
      <c r="M80">
        <v>2</v>
      </c>
      <c r="N80">
        <v>1.4999999999999999E-2</v>
      </c>
      <c r="O80">
        <v>1</v>
      </c>
      <c r="P80">
        <v>1</v>
      </c>
      <c r="S80" s="116" t="s">
        <v>944</v>
      </c>
    </row>
    <row r="81" spans="1:19" x14ac:dyDescent="0.2">
      <c r="A81" t="s">
        <v>1189</v>
      </c>
      <c r="B81">
        <v>9001050400</v>
      </c>
      <c r="C81" t="s">
        <v>1190</v>
      </c>
      <c r="D81">
        <v>152321</v>
      </c>
      <c r="E81">
        <v>2.2000000000000002</v>
      </c>
      <c r="F81">
        <v>102694.79730000001</v>
      </c>
      <c r="G81">
        <v>102.69499999999999</v>
      </c>
      <c r="H81">
        <v>0.94699999999999995</v>
      </c>
      <c r="I81">
        <v>5</v>
      </c>
      <c r="J81">
        <v>2569</v>
      </c>
      <c r="K81">
        <v>0.30019047500000001</v>
      </c>
      <c r="L81">
        <v>0.17</v>
      </c>
      <c r="M81">
        <v>1</v>
      </c>
      <c r="N81">
        <v>7.0999999999999994E-2</v>
      </c>
      <c r="O81">
        <v>1</v>
      </c>
      <c r="P81">
        <v>1</v>
      </c>
      <c r="S81" s="114" t="s">
        <v>944</v>
      </c>
    </row>
    <row r="82" spans="1:19" x14ac:dyDescent="0.2">
      <c r="A82" t="s">
        <v>1191</v>
      </c>
      <c r="B82">
        <v>9001050500</v>
      </c>
      <c r="C82" t="s">
        <v>1192</v>
      </c>
      <c r="D82">
        <v>169810</v>
      </c>
      <c r="E82">
        <v>2.77</v>
      </c>
      <c r="F82">
        <v>102028.9406</v>
      </c>
      <c r="G82">
        <v>102.029</v>
      </c>
      <c r="H82">
        <v>0.94599999999999995</v>
      </c>
      <c r="I82">
        <v>5</v>
      </c>
      <c r="J82">
        <v>2925</v>
      </c>
      <c r="K82">
        <v>0.34402003799999997</v>
      </c>
      <c r="L82">
        <v>0.44400000000000001</v>
      </c>
      <c r="M82">
        <v>3</v>
      </c>
      <c r="N82">
        <v>4.9000000000000002E-2</v>
      </c>
      <c r="O82">
        <v>1</v>
      </c>
      <c r="P82">
        <v>1</v>
      </c>
      <c r="S82" s="116" t="s">
        <v>944</v>
      </c>
    </row>
    <row r="83" spans="1:19" x14ac:dyDescent="0.2">
      <c r="A83" t="s">
        <v>1193</v>
      </c>
      <c r="B83">
        <v>9001050600</v>
      </c>
      <c r="C83" t="s">
        <v>1194</v>
      </c>
      <c r="D83">
        <v>228558</v>
      </c>
      <c r="E83">
        <v>2.64</v>
      </c>
      <c r="F83">
        <v>140667.72500000001</v>
      </c>
      <c r="G83">
        <v>140.66800000000001</v>
      </c>
      <c r="H83">
        <v>0.99099999999999999</v>
      </c>
      <c r="I83">
        <v>5</v>
      </c>
      <c r="J83">
        <v>3756</v>
      </c>
      <c r="K83">
        <v>0.32041465099999999</v>
      </c>
      <c r="L83">
        <v>0.29299999999999998</v>
      </c>
      <c r="M83">
        <v>2</v>
      </c>
      <c r="N83">
        <v>1.6E-2</v>
      </c>
      <c r="O83">
        <v>1</v>
      </c>
      <c r="P83">
        <v>1</v>
      </c>
      <c r="S83" s="114" t="s">
        <v>944</v>
      </c>
    </row>
    <row r="84" spans="1:19" x14ac:dyDescent="0.2">
      <c r="A84" t="s">
        <v>1195</v>
      </c>
      <c r="B84">
        <v>9001055100</v>
      </c>
      <c r="C84" t="s">
        <v>1196</v>
      </c>
      <c r="D84">
        <v>202500</v>
      </c>
      <c r="E84">
        <v>2.93</v>
      </c>
      <c r="F84">
        <v>118301.7632</v>
      </c>
      <c r="G84">
        <v>118.30200000000001</v>
      </c>
      <c r="H84">
        <v>0.97199999999999998</v>
      </c>
      <c r="I84">
        <v>5</v>
      </c>
      <c r="J84">
        <v>4000</v>
      </c>
      <c r="K84">
        <v>0.40574205099999999</v>
      </c>
      <c r="L84">
        <v>0.69299999999999995</v>
      </c>
      <c r="M84">
        <v>4</v>
      </c>
      <c r="N84">
        <v>1.0999999999999999E-2</v>
      </c>
      <c r="O84">
        <v>1</v>
      </c>
      <c r="P84">
        <v>1</v>
      </c>
      <c r="S84" s="116" t="s">
        <v>944</v>
      </c>
    </row>
    <row r="85" spans="1:19" x14ac:dyDescent="0.2">
      <c r="A85" t="s">
        <v>1197</v>
      </c>
      <c r="B85">
        <v>9001055200</v>
      </c>
      <c r="C85" t="s">
        <v>1198</v>
      </c>
      <c r="D85">
        <v>247361</v>
      </c>
      <c r="E85">
        <v>3.05</v>
      </c>
      <c r="F85">
        <v>141638.49660000001</v>
      </c>
      <c r="G85">
        <v>141.63800000000001</v>
      </c>
      <c r="H85">
        <v>0.99199999999999999</v>
      </c>
      <c r="I85">
        <v>5</v>
      </c>
      <c r="J85">
        <v>3750</v>
      </c>
      <c r="K85">
        <v>0.31771023500000001</v>
      </c>
      <c r="L85">
        <v>0.27</v>
      </c>
      <c r="M85">
        <v>2</v>
      </c>
      <c r="N85">
        <v>1.7999999999999999E-2</v>
      </c>
      <c r="O85">
        <v>1</v>
      </c>
      <c r="P85">
        <v>1</v>
      </c>
      <c r="S85" s="114" t="s">
        <v>944</v>
      </c>
    </row>
    <row r="86" spans="1:19" x14ac:dyDescent="0.2">
      <c r="A86" t="s">
        <v>1199</v>
      </c>
      <c r="B86">
        <v>9001060100</v>
      </c>
      <c r="C86" t="s">
        <v>1200</v>
      </c>
      <c r="D86">
        <v>139000</v>
      </c>
      <c r="E86">
        <v>2.65</v>
      </c>
      <c r="F86">
        <v>85387.021240000002</v>
      </c>
      <c r="G86">
        <v>85.387</v>
      </c>
      <c r="H86">
        <v>0.91</v>
      </c>
      <c r="I86">
        <v>5</v>
      </c>
      <c r="J86">
        <v>2313</v>
      </c>
      <c r="K86">
        <v>0.32506111100000001</v>
      </c>
      <c r="L86">
        <v>0.33</v>
      </c>
      <c r="M86">
        <v>2</v>
      </c>
      <c r="N86">
        <v>0.111</v>
      </c>
      <c r="O86">
        <v>1</v>
      </c>
      <c r="P86">
        <v>1</v>
      </c>
      <c r="S86" s="116" t="s">
        <v>944</v>
      </c>
    </row>
    <row r="87" spans="1:19" x14ac:dyDescent="0.2">
      <c r="A87" t="s">
        <v>1201</v>
      </c>
      <c r="B87">
        <v>9001060200</v>
      </c>
      <c r="C87" t="s">
        <v>1202</v>
      </c>
      <c r="D87">
        <v>126838</v>
      </c>
      <c r="E87">
        <v>2.81</v>
      </c>
      <c r="F87">
        <v>75665.207160000005</v>
      </c>
      <c r="G87">
        <v>75.665000000000006</v>
      </c>
      <c r="H87">
        <v>0.85499999999999998</v>
      </c>
      <c r="I87">
        <v>5</v>
      </c>
      <c r="J87">
        <v>2452</v>
      </c>
      <c r="K87">
        <v>0.38887093700000003</v>
      </c>
      <c r="L87">
        <v>0.65900000000000003</v>
      </c>
      <c r="M87">
        <v>4</v>
      </c>
      <c r="N87">
        <v>8.2000000000000003E-2</v>
      </c>
      <c r="O87">
        <v>1</v>
      </c>
      <c r="P87">
        <v>1</v>
      </c>
      <c r="S87" s="114" t="s">
        <v>944</v>
      </c>
    </row>
    <row r="88" spans="1:19" x14ac:dyDescent="0.2">
      <c r="A88" t="s">
        <v>1203</v>
      </c>
      <c r="B88">
        <v>9001060300</v>
      </c>
      <c r="C88" t="s">
        <v>1204</v>
      </c>
      <c r="D88">
        <v>195250</v>
      </c>
      <c r="E88">
        <v>2.92</v>
      </c>
      <c r="F88">
        <v>114261.42</v>
      </c>
      <c r="G88">
        <v>114.261</v>
      </c>
      <c r="H88">
        <v>0.96499999999999997</v>
      </c>
      <c r="I88">
        <v>5</v>
      </c>
      <c r="J88">
        <v>3341</v>
      </c>
      <c r="K88">
        <v>0.35087958800000002</v>
      </c>
      <c r="L88">
        <v>0.48399999999999999</v>
      </c>
      <c r="M88">
        <v>3</v>
      </c>
      <c r="N88">
        <v>0.03</v>
      </c>
      <c r="O88">
        <v>1</v>
      </c>
      <c r="P88">
        <v>1</v>
      </c>
      <c r="S88" s="116" t="s">
        <v>944</v>
      </c>
    </row>
    <row r="89" spans="1:19" x14ac:dyDescent="0.2">
      <c r="A89" t="s">
        <v>1205</v>
      </c>
      <c r="B89">
        <v>9001060400</v>
      </c>
      <c r="C89" t="s">
        <v>1206</v>
      </c>
      <c r="D89">
        <v>247169</v>
      </c>
      <c r="E89">
        <v>2.83</v>
      </c>
      <c r="F89">
        <v>146926.71969999999</v>
      </c>
      <c r="G89">
        <v>146.92699999999999</v>
      </c>
      <c r="H89">
        <v>1</v>
      </c>
      <c r="I89">
        <v>5</v>
      </c>
      <c r="J89">
        <v>3810</v>
      </c>
      <c r="K89">
        <v>0.31117553100000001</v>
      </c>
      <c r="L89">
        <v>0.22900000000000001</v>
      </c>
      <c r="M89">
        <v>2</v>
      </c>
      <c r="N89">
        <v>1.4E-2</v>
      </c>
      <c r="O89">
        <v>1</v>
      </c>
      <c r="P89">
        <v>1</v>
      </c>
      <c r="S89" s="114" t="s">
        <v>944</v>
      </c>
    </row>
    <row r="90" spans="1:19" x14ac:dyDescent="0.2">
      <c r="A90" t="s">
        <v>1207</v>
      </c>
      <c r="B90">
        <v>9001060500</v>
      </c>
      <c r="C90" t="s">
        <v>1208</v>
      </c>
      <c r="D90">
        <v>216500</v>
      </c>
      <c r="E90">
        <v>3.17</v>
      </c>
      <c r="F90">
        <v>121598.5145</v>
      </c>
      <c r="G90">
        <v>121.599</v>
      </c>
      <c r="H90">
        <v>0.97299999999999998</v>
      </c>
      <c r="I90">
        <v>5</v>
      </c>
      <c r="J90">
        <v>3418</v>
      </c>
      <c r="K90">
        <v>0.33730675199999999</v>
      </c>
      <c r="L90">
        <v>0.40699999999999997</v>
      </c>
      <c r="M90">
        <v>3</v>
      </c>
      <c r="N90">
        <v>2.5999999999999999E-2</v>
      </c>
      <c r="O90">
        <v>1</v>
      </c>
      <c r="P90">
        <v>1</v>
      </c>
      <c r="S90" s="116" t="s">
        <v>944</v>
      </c>
    </row>
    <row r="91" spans="1:19" x14ac:dyDescent="0.2">
      <c r="A91" t="s">
        <v>1209</v>
      </c>
      <c r="B91">
        <v>9001060600</v>
      </c>
      <c r="C91" t="s">
        <v>1210</v>
      </c>
      <c r="D91">
        <v>174712</v>
      </c>
      <c r="E91">
        <v>2.2400000000000002</v>
      </c>
      <c r="F91">
        <v>116734.3652</v>
      </c>
      <c r="G91">
        <v>116.73399999999999</v>
      </c>
      <c r="H91">
        <v>0.96899999999999997</v>
      </c>
      <c r="I91">
        <v>5</v>
      </c>
      <c r="J91">
        <v>2525</v>
      </c>
      <c r="K91">
        <v>0.25956366800000003</v>
      </c>
      <c r="L91">
        <v>3.2000000000000001E-2</v>
      </c>
      <c r="M91">
        <v>1</v>
      </c>
      <c r="N91">
        <v>7.4999999999999997E-2</v>
      </c>
      <c r="O91">
        <v>1</v>
      </c>
      <c r="P91">
        <v>1</v>
      </c>
      <c r="S91" s="114" t="s">
        <v>944</v>
      </c>
    </row>
    <row r="92" spans="1:19" x14ac:dyDescent="0.2">
      <c r="A92" t="s">
        <v>1211</v>
      </c>
      <c r="B92">
        <v>9001060700</v>
      </c>
      <c r="C92" t="s">
        <v>1212</v>
      </c>
      <c r="D92">
        <v>180694</v>
      </c>
      <c r="E92">
        <v>3.01</v>
      </c>
      <c r="F92">
        <v>104150.2901</v>
      </c>
      <c r="G92">
        <v>104.15</v>
      </c>
      <c r="H92">
        <v>0.95299999999999996</v>
      </c>
      <c r="I92">
        <v>5</v>
      </c>
      <c r="J92">
        <v>2864</v>
      </c>
      <c r="K92">
        <v>0.329984679</v>
      </c>
      <c r="L92">
        <v>0.35799999999999998</v>
      </c>
      <c r="M92">
        <v>2</v>
      </c>
      <c r="N92">
        <v>0.05</v>
      </c>
      <c r="O92">
        <v>1</v>
      </c>
      <c r="P92">
        <v>1</v>
      </c>
      <c r="S92" s="116" t="s">
        <v>944</v>
      </c>
    </row>
    <row r="93" spans="1:19" x14ac:dyDescent="0.2">
      <c r="A93" t="s">
        <v>1213</v>
      </c>
      <c r="B93">
        <v>9001060800</v>
      </c>
      <c r="C93" t="s">
        <v>1214</v>
      </c>
      <c r="D93">
        <v>171250</v>
      </c>
      <c r="E93">
        <v>2.73</v>
      </c>
      <c r="F93">
        <v>103645.215</v>
      </c>
      <c r="G93">
        <v>103.645</v>
      </c>
      <c r="H93">
        <v>0.95199999999999996</v>
      </c>
      <c r="I93">
        <v>5</v>
      </c>
      <c r="J93">
        <v>3043</v>
      </c>
      <c r="K93">
        <v>0.35231727800000001</v>
      </c>
      <c r="L93">
        <v>0.49199999999999999</v>
      </c>
      <c r="M93">
        <v>3</v>
      </c>
      <c r="N93">
        <v>4.3999999999999997E-2</v>
      </c>
      <c r="O93">
        <v>1</v>
      </c>
      <c r="P93">
        <v>1</v>
      </c>
      <c r="S93" s="114" t="s">
        <v>944</v>
      </c>
    </row>
    <row r="94" spans="1:19" x14ac:dyDescent="0.2">
      <c r="A94" t="s">
        <v>1215</v>
      </c>
      <c r="B94">
        <v>9001060900</v>
      </c>
      <c r="C94" t="s">
        <v>1216</v>
      </c>
      <c r="D94">
        <v>140278</v>
      </c>
      <c r="E94">
        <v>2.88</v>
      </c>
      <c r="F94">
        <v>82659.604210000005</v>
      </c>
      <c r="G94">
        <v>82.66</v>
      </c>
      <c r="H94">
        <v>0.89600000000000002</v>
      </c>
      <c r="I94">
        <v>5</v>
      </c>
      <c r="J94">
        <v>2698</v>
      </c>
      <c r="K94">
        <v>0.39167862399999998</v>
      </c>
      <c r="L94">
        <v>0.66700000000000004</v>
      </c>
      <c r="M94">
        <v>4</v>
      </c>
      <c r="N94">
        <v>5.8999999999999997E-2</v>
      </c>
      <c r="O94">
        <v>1</v>
      </c>
      <c r="P94">
        <v>1</v>
      </c>
      <c r="S94" s="116" t="s">
        <v>944</v>
      </c>
    </row>
    <row r="95" spans="1:19" x14ac:dyDescent="0.2">
      <c r="A95" t="s">
        <v>1217</v>
      </c>
      <c r="B95">
        <v>9001061000</v>
      </c>
      <c r="C95" t="s">
        <v>1218</v>
      </c>
      <c r="D95">
        <v>78844</v>
      </c>
      <c r="E95">
        <v>2.54</v>
      </c>
      <c r="F95">
        <v>49471.125500000002</v>
      </c>
      <c r="G95">
        <v>49.470999999999997</v>
      </c>
      <c r="H95">
        <v>0.46100000000000002</v>
      </c>
      <c r="I95">
        <v>3</v>
      </c>
      <c r="J95">
        <v>1741</v>
      </c>
      <c r="K95">
        <v>0.42230694800000002</v>
      </c>
      <c r="L95">
        <v>0.73399999999999999</v>
      </c>
      <c r="M95">
        <v>4</v>
      </c>
      <c r="N95">
        <v>0.28799999999999998</v>
      </c>
      <c r="O95">
        <v>2</v>
      </c>
      <c r="P95">
        <v>3</v>
      </c>
      <c r="S95" s="114" t="s">
        <v>944</v>
      </c>
    </row>
    <row r="96" spans="1:19" x14ac:dyDescent="0.2">
      <c r="A96" t="s">
        <v>1219</v>
      </c>
      <c r="B96">
        <v>9001061100</v>
      </c>
      <c r="C96" t="s">
        <v>1220</v>
      </c>
      <c r="D96">
        <v>163438</v>
      </c>
      <c r="E96">
        <v>2.99</v>
      </c>
      <c r="F96">
        <v>94518.635850000006</v>
      </c>
      <c r="G96">
        <v>94.519000000000005</v>
      </c>
      <c r="H96">
        <v>0.93400000000000005</v>
      </c>
      <c r="I96">
        <v>5</v>
      </c>
      <c r="J96">
        <v>2692</v>
      </c>
      <c r="K96">
        <v>0.34177386999999998</v>
      </c>
      <c r="L96">
        <v>0.42899999999999999</v>
      </c>
      <c r="M96">
        <v>3</v>
      </c>
      <c r="N96">
        <v>0.06</v>
      </c>
      <c r="O96">
        <v>1</v>
      </c>
      <c r="P96">
        <v>1</v>
      </c>
      <c r="S96" s="116" t="s">
        <v>944</v>
      </c>
    </row>
    <row r="97" spans="1:19" x14ac:dyDescent="0.2">
      <c r="A97" t="s">
        <v>1221</v>
      </c>
      <c r="B97">
        <v>9001061200</v>
      </c>
      <c r="C97" t="s">
        <v>1222</v>
      </c>
      <c r="D97">
        <v>81667</v>
      </c>
      <c r="E97">
        <v>2.88</v>
      </c>
      <c r="F97">
        <v>48122.741249999999</v>
      </c>
      <c r="G97">
        <v>48.122999999999998</v>
      </c>
      <c r="H97">
        <v>0.433</v>
      </c>
      <c r="I97">
        <v>3</v>
      </c>
      <c r="J97">
        <v>1853</v>
      </c>
      <c r="K97">
        <v>0.46206844000000002</v>
      </c>
      <c r="L97">
        <v>0.80100000000000005</v>
      </c>
      <c r="M97">
        <v>5</v>
      </c>
      <c r="N97">
        <v>0.23</v>
      </c>
      <c r="O97">
        <v>2</v>
      </c>
      <c r="P97">
        <v>3</v>
      </c>
      <c r="S97" s="114" t="s">
        <v>944</v>
      </c>
    </row>
    <row r="98" spans="1:19" x14ac:dyDescent="0.2">
      <c r="A98" t="s">
        <v>1223</v>
      </c>
      <c r="B98">
        <v>9001061300</v>
      </c>
      <c r="C98" t="s">
        <v>1224</v>
      </c>
      <c r="D98">
        <v>90913</v>
      </c>
      <c r="E98">
        <v>2.74</v>
      </c>
      <c r="F98">
        <v>54922.551870000003</v>
      </c>
      <c r="G98">
        <v>54.923000000000002</v>
      </c>
      <c r="H98">
        <v>0.55700000000000005</v>
      </c>
      <c r="I98">
        <v>3</v>
      </c>
      <c r="J98">
        <v>1857</v>
      </c>
      <c r="K98">
        <v>0.405734971</v>
      </c>
      <c r="L98">
        <v>0.69199999999999995</v>
      </c>
      <c r="M98">
        <v>4</v>
      </c>
      <c r="N98">
        <v>0.22900000000000001</v>
      </c>
      <c r="O98">
        <v>2</v>
      </c>
      <c r="P98">
        <v>3</v>
      </c>
      <c r="S98" s="116" t="s">
        <v>944</v>
      </c>
    </row>
    <row r="99" spans="1:19" x14ac:dyDescent="0.2">
      <c r="A99" t="s">
        <v>1225</v>
      </c>
      <c r="B99">
        <v>9001061400</v>
      </c>
      <c r="C99" t="s">
        <v>1226</v>
      </c>
      <c r="D99">
        <v>91467</v>
      </c>
      <c r="E99">
        <v>2.6</v>
      </c>
      <c r="F99">
        <v>56725.425340000002</v>
      </c>
      <c r="G99">
        <v>56.725000000000001</v>
      </c>
      <c r="H99">
        <v>0.59399999999999997</v>
      </c>
      <c r="I99">
        <v>3</v>
      </c>
      <c r="J99">
        <v>1873</v>
      </c>
      <c r="K99">
        <v>0.39622444200000001</v>
      </c>
      <c r="L99">
        <v>0.67700000000000005</v>
      </c>
      <c r="M99">
        <v>4</v>
      </c>
      <c r="N99">
        <v>0.219</v>
      </c>
      <c r="O99">
        <v>2</v>
      </c>
      <c r="P99">
        <v>3</v>
      </c>
      <c r="S99" s="114" t="s">
        <v>944</v>
      </c>
    </row>
    <row r="100" spans="1:19" x14ac:dyDescent="0.2">
      <c r="A100" t="s">
        <v>1227</v>
      </c>
      <c r="B100">
        <v>9001061500</v>
      </c>
      <c r="C100" t="s">
        <v>1228</v>
      </c>
      <c r="D100">
        <v>148804</v>
      </c>
      <c r="E100">
        <v>2.76</v>
      </c>
      <c r="F100">
        <v>89569.482409999997</v>
      </c>
      <c r="G100">
        <v>89.569000000000003</v>
      </c>
      <c r="H100">
        <v>0.92300000000000004</v>
      </c>
      <c r="I100">
        <v>5</v>
      </c>
      <c r="J100">
        <v>2670</v>
      </c>
      <c r="K100">
        <v>0.35771112100000002</v>
      </c>
      <c r="L100">
        <v>0.52</v>
      </c>
      <c r="M100">
        <v>3</v>
      </c>
      <c r="N100">
        <v>6.3E-2</v>
      </c>
      <c r="O100">
        <v>1</v>
      </c>
      <c r="P100">
        <v>1</v>
      </c>
      <c r="S100" s="116" t="s">
        <v>944</v>
      </c>
    </row>
    <row r="101" spans="1:19" x14ac:dyDescent="0.2">
      <c r="A101" t="s">
        <v>1229</v>
      </c>
      <c r="B101">
        <v>9001061600</v>
      </c>
      <c r="C101" t="s">
        <v>1230</v>
      </c>
      <c r="D101">
        <v>129250</v>
      </c>
      <c r="E101">
        <v>2.57</v>
      </c>
      <c r="F101">
        <v>80623.934859999994</v>
      </c>
      <c r="G101">
        <v>80.623999999999995</v>
      </c>
      <c r="H101">
        <v>0.88300000000000001</v>
      </c>
      <c r="I101">
        <v>5</v>
      </c>
      <c r="J101">
        <v>2370</v>
      </c>
      <c r="K101">
        <v>0.352748846</v>
      </c>
      <c r="L101">
        <v>0.495</v>
      </c>
      <c r="M101">
        <v>3</v>
      </c>
      <c r="N101">
        <v>9.4E-2</v>
      </c>
      <c r="O101">
        <v>1</v>
      </c>
      <c r="P101">
        <v>1</v>
      </c>
      <c r="S101" s="114" t="s">
        <v>944</v>
      </c>
    </row>
    <row r="102" spans="1:19" x14ac:dyDescent="0.2">
      <c r="A102" t="s">
        <v>1231</v>
      </c>
      <c r="B102">
        <v>9001070100</v>
      </c>
      <c r="C102" t="s">
        <v>1232</v>
      </c>
      <c r="D102">
        <v>88021</v>
      </c>
      <c r="E102">
        <v>2.16</v>
      </c>
      <c r="F102">
        <v>59890.704619999997</v>
      </c>
      <c r="G102">
        <v>59.890999999999998</v>
      </c>
      <c r="H102">
        <v>0.65100000000000002</v>
      </c>
      <c r="I102">
        <v>4</v>
      </c>
      <c r="J102">
        <v>1489</v>
      </c>
      <c r="K102">
        <v>0.29834345899999998</v>
      </c>
      <c r="L102">
        <v>0.16</v>
      </c>
      <c r="M102">
        <v>1</v>
      </c>
      <c r="N102">
        <v>0.49</v>
      </c>
      <c r="O102">
        <v>3</v>
      </c>
      <c r="P102">
        <v>3</v>
      </c>
      <c r="S102" s="116" t="s">
        <v>944</v>
      </c>
    </row>
    <row r="103" spans="1:19" x14ac:dyDescent="0.2">
      <c r="A103" t="s">
        <v>1233</v>
      </c>
      <c r="B103">
        <v>9001070200</v>
      </c>
      <c r="C103" t="s">
        <v>1234</v>
      </c>
      <c r="D103">
        <v>42688</v>
      </c>
      <c r="E103">
        <v>2.37</v>
      </c>
      <c r="F103">
        <v>27728.835729999999</v>
      </c>
      <c r="G103">
        <v>27.728999999999999</v>
      </c>
      <c r="H103">
        <v>0.13900000000000001</v>
      </c>
      <c r="I103">
        <v>1</v>
      </c>
      <c r="J103">
        <v>1292</v>
      </c>
      <c r="K103">
        <v>0.559129137</v>
      </c>
      <c r="L103">
        <v>0.89700000000000002</v>
      </c>
      <c r="M103">
        <v>5</v>
      </c>
      <c r="N103">
        <v>0.66200000000000003</v>
      </c>
      <c r="O103">
        <v>4</v>
      </c>
      <c r="P103">
        <v>5</v>
      </c>
      <c r="S103" s="114" t="s">
        <v>936</v>
      </c>
    </row>
    <row r="104" spans="1:19" x14ac:dyDescent="0.2">
      <c r="A104" t="s">
        <v>1235</v>
      </c>
      <c r="B104">
        <v>9001070300</v>
      </c>
      <c r="C104" t="s">
        <v>1236</v>
      </c>
      <c r="D104">
        <v>9958</v>
      </c>
      <c r="E104">
        <v>3.24</v>
      </c>
      <c r="F104">
        <v>5532.2222220000003</v>
      </c>
      <c r="G104">
        <v>5.532</v>
      </c>
      <c r="H104">
        <v>1E-3</v>
      </c>
      <c r="I104">
        <v>1</v>
      </c>
      <c r="J104">
        <v>433</v>
      </c>
      <c r="K104">
        <v>0.939224744</v>
      </c>
      <c r="L104">
        <v>0.99299999999999999</v>
      </c>
      <c r="M104">
        <v>5</v>
      </c>
      <c r="N104">
        <v>1</v>
      </c>
      <c r="O104">
        <v>5</v>
      </c>
      <c r="P104">
        <v>5</v>
      </c>
      <c r="S104" s="116" t="s">
        <v>936</v>
      </c>
    </row>
    <row r="105" spans="1:19" x14ac:dyDescent="0.2">
      <c r="A105" t="s">
        <v>1237</v>
      </c>
      <c r="B105">
        <v>9001070400</v>
      </c>
      <c r="C105" t="s">
        <v>1238</v>
      </c>
      <c r="D105">
        <v>35313</v>
      </c>
      <c r="E105">
        <v>1.86</v>
      </c>
      <c r="F105">
        <v>25892.747859999999</v>
      </c>
      <c r="G105">
        <v>25.893000000000001</v>
      </c>
      <c r="H105">
        <v>0.122</v>
      </c>
      <c r="I105">
        <v>1</v>
      </c>
      <c r="J105">
        <v>912</v>
      </c>
      <c r="K105">
        <v>0.42266661100000003</v>
      </c>
      <c r="L105">
        <v>0.73799999999999999</v>
      </c>
      <c r="M105">
        <v>4</v>
      </c>
      <c r="N105">
        <v>0.96899999999999997</v>
      </c>
      <c r="O105">
        <v>5</v>
      </c>
      <c r="P105">
        <v>5</v>
      </c>
      <c r="S105" s="114" t="s">
        <v>936</v>
      </c>
    </row>
    <row r="106" spans="1:19" x14ac:dyDescent="0.2">
      <c r="A106" t="s">
        <v>1239</v>
      </c>
      <c r="B106">
        <v>9001070500</v>
      </c>
      <c r="C106" t="s">
        <v>1240</v>
      </c>
      <c r="D106">
        <v>24342</v>
      </c>
      <c r="E106">
        <v>2.52</v>
      </c>
      <c r="F106">
        <v>15334.018669999999</v>
      </c>
      <c r="G106">
        <v>15.334</v>
      </c>
      <c r="H106">
        <v>0.02</v>
      </c>
      <c r="I106">
        <v>1</v>
      </c>
      <c r="J106">
        <v>1275</v>
      </c>
      <c r="K106">
        <v>0.99778149000000005</v>
      </c>
      <c r="L106">
        <v>0.996</v>
      </c>
      <c r="M106">
        <v>5</v>
      </c>
      <c r="N106">
        <v>0.68100000000000005</v>
      </c>
      <c r="O106">
        <v>4</v>
      </c>
      <c r="P106">
        <v>5</v>
      </c>
      <c r="S106" s="116" t="s">
        <v>936</v>
      </c>
    </row>
    <row r="107" spans="1:19" x14ac:dyDescent="0.2">
      <c r="A107" t="s">
        <v>1241</v>
      </c>
      <c r="B107">
        <v>9001070600</v>
      </c>
      <c r="C107" t="s">
        <v>1242</v>
      </c>
      <c r="D107">
        <v>23598</v>
      </c>
      <c r="E107">
        <v>1.57</v>
      </c>
      <c r="F107">
        <v>18833.254300000001</v>
      </c>
      <c r="G107">
        <v>18.832999999999998</v>
      </c>
      <c r="H107">
        <v>4.8000000000000001E-2</v>
      </c>
      <c r="I107">
        <v>1</v>
      </c>
      <c r="J107">
        <v>974</v>
      </c>
      <c r="K107">
        <v>0.62060437400000001</v>
      </c>
      <c r="L107">
        <v>0.93300000000000005</v>
      </c>
      <c r="M107">
        <v>5</v>
      </c>
      <c r="N107">
        <v>0.95199999999999996</v>
      </c>
      <c r="O107">
        <v>5</v>
      </c>
      <c r="P107">
        <v>5</v>
      </c>
      <c r="S107" s="114" t="s">
        <v>936</v>
      </c>
    </row>
    <row r="108" spans="1:19" x14ac:dyDescent="0.2">
      <c r="A108" t="s">
        <v>1243</v>
      </c>
      <c r="B108">
        <v>9001070900</v>
      </c>
      <c r="C108" t="s">
        <v>1244</v>
      </c>
      <c r="D108">
        <v>35492</v>
      </c>
      <c r="E108">
        <v>3.1</v>
      </c>
      <c r="F108">
        <v>20158.101419999999</v>
      </c>
      <c r="G108">
        <v>20.158000000000001</v>
      </c>
      <c r="H108">
        <v>0.06</v>
      </c>
      <c r="I108">
        <v>1</v>
      </c>
      <c r="J108">
        <v>1228</v>
      </c>
      <c r="K108">
        <v>0.731021225</v>
      </c>
      <c r="L108">
        <v>0.97199999999999998</v>
      </c>
      <c r="M108">
        <v>5</v>
      </c>
      <c r="N108">
        <v>0.73899999999999999</v>
      </c>
      <c r="O108">
        <v>4</v>
      </c>
      <c r="P108">
        <v>5</v>
      </c>
      <c r="S108" s="116" t="s">
        <v>936</v>
      </c>
    </row>
    <row r="109" spans="1:19" x14ac:dyDescent="0.2">
      <c r="A109" t="s">
        <v>1245</v>
      </c>
      <c r="B109">
        <v>9001071000</v>
      </c>
      <c r="C109" t="s">
        <v>1246</v>
      </c>
      <c r="D109">
        <v>48148</v>
      </c>
      <c r="E109">
        <v>3.13</v>
      </c>
      <c r="F109">
        <v>27214.858660000002</v>
      </c>
      <c r="G109">
        <v>27.215</v>
      </c>
      <c r="H109">
        <v>0.13700000000000001</v>
      </c>
      <c r="I109">
        <v>1</v>
      </c>
      <c r="J109">
        <v>1323</v>
      </c>
      <c r="K109">
        <v>0.58335779700000001</v>
      </c>
      <c r="L109">
        <v>0.91200000000000003</v>
      </c>
      <c r="M109">
        <v>5</v>
      </c>
      <c r="N109">
        <v>0.63200000000000001</v>
      </c>
      <c r="O109">
        <v>4</v>
      </c>
      <c r="P109">
        <v>5</v>
      </c>
      <c r="S109" s="114" t="s">
        <v>944</v>
      </c>
    </row>
    <row r="110" spans="1:19" x14ac:dyDescent="0.2">
      <c r="A110" t="s">
        <v>1247</v>
      </c>
      <c r="B110">
        <v>9001071100</v>
      </c>
      <c r="C110" t="s">
        <v>1248</v>
      </c>
      <c r="D110">
        <v>48500</v>
      </c>
      <c r="E110">
        <v>3.58</v>
      </c>
      <c r="F110">
        <v>25633.0465</v>
      </c>
      <c r="G110">
        <v>25.632999999999999</v>
      </c>
      <c r="H110">
        <v>0.12</v>
      </c>
      <c r="I110">
        <v>1</v>
      </c>
      <c r="J110">
        <v>1271</v>
      </c>
      <c r="K110">
        <v>0.59501316000000004</v>
      </c>
      <c r="L110">
        <v>0.91700000000000004</v>
      </c>
      <c r="M110">
        <v>5</v>
      </c>
      <c r="N110">
        <v>0.68400000000000005</v>
      </c>
      <c r="O110">
        <v>4</v>
      </c>
      <c r="P110">
        <v>5</v>
      </c>
      <c r="S110" s="116" t="s">
        <v>944</v>
      </c>
    </row>
    <row r="111" spans="1:19" x14ac:dyDescent="0.2">
      <c r="A111" t="s">
        <v>1249</v>
      </c>
      <c r="B111">
        <v>9001071200</v>
      </c>
      <c r="C111" t="s">
        <v>1250</v>
      </c>
      <c r="D111">
        <v>24271</v>
      </c>
      <c r="E111">
        <v>3.01</v>
      </c>
      <c r="F111">
        <v>13989.571830000001</v>
      </c>
      <c r="G111">
        <v>13.99</v>
      </c>
      <c r="H111">
        <v>1.2999999999999999E-2</v>
      </c>
      <c r="I111">
        <v>1</v>
      </c>
      <c r="J111">
        <v>1107</v>
      </c>
      <c r="K111">
        <v>0.94956444399999995</v>
      </c>
      <c r="L111">
        <v>0.995</v>
      </c>
      <c r="M111">
        <v>5</v>
      </c>
      <c r="N111">
        <v>0.86899999999999999</v>
      </c>
      <c r="O111">
        <v>5</v>
      </c>
      <c r="P111">
        <v>5</v>
      </c>
      <c r="S111" s="114" t="s">
        <v>936</v>
      </c>
    </row>
    <row r="112" spans="1:19" x14ac:dyDescent="0.2">
      <c r="A112" t="s">
        <v>1251</v>
      </c>
      <c r="B112">
        <v>9001071300</v>
      </c>
      <c r="C112" t="s">
        <v>1252</v>
      </c>
      <c r="D112">
        <v>27072</v>
      </c>
      <c r="E112">
        <v>2.39</v>
      </c>
      <c r="F112">
        <v>17511.42107</v>
      </c>
      <c r="G112">
        <v>17.510999999999999</v>
      </c>
      <c r="H112">
        <v>3.7999999999999999E-2</v>
      </c>
      <c r="I112">
        <v>1</v>
      </c>
      <c r="J112">
        <v>1078</v>
      </c>
      <c r="K112">
        <v>0.73871788900000002</v>
      </c>
      <c r="L112">
        <v>0.97399999999999998</v>
      </c>
      <c r="M112">
        <v>5</v>
      </c>
      <c r="N112">
        <v>0.89</v>
      </c>
      <c r="O112">
        <v>5</v>
      </c>
      <c r="P112">
        <v>5</v>
      </c>
      <c r="S112" s="116" t="s">
        <v>936</v>
      </c>
    </row>
    <row r="113" spans="1:19" x14ac:dyDescent="0.2">
      <c r="A113" t="s">
        <v>1253</v>
      </c>
      <c r="B113">
        <v>9001071400</v>
      </c>
      <c r="C113" t="s">
        <v>1254</v>
      </c>
      <c r="D113">
        <v>40245</v>
      </c>
      <c r="E113">
        <v>3.16</v>
      </c>
      <c r="F113">
        <v>22639.581289999998</v>
      </c>
      <c r="G113">
        <v>22.64</v>
      </c>
      <c r="H113">
        <v>8.8999999999999996E-2</v>
      </c>
      <c r="I113">
        <v>1</v>
      </c>
      <c r="J113">
        <v>1131</v>
      </c>
      <c r="K113">
        <v>0.59948105200000001</v>
      </c>
      <c r="L113">
        <v>0.92300000000000004</v>
      </c>
      <c r="M113">
        <v>5</v>
      </c>
      <c r="N113">
        <v>0.83499999999999996</v>
      </c>
      <c r="O113">
        <v>5</v>
      </c>
      <c r="P113">
        <v>5</v>
      </c>
      <c r="S113" s="114" t="s">
        <v>936</v>
      </c>
    </row>
    <row r="114" spans="1:19" x14ac:dyDescent="0.2">
      <c r="A114" t="s">
        <v>1255</v>
      </c>
      <c r="B114">
        <v>9001071600</v>
      </c>
      <c r="C114" t="s">
        <v>1256</v>
      </c>
      <c r="D114">
        <v>21895</v>
      </c>
      <c r="E114">
        <v>3.46</v>
      </c>
      <c r="F114">
        <v>11770.824919999999</v>
      </c>
      <c r="G114">
        <v>11.771000000000001</v>
      </c>
      <c r="H114">
        <v>3.0000000000000001E-3</v>
      </c>
      <c r="I114">
        <v>1</v>
      </c>
      <c r="J114">
        <v>1032</v>
      </c>
      <c r="K114">
        <v>1.0520927870000001</v>
      </c>
      <c r="L114">
        <v>0.998</v>
      </c>
      <c r="M114">
        <v>5</v>
      </c>
      <c r="N114">
        <v>0.92100000000000004</v>
      </c>
      <c r="O114">
        <v>5</v>
      </c>
      <c r="P114">
        <v>5</v>
      </c>
      <c r="S114" s="116" t="s">
        <v>936</v>
      </c>
    </row>
    <row r="115" spans="1:19" x14ac:dyDescent="0.2">
      <c r="A115" t="s">
        <v>1257</v>
      </c>
      <c r="B115">
        <v>9001071900</v>
      </c>
      <c r="C115" t="s">
        <v>1258</v>
      </c>
      <c r="D115">
        <v>42969</v>
      </c>
      <c r="E115">
        <v>2.7</v>
      </c>
      <c r="F115">
        <v>26150.100640000001</v>
      </c>
      <c r="G115">
        <v>26.15</v>
      </c>
      <c r="H115">
        <v>0.125</v>
      </c>
      <c r="I115">
        <v>1</v>
      </c>
      <c r="J115">
        <v>1287</v>
      </c>
      <c r="K115">
        <v>0.59059046100000001</v>
      </c>
      <c r="L115">
        <v>0.91400000000000003</v>
      </c>
      <c r="M115">
        <v>5</v>
      </c>
      <c r="N115">
        <v>0.66600000000000004</v>
      </c>
      <c r="O115">
        <v>4</v>
      </c>
      <c r="P115">
        <v>5</v>
      </c>
      <c r="S115" s="114" t="s">
        <v>936</v>
      </c>
    </row>
    <row r="116" spans="1:19" x14ac:dyDescent="0.2">
      <c r="A116" t="s">
        <v>1259</v>
      </c>
      <c r="B116">
        <v>9001072000</v>
      </c>
      <c r="C116" t="s">
        <v>1260</v>
      </c>
      <c r="D116">
        <v>52909</v>
      </c>
      <c r="E116">
        <v>2.89</v>
      </c>
      <c r="F116">
        <v>31122.941180000002</v>
      </c>
      <c r="G116">
        <v>31.123000000000001</v>
      </c>
      <c r="H116">
        <v>0.189</v>
      </c>
      <c r="I116">
        <v>1</v>
      </c>
      <c r="J116">
        <v>1386</v>
      </c>
      <c r="K116">
        <v>0.53439679399999995</v>
      </c>
      <c r="L116">
        <v>0.875</v>
      </c>
      <c r="M116">
        <v>5</v>
      </c>
      <c r="N116">
        <v>0.57499999999999996</v>
      </c>
      <c r="O116">
        <v>3</v>
      </c>
      <c r="P116">
        <v>4</v>
      </c>
      <c r="S116" s="116" t="s">
        <v>944</v>
      </c>
    </row>
    <row r="117" spans="1:19" x14ac:dyDescent="0.2">
      <c r="A117" t="s">
        <v>1261</v>
      </c>
      <c r="B117">
        <v>9001072100</v>
      </c>
      <c r="C117" t="s">
        <v>1262</v>
      </c>
      <c r="D117">
        <v>56009</v>
      </c>
      <c r="E117">
        <v>2.2400000000000002</v>
      </c>
      <c r="F117">
        <v>37422.587249999997</v>
      </c>
      <c r="G117">
        <v>37.423000000000002</v>
      </c>
      <c r="H117">
        <v>0.26300000000000001</v>
      </c>
      <c r="I117">
        <v>2</v>
      </c>
      <c r="J117">
        <v>1463</v>
      </c>
      <c r="K117">
        <v>0.46912844100000001</v>
      </c>
      <c r="L117">
        <v>0.81200000000000006</v>
      </c>
      <c r="M117">
        <v>5</v>
      </c>
      <c r="N117">
        <v>0.51</v>
      </c>
      <c r="O117">
        <v>3</v>
      </c>
      <c r="P117">
        <v>4</v>
      </c>
      <c r="S117" s="114" t="s">
        <v>944</v>
      </c>
    </row>
    <row r="118" spans="1:19" x14ac:dyDescent="0.2">
      <c r="A118" t="s">
        <v>1263</v>
      </c>
      <c r="B118">
        <v>9001072200</v>
      </c>
      <c r="C118" t="s">
        <v>1264</v>
      </c>
      <c r="D118">
        <v>49402</v>
      </c>
      <c r="E118">
        <v>2.4900000000000002</v>
      </c>
      <c r="F118">
        <v>31307.245419999999</v>
      </c>
      <c r="G118">
        <v>31.306999999999999</v>
      </c>
      <c r="H118">
        <v>0.193</v>
      </c>
      <c r="I118">
        <v>1</v>
      </c>
      <c r="J118">
        <v>1641</v>
      </c>
      <c r="K118">
        <v>0.62899177900000003</v>
      </c>
      <c r="L118">
        <v>0.93600000000000005</v>
      </c>
      <c r="M118">
        <v>5</v>
      </c>
      <c r="N118">
        <v>0.35599999999999998</v>
      </c>
      <c r="O118">
        <v>2</v>
      </c>
      <c r="P118">
        <v>4</v>
      </c>
      <c r="S118" s="116" t="s">
        <v>944</v>
      </c>
    </row>
    <row r="119" spans="1:19" x14ac:dyDescent="0.2">
      <c r="A119" t="s">
        <v>1265</v>
      </c>
      <c r="B119">
        <v>9001072300</v>
      </c>
      <c r="C119" t="s">
        <v>1266</v>
      </c>
      <c r="D119">
        <v>64662</v>
      </c>
      <c r="E119">
        <v>3.17</v>
      </c>
      <c r="F119">
        <v>36317.797449999998</v>
      </c>
      <c r="G119">
        <v>36.317999999999998</v>
      </c>
      <c r="H119">
        <v>0.253</v>
      </c>
      <c r="I119">
        <v>2</v>
      </c>
      <c r="J119">
        <v>1594</v>
      </c>
      <c r="K119">
        <v>0.52668392200000003</v>
      </c>
      <c r="L119">
        <v>0.872</v>
      </c>
      <c r="M119">
        <v>5</v>
      </c>
      <c r="N119">
        <v>0.38700000000000001</v>
      </c>
      <c r="O119">
        <v>2</v>
      </c>
      <c r="P119">
        <v>3</v>
      </c>
      <c r="S119" s="114" t="s">
        <v>944</v>
      </c>
    </row>
    <row r="120" spans="1:19" x14ac:dyDescent="0.2">
      <c r="A120" t="s">
        <v>1267</v>
      </c>
      <c r="B120">
        <v>9001072400</v>
      </c>
      <c r="C120" t="s">
        <v>1268</v>
      </c>
      <c r="D120">
        <v>59014</v>
      </c>
      <c r="E120">
        <v>3.24</v>
      </c>
      <c r="F120">
        <v>32785.555560000001</v>
      </c>
      <c r="G120">
        <v>32.786000000000001</v>
      </c>
      <c r="H120">
        <v>0.21</v>
      </c>
      <c r="I120">
        <v>2</v>
      </c>
      <c r="J120">
        <v>1532</v>
      </c>
      <c r="K120">
        <v>0.56073474099999998</v>
      </c>
      <c r="L120">
        <v>0.89900000000000002</v>
      </c>
      <c r="M120">
        <v>5</v>
      </c>
      <c r="N120">
        <v>0.441</v>
      </c>
      <c r="O120">
        <v>3</v>
      </c>
      <c r="P120">
        <v>4</v>
      </c>
      <c r="S120" s="116" t="s">
        <v>944</v>
      </c>
    </row>
    <row r="121" spans="1:19" x14ac:dyDescent="0.2">
      <c r="A121" t="s">
        <v>1269</v>
      </c>
      <c r="B121">
        <v>9001072500</v>
      </c>
      <c r="C121" t="s">
        <v>1270</v>
      </c>
      <c r="D121">
        <v>65113</v>
      </c>
      <c r="E121">
        <v>2.83</v>
      </c>
      <c r="F121">
        <v>38705.660920000002</v>
      </c>
      <c r="G121">
        <v>38.706000000000003</v>
      </c>
      <c r="H121">
        <v>0.27300000000000002</v>
      </c>
      <c r="I121">
        <v>2</v>
      </c>
      <c r="J121">
        <v>1492</v>
      </c>
      <c r="K121">
        <v>0.46256799599999998</v>
      </c>
      <c r="L121">
        <v>0.80400000000000005</v>
      </c>
      <c r="M121">
        <v>5</v>
      </c>
      <c r="N121">
        <v>0.48599999999999999</v>
      </c>
      <c r="O121">
        <v>3</v>
      </c>
      <c r="P121">
        <v>4</v>
      </c>
      <c r="S121" s="114" t="s">
        <v>944</v>
      </c>
    </row>
    <row r="122" spans="1:19" x14ac:dyDescent="0.2">
      <c r="A122" t="s">
        <v>1271</v>
      </c>
      <c r="B122">
        <v>9001072600</v>
      </c>
      <c r="C122" t="s">
        <v>1272</v>
      </c>
      <c r="D122">
        <v>63141</v>
      </c>
      <c r="E122">
        <v>2.39</v>
      </c>
      <c r="F122">
        <v>40842.517639999998</v>
      </c>
      <c r="G122">
        <v>40.843000000000004</v>
      </c>
      <c r="H122">
        <v>0.30399999999999999</v>
      </c>
      <c r="I122">
        <v>2</v>
      </c>
      <c r="J122">
        <v>1526</v>
      </c>
      <c r="K122">
        <v>0.44835629799999999</v>
      </c>
      <c r="L122">
        <v>0.78200000000000003</v>
      </c>
      <c r="M122">
        <v>4</v>
      </c>
      <c r="N122">
        <v>0.44700000000000001</v>
      </c>
      <c r="O122">
        <v>3</v>
      </c>
      <c r="P122">
        <v>4</v>
      </c>
      <c r="S122" s="116" t="s">
        <v>944</v>
      </c>
    </row>
    <row r="123" spans="1:19" x14ac:dyDescent="0.2">
      <c r="A123" t="s">
        <v>1273</v>
      </c>
      <c r="B123">
        <v>9001072700</v>
      </c>
      <c r="C123" t="s">
        <v>1274</v>
      </c>
      <c r="D123">
        <v>75799</v>
      </c>
      <c r="E123">
        <v>3.16</v>
      </c>
      <c r="F123">
        <v>42640.268900000003</v>
      </c>
      <c r="G123">
        <v>42.64</v>
      </c>
      <c r="H123">
        <v>0.33400000000000002</v>
      </c>
      <c r="I123">
        <v>2</v>
      </c>
      <c r="J123">
        <v>1914</v>
      </c>
      <c r="K123">
        <v>0.538645759</v>
      </c>
      <c r="L123">
        <v>0.879</v>
      </c>
      <c r="M123">
        <v>5</v>
      </c>
      <c r="N123">
        <v>0.20399999999999999</v>
      </c>
      <c r="O123">
        <v>2</v>
      </c>
      <c r="P123">
        <v>3</v>
      </c>
      <c r="S123" s="114" t="s">
        <v>944</v>
      </c>
    </row>
    <row r="124" spans="1:19" x14ac:dyDescent="0.2">
      <c r="A124" t="s">
        <v>1275</v>
      </c>
      <c r="B124">
        <v>9001072800</v>
      </c>
      <c r="C124" t="s">
        <v>1276</v>
      </c>
      <c r="D124">
        <v>52607</v>
      </c>
      <c r="E124">
        <v>3.26</v>
      </c>
      <c r="F124">
        <v>29136.322540000001</v>
      </c>
      <c r="G124">
        <v>29.135999999999999</v>
      </c>
      <c r="H124">
        <v>0.155</v>
      </c>
      <c r="I124">
        <v>1</v>
      </c>
      <c r="J124">
        <v>1137</v>
      </c>
      <c r="K124">
        <v>0.46828147199999998</v>
      </c>
      <c r="L124">
        <v>0.81</v>
      </c>
      <c r="M124">
        <v>5</v>
      </c>
      <c r="N124">
        <v>0.82899999999999996</v>
      </c>
      <c r="O124">
        <v>5</v>
      </c>
      <c r="P124">
        <v>5</v>
      </c>
      <c r="S124" s="116" t="s">
        <v>944</v>
      </c>
    </row>
    <row r="125" spans="1:19" x14ac:dyDescent="0.2">
      <c r="A125" t="s">
        <v>1277</v>
      </c>
      <c r="B125">
        <v>9001072900</v>
      </c>
      <c r="C125" t="s">
        <v>1278</v>
      </c>
      <c r="D125">
        <v>63618</v>
      </c>
      <c r="E125">
        <v>3.23</v>
      </c>
      <c r="F125">
        <v>35398.002099999998</v>
      </c>
      <c r="G125">
        <v>35.398000000000003</v>
      </c>
      <c r="H125">
        <v>0.23899999999999999</v>
      </c>
      <c r="I125">
        <v>2</v>
      </c>
      <c r="J125">
        <v>1641</v>
      </c>
      <c r="K125">
        <v>0.55630258300000002</v>
      </c>
      <c r="L125">
        <v>0.89200000000000002</v>
      </c>
      <c r="M125">
        <v>5</v>
      </c>
      <c r="N125">
        <v>0.35599999999999998</v>
      </c>
      <c r="O125">
        <v>2</v>
      </c>
      <c r="P125">
        <v>3</v>
      </c>
      <c r="S125" s="114" t="s">
        <v>944</v>
      </c>
    </row>
    <row r="126" spans="1:19" x14ac:dyDescent="0.2">
      <c r="A126" t="s">
        <v>1279</v>
      </c>
      <c r="B126">
        <v>9001073000</v>
      </c>
      <c r="C126" t="s">
        <v>1280</v>
      </c>
      <c r="D126">
        <v>91500</v>
      </c>
      <c r="E126">
        <v>3.57</v>
      </c>
      <c r="F126">
        <v>48426.93535</v>
      </c>
      <c r="G126">
        <v>48.427</v>
      </c>
      <c r="H126">
        <v>0.438</v>
      </c>
      <c r="I126">
        <v>3</v>
      </c>
      <c r="J126">
        <v>1696</v>
      </c>
      <c r="K126">
        <v>0.420261985</v>
      </c>
      <c r="L126">
        <v>0.72599999999999998</v>
      </c>
      <c r="M126">
        <v>4</v>
      </c>
      <c r="N126">
        <v>0.313</v>
      </c>
      <c r="O126">
        <v>2</v>
      </c>
      <c r="P126">
        <v>3</v>
      </c>
      <c r="S126" s="116" t="s">
        <v>944</v>
      </c>
    </row>
    <row r="127" spans="1:19" x14ac:dyDescent="0.2">
      <c r="A127" t="s">
        <v>1281</v>
      </c>
      <c r="B127">
        <v>9001073100</v>
      </c>
      <c r="C127" t="s">
        <v>1282</v>
      </c>
      <c r="D127">
        <v>37802</v>
      </c>
      <c r="E127">
        <v>2.34</v>
      </c>
      <c r="F127">
        <v>24711.940470000001</v>
      </c>
      <c r="G127">
        <v>24.712</v>
      </c>
      <c r="H127">
        <v>0.11</v>
      </c>
      <c r="I127">
        <v>1</v>
      </c>
      <c r="J127">
        <v>1162</v>
      </c>
      <c r="K127">
        <v>0.56426163799999995</v>
      </c>
      <c r="L127">
        <v>0.90200000000000002</v>
      </c>
      <c r="M127">
        <v>5</v>
      </c>
      <c r="N127">
        <v>0.81399999999999995</v>
      </c>
      <c r="O127">
        <v>5</v>
      </c>
      <c r="P127">
        <v>5</v>
      </c>
      <c r="S127" s="114" t="s">
        <v>936</v>
      </c>
    </row>
    <row r="128" spans="1:19" x14ac:dyDescent="0.2">
      <c r="A128" t="s">
        <v>1283</v>
      </c>
      <c r="B128">
        <v>9001073200</v>
      </c>
      <c r="C128" t="s">
        <v>1284</v>
      </c>
      <c r="D128">
        <v>49446</v>
      </c>
      <c r="E128">
        <v>2.31</v>
      </c>
      <c r="F128">
        <v>32533.07951</v>
      </c>
      <c r="G128">
        <v>32.533000000000001</v>
      </c>
      <c r="H128">
        <v>0.20499999999999999</v>
      </c>
      <c r="I128">
        <v>2</v>
      </c>
      <c r="J128">
        <v>730</v>
      </c>
      <c r="K128">
        <v>0.26926439600000002</v>
      </c>
      <c r="L128">
        <v>6.2E-2</v>
      </c>
      <c r="M128">
        <v>1</v>
      </c>
      <c r="N128">
        <v>0.99099999999999999</v>
      </c>
      <c r="O128">
        <v>5</v>
      </c>
      <c r="P128">
        <v>5</v>
      </c>
      <c r="S128" s="116" t="s">
        <v>944</v>
      </c>
    </row>
    <row r="129" spans="1:19" x14ac:dyDescent="0.2">
      <c r="A129" t="s">
        <v>1285</v>
      </c>
      <c r="B129">
        <v>9001073300</v>
      </c>
      <c r="C129" t="s">
        <v>1286</v>
      </c>
      <c r="D129">
        <v>34172</v>
      </c>
      <c r="E129">
        <v>2.57</v>
      </c>
      <c r="F129">
        <v>21315.907940000001</v>
      </c>
      <c r="G129">
        <v>21.315999999999999</v>
      </c>
      <c r="H129">
        <v>7.4999999999999997E-2</v>
      </c>
      <c r="I129">
        <v>1</v>
      </c>
      <c r="J129">
        <v>1125</v>
      </c>
      <c r="K129">
        <v>0.63332981300000002</v>
      </c>
      <c r="L129">
        <v>0.94</v>
      </c>
      <c r="M129">
        <v>5</v>
      </c>
      <c r="N129">
        <v>0.84499999999999997</v>
      </c>
      <c r="O129">
        <v>5</v>
      </c>
      <c r="P129">
        <v>5</v>
      </c>
      <c r="S129" s="114" t="s">
        <v>936</v>
      </c>
    </row>
    <row r="130" spans="1:19" x14ac:dyDescent="0.2">
      <c r="A130" t="s">
        <v>1287</v>
      </c>
      <c r="B130">
        <v>9001073400</v>
      </c>
      <c r="C130" t="s">
        <v>1288</v>
      </c>
      <c r="D130">
        <v>52917</v>
      </c>
      <c r="E130">
        <v>2.95</v>
      </c>
      <c r="F130">
        <v>30809.468550000001</v>
      </c>
      <c r="G130">
        <v>30.809000000000001</v>
      </c>
      <c r="H130">
        <v>0.182</v>
      </c>
      <c r="I130">
        <v>1</v>
      </c>
      <c r="J130">
        <v>1497</v>
      </c>
      <c r="K130">
        <v>0.58306750600000001</v>
      </c>
      <c r="L130">
        <v>0.91100000000000003</v>
      </c>
      <c r="M130">
        <v>5</v>
      </c>
      <c r="N130">
        <v>0.47399999999999998</v>
      </c>
      <c r="O130">
        <v>3</v>
      </c>
      <c r="P130">
        <v>4</v>
      </c>
      <c r="S130" s="116" t="s">
        <v>944</v>
      </c>
    </row>
    <row r="131" spans="1:19" x14ac:dyDescent="0.2">
      <c r="A131" t="s">
        <v>1289</v>
      </c>
      <c r="B131">
        <v>9001073500</v>
      </c>
      <c r="C131" t="s">
        <v>1290</v>
      </c>
      <c r="D131">
        <v>38560</v>
      </c>
      <c r="E131">
        <v>2.97</v>
      </c>
      <c r="F131">
        <v>22374.78138</v>
      </c>
      <c r="G131">
        <v>22.375</v>
      </c>
      <c r="H131">
        <v>8.5999999999999993E-2</v>
      </c>
      <c r="I131">
        <v>1</v>
      </c>
      <c r="J131">
        <v>1230</v>
      </c>
      <c r="K131">
        <v>0.65967125000000004</v>
      </c>
      <c r="L131">
        <v>0.94799999999999995</v>
      </c>
      <c r="M131">
        <v>5</v>
      </c>
      <c r="N131">
        <v>0.73499999999999999</v>
      </c>
      <c r="O131">
        <v>4</v>
      </c>
      <c r="P131">
        <v>5</v>
      </c>
      <c r="S131" s="114" t="s">
        <v>936</v>
      </c>
    </row>
    <row r="132" spans="1:19" x14ac:dyDescent="0.2">
      <c r="A132" t="s">
        <v>1291</v>
      </c>
      <c r="B132">
        <v>9001073600</v>
      </c>
      <c r="C132" t="s">
        <v>1292</v>
      </c>
      <c r="D132">
        <v>34450</v>
      </c>
      <c r="E132">
        <v>3.53</v>
      </c>
      <c r="F132">
        <v>18335.884880000001</v>
      </c>
      <c r="G132">
        <v>18.335999999999999</v>
      </c>
      <c r="H132">
        <v>4.1000000000000002E-2</v>
      </c>
      <c r="I132">
        <v>1</v>
      </c>
      <c r="J132">
        <v>1202</v>
      </c>
      <c r="K132">
        <v>0.78665415400000005</v>
      </c>
      <c r="L132">
        <v>0.98199999999999998</v>
      </c>
      <c r="M132">
        <v>5</v>
      </c>
      <c r="N132">
        <v>0.76100000000000001</v>
      </c>
      <c r="O132">
        <v>4</v>
      </c>
      <c r="P132">
        <v>5</v>
      </c>
      <c r="S132" s="116" t="s">
        <v>936</v>
      </c>
    </row>
    <row r="133" spans="1:19" x14ac:dyDescent="0.2">
      <c r="A133" t="s">
        <v>1293</v>
      </c>
      <c r="B133">
        <v>9001073700</v>
      </c>
      <c r="C133" t="s">
        <v>1294</v>
      </c>
      <c r="D133">
        <v>40075</v>
      </c>
      <c r="E133">
        <v>2.66</v>
      </c>
      <c r="F133">
        <v>24571.55903</v>
      </c>
      <c r="G133">
        <v>24.571999999999999</v>
      </c>
      <c r="H133">
        <v>0.106</v>
      </c>
      <c r="I133">
        <v>1</v>
      </c>
      <c r="J133">
        <v>1314</v>
      </c>
      <c r="K133">
        <v>0.64171752299999996</v>
      </c>
      <c r="L133">
        <v>0.94499999999999995</v>
      </c>
      <c r="M133">
        <v>5</v>
      </c>
      <c r="N133">
        <v>0.64</v>
      </c>
      <c r="O133">
        <v>4</v>
      </c>
      <c r="P133">
        <v>5</v>
      </c>
      <c r="S133" s="114" t="s">
        <v>936</v>
      </c>
    </row>
    <row r="134" spans="1:19" x14ac:dyDescent="0.2">
      <c r="A134" t="s">
        <v>1295</v>
      </c>
      <c r="B134">
        <v>9001073800</v>
      </c>
      <c r="C134" t="s">
        <v>1296</v>
      </c>
      <c r="D134">
        <v>21851</v>
      </c>
      <c r="E134">
        <v>2.69</v>
      </c>
      <c r="F134">
        <v>13322.789839999999</v>
      </c>
      <c r="G134">
        <v>13.323</v>
      </c>
      <c r="H134">
        <v>8.0000000000000002E-3</v>
      </c>
      <c r="I134">
        <v>1</v>
      </c>
      <c r="J134">
        <v>1109</v>
      </c>
      <c r="K134">
        <v>0.99888988400000001</v>
      </c>
      <c r="L134">
        <v>0.997</v>
      </c>
      <c r="M134">
        <v>5</v>
      </c>
      <c r="N134">
        <v>0.86499999999999999</v>
      </c>
      <c r="O134">
        <v>5</v>
      </c>
      <c r="P134">
        <v>5</v>
      </c>
      <c r="S134" s="116" t="s">
        <v>936</v>
      </c>
    </row>
    <row r="135" spans="1:19" x14ac:dyDescent="0.2">
      <c r="A135" t="s">
        <v>1297</v>
      </c>
      <c r="B135">
        <v>9001073900</v>
      </c>
      <c r="C135" t="s">
        <v>1298</v>
      </c>
      <c r="D135">
        <v>35163</v>
      </c>
      <c r="E135">
        <v>3.27</v>
      </c>
      <c r="F135">
        <v>19445.183430000001</v>
      </c>
      <c r="G135">
        <v>19.445</v>
      </c>
      <c r="H135">
        <v>5.1999999999999998E-2</v>
      </c>
      <c r="I135">
        <v>1</v>
      </c>
      <c r="J135">
        <v>1256</v>
      </c>
      <c r="K135">
        <v>0.775101971</v>
      </c>
      <c r="L135">
        <v>0.98099999999999998</v>
      </c>
      <c r="M135">
        <v>5</v>
      </c>
      <c r="N135">
        <v>0.70699999999999996</v>
      </c>
      <c r="O135">
        <v>4</v>
      </c>
      <c r="P135">
        <v>5</v>
      </c>
      <c r="S135" s="114" t="s">
        <v>936</v>
      </c>
    </row>
    <row r="136" spans="1:19" x14ac:dyDescent="0.2">
      <c r="A136" t="s">
        <v>1299</v>
      </c>
      <c r="B136">
        <v>9001074000</v>
      </c>
      <c r="C136" t="s">
        <v>1300</v>
      </c>
      <c r="D136">
        <v>39737</v>
      </c>
      <c r="E136">
        <v>3.21</v>
      </c>
      <c r="F136">
        <v>22179.030599999998</v>
      </c>
      <c r="G136">
        <v>22.178999999999998</v>
      </c>
      <c r="H136">
        <v>8.3000000000000004E-2</v>
      </c>
      <c r="I136">
        <v>1</v>
      </c>
      <c r="J136">
        <v>1228</v>
      </c>
      <c r="K136">
        <v>0.66441136499999998</v>
      </c>
      <c r="L136">
        <v>0.95199999999999996</v>
      </c>
      <c r="M136">
        <v>5</v>
      </c>
      <c r="N136">
        <v>0.73899999999999999</v>
      </c>
      <c r="O136">
        <v>4</v>
      </c>
      <c r="P136">
        <v>5</v>
      </c>
      <c r="S136" s="116" t="s">
        <v>936</v>
      </c>
    </row>
    <row r="137" spans="1:19" x14ac:dyDescent="0.2">
      <c r="A137" t="s">
        <v>1301</v>
      </c>
      <c r="B137">
        <v>9001074300</v>
      </c>
      <c r="C137" t="s">
        <v>1302</v>
      </c>
      <c r="D137">
        <v>40637</v>
      </c>
      <c r="E137">
        <v>3.2</v>
      </c>
      <c r="F137">
        <v>22716.7736</v>
      </c>
      <c r="G137">
        <v>22.716999999999999</v>
      </c>
      <c r="H137">
        <v>9.0999999999999998E-2</v>
      </c>
      <c r="I137">
        <v>1</v>
      </c>
      <c r="J137">
        <v>1182</v>
      </c>
      <c r="K137">
        <v>0.62438444199999998</v>
      </c>
      <c r="L137">
        <v>0.93400000000000005</v>
      </c>
      <c r="M137">
        <v>5</v>
      </c>
      <c r="N137">
        <v>0.79200000000000004</v>
      </c>
      <c r="O137">
        <v>4</v>
      </c>
      <c r="P137">
        <v>5</v>
      </c>
      <c r="S137" s="114" t="s">
        <v>936</v>
      </c>
    </row>
    <row r="138" spans="1:19" x14ac:dyDescent="0.2">
      <c r="A138" t="s">
        <v>1303</v>
      </c>
      <c r="B138">
        <v>9001074400</v>
      </c>
      <c r="C138" t="s">
        <v>1304</v>
      </c>
      <c r="D138">
        <v>46716</v>
      </c>
      <c r="E138">
        <v>3.11</v>
      </c>
      <c r="F138">
        <v>26490.213299999999</v>
      </c>
      <c r="G138">
        <v>26.49</v>
      </c>
      <c r="H138">
        <v>0.127</v>
      </c>
      <c r="I138">
        <v>1</v>
      </c>
      <c r="J138">
        <v>1203</v>
      </c>
      <c r="K138">
        <v>0.54495597399999995</v>
      </c>
      <c r="L138">
        <v>0.88400000000000001</v>
      </c>
      <c r="M138">
        <v>5</v>
      </c>
      <c r="N138">
        <v>0.76</v>
      </c>
      <c r="O138">
        <v>4</v>
      </c>
      <c r="P138">
        <v>5</v>
      </c>
      <c r="S138" s="116" t="s">
        <v>936</v>
      </c>
    </row>
    <row r="139" spans="1:19" x14ac:dyDescent="0.2">
      <c r="A139" t="s">
        <v>1305</v>
      </c>
      <c r="B139">
        <v>9001080100</v>
      </c>
      <c r="C139" t="s">
        <v>1306</v>
      </c>
      <c r="D139">
        <v>72464</v>
      </c>
      <c r="E139">
        <v>2.97</v>
      </c>
      <c r="F139">
        <v>42047.877540000001</v>
      </c>
      <c r="G139">
        <v>42.048000000000002</v>
      </c>
      <c r="H139">
        <v>0.32300000000000001</v>
      </c>
      <c r="I139">
        <v>2</v>
      </c>
      <c r="J139">
        <v>1368</v>
      </c>
      <c r="K139">
        <v>0.39041209599999999</v>
      </c>
      <c r="L139">
        <v>0.66500000000000004</v>
      </c>
      <c r="M139">
        <v>4</v>
      </c>
      <c r="N139">
        <v>0.58899999999999997</v>
      </c>
      <c r="O139">
        <v>3</v>
      </c>
      <c r="P139">
        <v>4</v>
      </c>
      <c r="S139" s="114" t="s">
        <v>944</v>
      </c>
    </row>
    <row r="140" spans="1:19" x14ac:dyDescent="0.2">
      <c r="A140" t="s">
        <v>1307</v>
      </c>
      <c r="B140">
        <v>9001080200</v>
      </c>
      <c r="C140" t="s">
        <v>1308</v>
      </c>
      <c r="D140">
        <v>70642</v>
      </c>
      <c r="E140">
        <v>2.63</v>
      </c>
      <c r="F140">
        <v>43559.723279999998</v>
      </c>
      <c r="G140">
        <v>43.56</v>
      </c>
      <c r="H140">
        <v>0.34300000000000003</v>
      </c>
      <c r="I140">
        <v>2</v>
      </c>
      <c r="J140">
        <v>1573</v>
      </c>
      <c r="K140">
        <v>0.43333608600000001</v>
      </c>
      <c r="L140">
        <v>0.75600000000000001</v>
      </c>
      <c r="M140">
        <v>4</v>
      </c>
      <c r="N140">
        <v>0.41199999999999998</v>
      </c>
      <c r="O140">
        <v>3</v>
      </c>
      <c r="P140">
        <v>4</v>
      </c>
      <c r="S140" s="116" t="s">
        <v>944</v>
      </c>
    </row>
    <row r="141" spans="1:19" x14ac:dyDescent="0.2">
      <c r="A141" t="s">
        <v>1309</v>
      </c>
      <c r="B141">
        <v>9001080400</v>
      </c>
      <c r="C141" t="s">
        <v>1310</v>
      </c>
      <c r="D141">
        <v>52352</v>
      </c>
      <c r="E141">
        <v>2.87</v>
      </c>
      <c r="F141">
        <v>30902.408510000001</v>
      </c>
      <c r="G141">
        <v>30.902000000000001</v>
      </c>
      <c r="H141">
        <v>0.184</v>
      </c>
      <c r="I141">
        <v>1</v>
      </c>
      <c r="J141">
        <v>1418</v>
      </c>
      <c r="K141">
        <v>0.55063669199999998</v>
      </c>
      <c r="L141">
        <v>0.88600000000000001</v>
      </c>
      <c r="M141">
        <v>5</v>
      </c>
      <c r="N141">
        <v>0.55000000000000004</v>
      </c>
      <c r="O141">
        <v>3</v>
      </c>
      <c r="P141">
        <v>4</v>
      </c>
      <c r="S141" s="114" t="s">
        <v>944</v>
      </c>
    </row>
    <row r="142" spans="1:19" x14ac:dyDescent="0.2">
      <c r="A142" t="s">
        <v>1311</v>
      </c>
      <c r="B142">
        <v>9001080500</v>
      </c>
      <c r="C142" t="s">
        <v>1312</v>
      </c>
      <c r="D142">
        <v>93558</v>
      </c>
      <c r="E142">
        <v>2.3199999999999998</v>
      </c>
      <c r="F142">
        <v>61423.836230000001</v>
      </c>
      <c r="G142">
        <v>61.423999999999999</v>
      </c>
      <c r="H142">
        <v>0.68</v>
      </c>
      <c r="I142">
        <v>4</v>
      </c>
      <c r="J142">
        <v>1831</v>
      </c>
      <c r="K142">
        <v>0.35771129499999998</v>
      </c>
      <c r="L142">
        <v>0.52100000000000002</v>
      </c>
      <c r="M142">
        <v>3</v>
      </c>
      <c r="N142">
        <v>0.24299999999999999</v>
      </c>
      <c r="O142">
        <v>2</v>
      </c>
      <c r="P142">
        <v>2</v>
      </c>
      <c r="S142" s="116" t="s">
        <v>944</v>
      </c>
    </row>
    <row r="143" spans="1:19" x14ac:dyDescent="0.2">
      <c r="A143" t="s">
        <v>1313</v>
      </c>
      <c r="B143">
        <v>9001080600</v>
      </c>
      <c r="C143" t="s">
        <v>1314</v>
      </c>
      <c r="D143">
        <v>72188</v>
      </c>
      <c r="E143">
        <v>2.25</v>
      </c>
      <c r="F143">
        <v>48125.333330000001</v>
      </c>
      <c r="G143">
        <v>48.125</v>
      </c>
      <c r="H143">
        <v>0.434</v>
      </c>
      <c r="I143">
        <v>3</v>
      </c>
      <c r="J143">
        <v>1715</v>
      </c>
      <c r="K143">
        <v>0.427633402</v>
      </c>
      <c r="L143">
        <v>0.74399999999999999</v>
      </c>
      <c r="M143">
        <v>4</v>
      </c>
      <c r="N143">
        <v>0.30199999999999999</v>
      </c>
      <c r="O143">
        <v>2</v>
      </c>
      <c r="P143">
        <v>3</v>
      </c>
      <c r="S143" s="114" t="s">
        <v>944</v>
      </c>
    </row>
    <row r="144" spans="1:19" x14ac:dyDescent="0.2">
      <c r="A144" t="s">
        <v>1315</v>
      </c>
      <c r="B144">
        <v>9001080700</v>
      </c>
      <c r="C144" t="s">
        <v>1316</v>
      </c>
      <c r="D144">
        <v>73426</v>
      </c>
      <c r="E144">
        <v>2.34</v>
      </c>
      <c r="F144">
        <v>48000.077799999999</v>
      </c>
      <c r="G144">
        <v>48</v>
      </c>
      <c r="H144">
        <v>0.43099999999999999</v>
      </c>
      <c r="I144">
        <v>3</v>
      </c>
      <c r="J144">
        <v>1549</v>
      </c>
      <c r="K144">
        <v>0.38724937199999998</v>
      </c>
      <c r="L144">
        <v>0.65200000000000002</v>
      </c>
      <c r="M144">
        <v>4</v>
      </c>
      <c r="N144">
        <v>0.43</v>
      </c>
      <c r="O144">
        <v>3</v>
      </c>
      <c r="P144">
        <v>3</v>
      </c>
      <c r="S144" s="116" t="s">
        <v>944</v>
      </c>
    </row>
    <row r="145" spans="1:19" x14ac:dyDescent="0.2">
      <c r="A145" t="s">
        <v>1317</v>
      </c>
      <c r="B145">
        <v>9001080800</v>
      </c>
      <c r="C145" t="s">
        <v>1318</v>
      </c>
      <c r="D145">
        <v>90568</v>
      </c>
      <c r="E145">
        <v>2.64</v>
      </c>
      <c r="F145">
        <v>55740.750780000002</v>
      </c>
      <c r="G145">
        <v>55.741</v>
      </c>
      <c r="H145">
        <v>0.57399999999999995</v>
      </c>
      <c r="I145">
        <v>3</v>
      </c>
      <c r="J145">
        <v>1958</v>
      </c>
      <c r="K145">
        <v>0.42152284800000001</v>
      </c>
      <c r="L145">
        <v>0.72799999999999998</v>
      </c>
      <c r="M145">
        <v>4</v>
      </c>
      <c r="N145">
        <v>0.18099999999999999</v>
      </c>
      <c r="O145">
        <v>1</v>
      </c>
      <c r="P145">
        <v>2</v>
      </c>
      <c r="S145" s="114" t="s">
        <v>944</v>
      </c>
    </row>
    <row r="146" spans="1:19" x14ac:dyDescent="0.2">
      <c r="A146" t="s">
        <v>1319</v>
      </c>
      <c r="B146">
        <v>9001080900</v>
      </c>
      <c r="C146" t="s">
        <v>1320</v>
      </c>
      <c r="D146">
        <v>90527</v>
      </c>
      <c r="E146">
        <v>2.76</v>
      </c>
      <c r="F146">
        <v>54490.850610000001</v>
      </c>
      <c r="G146">
        <v>54.491</v>
      </c>
      <c r="H146">
        <v>0.55100000000000005</v>
      </c>
      <c r="I146">
        <v>3</v>
      </c>
      <c r="J146">
        <v>1773</v>
      </c>
      <c r="K146">
        <v>0.39045086899999998</v>
      </c>
      <c r="L146">
        <v>0.66600000000000004</v>
      </c>
      <c r="M146">
        <v>4</v>
      </c>
      <c r="N146">
        <v>0.26700000000000002</v>
      </c>
      <c r="O146">
        <v>2</v>
      </c>
      <c r="P146">
        <v>3</v>
      </c>
      <c r="S146" s="116" t="s">
        <v>944</v>
      </c>
    </row>
    <row r="147" spans="1:19" x14ac:dyDescent="0.2">
      <c r="A147" t="s">
        <v>1321</v>
      </c>
      <c r="B147">
        <v>9001081000</v>
      </c>
      <c r="C147" t="s">
        <v>1322</v>
      </c>
      <c r="D147">
        <v>65967</v>
      </c>
      <c r="E147">
        <v>2.52</v>
      </c>
      <c r="F147">
        <v>41555.303979999997</v>
      </c>
      <c r="G147">
        <v>41.555</v>
      </c>
      <c r="H147">
        <v>0.311</v>
      </c>
      <c r="I147">
        <v>2</v>
      </c>
      <c r="J147">
        <v>1534</v>
      </c>
      <c r="K147">
        <v>0.44297594400000001</v>
      </c>
      <c r="L147">
        <v>0.77600000000000002</v>
      </c>
      <c r="M147">
        <v>4</v>
      </c>
      <c r="N147">
        <v>0.44</v>
      </c>
      <c r="O147">
        <v>3</v>
      </c>
      <c r="P147">
        <v>4</v>
      </c>
      <c r="S147" s="114" t="s">
        <v>944</v>
      </c>
    </row>
    <row r="148" spans="1:19" x14ac:dyDescent="0.2">
      <c r="A148" t="s">
        <v>1323</v>
      </c>
      <c r="B148">
        <v>9001081100</v>
      </c>
      <c r="C148" t="s">
        <v>1324</v>
      </c>
      <c r="D148">
        <v>100156</v>
      </c>
      <c r="E148">
        <v>2.72</v>
      </c>
      <c r="F148">
        <v>60728.495150000002</v>
      </c>
      <c r="G148">
        <v>60.728000000000002</v>
      </c>
      <c r="H148">
        <v>0.66400000000000003</v>
      </c>
      <c r="I148">
        <v>4</v>
      </c>
      <c r="J148">
        <v>1861</v>
      </c>
      <c r="K148">
        <v>0.367735113</v>
      </c>
      <c r="L148">
        <v>0.58099999999999996</v>
      </c>
      <c r="M148">
        <v>3</v>
      </c>
      <c r="N148">
        <v>0.22600000000000001</v>
      </c>
      <c r="O148">
        <v>2</v>
      </c>
      <c r="P148">
        <v>2</v>
      </c>
      <c r="S148" s="116" t="s">
        <v>944</v>
      </c>
    </row>
    <row r="149" spans="1:19" x14ac:dyDescent="0.2">
      <c r="A149" t="s">
        <v>1325</v>
      </c>
      <c r="B149">
        <v>9001081200</v>
      </c>
      <c r="C149" t="s">
        <v>1326</v>
      </c>
      <c r="D149">
        <v>113814</v>
      </c>
      <c r="E149">
        <v>2.69</v>
      </c>
      <c r="F149">
        <v>69393.620540000004</v>
      </c>
      <c r="G149">
        <v>69.394000000000005</v>
      </c>
      <c r="H149">
        <v>0.79300000000000004</v>
      </c>
      <c r="I149">
        <v>4</v>
      </c>
      <c r="J149">
        <v>2062</v>
      </c>
      <c r="K149">
        <v>0.35657456399999998</v>
      </c>
      <c r="L149">
        <v>0.51800000000000002</v>
      </c>
      <c r="M149">
        <v>3</v>
      </c>
      <c r="N149">
        <v>0.14899999999999999</v>
      </c>
      <c r="O149">
        <v>1</v>
      </c>
      <c r="P149">
        <v>2</v>
      </c>
      <c r="S149" s="114" t="s">
        <v>944</v>
      </c>
    </row>
    <row r="150" spans="1:19" x14ac:dyDescent="0.2">
      <c r="A150" t="s">
        <v>1327</v>
      </c>
      <c r="B150">
        <v>9001081300</v>
      </c>
      <c r="C150" t="s">
        <v>1328</v>
      </c>
      <c r="D150">
        <v>71660</v>
      </c>
      <c r="E150">
        <v>2.23</v>
      </c>
      <c r="F150">
        <v>47987.085330000002</v>
      </c>
      <c r="G150">
        <v>47.987000000000002</v>
      </c>
      <c r="H150">
        <v>0.43</v>
      </c>
      <c r="I150">
        <v>3</v>
      </c>
      <c r="J150">
        <v>1859</v>
      </c>
      <c r="K150">
        <v>0.46487507700000003</v>
      </c>
      <c r="L150">
        <v>0.80500000000000005</v>
      </c>
      <c r="M150">
        <v>5</v>
      </c>
      <c r="N150">
        <v>0.22800000000000001</v>
      </c>
      <c r="O150">
        <v>2</v>
      </c>
      <c r="P150">
        <v>3</v>
      </c>
      <c r="S150" s="116" t="s">
        <v>944</v>
      </c>
    </row>
    <row r="151" spans="1:19" x14ac:dyDescent="0.2">
      <c r="A151" t="s">
        <v>1329</v>
      </c>
      <c r="B151">
        <v>9001090100</v>
      </c>
      <c r="C151" t="s">
        <v>1330</v>
      </c>
      <c r="D151">
        <v>145125</v>
      </c>
      <c r="E151">
        <v>2.84</v>
      </c>
      <c r="F151">
        <v>86115.844070000006</v>
      </c>
      <c r="G151">
        <v>86.116</v>
      </c>
      <c r="H151">
        <v>0.91200000000000003</v>
      </c>
      <c r="I151">
        <v>5</v>
      </c>
      <c r="J151">
        <v>2718</v>
      </c>
      <c r="K151">
        <v>0.378745634</v>
      </c>
      <c r="L151">
        <v>0.627</v>
      </c>
      <c r="M151">
        <v>4</v>
      </c>
      <c r="N151">
        <v>5.8000000000000003E-2</v>
      </c>
      <c r="O151">
        <v>1</v>
      </c>
      <c r="P151">
        <v>1</v>
      </c>
      <c r="S151" s="114" t="s">
        <v>944</v>
      </c>
    </row>
    <row r="152" spans="1:19" x14ac:dyDescent="0.2">
      <c r="A152" t="s">
        <v>1331</v>
      </c>
      <c r="B152">
        <v>9001090200</v>
      </c>
      <c r="C152" t="s">
        <v>1332</v>
      </c>
      <c r="D152">
        <v>113636</v>
      </c>
      <c r="E152">
        <v>2.85</v>
      </c>
      <c r="F152">
        <v>67312.157070000001</v>
      </c>
      <c r="G152">
        <v>67.311999999999998</v>
      </c>
      <c r="H152">
        <v>0.76900000000000002</v>
      </c>
      <c r="I152">
        <v>4</v>
      </c>
      <c r="J152">
        <v>2439</v>
      </c>
      <c r="K152">
        <v>0.43481001499999999</v>
      </c>
      <c r="L152">
        <v>0.75900000000000001</v>
      </c>
      <c r="M152">
        <v>4</v>
      </c>
      <c r="N152">
        <v>8.3000000000000004E-2</v>
      </c>
      <c r="O152">
        <v>1</v>
      </c>
      <c r="P152">
        <v>2</v>
      </c>
      <c r="S152" s="116" t="s">
        <v>944</v>
      </c>
    </row>
    <row r="153" spans="1:19" x14ac:dyDescent="0.2">
      <c r="A153" t="s">
        <v>1333</v>
      </c>
      <c r="B153">
        <v>9001090300</v>
      </c>
      <c r="C153" t="s">
        <v>1334</v>
      </c>
      <c r="D153">
        <v>118819</v>
      </c>
      <c r="E153">
        <v>2.97</v>
      </c>
      <c r="F153">
        <v>68945.776679999995</v>
      </c>
      <c r="G153">
        <v>68.945999999999998</v>
      </c>
      <c r="H153">
        <v>0.79200000000000004</v>
      </c>
      <c r="I153">
        <v>4</v>
      </c>
      <c r="J153">
        <v>2194</v>
      </c>
      <c r="K153">
        <v>0.38186530400000002</v>
      </c>
      <c r="L153">
        <v>0.63700000000000001</v>
      </c>
      <c r="M153">
        <v>4</v>
      </c>
      <c r="N153">
        <v>0.129</v>
      </c>
      <c r="O153">
        <v>1</v>
      </c>
      <c r="P153">
        <v>2</v>
      </c>
      <c r="S153" s="114" t="s">
        <v>944</v>
      </c>
    </row>
    <row r="154" spans="1:19" x14ac:dyDescent="0.2">
      <c r="A154" t="s">
        <v>1335</v>
      </c>
      <c r="B154">
        <v>9001090400</v>
      </c>
      <c r="C154" t="s">
        <v>1336</v>
      </c>
      <c r="D154">
        <v>121802</v>
      </c>
      <c r="E154">
        <v>2.97</v>
      </c>
      <c r="F154">
        <v>70676.688840000003</v>
      </c>
      <c r="G154">
        <v>70.677000000000007</v>
      </c>
      <c r="H154">
        <v>0.81</v>
      </c>
      <c r="I154">
        <v>5</v>
      </c>
      <c r="J154">
        <v>2161</v>
      </c>
      <c r="K154">
        <v>0.366910228</v>
      </c>
      <c r="L154">
        <v>0.57099999999999995</v>
      </c>
      <c r="M154">
        <v>3</v>
      </c>
      <c r="N154">
        <v>0.13700000000000001</v>
      </c>
      <c r="O154">
        <v>1</v>
      </c>
      <c r="P154">
        <v>1</v>
      </c>
      <c r="S154" s="116" t="s">
        <v>944</v>
      </c>
    </row>
    <row r="155" spans="1:19" x14ac:dyDescent="0.2">
      <c r="A155" t="s">
        <v>1337</v>
      </c>
      <c r="B155">
        <v>9001090500</v>
      </c>
      <c r="C155" t="s">
        <v>1338</v>
      </c>
      <c r="D155">
        <v>128667</v>
      </c>
      <c r="E155">
        <v>2.99</v>
      </c>
      <c r="F155">
        <v>74410.047349999993</v>
      </c>
      <c r="G155">
        <v>74.41</v>
      </c>
      <c r="H155">
        <v>0.84399999999999997</v>
      </c>
      <c r="I155">
        <v>5</v>
      </c>
      <c r="J155">
        <v>2371</v>
      </c>
      <c r="K155">
        <v>0.38236771800000002</v>
      </c>
      <c r="L155">
        <v>0.63900000000000001</v>
      </c>
      <c r="M155">
        <v>4</v>
      </c>
      <c r="N155">
        <v>9.2999999999999999E-2</v>
      </c>
      <c r="O155">
        <v>1</v>
      </c>
      <c r="P155">
        <v>1</v>
      </c>
      <c r="S155" s="114" t="s">
        <v>944</v>
      </c>
    </row>
    <row r="156" spans="1:19" x14ac:dyDescent="0.2">
      <c r="A156" t="s">
        <v>1339</v>
      </c>
      <c r="B156">
        <v>9001090600</v>
      </c>
      <c r="C156" t="s">
        <v>1340</v>
      </c>
      <c r="D156">
        <v>100357</v>
      </c>
      <c r="E156">
        <v>2.68</v>
      </c>
      <c r="F156">
        <v>61302.79464</v>
      </c>
      <c r="G156">
        <v>61.302999999999997</v>
      </c>
      <c r="H156">
        <v>0.67800000000000005</v>
      </c>
      <c r="I156">
        <v>4</v>
      </c>
      <c r="J156">
        <v>2200</v>
      </c>
      <c r="K156">
        <v>0.43064920899999998</v>
      </c>
      <c r="L156">
        <v>0.753</v>
      </c>
      <c r="M156">
        <v>4</v>
      </c>
      <c r="N156">
        <v>0.127</v>
      </c>
      <c r="O156">
        <v>1</v>
      </c>
      <c r="P156">
        <v>2</v>
      </c>
      <c r="S156" s="116" t="s">
        <v>944</v>
      </c>
    </row>
    <row r="157" spans="1:19" x14ac:dyDescent="0.2">
      <c r="A157" t="s">
        <v>1341</v>
      </c>
      <c r="B157">
        <v>9001090700</v>
      </c>
      <c r="C157" t="s">
        <v>1342</v>
      </c>
      <c r="D157">
        <v>163315</v>
      </c>
      <c r="E157">
        <v>3.16</v>
      </c>
      <c r="F157">
        <v>91871.865269999995</v>
      </c>
      <c r="G157">
        <v>91.872</v>
      </c>
      <c r="H157">
        <v>0.92700000000000005</v>
      </c>
      <c r="I157">
        <v>5</v>
      </c>
      <c r="J157">
        <v>2544</v>
      </c>
      <c r="K157">
        <v>0.33228888899999998</v>
      </c>
      <c r="L157">
        <v>0.377</v>
      </c>
      <c r="M157">
        <v>2</v>
      </c>
      <c r="N157">
        <v>7.1999999999999995E-2</v>
      </c>
      <c r="O157">
        <v>1</v>
      </c>
      <c r="P157">
        <v>1</v>
      </c>
      <c r="S157" s="114" t="s">
        <v>944</v>
      </c>
    </row>
    <row r="158" spans="1:19" x14ac:dyDescent="0.2">
      <c r="A158" t="s">
        <v>1343</v>
      </c>
      <c r="B158">
        <v>9001100100</v>
      </c>
      <c r="C158" t="s">
        <v>1344</v>
      </c>
      <c r="D158">
        <v>128056</v>
      </c>
      <c r="E158">
        <v>2.87</v>
      </c>
      <c r="F158">
        <v>75589.066779999994</v>
      </c>
      <c r="G158">
        <v>75.588999999999999</v>
      </c>
      <c r="H158">
        <v>0.85399999999999998</v>
      </c>
      <c r="I158">
        <v>5</v>
      </c>
      <c r="J158">
        <v>2056</v>
      </c>
      <c r="K158">
        <v>0.32639641000000003</v>
      </c>
      <c r="L158">
        <v>0.33400000000000002</v>
      </c>
      <c r="M158">
        <v>2</v>
      </c>
      <c r="N158">
        <v>0.15</v>
      </c>
      <c r="O158">
        <v>1</v>
      </c>
      <c r="P158">
        <v>1</v>
      </c>
      <c r="S158" s="116" t="s">
        <v>944</v>
      </c>
    </row>
    <row r="159" spans="1:19" x14ac:dyDescent="0.2">
      <c r="A159" t="s">
        <v>1345</v>
      </c>
      <c r="B159">
        <v>9001100200</v>
      </c>
      <c r="C159" t="s">
        <v>1346</v>
      </c>
      <c r="D159">
        <v>111793</v>
      </c>
      <c r="E159">
        <v>2.92</v>
      </c>
      <c r="F159">
        <v>65421.904840000003</v>
      </c>
      <c r="G159">
        <v>65.421999999999997</v>
      </c>
      <c r="H159">
        <v>0.74299999999999999</v>
      </c>
      <c r="I159">
        <v>4</v>
      </c>
      <c r="J159">
        <v>2304</v>
      </c>
      <c r="K159">
        <v>0.42261074599999998</v>
      </c>
      <c r="L159">
        <v>0.73599999999999999</v>
      </c>
      <c r="M159">
        <v>4</v>
      </c>
      <c r="N159">
        <v>0.112</v>
      </c>
      <c r="O159">
        <v>1</v>
      </c>
      <c r="P159">
        <v>2</v>
      </c>
      <c r="S159" s="114" t="s">
        <v>944</v>
      </c>
    </row>
    <row r="160" spans="1:19" x14ac:dyDescent="0.2">
      <c r="A160" t="s">
        <v>1347</v>
      </c>
      <c r="B160">
        <v>9001100300</v>
      </c>
      <c r="C160" t="s">
        <v>1348</v>
      </c>
      <c r="D160">
        <v>122097</v>
      </c>
      <c r="E160">
        <v>2.96</v>
      </c>
      <c r="F160">
        <v>70967.439740000002</v>
      </c>
      <c r="G160">
        <v>70.966999999999999</v>
      </c>
      <c r="H160">
        <v>0.81599999999999995</v>
      </c>
      <c r="I160">
        <v>5</v>
      </c>
      <c r="J160">
        <v>2348</v>
      </c>
      <c r="K160">
        <v>0.39702714500000003</v>
      </c>
      <c r="L160">
        <v>0.68</v>
      </c>
      <c r="M160">
        <v>4</v>
      </c>
      <c r="N160">
        <v>0.10100000000000001</v>
      </c>
      <c r="O160">
        <v>1</v>
      </c>
      <c r="P160">
        <v>1</v>
      </c>
      <c r="S160" s="116" t="s">
        <v>944</v>
      </c>
    </row>
    <row r="161" spans="1:19" x14ac:dyDescent="0.2">
      <c r="A161" t="s">
        <v>1349</v>
      </c>
      <c r="B161">
        <v>9001105100</v>
      </c>
      <c r="C161" t="s">
        <v>1350</v>
      </c>
      <c r="D161">
        <v>143182</v>
      </c>
      <c r="E161">
        <v>2.64</v>
      </c>
      <c r="F161">
        <v>88122.429310000007</v>
      </c>
      <c r="G161">
        <v>88.122</v>
      </c>
      <c r="H161">
        <v>0.91800000000000004</v>
      </c>
      <c r="I161">
        <v>5</v>
      </c>
      <c r="J161">
        <v>2775</v>
      </c>
      <c r="K161">
        <v>0.377883364</v>
      </c>
      <c r="L161">
        <v>0.624</v>
      </c>
      <c r="M161">
        <v>4</v>
      </c>
      <c r="N161">
        <v>5.6000000000000001E-2</v>
      </c>
      <c r="O161">
        <v>1</v>
      </c>
      <c r="P161">
        <v>1</v>
      </c>
      <c r="S161" s="114" t="s">
        <v>944</v>
      </c>
    </row>
    <row r="162" spans="1:19" x14ac:dyDescent="0.2">
      <c r="A162" t="s">
        <v>1351</v>
      </c>
      <c r="B162">
        <v>9001105200</v>
      </c>
      <c r="C162" t="s">
        <v>1352</v>
      </c>
      <c r="D162">
        <v>159338</v>
      </c>
      <c r="E162">
        <v>2.75</v>
      </c>
      <c r="F162">
        <v>96084.429239999998</v>
      </c>
      <c r="G162">
        <v>96.084000000000003</v>
      </c>
      <c r="H162">
        <v>0.93799999999999994</v>
      </c>
      <c r="I162">
        <v>5</v>
      </c>
      <c r="J162">
        <v>2946</v>
      </c>
      <c r="K162">
        <v>0.367926419</v>
      </c>
      <c r="L162">
        <v>0.58199999999999996</v>
      </c>
      <c r="M162">
        <v>3</v>
      </c>
      <c r="N162">
        <v>4.7E-2</v>
      </c>
      <c r="O162">
        <v>1</v>
      </c>
      <c r="P162">
        <v>1</v>
      </c>
      <c r="S162" s="116" t="s">
        <v>944</v>
      </c>
    </row>
    <row r="163" spans="1:19" x14ac:dyDescent="0.2">
      <c r="A163" t="s">
        <v>1353</v>
      </c>
      <c r="B163">
        <v>9001110100</v>
      </c>
      <c r="C163" t="s">
        <v>1354</v>
      </c>
      <c r="D163">
        <v>58875</v>
      </c>
      <c r="E163">
        <v>2.13</v>
      </c>
      <c r="F163">
        <v>40340.485289999997</v>
      </c>
      <c r="G163">
        <v>40.340000000000003</v>
      </c>
      <c r="H163">
        <v>0.3</v>
      </c>
      <c r="I163">
        <v>2</v>
      </c>
      <c r="J163">
        <v>1410</v>
      </c>
      <c r="K163">
        <v>0.41942975799999999</v>
      </c>
      <c r="L163">
        <v>0.72</v>
      </c>
      <c r="M163">
        <v>4</v>
      </c>
      <c r="N163">
        <v>0.55400000000000005</v>
      </c>
      <c r="O163">
        <v>3</v>
      </c>
      <c r="P163">
        <v>4</v>
      </c>
      <c r="S163" s="114" t="s">
        <v>944</v>
      </c>
    </row>
    <row r="164" spans="1:19" x14ac:dyDescent="0.2">
      <c r="A164" t="s">
        <v>1355</v>
      </c>
      <c r="B164">
        <v>9001110201</v>
      </c>
      <c r="C164" t="s">
        <v>1356</v>
      </c>
      <c r="D164">
        <v>90563</v>
      </c>
      <c r="E164">
        <v>2.59</v>
      </c>
      <c r="F164">
        <v>56273.110119999998</v>
      </c>
      <c r="G164">
        <v>56.273000000000003</v>
      </c>
      <c r="H164">
        <v>0.58499999999999996</v>
      </c>
      <c r="I164">
        <v>3</v>
      </c>
      <c r="J164">
        <v>1509</v>
      </c>
      <c r="K164">
        <v>0.32178779499999999</v>
      </c>
      <c r="L164">
        <v>0.312</v>
      </c>
      <c r="M164">
        <v>2</v>
      </c>
      <c r="N164">
        <v>0.46300000000000002</v>
      </c>
      <c r="O164">
        <v>3</v>
      </c>
      <c r="P164">
        <v>3</v>
      </c>
      <c r="S164" s="116" t="s">
        <v>944</v>
      </c>
    </row>
    <row r="165" spans="1:19" x14ac:dyDescent="0.2">
      <c r="A165" t="s">
        <v>1357</v>
      </c>
      <c r="B165">
        <v>9001110202</v>
      </c>
      <c r="C165" t="s">
        <v>1358</v>
      </c>
      <c r="D165">
        <v>78958</v>
      </c>
      <c r="E165">
        <v>2.2999999999999998</v>
      </c>
      <c r="F165">
        <v>52063.363420000001</v>
      </c>
      <c r="G165">
        <v>52.063000000000002</v>
      </c>
      <c r="H165">
        <v>0.503</v>
      </c>
      <c r="I165">
        <v>3</v>
      </c>
      <c r="J165">
        <v>1494</v>
      </c>
      <c r="K165">
        <v>0.34434963099999999</v>
      </c>
      <c r="L165">
        <v>0.44600000000000001</v>
      </c>
      <c r="M165">
        <v>3</v>
      </c>
      <c r="N165">
        <v>0.48099999999999998</v>
      </c>
      <c r="O165">
        <v>3</v>
      </c>
      <c r="P165">
        <v>3</v>
      </c>
      <c r="S165" s="114" t="s">
        <v>944</v>
      </c>
    </row>
    <row r="166" spans="1:19" x14ac:dyDescent="0.2">
      <c r="A166" t="s">
        <v>1359</v>
      </c>
      <c r="B166">
        <v>9001110301</v>
      </c>
      <c r="C166" t="s">
        <v>1360</v>
      </c>
      <c r="D166">
        <v>80871</v>
      </c>
      <c r="E166">
        <v>2.27</v>
      </c>
      <c r="F166">
        <v>53675.967929999999</v>
      </c>
      <c r="G166">
        <v>53.676000000000002</v>
      </c>
      <c r="H166">
        <v>0.53500000000000003</v>
      </c>
      <c r="I166">
        <v>3</v>
      </c>
      <c r="J166">
        <v>1526</v>
      </c>
      <c r="K166">
        <v>0.34115826300000002</v>
      </c>
      <c r="L166">
        <v>0.42499999999999999</v>
      </c>
      <c r="M166">
        <v>3</v>
      </c>
      <c r="N166">
        <v>0.44700000000000001</v>
      </c>
      <c r="O166">
        <v>3</v>
      </c>
      <c r="P166">
        <v>3</v>
      </c>
      <c r="S166" s="116" t="s">
        <v>944</v>
      </c>
    </row>
    <row r="167" spans="1:19" x14ac:dyDescent="0.2">
      <c r="A167" t="s">
        <v>1361</v>
      </c>
      <c r="B167">
        <v>9001110302</v>
      </c>
      <c r="C167" t="s">
        <v>1362</v>
      </c>
      <c r="D167">
        <v>104432</v>
      </c>
      <c r="E167">
        <v>2.5099999999999998</v>
      </c>
      <c r="F167">
        <v>65916.893899999995</v>
      </c>
      <c r="G167">
        <v>65.917000000000002</v>
      </c>
      <c r="H167">
        <v>0.75</v>
      </c>
      <c r="I167">
        <v>4</v>
      </c>
      <c r="J167">
        <v>1895</v>
      </c>
      <c r="K167">
        <v>0.34497984700000001</v>
      </c>
      <c r="L167">
        <v>0.45200000000000001</v>
      </c>
      <c r="M167">
        <v>3</v>
      </c>
      <c r="N167">
        <v>0.21299999999999999</v>
      </c>
      <c r="O167">
        <v>2</v>
      </c>
      <c r="P167">
        <v>2</v>
      </c>
      <c r="S167" s="114" t="s">
        <v>944</v>
      </c>
    </row>
    <row r="168" spans="1:19" x14ac:dyDescent="0.2">
      <c r="A168" t="s">
        <v>1363</v>
      </c>
      <c r="B168">
        <v>9001110400</v>
      </c>
      <c r="C168" t="s">
        <v>1364</v>
      </c>
      <c r="D168">
        <v>108636</v>
      </c>
      <c r="E168">
        <v>2.73</v>
      </c>
      <c r="F168">
        <v>65749.498240000001</v>
      </c>
      <c r="G168">
        <v>65.748999999999995</v>
      </c>
      <c r="H168">
        <v>0.749</v>
      </c>
      <c r="I168">
        <v>4</v>
      </c>
      <c r="J168">
        <v>1867</v>
      </c>
      <c r="K168">
        <v>0.34074784800000002</v>
      </c>
      <c r="L168">
        <v>0.42</v>
      </c>
      <c r="M168">
        <v>3</v>
      </c>
      <c r="N168">
        <v>0.223</v>
      </c>
      <c r="O168">
        <v>2</v>
      </c>
      <c r="P168">
        <v>2</v>
      </c>
      <c r="S168" s="116" t="s">
        <v>944</v>
      </c>
    </row>
    <row r="169" spans="1:19" x14ac:dyDescent="0.2">
      <c r="A169" t="s">
        <v>1365</v>
      </c>
      <c r="B169">
        <v>9001110500</v>
      </c>
      <c r="C169" t="s">
        <v>1366</v>
      </c>
      <c r="D169">
        <v>110365</v>
      </c>
      <c r="E169">
        <v>2.73</v>
      </c>
      <c r="F169">
        <v>66795.93664</v>
      </c>
      <c r="G169">
        <v>66.796000000000006</v>
      </c>
      <c r="H169">
        <v>0.76500000000000001</v>
      </c>
      <c r="I169">
        <v>4</v>
      </c>
      <c r="J169">
        <v>1621</v>
      </c>
      <c r="K169">
        <v>0.29121531899999997</v>
      </c>
      <c r="L169">
        <v>0.122</v>
      </c>
      <c r="M169">
        <v>1</v>
      </c>
      <c r="N169">
        <v>0.36799999999999999</v>
      </c>
      <c r="O169">
        <v>2</v>
      </c>
      <c r="P169">
        <v>2</v>
      </c>
      <c r="S169" s="114" t="s">
        <v>944</v>
      </c>
    </row>
    <row r="170" spans="1:19" x14ac:dyDescent="0.2">
      <c r="A170" t="s">
        <v>1367</v>
      </c>
      <c r="B170">
        <v>9001110600</v>
      </c>
      <c r="C170" t="s">
        <v>1368</v>
      </c>
      <c r="D170">
        <v>118906</v>
      </c>
      <c r="E170">
        <v>2.72</v>
      </c>
      <c r="F170">
        <v>72097.352580000006</v>
      </c>
      <c r="G170">
        <v>72.096999999999994</v>
      </c>
      <c r="H170">
        <v>0.82599999999999996</v>
      </c>
      <c r="I170">
        <v>5</v>
      </c>
      <c r="J170">
        <v>1759</v>
      </c>
      <c r="K170">
        <v>0.29277080599999999</v>
      </c>
      <c r="L170">
        <v>0.13300000000000001</v>
      </c>
      <c r="M170">
        <v>1</v>
      </c>
      <c r="N170">
        <v>0.27900000000000003</v>
      </c>
      <c r="O170">
        <v>2</v>
      </c>
      <c r="P170">
        <v>2</v>
      </c>
      <c r="S170" s="116" t="s">
        <v>944</v>
      </c>
    </row>
    <row r="171" spans="1:19" x14ac:dyDescent="0.2">
      <c r="A171" t="s">
        <v>1369</v>
      </c>
      <c r="B171">
        <v>9001200100</v>
      </c>
      <c r="C171" t="s">
        <v>1370</v>
      </c>
      <c r="D171">
        <v>77273</v>
      </c>
      <c r="E171">
        <v>2.5299999999999998</v>
      </c>
      <c r="F171">
        <v>48581.118869999998</v>
      </c>
      <c r="G171">
        <v>48.581000000000003</v>
      </c>
      <c r="H171">
        <v>0.44400000000000001</v>
      </c>
      <c r="I171">
        <v>3</v>
      </c>
      <c r="J171">
        <v>1466</v>
      </c>
      <c r="K171">
        <v>0.36211599100000003</v>
      </c>
      <c r="L171">
        <v>0.54800000000000004</v>
      </c>
      <c r="M171">
        <v>3</v>
      </c>
      <c r="N171">
        <v>0.505</v>
      </c>
      <c r="O171">
        <v>3</v>
      </c>
      <c r="P171">
        <v>3</v>
      </c>
      <c r="S171" s="114" t="s">
        <v>944</v>
      </c>
    </row>
    <row r="172" spans="1:19" x14ac:dyDescent="0.2">
      <c r="A172" t="s">
        <v>1371</v>
      </c>
      <c r="B172">
        <v>9001200200</v>
      </c>
      <c r="C172" t="s">
        <v>1372</v>
      </c>
      <c r="D172">
        <v>61844</v>
      </c>
      <c r="E172">
        <v>2.37</v>
      </c>
      <c r="F172">
        <v>40171.994859999999</v>
      </c>
      <c r="G172">
        <v>40.171999999999997</v>
      </c>
      <c r="H172">
        <v>0.29499999999999998</v>
      </c>
      <c r="I172">
        <v>2</v>
      </c>
      <c r="J172">
        <v>1541</v>
      </c>
      <c r="K172">
        <v>0.46032067999999998</v>
      </c>
      <c r="L172">
        <v>0.79800000000000004</v>
      </c>
      <c r="M172">
        <v>4</v>
      </c>
      <c r="N172">
        <v>0.434</v>
      </c>
      <c r="O172">
        <v>3</v>
      </c>
      <c r="P172">
        <v>4</v>
      </c>
      <c r="S172" s="116" t="s">
        <v>944</v>
      </c>
    </row>
    <row r="173" spans="1:19" x14ac:dyDescent="0.2">
      <c r="A173" t="s">
        <v>1373</v>
      </c>
      <c r="B173">
        <v>9001200301</v>
      </c>
      <c r="C173" t="s">
        <v>1374</v>
      </c>
      <c r="D173">
        <v>140337</v>
      </c>
      <c r="E173">
        <v>3.06</v>
      </c>
      <c r="F173">
        <v>80225.323139999993</v>
      </c>
      <c r="G173">
        <v>80.224999999999994</v>
      </c>
      <c r="H173">
        <v>0.879</v>
      </c>
      <c r="I173">
        <v>5</v>
      </c>
      <c r="J173">
        <v>2456</v>
      </c>
      <c r="K173">
        <v>0.36736530099999998</v>
      </c>
      <c r="L173">
        <v>0.57499999999999996</v>
      </c>
      <c r="M173">
        <v>3</v>
      </c>
      <c r="N173">
        <v>8.1000000000000003E-2</v>
      </c>
      <c r="O173">
        <v>1</v>
      </c>
      <c r="P173">
        <v>1</v>
      </c>
      <c r="S173" s="114" t="s">
        <v>944</v>
      </c>
    </row>
    <row r="174" spans="1:19" x14ac:dyDescent="0.2">
      <c r="A174" t="s">
        <v>1375</v>
      </c>
      <c r="B174">
        <v>9001200302</v>
      </c>
      <c r="C174" t="s">
        <v>1376</v>
      </c>
      <c r="D174">
        <v>116500</v>
      </c>
      <c r="E174">
        <v>2.96</v>
      </c>
      <c r="F174">
        <v>67714.24957</v>
      </c>
      <c r="G174">
        <v>67.713999999999999</v>
      </c>
      <c r="H174">
        <v>0.77200000000000002</v>
      </c>
      <c r="I174">
        <v>4</v>
      </c>
      <c r="J174">
        <v>2158</v>
      </c>
      <c r="K174">
        <v>0.38243058400000002</v>
      </c>
      <c r="L174">
        <v>0.64100000000000001</v>
      </c>
      <c r="M174">
        <v>4</v>
      </c>
      <c r="N174">
        <v>0.13800000000000001</v>
      </c>
      <c r="O174">
        <v>1</v>
      </c>
      <c r="P174">
        <v>2</v>
      </c>
      <c r="S174" s="116" t="s">
        <v>944</v>
      </c>
    </row>
    <row r="175" spans="1:19" x14ac:dyDescent="0.2">
      <c r="A175" t="s">
        <v>1377</v>
      </c>
      <c r="B175">
        <v>9001205100</v>
      </c>
      <c r="C175" t="s">
        <v>1378</v>
      </c>
      <c r="D175">
        <v>123750</v>
      </c>
      <c r="E175">
        <v>2.79</v>
      </c>
      <c r="F175">
        <v>74087.187090000007</v>
      </c>
      <c r="G175">
        <v>74.087000000000003</v>
      </c>
      <c r="H175">
        <v>0.84299999999999997</v>
      </c>
      <c r="I175">
        <v>5</v>
      </c>
      <c r="J175">
        <v>2185</v>
      </c>
      <c r="K175">
        <v>0.35390734899999998</v>
      </c>
      <c r="L175">
        <v>0.501</v>
      </c>
      <c r="M175">
        <v>3</v>
      </c>
      <c r="N175">
        <v>0.13200000000000001</v>
      </c>
      <c r="O175">
        <v>1</v>
      </c>
      <c r="P175">
        <v>1</v>
      </c>
      <c r="S175" s="114" t="s">
        <v>944</v>
      </c>
    </row>
    <row r="176" spans="1:19" x14ac:dyDescent="0.2">
      <c r="A176" t="s">
        <v>1379</v>
      </c>
      <c r="B176">
        <v>9001205200</v>
      </c>
      <c r="C176" t="s">
        <v>1380</v>
      </c>
      <c r="D176">
        <v>120476</v>
      </c>
      <c r="E176">
        <v>2.93</v>
      </c>
      <c r="F176">
        <v>70382.830709999995</v>
      </c>
      <c r="G176">
        <v>70.382999999999996</v>
      </c>
      <c r="H176">
        <v>0.80600000000000005</v>
      </c>
      <c r="I176">
        <v>5</v>
      </c>
      <c r="J176">
        <v>2277</v>
      </c>
      <c r="K176">
        <v>0.38821968000000001</v>
      </c>
      <c r="L176">
        <v>0.65500000000000003</v>
      </c>
      <c r="M176">
        <v>4</v>
      </c>
      <c r="N176">
        <v>0.11899999999999999</v>
      </c>
      <c r="O176">
        <v>1</v>
      </c>
      <c r="P176">
        <v>1</v>
      </c>
      <c r="S176" s="116" t="s">
        <v>944</v>
      </c>
    </row>
    <row r="177" spans="1:19" x14ac:dyDescent="0.2">
      <c r="A177" t="s">
        <v>1381</v>
      </c>
      <c r="B177">
        <v>9001205300</v>
      </c>
      <c r="C177" t="s">
        <v>1382</v>
      </c>
      <c r="D177">
        <v>95234</v>
      </c>
      <c r="E177">
        <v>2.5099999999999998</v>
      </c>
      <c r="F177">
        <v>60111.167780000003</v>
      </c>
      <c r="G177">
        <v>60.110999999999997</v>
      </c>
      <c r="H177">
        <v>0.65800000000000003</v>
      </c>
      <c r="I177">
        <v>4</v>
      </c>
      <c r="J177">
        <v>1694</v>
      </c>
      <c r="K177">
        <v>0.33817343399999999</v>
      </c>
      <c r="L177">
        <v>0.41199999999999998</v>
      </c>
      <c r="M177">
        <v>3</v>
      </c>
      <c r="N177">
        <v>0.316</v>
      </c>
      <c r="O177">
        <v>2</v>
      </c>
      <c r="P177">
        <v>2</v>
      </c>
      <c r="S177" s="114" t="s">
        <v>944</v>
      </c>
    </row>
    <row r="178" spans="1:19" x14ac:dyDescent="0.2">
      <c r="A178" t="s">
        <v>1383</v>
      </c>
      <c r="B178">
        <v>9001210100</v>
      </c>
      <c r="C178" t="s">
        <v>1384</v>
      </c>
      <c r="D178">
        <v>41218</v>
      </c>
      <c r="E178">
        <v>2.3199999999999998</v>
      </c>
      <c r="F178">
        <v>27060.942749999998</v>
      </c>
      <c r="G178">
        <v>27.061</v>
      </c>
      <c r="H178">
        <v>0.13600000000000001</v>
      </c>
      <c r="I178">
        <v>1</v>
      </c>
      <c r="J178">
        <v>1185</v>
      </c>
      <c r="K178">
        <v>0.52548058399999997</v>
      </c>
      <c r="L178">
        <v>0.871</v>
      </c>
      <c r="M178">
        <v>5</v>
      </c>
      <c r="N178">
        <v>0.78800000000000003</v>
      </c>
      <c r="O178">
        <v>4</v>
      </c>
      <c r="P178">
        <v>5</v>
      </c>
      <c r="S178" s="116" t="s">
        <v>936</v>
      </c>
    </row>
    <row r="179" spans="1:19" x14ac:dyDescent="0.2">
      <c r="A179" t="s">
        <v>1385</v>
      </c>
      <c r="B179">
        <v>9001210200</v>
      </c>
      <c r="C179" t="s">
        <v>1386</v>
      </c>
      <c r="D179">
        <v>50729</v>
      </c>
      <c r="E179">
        <v>3.14</v>
      </c>
      <c r="F179">
        <v>28628.030900000002</v>
      </c>
      <c r="G179">
        <v>28.628</v>
      </c>
      <c r="H179">
        <v>0.14799999999999999</v>
      </c>
      <c r="I179">
        <v>1</v>
      </c>
      <c r="J179">
        <v>1422</v>
      </c>
      <c r="K179">
        <v>0.59605915799999998</v>
      </c>
      <c r="L179">
        <v>0.91800000000000004</v>
      </c>
      <c r="M179">
        <v>5</v>
      </c>
      <c r="N179">
        <v>0.54800000000000004</v>
      </c>
      <c r="O179">
        <v>3</v>
      </c>
      <c r="P179">
        <v>4</v>
      </c>
      <c r="S179" s="114" t="s">
        <v>944</v>
      </c>
    </row>
    <row r="180" spans="1:19" x14ac:dyDescent="0.2">
      <c r="A180" t="s">
        <v>1387</v>
      </c>
      <c r="B180">
        <v>9001210300</v>
      </c>
      <c r="C180" t="s">
        <v>1388</v>
      </c>
      <c r="D180">
        <v>60725</v>
      </c>
      <c r="E180">
        <v>2.96</v>
      </c>
      <c r="F180">
        <v>35295.689310000002</v>
      </c>
      <c r="G180">
        <v>35.295999999999999</v>
      </c>
      <c r="H180">
        <v>0.23799999999999999</v>
      </c>
      <c r="I180">
        <v>2</v>
      </c>
      <c r="J180">
        <v>1634</v>
      </c>
      <c r="K180">
        <v>0.55553526200000003</v>
      </c>
      <c r="L180">
        <v>0.89100000000000001</v>
      </c>
      <c r="M180">
        <v>5</v>
      </c>
      <c r="N180">
        <v>0.35899999999999999</v>
      </c>
      <c r="O180">
        <v>2</v>
      </c>
      <c r="P180">
        <v>3</v>
      </c>
      <c r="S180" s="116" t="s">
        <v>944</v>
      </c>
    </row>
    <row r="181" spans="1:19" x14ac:dyDescent="0.2">
      <c r="A181" t="s">
        <v>1389</v>
      </c>
      <c r="B181">
        <v>9001210400</v>
      </c>
      <c r="C181" t="s">
        <v>1390</v>
      </c>
      <c r="D181">
        <v>76921</v>
      </c>
      <c r="E181">
        <v>2.85</v>
      </c>
      <c r="F181">
        <v>45564.068030000002</v>
      </c>
      <c r="G181">
        <v>45.564</v>
      </c>
      <c r="H181">
        <v>0.375</v>
      </c>
      <c r="I181">
        <v>2</v>
      </c>
      <c r="J181">
        <v>1755</v>
      </c>
      <c r="K181">
        <v>0.46220631499999998</v>
      </c>
      <c r="L181">
        <v>0.80200000000000005</v>
      </c>
      <c r="M181">
        <v>5</v>
      </c>
      <c r="N181">
        <v>0.28199999999999997</v>
      </c>
      <c r="O181">
        <v>2</v>
      </c>
      <c r="P181">
        <v>3</v>
      </c>
      <c r="S181" s="114" t="s">
        <v>944</v>
      </c>
    </row>
    <row r="182" spans="1:19" x14ac:dyDescent="0.2">
      <c r="A182" t="s">
        <v>1391</v>
      </c>
      <c r="B182">
        <v>9001210500</v>
      </c>
      <c r="C182" t="s">
        <v>1392</v>
      </c>
      <c r="D182">
        <v>90929</v>
      </c>
      <c r="E182">
        <v>2.21</v>
      </c>
      <c r="F182">
        <v>61165.464489999998</v>
      </c>
      <c r="G182">
        <v>61.164999999999999</v>
      </c>
      <c r="H182">
        <v>0.67600000000000005</v>
      </c>
      <c r="I182">
        <v>4</v>
      </c>
      <c r="J182">
        <v>1930</v>
      </c>
      <c r="K182">
        <v>0.37864504399999999</v>
      </c>
      <c r="L182">
        <v>0.626</v>
      </c>
      <c r="M182">
        <v>4</v>
      </c>
      <c r="N182">
        <v>0.193</v>
      </c>
      <c r="O182">
        <v>1</v>
      </c>
      <c r="P182">
        <v>2</v>
      </c>
      <c r="S182" s="116" t="s">
        <v>944</v>
      </c>
    </row>
    <row r="183" spans="1:19" x14ac:dyDescent="0.2">
      <c r="A183" t="s">
        <v>1393</v>
      </c>
      <c r="B183">
        <v>9001210600</v>
      </c>
      <c r="C183" t="s">
        <v>1394</v>
      </c>
      <c r="D183">
        <v>54216</v>
      </c>
      <c r="E183">
        <v>2.5499999999999998</v>
      </c>
      <c r="F183">
        <v>33951.376170000003</v>
      </c>
      <c r="G183">
        <v>33.951000000000001</v>
      </c>
      <c r="H183">
        <v>0.222</v>
      </c>
      <c r="I183">
        <v>2</v>
      </c>
      <c r="J183">
        <v>1492</v>
      </c>
      <c r="K183">
        <v>0.52734239400000005</v>
      </c>
      <c r="L183">
        <v>0.873</v>
      </c>
      <c r="M183">
        <v>5</v>
      </c>
      <c r="N183">
        <v>0.48599999999999999</v>
      </c>
      <c r="O183">
        <v>3</v>
      </c>
      <c r="P183">
        <v>4</v>
      </c>
      <c r="S183" s="114" t="s">
        <v>944</v>
      </c>
    </row>
    <row r="184" spans="1:19" x14ac:dyDescent="0.2">
      <c r="A184" t="s">
        <v>1395</v>
      </c>
      <c r="B184">
        <v>9001210701</v>
      </c>
      <c r="C184" t="s">
        <v>1396</v>
      </c>
      <c r="D184">
        <v>44635</v>
      </c>
      <c r="E184">
        <v>3.08</v>
      </c>
      <c r="F184">
        <v>25433.15165</v>
      </c>
      <c r="G184">
        <v>25.433</v>
      </c>
      <c r="H184">
        <v>0.11600000000000001</v>
      </c>
      <c r="I184">
        <v>1</v>
      </c>
      <c r="J184">
        <v>1345</v>
      </c>
      <c r="K184">
        <v>0.634604795</v>
      </c>
      <c r="L184">
        <v>0.94099999999999995</v>
      </c>
      <c r="M184">
        <v>5</v>
      </c>
      <c r="N184">
        <v>0.61099999999999999</v>
      </c>
      <c r="O184">
        <v>4</v>
      </c>
      <c r="P184">
        <v>5</v>
      </c>
      <c r="S184" s="116" t="s">
        <v>936</v>
      </c>
    </row>
    <row r="185" spans="1:19" x14ac:dyDescent="0.2">
      <c r="A185" t="s">
        <v>1397</v>
      </c>
      <c r="B185">
        <v>9001210702</v>
      </c>
      <c r="C185" t="s">
        <v>1398</v>
      </c>
      <c r="D185">
        <v>56932</v>
      </c>
      <c r="E185">
        <v>2.99</v>
      </c>
      <c r="F185">
        <v>32924.62571</v>
      </c>
      <c r="G185">
        <v>32.924999999999997</v>
      </c>
      <c r="H185">
        <v>0.21199999999999999</v>
      </c>
      <c r="I185">
        <v>2</v>
      </c>
      <c r="J185">
        <v>1483</v>
      </c>
      <c r="K185">
        <v>0.54050728299999995</v>
      </c>
      <c r="L185">
        <v>0.88100000000000001</v>
      </c>
      <c r="M185">
        <v>5</v>
      </c>
      <c r="N185">
        <v>0.499</v>
      </c>
      <c r="O185">
        <v>3</v>
      </c>
      <c r="P185">
        <v>4</v>
      </c>
      <c r="S185" s="114" t="s">
        <v>944</v>
      </c>
    </row>
    <row r="186" spans="1:19" x14ac:dyDescent="0.2">
      <c r="A186" t="s">
        <v>1399</v>
      </c>
      <c r="B186">
        <v>9001210800</v>
      </c>
      <c r="C186" t="s">
        <v>1400</v>
      </c>
      <c r="D186">
        <v>101679</v>
      </c>
      <c r="E186">
        <v>2.72</v>
      </c>
      <c r="F186">
        <v>61651.949549999998</v>
      </c>
      <c r="G186">
        <v>61.652000000000001</v>
      </c>
      <c r="H186">
        <v>0.68600000000000005</v>
      </c>
      <c r="I186">
        <v>4</v>
      </c>
      <c r="J186">
        <v>1757</v>
      </c>
      <c r="K186">
        <v>0.34198431899999998</v>
      </c>
      <c r="L186">
        <v>0.43099999999999999</v>
      </c>
      <c r="M186">
        <v>3</v>
      </c>
      <c r="N186">
        <v>0.28000000000000003</v>
      </c>
      <c r="O186">
        <v>2</v>
      </c>
      <c r="P186">
        <v>2</v>
      </c>
      <c r="S186" s="116" t="s">
        <v>944</v>
      </c>
    </row>
    <row r="187" spans="1:19" x14ac:dyDescent="0.2">
      <c r="A187" t="s">
        <v>1401</v>
      </c>
      <c r="B187">
        <v>9001210900</v>
      </c>
      <c r="C187" t="s">
        <v>1402</v>
      </c>
      <c r="D187">
        <v>106915</v>
      </c>
      <c r="E187">
        <v>2.62</v>
      </c>
      <c r="F187">
        <v>66052.307589999997</v>
      </c>
      <c r="G187">
        <v>66.052000000000007</v>
      </c>
      <c r="H187">
        <v>0.753</v>
      </c>
      <c r="I187">
        <v>4</v>
      </c>
      <c r="J187">
        <v>1972</v>
      </c>
      <c r="K187">
        <v>0.358261518</v>
      </c>
      <c r="L187">
        <v>0.52700000000000002</v>
      </c>
      <c r="M187">
        <v>3</v>
      </c>
      <c r="N187">
        <v>0.17299999999999999</v>
      </c>
      <c r="O187">
        <v>1</v>
      </c>
      <c r="P187">
        <v>2</v>
      </c>
      <c r="S187" s="114" t="s">
        <v>944</v>
      </c>
    </row>
    <row r="188" spans="1:19" x14ac:dyDescent="0.2">
      <c r="A188" t="s">
        <v>1403</v>
      </c>
      <c r="B188">
        <v>9001211000</v>
      </c>
      <c r="C188" t="s">
        <v>1404</v>
      </c>
      <c r="D188">
        <v>89985</v>
      </c>
      <c r="E188">
        <v>3.18</v>
      </c>
      <c r="F188">
        <v>50461.082289999998</v>
      </c>
      <c r="G188">
        <v>50.460999999999999</v>
      </c>
      <c r="H188">
        <v>0.47699999999999998</v>
      </c>
      <c r="I188">
        <v>3</v>
      </c>
      <c r="J188">
        <v>1860</v>
      </c>
      <c r="K188">
        <v>0.44232107199999998</v>
      </c>
      <c r="L188">
        <v>0.77300000000000002</v>
      </c>
      <c r="M188">
        <v>4</v>
      </c>
      <c r="N188">
        <v>0.22700000000000001</v>
      </c>
      <c r="O188">
        <v>2</v>
      </c>
      <c r="P188">
        <v>3</v>
      </c>
      <c r="S188" s="116" t="s">
        <v>944</v>
      </c>
    </row>
    <row r="189" spans="1:19" x14ac:dyDescent="0.2">
      <c r="A189" t="s">
        <v>1405</v>
      </c>
      <c r="B189">
        <v>9001211200</v>
      </c>
      <c r="C189" t="s">
        <v>1406</v>
      </c>
      <c r="D189">
        <v>90285</v>
      </c>
      <c r="E189">
        <v>2.7</v>
      </c>
      <c r="F189">
        <v>54945.701229999999</v>
      </c>
      <c r="G189">
        <v>54.945999999999998</v>
      </c>
      <c r="H189">
        <v>0.55800000000000005</v>
      </c>
      <c r="I189">
        <v>3</v>
      </c>
      <c r="J189">
        <v>1466</v>
      </c>
      <c r="K189">
        <v>0.32017063400000001</v>
      </c>
      <c r="L189">
        <v>0.28799999999999998</v>
      </c>
      <c r="M189">
        <v>2</v>
      </c>
      <c r="N189">
        <v>0.505</v>
      </c>
      <c r="O189">
        <v>3</v>
      </c>
      <c r="P189">
        <v>3</v>
      </c>
      <c r="S189" s="114" t="s">
        <v>944</v>
      </c>
    </row>
    <row r="190" spans="1:19" x14ac:dyDescent="0.2">
      <c r="A190" t="s">
        <v>1407</v>
      </c>
      <c r="B190">
        <v>9001211300</v>
      </c>
      <c r="C190" t="s">
        <v>1408</v>
      </c>
      <c r="D190">
        <v>105528</v>
      </c>
      <c r="E190">
        <v>3.09</v>
      </c>
      <c r="F190">
        <v>60032.781719999999</v>
      </c>
      <c r="G190">
        <v>60.033000000000001</v>
      </c>
      <c r="H190">
        <v>0.65300000000000002</v>
      </c>
      <c r="I190">
        <v>4</v>
      </c>
      <c r="J190">
        <v>1936</v>
      </c>
      <c r="K190">
        <v>0.38698856399999998</v>
      </c>
      <c r="L190">
        <v>0.65</v>
      </c>
      <c r="M190">
        <v>4</v>
      </c>
      <c r="N190">
        <v>0.191</v>
      </c>
      <c r="O190">
        <v>1</v>
      </c>
      <c r="P190">
        <v>2</v>
      </c>
      <c r="S190" s="116" t="s">
        <v>944</v>
      </c>
    </row>
    <row r="191" spans="1:19" x14ac:dyDescent="0.2">
      <c r="A191" t="s">
        <v>1409</v>
      </c>
      <c r="B191">
        <v>9001211400</v>
      </c>
      <c r="C191" t="s">
        <v>1410</v>
      </c>
      <c r="D191">
        <v>81474</v>
      </c>
      <c r="E191">
        <v>2.42</v>
      </c>
      <c r="F191">
        <v>52373.470809999999</v>
      </c>
      <c r="G191">
        <v>52.372999999999998</v>
      </c>
      <c r="H191">
        <v>0.50600000000000001</v>
      </c>
      <c r="I191">
        <v>3</v>
      </c>
      <c r="J191">
        <v>1767</v>
      </c>
      <c r="K191">
        <v>0.40486146299999998</v>
      </c>
      <c r="L191">
        <v>0.68799999999999994</v>
      </c>
      <c r="M191">
        <v>4</v>
      </c>
      <c r="N191">
        <v>0.27300000000000002</v>
      </c>
      <c r="O191">
        <v>2</v>
      </c>
      <c r="P191">
        <v>3</v>
      </c>
      <c r="S191" s="114" t="s">
        <v>944</v>
      </c>
    </row>
    <row r="192" spans="1:19" x14ac:dyDescent="0.2">
      <c r="A192" t="s">
        <v>1411</v>
      </c>
      <c r="B192">
        <v>9001220100</v>
      </c>
      <c r="C192" t="s">
        <v>1412</v>
      </c>
      <c r="D192">
        <v>110625</v>
      </c>
      <c r="E192">
        <v>2.93</v>
      </c>
      <c r="F192">
        <v>64627.815060000001</v>
      </c>
      <c r="G192">
        <v>64.628</v>
      </c>
      <c r="H192">
        <v>0.72899999999999998</v>
      </c>
      <c r="I192">
        <v>4</v>
      </c>
      <c r="J192">
        <v>2079</v>
      </c>
      <c r="K192">
        <v>0.38602573800000001</v>
      </c>
      <c r="L192">
        <v>0.64800000000000002</v>
      </c>
      <c r="M192">
        <v>4</v>
      </c>
      <c r="N192">
        <v>0.14599999999999999</v>
      </c>
      <c r="O192">
        <v>1</v>
      </c>
      <c r="P192">
        <v>2</v>
      </c>
      <c r="S192" s="116" t="s">
        <v>944</v>
      </c>
    </row>
    <row r="193" spans="1:19" x14ac:dyDescent="0.2">
      <c r="A193" t="s">
        <v>1413</v>
      </c>
      <c r="B193">
        <v>9001220200</v>
      </c>
      <c r="C193" t="s">
        <v>1414</v>
      </c>
      <c r="D193">
        <v>126422</v>
      </c>
      <c r="E193">
        <v>2.82</v>
      </c>
      <c r="F193">
        <v>75283.205449999994</v>
      </c>
      <c r="G193">
        <v>75.283000000000001</v>
      </c>
      <c r="H193">
        <v>0.85099999999999998</v>
      </c>
      <c r="I193">
        <v>5</v>
      </c>
      <c r="J193">
        <v>2107</v>
      </c>
      <c r="K193">
        <v>0.33585179900000001</v>
      </c>
      <c r="L193">
        <v>0.40200000000000002</v>
      </c>
      <c r="M193">
        <v>3</v>
      </c>
      <c r="N193">
        <v>0.14299999999999999</v>
      </c>
      <c r="O193">
        <v>1</v>
      </c>
      <c r="P193">
        <v>1</v>
      </c>
      <c r="S193" s="114" t="s">
        <v>944</v>
      </c>
    </row>
    <row r="194" spans="1:19" x14ac:dyDescent="0.2">
      <c r="A194" t="s">
        <v>1415</v>
      </c>
      <c r="B194">
        <v>9001220300</v>
      </c>
      <c r="C194" t="s">
        <v>1416</v>
      </c>
      <c r="D194">
        <v>106296</v>
      </c>
      <c r="E194">
        <v>2.6</v>
      </c>
      <c r="F194">
        <v>65921.980739999999</v>
      </c>
      <c r="G194">
        <v>65.921999999999997</v>
      </c>
      <c r="H194">
        <v>0.752</v>
      </c>
      <c r="I194">
        <v>4</v>
      </c>
      <c r="J194">
        <v>1962</v>
      </c>
      <c r="K194">
        <v>0.357149463</v>
      </c>
      <c r="L194">
        <v>0.51900000000000002</v>
      </c>
      <c r="M194">
        <v>3</v>
      </c>
      <c r="N194">
        <v>0.17799999999999999</v>
      </c>
      <c r="O194">
        <v>1</v>
      </c>
      <c r="P194">
        <v>2</v>
      </c>
      <c r="S194" s="116" t="s">
        <v>944</v>
      </c>
    </row>
    <row r="195" spans="1:19" x14ac:dyDescent="0.2">
      <c r="A195" t="s">
        <v>1417</v>
      </c>
      <c r="B195">
        <v>9001230100</v>
      </c>
      <c r="C195" t="s">
        <v>1418</v>
      </c>
      <c r="D195">
        <v>107033</v>
      </c>
      <c r="E195">
        <v>2.66</v>
      </c>
      <c r="F195">
        <v>65626.142919999998</v>
      </c>
      <c r="G195">
        <v>65.626000000000005</v>
      </c>
      <c r="H195">
        <v>0.746</v>
      </c>
      <c r="I195">
        <v>4</v>
      </c>
      <c r="J195">
        <v>1991</v>
      </c>
      <c r="K195">
        <v>0.36406223100000001</v>
      </c>
      <c r="L195">
        <v>0.56000000000000005</v>
      </c>
      <c r="M195">
        <v>3</v>
      </c>
      <c r="N195">
        <v>0.16500000000000001</v>
      </c>
      <c r="O195">
        <v>1</v>
      </c>
      <c r="P195">
        <v>2</v>
      </c>
      <c r="S195" s="114" t="s">
        <v>944</v>
      </c>
    </row>
    <row r="196" spans="1:19" x14ac:dyDescent="0.2">
      <c r="A196" t="s">
        <v>1419</v>
      </c>
      <c r="B196">
        <v>9001230200</v>
      </c>
      <c r="C196" t="s">
        <v>1420</v>
      </c>
      <c r="D196">
        <v>140625</v>
      </c>
      <c r="E196">
        <v>2.78</v>
      </c>
      <c r="F196">
        <v>84341.270239999998</v>
      </c>
      <c r="G196">
        <v>84.340999999999994</v>
      </c>
      <c r="H196">
        <v>0.90200000000000002</v>
      </c>
      <c r="I196">
        <v>5</v>
      </c>
      <c r="J196">
        <v>2333</v>
      </c>
      <c r="K196">
        <v>0.33193714000000002</v>
      </c>
      <c r="L196">
        <v>0.372</v>
      </c>
      <c r="M196">
        <v>2</v>
      </c>
      <c r="N196">
        <v>0.106</v>
      </c>
      <c r="O196">
        <v>1</v>
      </c>
      <c r="P196">
        <v>1</v>
      </c>
      <c r="S196" s="116" t="s">
        <v>944</v>
      </c>
    </row>
    <row r="197" spans="1:19" x14ac:dyDescent="0.2">
      <c r="A197" t="s">
        <v>1421</v>
      </c>
      <c r="B197">
        <v>9001230300</v>
      </c>
      <c r="C197" t="s">
        <v>1422</v>
      </c>
      <c r="D197">
        <v>130625</v>
      </c>
      <c r="E197">
        <v>2.7</v>
      </c>
      <c r="F197">
        <v>79495.843420000005</v>
      </c>
      <c r="G197">
        <v>79.495999999999995</v>
      </c>
      <c r="H197">
        <v>0.873</v>
      </c>
      <c r="I197">
        <v>5</v>
      </c>
      <c r="J197">
        <v>2189</v>
      </c>
      <c r="K197">
        <v>0.330432371</v>
      </c>
      <c r="L197">
        <v>0.36099999999999999</v>
      </c>
      <c r="M197">
        <v>2</v>
      </c>
      <c r="N197">
        <v>0.13100000000000001</v>
      </c>
      <c r="O197">
        <v>1</v>
      </c>
      <c r="P197">
        <v>1</v>
      </c>
      <c r="S197" s="114" t="s">
        <v>944</v>
      </c>
    </row>
    <row r="198" spans="1:19" x14ac:dyDescent="0.2">
      <c r="A198" t="s">
        <v>1423</v>
      </c>
      <c r="B198">
        <v>9001230400</v>
      </c>
      <c r="C198" t="s">
        <v>1424</v>
      </c>
      <c r="D198">
        <v>139313</v>
      </c>
      <c r="E198">
        <v>2.93</v>
      </c>
      <c r="F198">
        <v>81387.523610000004</v>
      </c>
      <c r="G198">
        <v>81.388000000000005</v>
      </c>
      <c r="H198">
        <v>0.89100000000000001</v>
      </c>
      <c r="I198">
        <v>5</v>
      </c>
      <c r="J198">
        <v>2531</v>
      </c>
      <c r="K198">
        <v>0.37317759099999998</v>
      </c>
      <c r="L198">
        <v>0.60499999999999998</v>
      </c>
      <c r="M198">
        <v>4</v>
      </c>
      <c r="N198">
        <v>7.2999999999999995E-2</v>
      </c>
      <c r="O198">
        <v>1</v>
      </c>
      <c r="P198">
        <v>1</v>
      </c>
      <c r="S198" s="116" t="s">
        <v>944</v>
      </c>
    </row>
    <row r="199" spans="1:19" x14ac:dyDescent="0.2">
      <c r="A199" t="s">
        <v>1425</v>
      </c>
      <c r="B199">
        <v>9001230501</v>
      </c>
      <c r="C199" t="s">
        <v>1426</v>
      </c>
      <c r="D199">
        <v>153267</v>
      </c>
      <c r="E199">
        <v>2.87</v>
      </c>
      <c r="F199">
        <v>90470.649539999999</v>
      </c>
      <c r="G199">
        <v>90.471000000000004</v>
      </c>
      <c r="H199">
        <v>0.92500000000000004</v>
      </c>
      <c r="I199">
        <v>5</v>
      </c>
      <c r="J199">
        <v>2492</v>
      </c>
      <c r="K199">
        <v>0.33053813799999998</v>
      </c>
      <c r="L199">
        <v>0.36299999999999999</v>
      </c>
      <c r="M199">
        <v>2</v>
      </c>
      <c r="N199">
        <v>7.8E-2</v>
      </c>
      <c r="O199">
        <v>1</v>
      </c>
      <c r="P199">
        <v>1</v>
      </c>
      <c r="S199" s="114" t="s">
        <v>944</v>
      </c>
    </row>
    <row r="200" spans="1:19" x14ac:dyDescent="0.2">
      <c r="A200" t="s">
        <v>1427</v>
      </c>
      <c r="B200">
        <v>9001230502</v>
      </c>
      <c r="C200" t="s">
        <v>1428</v>
      </c>
      <c r="D200">
        <v>114773</v>
      </c>
      <c r="E200">
        <v>2.62</v>
      </c>
      <c r="F200">
        <v>70906.996199999994</v>
      </c>
      <c r="G200">
        <v>70.906999999999996</v>
      </c>
      <c r="H200">
        <v>0.81499999999999995</v>
      </c>
      <c r="I200">
        <v>5</v>
      </c>
      <c r="J200">
        <v>1980</v>
      </c>
      <c r="K200">
        <v>0.33508682200000001</v>
      </c>
      <c r="L200">
        <v>0.39500000000000002</v>
      </c>
      <c r="M200">
        <v>2</v>
      </c>
      <c r="N200">
        <v>0.17</v>
      </c>
      <c r="O200">
        <v>1</v>
      </c>
      <c r="P200">
        <v>1</v>
      </c>
      <c r="S200" s="116" t="s">
        <v>944</v>
      </c>
    </row>
    <row r="201" spans="1:19" x14ac:dyDescent="0.2">
      <c r="A201" t="s">
        <v>1429</v>
      </c>
      <c r="B201">
        <v>9001240100</v>
      </c>
      <c r="C201" t="s">
        <v>1430</v>
      </c>
      <c r="D201">
        <v>131992</v>
      </c>
      <c r="E201">
        <v>2.54</v>
      </c>
      <c r="F201">
        <v>82819.146630000003</v>
      </c>
      <c r="G201">
        <v>82.819000000000003</v>
      </c>
      <c r="H201">
        <v>0.89700000000000002</v>
      </c>
      <c r="I201">
        <v>5</v>
      </c>
      <c r="J201">
        <v>2518</v>
      </c>
      <c r="K201">
        <v>0.36484316999999999</v>
      </c>
      <c r="L201">
        <v>0.56399999999999995</v>
      </c>
      <c r="M201">
        <v>3</v>
      </c>
      <c r="N201">
        <v>7.5999999999999998E-2</v>
      </c>
      <c r="O201">
        <v>1</v>
      </c>
      <c r="P201">
        <v>1</v>
      </c>
      <c r="S201" s="114" t="s">
        <v>944</v>
      </c>
    </row>
    <row r="202" spans="1:19" x14ac:dyDescent="0.2">
      <c r="A202" t="s">
        <v>1431</v>
      </c>
      <c r="B202">
        <v>9001240200</v>
      </c>
      <c r="C202" t="s">
        <v>1432</v>
      </c>
      <c r="D202">
        <v>133482</v>
      </c>
      <c r="E202">
        <v>2.7</v>
      </c>
      <c r="F202">
        <v>81234.558250000002</v>
      </c>
      <c r="G202">
        <v>81.234999999999999</v>
      </c>
      <c r="H202">
        <v>0.89</v>
      </c>
      <c r="I202">
        <v>5</v>
      </c>
      <c r="J202">
        <v>2844</v>
      </c>
      <c r="K202">
        <v>0.420116767</v>
      </c>
      <c r="L202">
        <v>0.72499999999999998</v>
      </c>
      <c r="M202">
        <v>4</v>
      </c>
      <c r="N202">
        <v>5.2999999999999999E-2</v>
      </c>
      <c r="O202">
        <v>1</v>
      </c>
      <c r="P202">
        <v>1</v>
      </c>
      <c r="S202" s="116" t="s">
        <v>944</v>
      </c>
    </row>
    <row r="203" spans="1:19" x14ac:dyDescent="0.2">
      <c r="A203" t="s">
        <v>1433</v>
      </c>
      <c r="B203">
        <v>9001245100</v>
      </c>
      <c r="C203" t="s">
        <v>1434</v>
      </c>
      <c r="D203">
        <v>175000</v>
      </c>
      <c r="E203">
        <v>2.87</v>
      </c>
      <c r="F203">
        <v>103299.2338</v>
      </c>
      <c r="G203">
        <v>103.29900000000001</v>
      </c>
      <c r="H203">
        <v>0.94799999999999995</v>
      </c>
      <c r="I203">
        <v>5</v>
      </c>
      <c r="J203">
        <v>2833</v>
      </c>
      <c r="K203">
        <v>0.32910215100000001</v>
      </c>
      <c r="L203">
        <v>0.34699999999999998</v>
      </c>
      <c r="M203">
        <v>2</v>
      </c>
      <c r="N203">
        <v>5.3999999999999999E-2</v>
      </c>
      <c r="O203">
        <v>1</v>
      </c>
      <c r="P203">
        <v>1</v>
      </c>
      <c r="S203" s="114" t="s">
        <v>944</v>
      </c>
    </row>
    <row r="204" spans="1:19" x14ac:dyDescent="0.2">
      <c r="A204" t="s">
        <v>1435</v>
      </c>
      <c r="B204">
        <v>9001245200</v>
      </c>
      <c r="C204" t="s">
        <v>1436</v>
      </c>
      <c r="D204">
        <v>152708</v>
      </c>
      <c r="E204">
        <v>2.75</v>
      </c>
      <c r="F204">
        <v>92086.388819999993</v>
      </c>
      <c r="G204">
        <v>92.085999999999999</v>
      </c>
      <c r="H204">
        <v>0.92800000000000005</v>
      </c>
      <c r="I204">
        <v>5</v>
      </c>
      <c r="J204">
        <v>2467</v>
      </c>
      <c r="K204">
        <v>0.32148073500000002</v>
      </c>
      <c r="L204">
        <v>0.309</v>
      </c>
      <c r="M204">
        <v>2</v>
      </c>
      <c r="N204">
        <v>0.08</v>
      </c>
      <c r="O204">
        <v>1</v>
      </c>
      <c r="P204">
        <v>1</v>
      </c>
      <c r="S204" s="116" t="s">
        <v>944</v>
      </c>
    </row>
    <row r="205" spans="1:19" x14ac:dyDescent="0.2">
      <c r="A205" t="s">
        <v>1437</v>
      </c>
      <c r="B205">
        <v>9001245300</v>
      </c>
      <c r="C205" t="s">
        <v>1438</v>
      </c>
      <c r="D205">
        <v>130962</v>
      </c>
      <c r="E205">
        <v>2.36</v>
      </c>
      <c r="F205">
        <v>85249.000799999994</v>
      </c>
      <c r="G205">
        <v>85.248999999999995</v>
      </c>
      <c r="H205">
        <v>0.90800000000000003</v>
      </c>
      <c r="I205">
        <v>5</v>
      </c>
      <c r="J205">
        <v>2282</v>
      </c>
      <c r="K205">
        <v>0.321223706</v>
      </c>
      <c r="L205">
        <v>0.30399999999999999</v>
      </c>
      <c r="M205">
        <v>2</v>
      </c>
      <c r="N205">
        <v>0.115</v>
      </c>
      <c r="O205">
        <v>1</v>
      </c>
      <c r="P205">
        <v>1</v>
      </c>
      <c r="S205" s="114" t="s">
        <v>944</v>
      </c>
    </row>
    <row r="206" spans="1:19" x14ac:dyDescent="0.2">
      <c r="A206" t="s">
        <v>1439</v>
      </c>
      <c r="B206">
        <v>9001245400</v>
      </c>
      <c r="C206" t="s">
        <v>1440</v>
      </c>
      <c r="D206">
        <v>177361</v>
      </c>
      <c r="E206">
        <v>2.78</v>
      </c>
      <c r="F206">
        <v>106374.0589</v>
      </c>
      <c r="G206">
        <v>106.374</v>
      </c>
      <c r="H206">
        <v>0.95599999999999996</v>
      </c>
      <c r="I206">
        <v>5</v>
      </c>
      <c r="J206">
        <v>2944</v>
      </c>
      <c r="K206">
        <v>0.33211104600000002</v>
      </c>
      <c r="L206">
        <v>0.373</v>
      </c>
      <c r="M206">
        <v>2</v>
      </c>
      <c r="N206">
        <v>4.8000000000000001E-2</v>
      </c>
      <c r="O206">
        <v>1</v>
      </c>
      <c r="P206">
        <v>1</v>
      </c>
      <c r="S206" s="116" t="s">
        <v>944</v>
      </c>
    </row>
    <row r="207" spans="1:19" x14ac:dyDescent="0.2">
      <c r="A207" t="s">
        <v>1441</v>
      </c>
      <c r="B207">
        <v>9001245500</v>
      </c>
      <c r="C207" t="s">
        <v>1442</v>
      </c>
      <c r="D207">
        <v>166908</v>
      </c>
      <c r="E207">
        <v>2.89</v>
      </c>
      <c r="F207">
        <v>98181.176470000006</v>
      </c>
      <c r="G207">
        <v>98.180999999999997</v>
      </c>
      <c r="H207">
        <v>0.94099999999999995</v>
      </c>
      <c r="I207">
        <v>5</v>
      </c>
      <c r="J207">
        <v>2824</v>
      </c>
      <c r="K207">
        <v>0.34515781099999998</v>
      </c>
      <c r="L207">
        <v>0.45600000000000002</v>
      </c>
      <c r="M207">
        <v>3</v>
      </c>
      <c r="N207">
        <v>5.5E-2</v>
      </c>
      <c r="O207">
        <v>1</v>
      </c>
      <c r="P207">
        <v>1</v>
      </c>
      <c r="S207" s="114" t="s">
        <v>944</v>
      </c>
    </row>
    <row r="208" spans="1:19" x14ac:dyDescent="0.2">
      <c r="A208" t="s">
        <v>1443</v>
      </c>
      <c r="B208">
        <v>9001245600</v>
      </c>
      <c r="C208" t="s">
        <v>1444</v>
      </c>
      <c r="D208">
        <v>191524</v>
      </c>
      <c r="E208">
        <v>3.04</v>
      </c>
      <c r="F208">
        <v>109846.5475</v>
      </c>
      <c r="G208">
        <v>109.84699999999999</v>
      </c>
      <c r="H208">
        <v>0.96199999999999997</v>
      </c>
      <c r="I208">
        <v>5</v>
      </c>
      <c r="J208">
        <v>3201</v>
      </c>
      <c r="K208">
        <v>0.34968782199999998</v>
      </c>
      <c r="L208">
        <v>0.47499999999999998</v>
      </c>
      <c r="M208">
        <v>3</v>
      </c>
      <c r="N208">
        <v>3.9E-2</v>
      </c>
      <c r="O208">
        <v>1</v>
      </c>
      <c r="P208">
        <v>1</v>
      </c>
      <c r="S208" s="116" t="s">
        <v>944</v>
      </c>
    </row>
    <row r="209" spans="1:19" x14ac:dyDescent="0.2">
      <c r="A209" t="s">
        <v>1445</v>
      </c>
      <c r="B209">
        <v>9001257100</v>
      </c>
      <c r="C209" t="s">
        <v>1446</v>
      </c>
      <c r="D209">
        <v>101818</v>
      </c>
      <c r="E209">
        <v>2.48</v>
      </c>
      <c r="F209">
        <v>64654.494650000001</v>
      </c>
      <c r="G209">
        <v>64.653999999999996</v>
      </c>
      <c r="H209">
        <v>0.73</v>
      </c>
      <c r="I209">
        <v>4</v>
      </c>
      <c r="J209">
        <v>1838</v>
      </c>
      <c r="K209">
        <v>0.34113637600000002</v>
      </c>
      <c r="L209">
        <v>0.42399999999999999</v>
      </c>
      <c r="M209">
        <v>3</v>
      </c>
      <c r="N209">
        <v>0.23899999999999999</v>
      </c>
      <c r="O209">
        <v>2</v>
      </c>
      <c r="P209">
        <v>2</v>
      </c>
      <c r="S209" s="114" t="s">
        <v>944</v>
      </c>
    </row>
    <row r="210" spans="1:19" x14ac:dyDescent="0.2">
      <c r="A210" t="s">
        <v>1447</v>
      </c>
      <c r="B210">
        <v>9001257200</v>
      </c>
      <c r="C210" t="s">
        <v>1448</v>
      </c>
      <c r="D210">
        <v>50915</v>
      </c>
      <c r="E210">
        <v>2.88</v>
      </c>
      <c r="F210">
        <v>30001.95147</v>
      </c>
      <c r="G210">
        <v>30.001999999999999</v>
      </c>
      <c r="H210">
        <v>0.16800000000000001</v>
      </c>
      <c r="I210">
        <v>1</v>
      </c>
      <c r="J210">
        <v>1269</v>
      </c>
      <c r="K210">
        <v>0.50756698300000003</v>
      </c>
      <c r="L210">
        <v>0.85499999999999998</v>
      </c>
      <c r="M210">
        <v>5</v>
      </c>
      <c r="N210">
        <v>0.68899999999999995</v>
      </c>
      <c r="O210">
        <v>4</v>
      </c>
      <c r="P210">
        <v>5</v>
      </c>
      <c r="S210" s="116" t="s">
        <v>944</v>
      </c>
    </row>
    <row r="211" spans="1:19" x14ac:dyDescent="0.2">
      <c r="A211" t="s">
        <v>1449</v>
      </c>
      <c r="B211">
        <v>9003330100</v>
      </c>
      <c r="C211" t="s">
        <v>1450</v>
      </c>
      <c r="D211">
        <v>99722</v>
      </c>
      <c r="E211">
        <v>2.6</v>
      </c>
      <c r="F211">
        <v>61844.959009999999</v>
      </c>
      <c r="G211">
        <v>61.844999999999999</v>
      </c>
      <c r="H211">
        <v>0.69</v>
      </c>
      <c r="I211">
        <v>4</v>
      </c>
      <c r="J211">
        <v>1473</v>
      </c>
      <c r="K211">
        <v>0.285811492</v>
      </c>
      <c r="L211">
        <v>0.10199999999999999</v>
      </c>
      <c r="M211">
        <v>1</v>
      </c>
      <c r="N211">
        <v>0.502</v>
      </c>
      <c r="O211">
        <v>3</v>
      </c>
      <c r="P211">
        <v>3</v>
      </c>
      <c r="S211" s="114" t="s">
        <v>944</v>
      </c>
    </row>
    <row r="212" spans="1:19" x14ac:dyDescent="0.2">
      <c r="A212" t="s">
        <v>1451</v>
      </c>
      <c r="B212">
        <v>9003400100</v>
      </c>
      <c r="C212" t="s">
        <v>1452</v>
      </c>
      <c r="D212">
        <v>80725</v>
      </c>
      <c r="E212">
        <v>2.3199999999999998</v>
      </c>
      <c r="F212">
        <v>52998.558960000002</v>
      </c>
      <c r="G212">
        <v>52.999000000000002</v>
      </c>
      <c r="H212">
        <v>0.52100000000000002</v>
      </c>
      <c r="I212">
        <v>3</v>
      </c>
      <c r="J212">
        <v>1365</v>
      </c>
      <c r="K212">
        <v>0.309065007</v>
      </c>
      <c r="L212">
        <v>0.22</v>
      </c>
      <c r="M212">
        <v>2</v>
      </c>
      <c r="N212">
        <v>0.59399999999999997</v>
      </c>
      <c r="O212">
        <v>3</v>
      </c>
      <c r="P212">
        <v>3</v>
      </c>
      <c r="S212" s="116" t="s">
        <v>944</v>
      </c>
    </row>
    <row r="213" spans="1:19" x14ac:dyDescent="0.2">
      <c r="A213" t="s">
        <v>1453</v>
      </c>
      <c r="B213">
        <v>9003400200</v>
      </c>
      <c r="C213" t="s">
        <v>1454</v>
      </c>
      <c r="D213">
        <v>133417</v>
      </c>
      <c r="E213">
        <v>2.79</v>
      </c>
      <c r="F213">
        <v>79874.668600000005</v>
      </c>
      <c r="G213">
        <v>79.875</v>
      </c>
      <c r="H213">
        <v>0.876</v>
      </c>
      <c r="I213">
        <v>5</v>
      </c>
      <c r="J213">
        <v>1791</v>
      </c>
      <c r="K213">
        <v>0.26907153900000003</v>
      </c>
      <c r="L213">
        <v>0.06</v>
      </c>
      <c r="M213">
        <v>1</v>
      </c>
      <c r="N213">
        <v>0.25800000000000001</v>
      </c>
      <c r="O213">
        <v>2</v>
      </c>
      <c r="P213">
        <v>2</v>
      </c>
      <c r="S213" s="114" t="s">
        <v>944</v>
      </c>
    </row>
    <row r="214" spans="1:19" x14ac:dyDescent="0.2">
      <c r="A214" t="s">
        <v>1455</v>
      </c>
      <c r="B214">
        <v>9003400300</v>
      </c>
      <c r="C214" t="s">
        <v>1456</v>
      </c>
      <c r="D214">
        <v>99743</v>
      </c>
      <c r="E214">
        <v>2.4500000000000002</v>
      </c>
      <c r="F214">
        <v>63723.465219999998</v>
      </c>
      <c r="G214">
        <v>63.722999999999999</v>
      </c>
      <c r="H214">
        <v>0.71399999999999997</v>
      </c>
      <c r="I214">
        <v>4</v>
      </c>
      <c r="J214">
        <v>1591</v>
      </c>
      <c r="K214">
        <v>0.29960705900000001</v>
      </c>
      <c r="L214">
        <v>0.16700000000000001</v>
      </c>
      <c r="M214">
        <v>1</v>
      </c>
      <c r="N214">
        <v>0.39100000000000001</v>
      </c>
      <c r="O214">
        <v>2</v>
      </c>
      <c r="P214">
        <v>2</v>
      </c>
      <c r="S214" s="116" t="s">
        <v>944</v>
      </c>
    </row>
    <row r="215" spans="1:19" x14ac:dyDescent="0.2">
      <c r="A215" t="s">
        <v>1457</v>
      </c>
      <c r="B215">
        <v>9003405100</v>
      </c>
      <c r="C215" t="s">
        <v>1458</v>
      </c>
      <c r="D215">
        <v>70217</v>
      </c>
      <c r="E215">
        <v>2.73</v>
      </c>
      <c r="F215">
        <v>42497.261659999996</v>
      </c>
      <c r="G215">
        <v>42.497</v>
      </c>
      <c r="H215">
        <v>0.33100000000000002</v>
      </c>
      <c r="I215">
        <v>2</v>
      </c>
      <c r="J215">
        <v>1254</v>
      </c>
      <c r="K215">
        <v>0.35409340299999997</v>
      </c>
      <c r="L215">
        <v>0.502</v>
      </c>
      <c r="M215">
        <v>3</v>
      </c>
      <c r="N215">
        <v>0.71299999999999997</v>
      </c>
      <c r="O215">
        <v>4</v>
      </c>
      <c r="P215">
        <v>4</v>
      </c>
      <c r="S215" s="114" t="s">
        <v>944</v>
      </c>
    </row>
    <row r="216" spans="1:19" x14ac:dyDescent="0.2">
      <c r="A216" t="s">
        <v>1459</v>
      </c>
      <c r="B216">
        <v>9003405200</v>
      </c>
      <c r="C216" t="s">
        <v>1460</v>
      </c>
      <c r="D216">
        <v>66331</v>
      </c>
      <c r="E216">
        <v>2.11</v>
      </c>
      <c r="F216">
        <v>45664.14359</v>
      </c>
      <c r="G216">
        <v>45.664000000000001</v>
      </c>
      <c r="H216">
        <v>0.377</v>
      </c>
      <c r="I216">
        <v>2</v>
      </c>
      <c r="J216">
        <v>1014</v>
      </c>
      <c r="K216">
        <v>0.266467277</v>
      </c>
      <c r="L216">
        <v>5.5E-2</v>
      </c>
      <c r="M216">
        <v>1</v>
      </c>
      <c r="N216">
        <v>0.93200000000000005</v>
      </c>
      <c r="O216">
        <v>5</v>
      </c>
      <c r="P216">
        <v>5</v>
      </c>
      <c r="S216" s="116" t="s">
        <v>944</v>
      </c>
    </row>
    <row r="217" spans="1:19" x14ac:dyDescent="0.2">
      <c r="A217" t="s">
        <v>1461</v>
      </c>
      <c r="B217">
        <v>9003405300</v>
      </c>
      <c r="C217" t="s">
        <v>1462</v>
      </c>
      <c r="D217">
        <v>59552</v>
      </c>
      <c r="E217">
        <v>2.4700000000000002</v>
      </c>
      <c r="F217">
        <v>37892.030200000001</v>
      </c>
      <c r="G217">
        <v>37.892000000000003</v>
      </c>
      <c r="H217">
        <v>0.26400000000000001</v>
      </c>
      <c r="I217">
        <v>2</v>
      </c>
      <c r="J217">
        <v>1164</v>
      </c>
      <c r="K217">
        <v>0.36862632899999997</v>
      </c>
      <c r="L217">
        <v>0.58699999999999997</v>
      </c>
      <c r="M217">
        <v>3</v>
      </c>
      <c r="N217">
        <v>0.81299999999999994</v>
      </c>
      <c r="O217">
        <v>5</v>
      </c>
      <c r="P217">
        <v>5</v>
      </c>
      <c r="S217" s="114" t="s">
        <v>944</v>
      </c>
    </row>
    <row r="218" spans="1:19" x14ac:dyDescent="0.2">
      <c r="A218" t="s">
        <v>1463</v>
      </c>
      <c r="B218">
        <v>9003405401</v>
      </c>
      <c r="C218" t="s">
        <v>1464</v>
      </c>
      <c r="D218">
        <v>82266</v>
      </c>
      <c r="E218">
        <v>2.5299999999999998</v>
      </c>
      <c r="F218">
        <v>51720.191070000001</v>
      </c>
      <c r="G218">
        <v>51.72</v>
      </c>
      <c r="H218">
        <v>0.49399999999999999</v>
      </c>
      <c r="I218">
        <v>3</v>
      </c>
      <c r="J218">
        <v>1596</v>
      </c>
      <c r="K218">
        <v>0.37030025599999999</v>
      </c>
      <c r="L218">
        <v>0.59099999999999997</v>
      </c>
      <c r="M218">
        <v>3</v>
      </c>
      <c r="N218">
        <v>0.38500000000000001</v>
      </c>
      <c r="O218">
        <v>2</v>
      </c>
      <c r="P218">
        <v>3</v>
      </c>
      <c r="S218" s="116" t="s">
        <v>944</v>
      </c>
    </row>
    <row r="219" spans="1:19" x14ac:dyDescent="0.2">
      <c r="A219" t="s">
        <v>1465</v>
      </c>
      <c r="B219">
        <v>9003405402</v>
      </c>
      <c r="C219" t="s">
        <v>1466</v>
      </c>
      <c r="D219">
        <v>62212</v>
      </c>
      <c r="E219">
        <v>1.82</v>
      </c>
      <c r="F219">
        <v>46114.602489999997</v>
      </c>
      <c r="G219">
        <v>46.115000000000002</v>
      </c>
      <c r="H219">
        <v>0.38800000000000001</v>
      </c>
      <c r="I219">
        <v>2</v>
      </c>
      <c r="J219">
        <v>1094</v>
      </c>
      <c r="K219">
        <v>0.28468205899999999</v>
      </c>
      <c r="L219">
        <v>9.8000000000000004E-2</v>
      </c>
      <c r="M219">
        <v>1</v>
      </c>
      <c r="N219">
        <v>0.88100000000000001</v>
      </c>
      <c r="O219">
        <v>5</v>
      </c>
      <c r="P219">
        <v>5</v>
      </c>
      <c r="S219" s="114" t="s">
        <v>944</v>
      </c>
    </row>
    <row r="220" spans="1:19" x14ac:dyDescent="0.2">
      <c r="A220" t="s">
        <v>1467</v>
      </c>
      <c r="B220">
        <v>9003405500</v>
      </c>
      <c r="C220" t="s">
        <v>1468</v>
      </c>
      <c r="D220">
        <v>76318</v>
      </c>
      <c r="E220">
        <v>2.4700000000000002</v>
      </c>
      <c r="F220">
        <v>48559.980539999997</v>
      </c>
      <c r="G220">
        <v>48.56</v>
      </c>
      <c r="H220">
        <v>0.443</v>
      </c>
      <c r="I220">
        <v>3</v>
      </c>
      <c r="J220">
        <v>1269</v>
      </c>
      <c r="K220">
        <v>0.31359155900000002</v>
      </c>
      <c r="L220">
        <v>0.245</v>
      </c>
      <c r="M220">
        <v>2</v>
      </c>
      <c r="N220">
        <v>0.68899999999999995</v>
      </c>
      <c r="O220">
        <v>4</v>
      </c>
      <c r="P220">
        <v>4</v>
      </c>
      <c r="S220" s="116" t="s">
        <v>944</v>
      </c>
    </row>
    <row r="221" spans="1:19" x14ac:dyDescent="0.2">
      <c r="A221" t="s">
        <v>1469</v>
      </c>
      <c r="B221">
        <v>9003405600</v>
      </c>
      <c r="C221" t="s">
        <v>1470</v>
      </c>
      <c r="D221">
        <v>63167</v>
      </c>
      <c r="E221">
        <v>2.74</v>
      </c>
      <c r="F221">
        <v>38160.580269999999</v>
      </c>
      <c r="G221">
        <v>38.161000000000001</v>
      </c>
      <c r="H221">
        <v>0.26700000000000002</v>
      </c>
      <c r="I221">
        <v>2</v>
      </c>
      <c r="J221">
        <v>1345</v>
      </c>
      <c r="K221">
        <v>0.42294954299999998</v>
      </c>
      <c r="L221">
        <v>0.73899999999999999</v>
      </c>
      <c r="M221">
        <v>4</v>
      </c>
      <c r="N221">
        <v>0.61099999999999999</v>
      </c>
      <c r="O221">
        <v>4</v>
      </c>
      <c r="P221">
        <v>4</v>
      </c>
      <c r="S221" s="114" t="s">
        <v>944</v>
      </c>
    </row>
    <row r="222" spans="1:19" x14ac:dyDescent="0.2">
      <c r="A222" t="s">
        <v>1471</v>
      </c>
      <c r="B222">
        <v>9003405700</v>
      </c>
      <c r="C222" t="s">
        <v>1472</v>
      </c>
      <c r="D222">
        <v>43393</v>
      </c>
      <c r="E222">
        <v>2.1</v>
      </c>
      <c r="F222">
        <v>29944.01482</v>
      </c>
      <c r="G222">
        <v>29.943999999999999</v>
      </c>
      <c r="H222">
        <v>0.16700000000000001</v>
      </c>
      <c r="I222">
        <v>1</v>
      </c>
      <c r="J222">
        <v>1098</v>
      </c>
      <c r="K222">
        <v>0.440021155</v>
      </c>
      <c r="L222">
        <v>0.76800000000000002</v>
      </c>
      <c r="M222">
        <v>4</v>
      </c>
      <c r="N222">
        <v>0.875</v>
      </c>
      <c r="O222">
        <v>5</v>
      </c>
      <c r="P222">
        <v>5</v>
      </c>
      <c r="S222" s="116" t="s">
        <v>936</v>
      </c>
    </row>
    <row r="223" spans="1:19" x14ac:dyDescent="0.2">
      <c r="A223" t="s">
        <v>1473</v>
      </c>
      <c r="B223">
        <v>9003405800</v>
      </c>
      <c r="C223" t="s">
        <v>1474</v>
      </c>
      <c r="D223">
        <v>85524</v>
      </c>
      <c r="E223">
        <v>2.5499999999999998</v>
      </c>
      <c r="F223">
        <v>53557.206270000002</v>
      </c>
      <c r="G223">
        <v>53.557000000000002</v>
      </c>
      <c r="H223">
        <v>0.53200000000000003</v>
      </c>
      <c r="I223">
        <v>3</v>
      </c>
      <c r="J223">
        <v>1496</v>
      </c>
      <c r="K223">
        <v>0.33519298800000003</v>
      </c>
      <c r="L223">
        <v>0.39700000000000002</v>
      </c>
      <c r="M223">
        <v>2</v>
      </c>
      <c r="N223">
        <v>0.47599999999999998</v>
      </c>
      <c r="O223">
        <v>3</v>
      </c>
      <c r="P223">
        <v>3</v>
      </c>
      <c r="S223" s="114" t="s">
        <v>944</v>
      </c>
    </row>
    <row r="224" spans="1:19" x14ac:dyDescent="0.2">
      <c r="A224" t="s">
        <v>1475</v>
      </c>
      <c r="B224">
        <v>9003405900</v>
      </c>
      <c r="C224" t="s">
        <v>1476</v>
      </c>
      <c r="D224">
        <v>91250</v>
      </c>
      <c r="E224">
        <v>2.65</v>
      </c>
      <c r="F224">
        <v>56054.429409999997</v>
      </c>
      <c r="G224">
        <v>56.054000000000002</v>
      </c>
      <c r="H224">
        <v>0.58199999999999996</v>
      </c>
      <c r="I224">
        <v>3</v>
      </c>
      <c r="J224">
        <v>1361</v>
      </c>
      <c r="K224">
        <v>0.29135966899999999</v>
      </c>
      <c r="L224">
        <v>0.124</v>
      </c>
      <c r="M224">
        <v>1</v>
      </c>
      <c r="N224">
        <v>0.59799999999999998</v>
      </c>
      <c r="O224">
        <v>3</v>
      </c>
      <c r="P224">
        <v>3</v>
      </c>
      <c r="S224" s="116" t="s">
        <v>944</v>
      </c>
    </row>
    <row r="225" spans="1:19" x14ac:dyDescent="0.2">
      <c r="A225" t="s">
        <v>1477</v>
      </c>
      <c r="B225">
        <v>9003406001</v>
      </c>
      <c r="C225" t="s">
        <v>1478</v>
      </c>
      <c r="D225">
        <v>50799</v>
      </c>
      <c r="E225">
        <v>2.46</v>
      </c>
      <c r="F225">
        <v>32388.259450000001</v>
      </c>
      <c r="G225">
        <v>32.387999999999998</v>
      </c>
      <c r="H225">
        <v>0.20399999999999999</v>
      </c>
      <c r="I225">
        <v>2</v>
      </c>
      <c r="J225">
        <v>1107</v>
      </c>
      <c r="K225">
        <v>0.41014862299999999</v>
      </c>
      <c r="L225">
        <v>0.70399999999999996</v>
      </c>
      <c r="M225">
        <v>4</v>
      </c>
      <c r="N225">
        <v>0.86899999999999999</v>
      </c>
      <c r="O225">
        <v>5</v>
      </c>
      <c r="P225">
        <v>5</v>
      </c>
      <c r="S225" s="114" t="s">
        <v>944</v>
      </c>
    </row>
    <row r="226" spans="1:19" x14ac:dyDescent="0.2">
      <c r="A226" t="s">
        <v>1479</v>
      </c>
      <c r="B226">
        <v>9003406002</v>
      </c>
      <c r="C226" t="s">
        <v>1480</v>
      </c>
      <c r="D226">
        <v>82702</v>
      </c>
      <c r="E226">
        <v>2.27</v>
      </c>
      <c r="F226">
        <v>54891.245320000002</v>
      </c>
      <c r="G226">
        <v>54.890999999999998</v>
      </c>
      <c r="H226">
        <v>0.55600000000000005</v>
      </c>
      <c r="I226">
        <v>3</v>
      </c>
      <c r="J226">
        <v>1362</v>
      </c>
      <c r="K226">
        <v>0.297752399</v>
      </c>
      <c r="L226">
        <v>0.155</v>
      </c>
      <c r="M226">
        <v>1</v>
      </c>
      <c r="N226">
        <v>0.59699999999999998</v>
      </c>
      <c r="O226">
        <v>3</v>
      </c>
      <c r="P226">
        <v>3</v>
      </c>
      <c r="S226" s="116" t="s">
        <v>944</v>
      </c>
    </row>
    <row r="227" spans="1:19" x14ac:dyDescent="0.2">
      <c r="A227" t="s">
        <v>1481</v>
      </c>
      <c r="B227">
        <v>9003406100</v>
      </c>
      <c r="C227" t="s">
        <v>1482</v>
      </c>
      <c r="D227">
        <v>45903</v>
      </c>
      <c r="E227">
        <v>2.25</v>
      </c>
      <c r="F227">
        <v>30602</v>
      </c>
      <c r="G227">
        <v>30.602</v>
      </c>
      <c r="H227">
        <v>0.17799999999999999</v>
      </c>
      <c r="I227">
        <v>1</v>
      </c>
      <c r="J227">
        <v>993</v>
      </c>
      <c r="K227">
        <v>0.38938631499999998</v>
      </c>
      <c r="L227">
        <v>0.66100000000000003</v>
      </c>
      <c r="M227">
        <v>4</v>
      </c>
      <c r="N227">
        <v>0.94599999999999995</v>
      </c>
      <c r="O227">
        <v>5</v>
      </c>
      <c r="P227">
        <v>5</v>
      </c>
      <c r="S227" s="114" t="s">
        <v>936</v>
      </c>
    </row>
    <row r="228" spans="1:19" x14ac:dyDescent="0.2">
      <c r="A228" t="s">
        <v>1483</v>
      </c>
      <c r="B228">
        <v>9003410101</v>
      </c>
      <c r="C228" t="s">
        <v>1484</v>
      </c>
      <c r="D228">
        <v>117401</v>
      </c>
      <c r="E228">
        <v>2.77</v>
      </c>
      <c r="F228">
        <v>70539.424419999996</v>
      </c>
      <c r="G228">
        <v>70.539000000000001</v>
      </c>
      <c r="H228">
        <v>0.80900000000000005</v>
      </c>
      <c r="I228">
        <v>5</v>
      </c>
      <c r="J228">
        <v>1833</v>
      </c>
      <c r="K228">
        <v>0.311825623</v>
      </c>
      <c r="L228">
        <v>0.23400000000000001</v>
      </c>
      <c r="M228">
        <v>2</v>
      </c>
      <c r="N228">
        <v>0.24099999999999999</v>
      </c>
      <c r="O228">
        <v>2</v>
      </c>
      <c r="P228">
        <v>2</v>
      </c>
      <c r="S228" s="116" t="s">
        <v>944</v>
      </c>
    </row>
    <row r="229" spans="1:19" x14ac:dyDescent="0.2">
      <c r="A229" t="s">
        <v>1485</v>
      </c>
      <c r="B229">
        <v>9003410102</v>
      </c>
      <c r="C229" t="s">
        <v>1486</v>
      </c>
      <c r="D229">
        <v>136719</v>
      </c>
      <c r="E229">
        <v>2.81</v>
      </c>
      <c r="F229">
        <v>81559.717569999993</v>
      </c>
      <c r="G229">
        <v>81.56</v>
      </c>
      <c r="H229">
        <v>0.89300000000000002</v>
      </c>
      <c r="I229">
        <v>5</v>
      </c>
      <c r="J229">
        <v>1985</v>
      </c>
      <c r="K229">
        <v>0.29205594000000001</v>
      </c>
      <c r="L229">
        <v>0.127</v>
      </c>
      <c r="M229">
        <v>1</v>
      </c>
      <c r="N229">
        <v>0.16700000000000001</v>
      </c>
      <c r="O229">
        <v>1</v>
      </c>
      <c r="P229">
        <v>1</v>
      </c>
      <c r="S229" s="114" t="s">
        <v>944</v>
      </c>
    </row>
    <row r="230" spans="1:19" x14ac:dyDescent="0.2">
      <c r="A230" t="s">
        <v>1487</v>
      </c>
      <c r="B230">
        <v>9003415300</v>
      </c>
      <c r="C230" t="s">
        <v>1488</v>
      </c>
      <c r="D230">
        <v>33049</v>
      </c>
      <c r="E230">
        <v>2.41</v>
      </c>
      <c r="F230">
        <v>21288.732349999998</v>
      </c>
      <c r="G230">
        <v>21.289000000000001</v>
      </c>
      <c r="H230">
        <v>7.3999999999999996E-2</v>
      </c>
      <c r="I230">
        <v>1</v>
      </c>
      <c r="J230">
        <v>1054</v>
      </c>
      <c r="K230">
        <v>0.59411710299999998</v>
      </c>
      <c r="L230">
        <v>0.91600000000000004</v>
      </c>
      <c r="M230">
        <v>5</v>
      </c>
      <c r="N230">
        <v>0.90600000000000003</v>
      </c>
      <c r="O230">
        <v>5</v>
      </c>
      <c r="P230">
        <v>5</v>
      </c>
      <c r="S230" s="116" t="s">
        <v>936</v>
      </c>
    </row>
    <row r="231" spans="1:19" x14ac:dyDescent="0.2">
      <c r="A231" t="s">
        <v>1489</v>
      </c>
      <c r="B231">
        <v>9003415400</v>
      </c>
      <c r="C231" t="s">
        <v>1490</v>
      </c>
      <c r="D231">
        <v>45828</v>
      </c>
      <c r="E231">
        <v>2.64</v>
      </c>
      <c r="F231">
        <v>28205.184239999999</v>
      </c>
      <c r="G231">
        <v>28.204999999999998</v>
      </c>
      <c r="H231">
        <v>0.14399999999999999</v>
      </c>
      <c r="I231">
        <v>1</v>
      </c>
      <c r="J231">
        <v>1129</v>
      </c>
      <c r="K231">
        <v>0.480337228</v>
      </c>
      <c r="L231">
        <v>0.82199999999999995</v>
      </c>
      <c r="M231">
        <v>5</v>
      </c>
      <c r="N231">
        <v>0.84</v>
      </c>
      <c r="O231">
        <v>5</v>
      </c>
      <c r="P231">
        <v>5</v>
      </c>
      <c r="S231" s="114" t="s">
        <v>936</v>
      </c>
    </row>
    <row r="232" spans="1:19" x14ac:dyDescent="0.2">
      <c r="A232" t="s">
        <v>1491</v>
      </c>
      <c r="B232">
        <v>9003415500</v>
      </c>
      <c r="C232" t="s">
        <v>1492</v>
      </c>
      <c r="D232">
        <v>33056</v>
      </c>
      <c r="E232">
        <v>2.65</v>
      </c>
      <c r="F232">
        <v>20306.139380000001</v>
      </c>
      <c r="G232">
        <v>20.306000000000001</v>
      </c>
      <c r="H232">
        <v>6.0999999999999999E-2</v>
      </c>
      <c r="I232">
        <v>1</v>
      </c>
      <c r="J232">
        <v>1190</v>
      </c>
      <c r="K232">
        <v>0.70323559499999999</v>
      </c>
      <c r="L232">
        <v>0.96699999999999997</v>
      </c>
      <c r="M232">
        <v>5</v>
      </c>
      <c r="N232">
        <v>0.78200000000000003</v>
      </c>
      <c r="O232">
        <v>4</v>
      </c>
      <c r="P232">
        <v>5</v>
      </c>
      <c r="S232" s="116" t="s">
        <v>936</v>
      </c>
    </row>
    <row r="233" spans="1:19" x14ac:dyDescent="0.2">
      <c r="A233" t="s">
        <v>1493</v>
      </c>
      <c r="B233">
        <v>9003415600</v>
      </c>
      <c r="C233" t="s">
        <v>1494</v>
      </c>
      <c r="D233">
        <v>49125</v>
      </c>
      <c r="E233">
        <v>2.8</v>
      </c>
      <c r="F233">
        <v>29357.80272</v>
      </c>
      <c r="G233">
        <v>29.358000000000001</v>
      </c>
      <c r="H233">
        <v>0.161</v>
      </c>
      <c r="I233">
        <v>1</v>
      </c>
      <c r="J233">
        <v>1072</v>
      </c>
      <c r="K233">
        <v>0.43817993199999999</v>
      </c>
      <c r="L233">
        <v>0.76700000000000002</v>
      </c>
      <c r="M233">
        <v>4</v>
      </c>
      <c r="N233">
        <v>0.89500000000000002</v>
      </c>
      <c r="O233">
        <v>5</v>
      </c>
      <c r="P233">
        <v>5</v>
      </c>
      <c r="S233" s="114" t="s">
        <v>944</v>
      </c>
    </row>
    <row r="234" spans="1:19" x14ac:dyDescent="0.2">
      <c r="A234" t="s">
        <v>1495</v>
      </c>
      <c r="B234">
        <v>9003415700</v>
      </c>
      <c r="C234" t="s">
        <v>1496</v>
      </c>
      <c r="D234">
        <v>49583</v>
      </c>
      <c r="E234">
        <v>2.44</v>
      </c>
      <c r="F234">
        <v>31742.26309</v>
      </c>
      <c r="G234">
        <v>31.742000000000001</v>
      </c>
      <c r="H234">
        <v>0.19800000000000001</v>
      </c>
      <c r="I234">
        <v>1</v>
      </c>
      <c r="J234">
        <v>1087</v>
      </c>
      <c r="K234">
        <v>0.41093478300000003</v>
      </c>
      <c r="L234">
        <v>0.70599999999999996</v>
      </c>
      <c r="M234">
        <v>4</v>
      </c>
      <c r="N234">
        <v>0.88400000000000001</v>
      </c>
      <c r="O234">
        <v>5</v>
      </c>
      <c r="P234">
        <v>5</v>
      </c>
      <c r="S234" s="116" t="s">
        <v>944</v>
      </c>
    </row>
    <row r="235" spans="1:19" x14ac:dyDescent="0.2">
      <c r="A235" t="s">
        <v>1497</v>
      </c>
      <c r="B235">
        <v>9003415800</v>
      </c>
      <c r="C235" t="s">
        <v>1498</v>
      </c>
      <c r="D235">
        <v>48824</v>
      </c>
      <c r="E235">
        <v>2.42</v>
      </c>
      <c r="F235">
        <v>31385.2559</v>
      </c>
      <c r="G235">
        <v>31.385000000000002</v>
      </c>
      <c r="H235">
        <v>0.19500000000000001</v>
      </c>
      <c r="I235">
        <v>1</v>
      </c>
      <c r="J235">
        <v>1157</v>
      </c>
      <c r="K235">
        <v>0.44237332499999998</v>
      </c>
      <c r="L235">
        <v>0.77400000000000002</v>
      </c>
      <c r="M235">
        <v>4</v>
      </c>
      <c r="N235">
        <v>0.81699999999999995</v>
      </c>
      <c r="O235">
        <v>5</v>
      </c>
      <c r="P235">
        <v>5</v>
      </c>
      <c r="S235" s="114" t="s">
        <v>944</v>
      </c>
    </row>
    <row r="236" spans="1:19" x14ac:dyDescent="0.2">
      <c r="A236" t="s">
        <v>1499</v>
      </c>
      <c r="B236">
        <v>9003415900</v>
      </c>
      <c r="C236" t="s">
        <v>1500</v>
      </c>
      <c r="D236">
        <v>28636</v>
      </c>
      <c r="E236">
        <v>1.93</v>
      </c>
      <c r="F236">
        <v>20612.643840000001</v>
      </c>
      <c r="G236">
        <v>20.613</v>
      </c>
      <c r="H236">
        <v>6.3E-2</v>
      </c>
      <c r="I236">
        <v>1</v>
      </c>
      <c r="J236">
        <v>887</v>
      </c>
      <c r="K236">
        <v>0.51638208500000005</v>
      </c>
      <c r="L236">
        <v>0.86299999999999999</v>
      </c>
      <c r="M236">
        <v>5</v>
      </c>
      <c r="N236">
        <v>0.97499999999999998</v>
      </c>
      <c r="O236">
        <v>5</v>
      </c>
      <c r="P236">
        <v>5</v>
      </c>
      <c r="S236" s="116" t="s">
        <v>936</v>
      </c>
    </row>
    <row r="237" spans="1:19" x14ac:dyDescent="0.2">
      <c r="A237" t="s">
        <v>1501</v>
      </c>
      <c r="B237">
        <v>9003416000</v>
      </c>
      <c r="C237" t="s">
        <v>1502</v>
      </c>
      <c r="D237">
        <v>41616</v>
      </c>
      <c r="E237">
        <v>2.63</v>
      </c>
      <c r="F237">
        <v>25661.52493</v>
      </c>
      <c r="G237">
        <v>25.661999999999999</v>
      </c>
      <c r="H237">
        <v>0.121</v>
      </c>
      <c r="I237">
        <v>1</v>
      </c>
      <c r="J237">
        <v>886</v>
      </c>
      <c r="K237">
        <v>0.41431676499999998</v>
      </c>
      <c r="L237">
        <v>0.71199999999999997</v>
      </c>
      <c r="M237">
        <v>4</v>
      </c>
      <c r="N237">
        <v>0.97599999999999998</v>
      </c>
      <c r="O237">
        <v>5</v>
      </c>
      <c r="P237">
        <v>5</v>
      </c>
      <c r="S237" s="114" t="s">
        <v>936</v>
      </c>
    </row>
    <row r="238" spans="1:19" x14ac:dyDescent="0.2">
      <c r="A238" t="s">
        <v>1503</v>
      </c>
      <c r="B238">
        <v>9003416100</v>
      </c>
      <c r="C238" t="s">
        <v>1504</v>
      </c>
      <c r="D238">
        <v>30293</v>
      </c>
      <c r="E238">
        <v>2.54</v>
      </c>
      <c r="F238">
        <v>19007.51871</v>
      </c>
      <c r="G238">
        <v>19.007999999999999</v>
      </c>
      <c r="H238">
        <v>4.9000000000000002E-2</v>
      </c>
      <c r="I238">
        <v>1</v>
      </c>
      <c r="J238">
        <v>1025</v>
      </c>
      <c r="K238">
        <v>0.64711234500000003</v>
      </c>
      <c r="L238">
        <v>0.94599999999999995</v>
      </c>
      <c r="M238">
        <v>5</v>
      </c>
      <c r="N238">
        <v>0.92400000000000004</v>
      </c>
      <c r="O238">
        <v>5</v>
      </c>
      <c r="P238">
        <v>5</v>
      </c>
      <c r="S238" s="116" t="s">
        <v>936</v>
      </c>
    </row>
    <row r="239" spans="1:19" x14ac:dyDescent="0.2">
      <c r="A239" t="s">
        <v>1505</v>
      </c>
      <c r="B239">
        <v>9003416200</v>
      </c>
      <c r="C239" t="s">
        <v>1506</v>
      </c>
      <c r="D239">
        <v>35463</v>
      </c>
      <c r="E239">
        <v>2.4</v>
      </c>
      <c r="F239">
        <v>22891.268069999998</v>
      </c>
      <c r="G239">
        <v>22.890999999999998</v>
      </c>
      <c r="H239">
        <v>9.2999999999999999E-2</v>
      </c>
      <c r="I239">
        <v>1</v>
      </c>
      <c r="J239">
        <v>998</v>
      </c>
      <c r="K239">
        <v>0.52316892000000004</v>
      </c>
      <c r="L239">
        <v>0.86699999999999999</v>
      </c>
      <c r="M239">
        <v>5</v>
      </c>
      <c r="N239">
        <v>0.94299999999999995</v>
      </c>
      <c r="O239">
        <v>5</v>
      </c>
      <c r="P239">
        <v>5</v>
      </c>
      <c r="S239" s="114" t="s">
        <v>936</v>
      </c>
    </row>
    <row r="240" spans="1:19" x14ac:dyDescent="0.2">
      <c r="A240" t="s">
        <v>1507</v>
      </c>
      <c r="B240">
        <v>9003416300</v>
      </c>
      <c r="C240" t="s">
        <v>1508</v>
      </c>
      <c r="D240">
        <v>37463</v>
      </c>
      <c r="E240">
        <v>2.5499999999999998</v>
      </c>
      <c r="F240">
        <v>23460.24062</v>
      </c>
      <c r="G240">
        <v>23.46</v>
      </c>
      <c r="H240">
        <v>9.9000000000000005E-2</v>
      </c>
      <c r="I240">
        <v>1</v>
      </c>
      <c r="J240">
        <v>946</v>
      </c>
      <c r="K240">
        <v>0.48388250500000002</v>
      </c>
      <c r="L240">
        <v>0.82599999999999996</v>
      </c>
      <c r="M240">
        <v>5</v>
      </c>
      <c r="N240">
        <v>0.96299999999999997</v>
      </c>
      <c r="O240">
        <v>5</v>
      </c>
      <c r="P240">
        <v>5</v>
      </c>
      <c r="S240" s="116" t="s">
        <v>936</v>
      </c>
    </row>
    <row r="241" spans="1:19" x14ac:dyDescent="0.2">
      <c r="A241" t="s">
        <v>1509</v>
      </c>
      <c r="B241">
        <v>9003416400</v>
      </c>
      <c r="C241" t="s">
        <v>1510</v>
      </c>
      <c r="D241">
        <v>96658</v>
      </c>
      <c r="E241">
        <v>2.59</v>
      </c>
      <c r="F241">
        <v>60060.358840000001</v>
      </c>
      <c r="G241">
        <v>60.06</v>
      </c>
      <c r="H241">
        <v>0.65600000000000003</v>
      </c>
      <c r="I241">
        <v>4</v>
      </c>
      <c r="J241">
        <v>1560</v>
      </c>
      <c r="K241">
        <v>0.31168644899999998</v>
      </c>
      <c r="L241">
        <v>0.23300000000000001</v>
      </c>
      <c r="M241">
        <v>2</v>
      </c>
      <c r="N241">
        <v>0.42</v>
      </c>
      <c r="O241">
        <v>3</v>
      </c>
      <c r="P241">
        <v>3</v>
      </c>
      <c r="S241" s="114" t="s">
        <v>944</v>
      </c>
    </row>
    <row r="242" spans="1:19" x14ac:dyDescent="0.2">
      <c r="A242" t="s">
        <v>1511</v>
      </c>
      <c r="B242">
        <v>9003416500</v>
      </c>
      <c r="C242" t="s">
        <v>1512</v>
      </c>
      <c r="D242">
        <v>53617</v>
      </c>
      <c r="E242">
        <v>2.71</v>
      </c>
      <c r="F242">
        <v>32570.007989999998</v>
      </c>
      <c r="G242">
        <v>32.57</v>
      </c>
      <c r="H242">
        <v>0.20699999999999999</v>
      </c>
      <c r="I242">
        <v>2</v>
      </c>
      <c r="J242">
        <v>1244</v>
      </c>
      <c r="K242">
        <v>0.458335779</v>
      </c>
      <c r="L242">
        <v>0.79600000000000004</v>
      </c>
      <c r="M242">
        <v>4</v>
      </c>
      <c r="N242">
        <v>0.71899999999999997</v>
      </c>
      <c r="O242">
        <v>4</v>
      </c>
      <c r="P242">
        <v>4</v>
      </c>
      <c r="S242" s="116" t="s">
        <v>944</v>
      </c>
    </row>
    <row r="243" spans="1:19" x14ac:dyDescent="0.2">
      <c r="A243" t="s">
        <v>1513</v>
      </c>
      <c r="B243">
        <v>9003416600</v>
      </c>
      <c r="C243" t="s">
        <v>1514</v>
      </c>
      <c r="D243">
        <v>30563</v>
      </c>
      <c r="E243">
        <v>2.4500000000000002</v>
      </c>
      <c r="F243">
        <v>19525.98446</v>
      </c>
      <c r="G243">
        <v>19.526</v>
      </c>
      <c r="H243">
        <v>5.2999999999999999E-2</v>
      </c>
      <c r="I243">
        <v>1</v>
      </c>
      <c r="J243">
        <v>947</v>
      </c>
      <c r="K243">
        <v>0.58199370299999997</v>
      </c>
      <c r="L243">
        <v>0.90900000000000003</v>
      </c>
      <c r="M243">
        <v>5</v>
      </c>
      <c r="N243">
        <v>0.96</v>
      </c>
      <c r="O243">
        <v>5</v>
      </c>
      <c r="P243">
        <v>5</v>
      </c>
      <c r="S243" s="114" t="s">
        <v>936</v>
      </c>
    </row>
    <row r="244" spans="1:19" x14ac:dyDescent="0.2">
      <c r="A244" t="s">
        <v>1515</v>
      </c>
      <c r="B244">
        <v>9003416700</v>
      </c>
      <c r="C244" t="s">
        <v>1516</v>
      </c>
      <c r="D244">
        <v>46326</v>
      </c>
      <c r="E244">
        <v>2.54</v>
      </c>
      <c r="F244">
        <v>29067.517629999998</v>
      </c>
      <c r="G244">
        <v>29.068000000000001</v>
      </c>
      <c r="H244">
        <v>0.153</v>
      </c>
      <c r="I244">
        <v>1</v>
      </c>
      <c r="J244">
        <v>1198</v>
      </c>
      <c r="K244">
        <v>0.49457267700000002</v>
      </c>
      <c r="L244">
        <v>0.83799999999999997</v>
      </c>
      <c r="M244">
        <v>5</v>
      </c>
      <c r="N244">
        <v>0.76700000000000002</v>
      </c>
      <c r="O244">
        <v>4</v>
      </c>
      <c r="P244">
        <v>5</v>
      </c>
      <c r="S244" s="116" t="s">
        <v>936</v>
      </c>
    </row>
    <row r="245" spans="1:19" x14ac:dyDescent="0.2">
      <c r="A245" t="s">
        <v>1517</v>
      </c>
      <c r="B245">
        <v>9003416800</v>
      </c>
      <c r="C245" t="s">
        <v>1518</v>
      </c>
      <c r="D245">
        <v>62788</v>
      </c>
      <c r="E245">
        <v>2.44</v>
      </c>
      <c r="F245">
        <v>40195.898090000002</v>
      </c>
      <c r="G245">
        <v>40.195999999999998</v>
      </c>
      <c r="H245">
        <v>0.29599999999999999</v>
      </c>
      <c r="I245">
        <v>2</v>
      </c>
      <c r="J245">
        <v>1102</v>
      </c>
      <c r="K245">
        <v>0.328988793</v>
      </c>
      <c r="L245">
        <v>0.34599999999999997</v>
      </c>
      <c r="M245">
        <v>2</v>
      </c>
      <c r="N245">
        <v>0.874</v>
      </c>
      <c r="O245">
        <v>5</v>
      </c>
      <c r="P245">
        <v>5</v>
      </c>
      <c r="S245" s="114" t="s">
        <v>944</v>
      </c>
    </row>
    <row r="246" spans="1:19" x14ac:dyDescent="0.2">
      <c r="A246" t="s">
        <v>1519</v>
      </c>
      <c r="B246">
        <v>9003417100</v>
      </c>
      <c r="C246" t="s">
        <v>1520</v>
      </c>
      <c r="D246">
        <v>29755</v>
      </c>
      <c r="E246">
        <v>1.97</v>
      </c>
      <c r="F246">
        <v>21199.559720000001</v>
      </c>
      <c r="G246">
        <v>21.2</v>
      </c>
      <c r="H246">
        <v>7.1999999999999995E-2</v>
      </c>
      <c r="I246">
        <v>1</v>
      </c>
      <c r="J246">
        <v>803</v>
      </c>
      <c r="K246">
        <v>0.45453774200000002</v>
      </c>
      <c r="L246">
        <v>0.78900000000000003</v>
      </c>
      <c r="M246">
        <v>4</v>
      </c>
      <c r="N246">
        <v>0.98699999999999999</v>
      </c>
      <c r="O246">
        <v>5</v>
      </c>
      <c r="P246">
        <v>5</v>
      </c>
      <c r="S246" s="116" t="s">
        <v>936</v>
      </c>
    </row>
    <row r="247" spans="1:19" x14ac:dyDescent="0.2">
      <c r="A247" t="s">
        <v>1521</v>
      </c>
      <c r="B247">
        <v>9003417200</v>
      </c>
      <c r="C247" t="s">
        <v>1522</v>
      </c>
      <c r="D247">
        <v>32378</v>
      </c>
      <c r="E247">
        <v>2.38</v>
      </c>
      <c r="F247">
        <v>20987.54016</v>
      </c>
      <c r="G247">
        <v>20.988</v>
      </c>
      <c r="H247">
        <v>6.8000000000000005E-2</v>
      </c>
      <c r="I247">
        <v>1</v>
      </c>
      <c r="J247">
        <v>1254</v>
      </c>
      <c r="K247">
        <v>0.71699684100000005</v>
      </c>
      <c r="L247">
        <v>0.96899999999999997</v>
      </c>
      <c r="M247">
        <v>5</v>
      </c>
      <c r="N247">
        <v>0.71299999999999997</v>
      </c>
      <c r="O247">
        <v>4</v>
      </c>
      <c r="P247">
        <v>5</v>
      </c>
      <c r="S247" s="114" t="s">
        <v>936</v>
      </c>
    </row>
    <row r="248" spans="1:19" x14ac:dyDescent="0.2">
      <c r="A248" t="s">
        <v>1523</v>
      </c>
      <c r="B248">
        <v>9003417400</v>
      </c>
      <c r="C248" t="s">
        <v>1524</v>
      </c>
      <c r="D248">
        <v>76724</v>
      </c>
      <c r="E248">
        <v>2.02</v>
      </c>
      <c r="F248">
        <v>53982.818019999999</v>
      </c>
      <c r="G248">
        <v>53.982999999999997</v>
      </c>
      <c r="H248">
        <v>0.54300000000000004</v>
      </c>
      <c r="I248">
        <v>3</v>
      </c>
      <c r="J248">
        <v>1313</v>
      </c>
      <c r="K248">
        <v>0.29187064699999998</v>
      </c>
      <c r="L248">
        <v>0.126</v>
      </c>
      <c r="M248">
        <v>1</v>
      </c>
      <c r="N248">
        <v>0.64300000000000002</v>
      </c>
      <c r="O248">
        <v>4</v>
      </c>
      <c r="P248">
        <v>4</v>
      </c>
      <c r="S248" s="116" t="s">
        <v>944</v>
      </c>
    </row>
    <row r="249" spans="1:19" x14ac:dyDescent="0.2">
      <c r="A249" t="s">
        <v>1525</v>
      </c>
      <c r="B249">
        <v>9003417500</v>
      </c>
      <c r="C249" t="s">
        <v>1526</v>
      </c>
      <c r="D249">
        <v>62462</v>
      </c>
      <c r="E249">
        <v>2.27</v>
      </c>
      <c r="F249">
        <v>41457.485489999999</v>
      </c>
      <c r="G249">
        <v>41.457000000000001</v>
      </c>
      <c r="H249">
        <v>0.308</v>
      </c>
      <c r="I249">
        <v>2</v>
      </c>
      <c r="J249">
        <v>1116</v>
      </c>
      <c r="K249">
        <v>0.32302972200000002</v>
      </c>
      <c r="L249">
        <v>0.31900000000000001</v>
      </c>
      <c r="M249">
        <v>2</v>
      </c>
      <c r="N249">
        <v>0.85899999999999999</v>
      </c>
      <c r="O249">
        <v>5</v>
      </c>
      <c r="P249">
        <v>5</v>
      </c>
      <c r="S249" s="114" t="s">
        <v>944</v>
      </c>
    </row>
    <row r="250" spans="1:19" x14ac:dyDescent="0.2">
      <c r="A250" t="s">
        <v>1527</v>
      </c>
      <c r="B250">
        <v>9003420400</v>
      </c>
      <c r="C250" t="s">
        <v>1528</v>
      </c>
      <c r="D250">
        <v>91129</v>
      </c>
      <c r="E250">
        <v>2.6</v>
      </c>
      <c r="F250">
        <v>56515.806640000003</v>
      </c>
      <c r="G250">
        <v>56.515999999999998</v>
      </c>
      <c r="H250">
        <v>0.58899999999999997</v>
      </c>
      <c r="I250">
        <v>3</v>
      </c>
      <c r="J250">
        <v>1605</v>
      </c>
      <c r="K250">
        <v>0.34078961499999999</v>
      </c>
      <c r="L250">
        <v>0.42299999999999999</v>
      </c>
      <c r="M250">
        <v>3</v>
      </c>
      <c r="N250">
        <v>0.379</v>
      </c>
      <c r="O250">
        <v>2</v>
      </c>
      <c r="P250">
        <v>3</v>
      </c>
      <c r="S250" s="116" t="s">
        <v>944</v>
      </c>
    </row>
    <row r="251" spans="1:19" x14ac:dyDescent="0.2">
      <c r="A251" t="s">
        <v>1529</v>
      </c>
      <c r="B251">
        <v>9003420500</v>
      </c>
      <c r="C251" t="s">
        <v>1530</v>
      </c>
      <c r="D251">
        <v>62060</v>
      </c>
      <c r="E251">
        <v>2.14</v>
      </c>
      <c r="F251">
        <v>42423.342629999999</v>
      </c>
      <c r="G251">
        <v>42.423000000000002</v>
      </c>
      <c r="H251">
        <v>0.32900000000000001</v>
      </c>
      <c r="I251">
        <v>2</v>
      </c>
      <c r="J251">
        <v>1181</v>
      </c>
      <c r="K251">
        <v>0.334061371</v>
      </c>
      <c r="L251">
        <v>0.38800000000000001</v>
      </c>
      <c r="M251">
        <v>2</v>
      </c>
      <c r="N251">
        <v>0.79700000000000004</v>
      </c>
      <c r="O251">
        <v>4</v>
      </c>
      <c r="P251">
        <v>4</v>
      </c>
      <c r="S251" s="114" t="s">
        <v>944</v>
      </c>
    </row>
    <row r="252" spans="1:19" x14ac:dyDescent="0.2">
      <c r="A252" t="s">
        <v>1531</v>
      </c>
      <c r="B252">
        <v>9003420600</v>
      </c>
      <c r="C252" t="s">
        <v>1532</v>
      </c>
      <c r="D252">
        <v>71316</v>
      </c>
      <c r="E252">
        <v>2.2200000000000002</v>
      </c>
      <c r="F252">
        <v>47864.165229999999</v>
      </c>
      <c r="G252">
        <v>47.863999999999997</v>
      </c>
      <c r="H252">
        <v>0.42499999999999999</v>
      </c>
      <c r="I252">
        <v>3</v>
      </c>
      <c r="J252">
        <v>1250</v>
      </c>
      <c r="K252">
        <v>0.31338685100000002</v>
      </c>
      <c r="L252">
        <v>0.24399999999999999</v>
      </c>
      <c r="M252">
        <v>2</v>
      </c>
      <c r="N252">
        <v>0.71499999999999997</v>
      </c>
      <c r="O252">
        <v>4</v>
      </c>
      <c r="P252">
        <v>4</v>
      </c>
      <c r="S252" s="116" t="s">
        <v>944</v>
      </c>
    </row>
    <row r="253" spans="1:19" x14ac:dyDescent="0.2">
      <c r="A253" t="s">
        <v>1533</v>
      </c>
      <c r="B253">
        <v>9003420700</v>
      </c>
      <c r="C253" t="s">
        <v>1534</v>
      </c>
      <c r="D253">
        <v>74732</v>
      </c>
      <c r="E253">
        <v>2.37</v>
      </c>
      <c r="F253">
        <v>48543.650479999997</v>
      </c>
      <c r="G253">
        <v>48.543999999999997</v>
      </c>
      <c r="H253">
        <v>0.442</v>
      </c>
      <c r="I253">
        <v>3</v>
      </c>
      <c r="J253">
        <v>1254</v>
      </c>
      <c r="K253">
        <v>0.30998904799999999</v>
      </c>
      <c r="L253">
        <v>0.22600000000000001</v>
      </c>
      <c r="M253">
        <v>2</v>
      </c>
      <c r="N253">
        <v>0.71299999999999997</v>
      </c>
      <c r="O253">
        <v>4</v>
      </c>
      <c r="P253">
        <v>4</v>
      </c>
      <c r="S253" s="114" t="s">
        <v>944</v>
      </c>
    </row>
    <row r="254" spans="1:19" x14ac:dyDescent="0.2">
      <c r="A254" t="s">
        <v>1535</v>
      </c>
      <c r="B254">
        <v>9003430100</v>
      </c>
      <c r="C254" t="s">
        <v>1536</v>
      </c>
      <c r="D254">
        <v>70689</v>
      </c>
      <c r="E254">
        <v>2.48</v>
      </c>
      <c r="F254">
        <v>44887.559889999997</v>
      </c>
      <c r="G254">
        <v>44.887999999999998</v>
      </c>
      <c r="H254">
        <v>0.36499999999999999</v>
      </c>
      <c r="I254">
        <v>2</v>
      </c>
      <c r="J254">
        <v>1333</v>
      </c>
      <c r="K254">
        <v>0.35635708500000002</v>
      </c>
      <c r="L254">
        <v>0.51400000000000001</v>
      </c>
      <c r="M254">
        <v>3</v>
      </c>
      <c r="N254">
        <v>0.625</v>
      </c>
      <c r="O254">
        <v>4</v>
      </c>
      <c r="P254">
        <v>4</v>
      </c>
      <c r="S254" s="116" t="s">
        <v>944</v>
      </c>
    </row>
    <row r="255" spans="1:19" x14ac:dyDescent="0.2">
      <c r="A255" t="s">
        <v>1537</v>
      </c>
      <c r="B255">
        <v>9003430201</v>
      </c>
      <c r="C255" t="s">
        <v>1538</v>
      </c>
      <c r="D255">
        <v>90500</v>
      </c>
      <c r="E255">
        <v>2.5499999999999998</v>
      </c>
      <c r="F255">
        <v>56673.298340000001</v>
      </c>
      <c r="G255">
        <v>56.673000000000002</v>
      </c>
      <c r="H255">
        <v>0.59199999999999997</v>
      </c>
      <c r="I255">
        <v>3</v>
      </c>
      <c r="J255">
        <v>1343</v>
      </c>
      <c r="K255">
        <v>0.28436672099999999</v>
      </c>
      <c r="L255">
        <v>9.6000000000000002E-2</v>
      </c>
      <c r="M255">
        <v>1</v>
      </c>
      <c r="N255">
        <v>0.61199999999999999</v>
      </c>
      <c r="O255">
        <v>4</v>
      </c>
      <c r="P255">
        <v>4</v>
      </c>
      <c r="S255" s="114" t="s">
        <v>944</v>
      </c>
    </row>
    <row r="256" spans="1:19" x14ac:dyDescent="0.2">
      <c r="A256" t="s">
        <v>1539</v>
      </c>
      <c r="B256">
        <v>9003430202</v>
      </c>
      <c r="C256" t="s">
        <v>1540</v>
      </c>
      <c r="D256">
        <v>119042</v>
      </c>
      <c r="E256">
        <v>2.83</v>
      </c>
      <c r="F256">
        <v>70763.123900000006</v>
      </c>
      <c r="G256">
        <v>70.763000000000005</v>
      </c>
      <c r="H256">
        <v>0.81100000000000005</v>
      </c>
      <c r="I256">
        <v>5</v>
      </c>
      <c r="J256">
        <v>2032</v>
      </c>
      <c r="K256">
        <v>0.34458625700000001</v>
      </c>
      <c r="L256">
        <v>0.45</v>
      </c>
      <c r="M256">
        <v>3</v>
      </c>
      <c r="N256">
        <v>0.157</v>
      </c>
      <c r="O256">
        <v>1</v>
      </c>
      <c r="P256">
        <v>1</v>
      </c>
      <c r="S256" s="116" t="s">
        <v>944</v>
      </c>
    </row>
    <row r="257" spans="1:19" x14ac:dyDescent="0.2">
      <c r="A257" t="s">
        <v>1541</v>
      </c>
      <c r="B257">
        <v>9003430203</v>
      </c>
      <c r="C257" t="s">
        <v>1542</v>
      </c>
      <c r="D257">
        <v>72813</v>
      </c>
      <c r="E257">
        <v>2.2599999999999998</v>
      </c>
      <c r="F257">
        <v>48434.487130000001</v>
      </c>
      <c r="G257">
        <v>48.433999999999997</v>
      </c>
      <c r="H257">
        <v>0.439</v>
      </c>
      <c r="I257">
        <v>3</v>
      </c>
      <c r="J257">
        <v>1234</v>
      </c>
      <c r="K257">
        <v>0.30573256500000001</v>
      </c>
      <c r="L257">
        <v>0.20399999999999999</v>
      </c>
      <c r="M257">
        <v>2</v>
      </c>
      <c r="N257">
        <v>0.72799999999999998</v>
      </c>
      <c r="O257">
        <v>4</v>
      </c>
      <c r="P257">
        <v>4</v>
      </c>
      <c r="S257" s="114" t="s">
        <v>944</v>
      </c>
    </row>
    <row r="258" spans="1:19" x14ac:dyDescent="0.2">
      <c r="A258" t="s">
        <v>1543</v>
      </c>
      <c r="B258">
        <v>9003430301</v>
      </c>
      <c r="C258" t="s">
        <v>1544</v>
      </c>
      <c r="D258">
        <v>131563</v>
      </c>
      <c r="E258">
        <v>2.76</v>
      </c>
      <c r="F258">
        <v>79191.619949999993</v>
      </c>
      <c r="G258">
        <v>79.191999999999993</v>
      </c>
      <c r="H258">
        <v>0.86899999999999999</v>
      </c>
      <c r="I258">
        <v>5</v>
      </c>
      <c r="J258">
        <v>1998</v>
      </c>
      <c r="K258">
        <v>0.30275930699999998</v>
      </c>
      <c r="L258">
        <v>0.188</v>
      </c>
      <c r="M258">
        <v>1</v>
      </c>
      <c r="N258">
        <v>0.16400000000000001</v>
      </c>
      <c r="O258">
        <v>1</v>
      </c>
      <c r="P258">
        <v>1</v>
      </c>
      <c r="S258" s="116" t="s">
        <v>944</v>
      </c>
    </row>
    <row r="259" spans="1:19" x14ac:dyDescent="0.2">
      <c r="A259" t="s">
        <v>1545</v>
      </c>
      <c r="B259">
        <v>9003430302</v>
      </c>
      <c r="C259" t="s">
        <v>1546</v>
      </c>
      <c r="D259">
        <v>89900</v>
      </c>
      <c r="E259">
        <v>2.69</v>
      </c>
      <c r="F259">
        <v>54812.9974</v>
      </c>
      <c r="G259">
        <v>54.813000000000002</v>
      </c>
      <c r="H259">
        <v>0.55500000000000005</v>
      </c>
      <c r="I259">
        <v>3</v>
      </c>
      <c r="J259">
        <v>1457</v>
      </c>
      <c r="K259">
        <v>0.31897544100000003</v>
      </c>
      <c r="L259">
        <v>0.28100000000000003</v>
      </c>
      <c r="M259">
        <v>2</v>
      </c>
      <c r="N259">
        <v>0.51900000000000002</v>
      </c>
      <c r="O259">
        <v>3</v>
      </c>
      <c r="P259">
        <v>3</v>
      </c>
      <c r="S259" s="114" t="s">
        <v>944</v>
      </c>
    </row>
    <row r="260" spans="1:19" x14ac:dyDescent="0.2">
      <c r="A260" t="s">
        <v>1547</v>
      </c>
      <c r="B260">
        <v>9003430400</v>
      </c>
      <c r="C260" t="s">
        <v>1548</v>
      </c>
      <c r="D260">
        <v>90054</v>
      </c>
      <c r="E260">
        <v>2.11</v>
      </c>
      <c r="F260">
        <v>61995.730309999999</v>
      </c>
      <c r="G260">
        <v>61.996000000000002</v>
      </c>
      <c r="H260">
        <v>0.69599999999999995</v>
      </c>
      <c r="I260">
        <v>4</v>
      </c>
      <c r="J260">
        <v>1342</v>
      </c>
      <c r="K260">
        <v>0.25975982399999997</v>
      </c>
      <c r="L260">
        <v>3.4000000000000002E-2</v>
      </c>
      <c r="M260">
        <v>1</v>
      </c>
      <c r="N260">
        <v>0.61499999999999999</v>
      </c>
      <c r="O260">
        <v>4</v>
      </c>
      <c r="P260">
        <v>3</v>
      </c>
      <c r="S260" s="116" t="s">
        <v>944</v>
      </c>
    </row>
    <row r="261" spans="1:19" x14ac:dyDescent="0.2">
      <c r="A261" t="s">
        <v>1549</v>
      </c>
      <c r="B261">
        <v>9003430500</v>
      </c>
      <c r="C261" t="s">
        <v>1550</v>
      </c>
      <c r="D261">
        <v>116250</v>
      </c>
      <c r="E261">
        <v>2.76</v>
      </c>
      <c r="F261">
        <v>69974.277109999995</v>
      </c>
      <c r="G261">
        <v>69.974000000000004</v>
      </c>
      <c r="H261">
        <v>0.80300000000000005</v>
      </c>
      <c r="I261">
        <v>5</v>
      </c>
      <c r="J261">
        <v>1652</v>
      </c>
      <c r="K261">
        <v>0.283304106</v>
      </c>
      <c r="L261">
        <v>9.2999999999999999E-2</v>
      </c>
      <c r="M261">
        <v>1</v>
      </c>
      <c r="N261">
        <v>0.34499999999999997</v>
      </c>
      <c r="O261">
        <v>2</v>
      </c>
      <c r="P261">
        <v>2</v>
      </c>
      <c r="S261" s="114" t="s">
        <v>944</v>
      </c>
    </row>
    <row r="262" spans="1:19" x14ac:dyDescent="0.2">
      <c r="A262" t="s">
        <v>1551</v>
      </c>
      <c r="B262">
        <v>9003430601</v>
      </c>
      <c r="C262" t="s">
        <v>1552</v>
      </c>
      <c r="D262">
        <v>56714</v>
      </c>
      <c r="E262">
        <v>2.42</v>
      </c>
      <c r="F262">
        <v>36457.139990000003</v>
      </c>
      <c r="G262">
        <v>36.457000000000001</v>
      </c>
      <c r="H262">
        <v>0.25600000000000001</v>
      </c>
      <c r="I262">
        <v>2</v>
      </c>
      <c r="J262">
        <v>1007</v>
      </c>
      <c r="K262">
        <v>0.33145770600000002</v>
      </c>
      <c r="L262">
        <v>0.371</v>
      </c>
      <c r="M262">
        <v>2</v>
      </c>
      <c r="N262">
        <v>0.93500000000000005</v>
      </c>
      <c r="O262">
        <v>5</v>
      </c>
      <c r="P262">
        <v>5</v>
      </c>
      <c r="S262" s="116" t="s">
        <v>944</v>
      </c>
    </row>
    <row r="263" spans="1:19" x14ac:dyDescent="0.2">
      <c r="A263" t="s">
        <v>1553</v>
      </c>
      <c r="B263">
        <v>9003430602</v>
      </c>
      <c r="C263" t="s">
        <v>1554</v>
      </c>
      <c r="D263">
        <v>86651</v>
      </c>
      <c r="E263">
        <v>2.58</v>
      </c>
      <c r="F263">
        <v>53946.556239999998</v>
      </c>
      <c r="G263">
        <v>53.947000000000003</v>
      </c>
      <c r="H263">
        <v>0.54100000000000004</v>
      </c>
      <c r="I263">
        <v>3</v>
      </c>
      <c r="J263">
        <v>1596</v>
      </c>
      <c r="K263">
        <v>0.35501802799999999</v>
      </c>
      <c r="L263">
        <v>0.50700000000000001</v>
      </c>
      <c r="M263">
        <v>3</v>
      </c>
      <c r="N263">
        <v>0.38500000000000001</v>
      </c>
      <c r="O263">
        <v>2</v>
      </c>
      <c r="P263">
        <v>3</v>
      </c>
      <c r="S263" s="114" t="s">
        <v>944</v>
      </c>
    </row>
    <row r="264" spans="1:19" x14ac:dyDescent="0.2">
      <c r="A264" t="s">
        <v>1555</v>
      </c>
      <c r="B264">
        <v>9003460100</v>
      </c>
      <c r="C264" t="s">
        <v>1556</v>
      </c>
      <c r="D264">
        <v>94872</v>
      </c>
      <c r="E264">
        <v>2.33</v>
      </c>
      <c r="F264">
        <v>62152.713710000004</v>
      </c>
      <c r="G264">
        <v>62.152999999999999</v>
      </c>
      <c r="H264">
        <v>0.69699999999999995</v>
      </c>
      <c r="I264">
        <v>4</v>
      </c>
      <c r="J264">
        <v>1648</v>
      </c>
      <c r="K264">
        <v>0.31818401499999999</v>
      </c>
      <c r="L264">
        <v>0.27400000000000002</v>
      </c>
      <c r="M264">
        <v>2</v>
      </c>
      <c r="N264">
        <v>0.35199999999999998</v>
      </c>
      <c r="O264">
        <v>2</v>
      </c>
      <c r="P264">
        <v>2</v>
      </c>
      <c r="S264" s="116" t="s">
        <v>944</v>
      </c>
    </row>
    <row r="265" spans="1:19" x14ac:dyDescent="0.2">
      <c r="A265" t="s">
        <v>1557</v>
      </c>
      <c r="B265">
        <v>9003460202</v>
      </c>
      <c r="C265" t="s">
        <v>1558</v>
      </c>
      <c r="D265">
        <v>102688</v>
      </c>
      <c r="E265">
        <v>2.4900000000000002</v>
      </c>
      <c r="F265">
        <v>65075.875840000001</v>
      </c>
      <c r="G265">
        <v>65.075999999999993</v>
      </c>
      <c r="H265">
        <v>0.73699999999999999</v>
      </c>
      <c r="I265">
        <v>4</v>
      </c>
      <c r="J265">
        <v>1746</v>
      </c>
      <c r="K265">
        <v>0.32196262799999997</v>
      </c>
      <c r="L265">
        <v>0.315</v>
      </c>
      <c r="M265">
        <v>2</v>
      </c>
      <c r="N265">
        <v>0.28499999999999998</v>
      </c>
      <c r="O265">
        <v>2</v>
      </c>
      <c r="P265">
        <v>2</v>
      </c>
      <c r="S265" s="114" t="s">
        <v>944</v>
      </c>
    </row>
    <row r="266" spans="1:19" x14ac:dyDescent="0.2">
      <c r="A266" t="s">
        <v>1559</v>
      </c>
      <c r="B266">
        <v>9003460203</v>
      </c>
      <c r="C266" t="s">
        <v>1560</v>
      </c>
      <c r="D266">
        <v>79954</v>
      </c>
      <c r="E266">
        <v>2.2999999999999998</v>
      </c>
      <c r="F266">
        <v>52720.106370000001</v>
      </c>
      <c r="G266">
        <v>52.72</v>
      </c>
      <c r="H266">
        <v>0.51600000000000001</v>
      </c>
      <c r="I266">
        <v>3</v>
      </c>
      <c r="J266">
        <v>1591</v>
      </c>
      <c r="K266">
        <v>0.36213887500000003</v>
      </c>
      <c r="L266">
        <v>0.54900000000000004</v>
      </c>
      <c r="M266">
        <v>3</v>
      </c>
      <c r="N266">
        <v>0.39100000000000001</v>
      </c>
      <c r="O266">
        <v>2</v>
      </c>
      <c r="P266">
        <v>3</v>
      </c>
      <c r="S266" s="116" t="s">
        <v>944</v>
      </c>
    </row>
    <row r="267" spans="1:19" x14ac:dyDescent="0.2">
      <c r="A267" t="s">
        <v>1561</v>
      </c>
      <c r="B267">
        <v>9003460204</v>
      </c>
      <c r="C267" t="s">
        <v>1562</v>
      </c>
      <c r="D267">
        <v>75074</v>
      </c>
      <c r="E267">
        <v>2.3199999999999998</v>
      </c>
      <c r="F267">
        <v>49288.495699999999</v>
      </c>
      <c r="G267">
        <v>49.287999999999997</v>
      </c>
      <c r="H267">
        <v>0.46</v>
      </c>
      <c r="I267">
        <v>3</v>
      </c>
      <c r="J267">
        <v>1495</v>
      </c>
      <c r="K267">
        <v>0.36397945900000001</v>
      </c>
      <c r="L267">
        <v>0.55900000000000005</v>
      </c>
      <c r="M267">
        <v>3</v>
      </c>
      <c r="N267">
        <v>0.47699999999999998</v>
      </c>
      <c r="O267">
        <v>3</v>
      </c>
      <c r="P267">
        <v>3</v>
      </c>
      <c r="S267" s="114" t="s">
        <v>944</v>
      </c>
    </row>
    <row r="268" spans="1:19" x14ac:dyDescent="0.2">
      <c r="A268" t="s">
        <v>1563</v>
      </c>
      <c r="B268">
        <v>9003460301</v>
      </c>
      <c r="C268" t="s">
        <v>1564</v>
      </c>
      <c r="D268">
        <v>106782</v>
      </c>
      <c r="E268">
        <v>2.64</v>
      </c>
      <c r="F268">
        <v>65719.777950000003</v>
      </c>
      <c r="G268">
        <v>65.72</v>
      </c>
      <c r="H268">
        <v>0.748</v>
      </c>
      <c r="I268">
        <v>4</v>
      </c>
      <c r="J268">
        <v>1549</v>
      </c>
      <c r="K268">
        <v>0.28283723100000002</v>
      </c>
      <c r="L268">
        <v>8.5999999999999993E-2</v>
      </c>
      <c r="M268">
        <v>1</v>
      </c>
      <c r="N268">
        <v>0.43</v>
      </c>
      <c r="O268">
        <v>3</v>
      </c>
      <c r="P268">
        <v>3</v>
      </c>
      <c r="S268" s="116" t="s">
        <v>944</v>
      </c>
    </row>
    <row r="269" spans="1:19" x14ac:dyDescent="0.2">
      <c r="A269" t="s">
        <v>1565</v>
      </c>
      <c r="B269">
        <v>9003460302</v>
      </c>
      <c r="C269" t="s">
        <v>1566</v>
      </c>
      <c r="D269">
        <v>90375</v>
      </c>
      <c r="E269">
        <v>2.2999999999999998</v>
      </c>
      <c r="F269">
        <v>59591.510280000002</v>
      </c>
      <c r="G269">
        <v>59.591999999999999</v>
      </c>
      <c r="H269">
        <v>0.64100000000000001</v>
      </c>
      <c r="I269">
        <v>4</v>
      </c>
      <c r="J269">
        <v>1581</v>
      </c>
      <c r="K269">
        <v>0.318367497</v>
      </c>
      <c r="L269">
        <v>0.27700000000000002</v>
      </c>
      <c r="M269">
        <v>2</v>
      </c>
      <c r="N269">
        <v>0.40300000000000002</v>
      </c>
      <c r="O269">
        <v>3</v>
      </c>
      <c r="P269">
        <v>3</v>
      </c>
      <c r="S269" s="114" t="s">
        <v>944</v>
      </c>
    </row>
    <row r="270" spans="1:19" x14ac:dyDescent="0.2">
      <c r="A270" t="s">
        <v>1567</v>
      </c>
      <c r="B270">
        <v>9003462101</v>
      </c>
      <c r="C270" t="s">
        <v>1568</v>
      </c>
      <c r="D270">
        <v>128661</v>
      </c>
      <c r="E270">
        <v>2.64</v>
      </c>
      <c r="F270">
        <v>79185.371599999999</v>
      </c>
      <c r="G270">
        <v>79.185000000000002</v>
      </c>
      <c r="H270">
        <v>0.86799999999999999</v>
      </c>
      <c r="I270">
        <v>5</v>
      </c>
      <c r="J270">
        <v>1861</v>
      </c>
      <c r="K270">
        <v>0.28202178700000002</v>
      </c>
      <c r="L270">
        <v>8.2000000000000003E-2</v>
      </c>
      <c r="M270">
        <v>1</v>
      </c>
      <c r="N270">
        <v>0.22600000000000001</v>
      </c>
      <c r="O270">
        <v>2</v>
      </c>
      <c r="P270">
        <v>2</v>
      </c>
      <c r="S270" s="116" t="s">
        <v>944</v>
      </c>
    </row>
    <row r="271" spans="1:19" x14ac:dyDescent="0.2">
      <c r="A271" t="s">
        <v>1569</v>
      </c>
      <c r="B271">
        <v>9003462102</v>
      </c>
      <c r="C271" t="s">
        <v>1570</v>
      </c>
      <c r="D271">
        <v>195357</v>
      </c>
      <c r="E271">
        <v>3.16</v>
      </c>
      <c r="F271">
        <v>109896.8985</v>
      </c>
      <c r="G271">
        <v>109.89700000000001</v>
      </c>
      <c r="H271">
        <v>0.96299999999999997</v>
      </c>
      <c r="I271">
        <v>5</v>
      </c>
      <c r="J271">
        <v>2589</v>
      </c>
      <c r="K271">
        <v>0.28270133600000003</v>
      </c>
      <c r="L271">
        <v>8.5000000000000006E-2</v>
      </c>
      <c r="M271">
        <v>1</v>
      </c>
      <c r="N271">
        <v>6.7000000000000004E-2</v>
      </c>
      <c r="O271">
        <v>1</v>
      </c>
      <c r="P271">
        <v>1</v>
      </c>
      <c r="S271" s="114" t="s">
        <v>944</v>
      </c>
    </row>
    <row r="272" spans="1:19" x14ac:dyDescent="0.2">
      <c r="A272" t="s">
        <v>1571</v>
      </c>
      <c r="B272">
        <v>9003462201</v>
      </c>
      <c r="C272" t="s">
        <v>1572</v>
      </c>
      <c r="D272">
        <v>102227</v>
      </c>
      <c r="E272">
        <v>2.29</v>
      </c>
      <c r="F272">
        <v>67553.503070000006</v>
      </c>
      <c r="G272">
        <v>67.554000000000002</v>
      </c>
      <c r="H272">
        <v>0.77</v>
      </c>
      <c r="I272">
        <v>4</v>
      </c>
      <c r="J272">
        <v>1493</v>
      </c>
      <c r="K272">
        <v>0.26521200499999997</v>
      </c>
      <c r="L272">
        <v>4.8000000000000001E-2</v>
      </c>
      <c r="M272">
        <v>1</v>
      </c>
      <c r="N272">
        <v>0.48299999999999998</v>
      </c>
      <c r="O272">
        <v>3</v>
      </c>
      <c r="P272">
        <v>3</v>
      </c>
      <c r="S272" s="116" t="s">
        <v>944</v>
      </c>
    </row>
    <row r="273" spans="1:19" x14ac:dyDescent="0.2">
      <c r="A273" t="s">
        <v>1573</v>
      </c>
      <c r="B273">
        <v>9003462202</v>
      </c>
      <c r="C273" t="s">
        <v>1574</v>
      </c>
      <c r="D273">
        <v>144886</v>
      </c>
      <c r="E273">
        <v>2.46</v>
      </c>
      <c r="F273">
        <v>92375.93965</v>
      </c>
      <c r="G273">
        <v>92.376000000000005</v>
      </c>
      <c r="H273">
        <v>0.93</v>
      </c>
      <c r="I273">
        <v>5</v>
      </c>
      <c r="J273">
        <v>1967</v>
      </c>
      <c r="K273">
        <v>0.25552108099999998</v>
      </c>
      <c r="L273">
        <v>2.3E-2</v>
      </c>
      <c r="M273">
        <v>1</v>
      </c>
      <c r="N273">
        <v>0.17699999999999999</v>
      </c>
      <c r="O273">
        <v>1</v>
      </c>
      <c r="P273">
        <v>1</v>
      </c>
      <c r="S273" s="114" t="s">
        <v>944</v>
      </c>
    </row>
    <row r="274" spans="1:19" x14ac:dyDescent="0.2">
      <c r="A274" t="s">
        <v>1575</v>
      </c>
      <c r="B274">
        <v>9003464101</v>
      </c>
      <c r="C274" t="s">
        <v>1576</v>
      </c>
      <c r="D274">
        <v>117895</v>
      </c>
      <c r="E274">
        <v>2.73</v>
      </c>
      <c r="F274">
        <v>71353.299960000004</v>
      </c>
      <c r="G274">
        <v>71.352999999999994</v>
      </c>
      <c r="H274">
        <v>0.81799999999999995</v>
      </c>
      <c r="I274">
        <v>5</v>
      </c>
      <c r="J274">
        <v>1722</v>
      </c>
      <c r="K274">
        <v>0.28960118200000001</v>
      </c>
      <c r="L274">
        <v>0.114</v>
      </c>
      <c r="M274">
        <v>1</v>
      </c>
      <c r="N274">
        <v>0.29699999999999999</v>
      </c>
      <c r="O274">
        <v>2</v>
      </c>
      <c r="P274">
        <v>2</v>
      </c>
      <c r="S274" s="116" t="s">
        <v>944</v>
      </c>
    </row>
    <row r="275" spans="1:19" x14ac:dyDescent="0.2">
      <c r="A275" t="s">
        <v>1577</v>
      </c>
      <c r="B275">
        <v>9003464102</v>
      </c>
      <c r="C275" t="s">
        <v>1578</v>
      </c>
      <c r="D275">
        <v>72900</v>
      </c>
      <c r="E275">
        <v>2.31</v>
      </c>
      <c r="F275">
        <v>47964.67856</v>
      </c>
      <c r="G275">
        <v>47.965000000000003</v>
      </c>
      <c r="H275">
        <v>0.42699999999999999</v>
      </c>
      <c r="I275">
        <v>3</v>
      </c>
      <c r="J275">
        <v>1414</v>
      </c>
      <c r="K275">
        <v>0.35376031899999999</v>
      </c>
      <c r="L275">
        <v>0.5</v>
      </c>
      <c r="M275">
        <v>3</v>
      </c>
      <c r="N275">
        <v>0.55200000000000005</v>
      </c>
      <c r="O275">
        <v>3</v>
      </c>
      <c r="P275">
        <v>3</v>
      </c>
      <c r="S275" s="114" t="s">
        <v>944</v>
      </c>
    </row>
    <row r="276" spans="1:19" x14ac:dyDescent="0.2">
      <c r="A276" t="s">
        <v>1579</v>
      </c>
      <c r="B276">
        <v>9003466101</v>
      </c>
      <c r="C276" t="s">
        <v>1580</v>
      </c>
      <c r="D276">
        <v>123580</v>
      </c>
      <c r="E276">
        <v>2.37</v>
      </c>
      <c r="F276">
        <v>80273.836190000002</v>
      </c>
      <c r="G276">
        <v>80.274000000000001</v>
      </c>
      <c r="H276">
        <v>0.88</v>
      </c>
      <c r="I276">
        <v>5</v>
      </c>
      <c r="J276">
        <v>1738</v>
      </c>
      <c r="K276">
        <v>0.25981068000000002</v>
      </c>
      <c r="L276">
        <v>3.5999999999999997E-2</v>
      </c>
      <c r="M276">
        <v>1</v>
      </c>
      <c r="N276">
        <v>0.28999999999999998</v>
      </c>
      <c r="O276">
        <v>2</v>
      </c>
      <c r="P276">
        <v>2</v>
      </c>
      <c r="S276" s="116" t="s">
        <v>944</v>
      </c>
    </row>
    <row r="277" spans="1:19" x14ac:dyDescent="0.2">
      <c r="A277" t="s">
        <v>1581</v>
      </c>
      <c r="B277">
        <v>9003466102</v>
      </c>
      <c r="C277" t="s">
        <v>1582</v>
      </c>
      <c r="D277">
        <v>139236</v>
      </c>
      <c r="E277">
        <v>2.4900000000000002</v>
      </c>
      <c r="F277">
        <v>88237.229749999999</v>
      </c>
      <c r="G277">
        <v>88.236999999999995</v>
      </c>
      <c r="H277">
        <v>0.91900000000000004</v>
      </c>
      <c r="I277">
        <v>5</v>
      </c>
      <c r="J277">
        <v>1892</v>
      </c>
      <c r="K277">
        <v>0.25730635499999999</v>
      </c>
      <c r="L277">
        <v>2.5000000000000001E-2</v>
      </c>
      <c r="M277">
        <v>1</v>
      </c>
      <c r="N277">
        <v>0.215</v>
      </c>
      <c r="O277">
        <v>2</v>
      </c>
      <c r="P277">
        <v>2</v>
      </c>
      <c r="S277" s="114" t="s">
        <v>944</v>
      </c>
    </row>
    <row r="278" spans="1:19" x14ac:dyDescent="0.2">
      <c r="A278" t="s">
        <v>1583</v>
      </c>
      <c r="B278">
        <v>9003466201</v>
      </c>
      <c r="C278" t="s">
        <v>1584</v>
      </c>
      <c r="D278">
        <v>94167</v>
      </c>
      <c r="E278">
        <v>2.5099999999999998</v>
      </c>
      <c r="F278">
        <v>59437.683360000003</v>
      </c>
      <c r="G278">
        <v>59.438000000000002</v>
      </c>
      <c r="H278">
        <v>0.63900000000000001</v>
      </c>
      <c r="I278">
        <v>4</v>
      </c>
      <c r="J278">
        <v>1496</v>
      </c>
      <c r="K278">
        <v>0.30203061399999998</v>
      </c>
      <c r="L278">
        <v>0.184</v>
      </c>
      <c r="M278">
        <v>1</v>
      </c>
      <c r="N278">
        <v>0.47599999999999998</v>
      </c>
      <c r="O278">
        <v>3</v>
      </c>
      <c r="P278">
        <v>3</v>
      </c>
      <c r="S278" s="116" t="s">
        <v>944</v>
      </c>
    </row>
    <row r="279" spans="1:19" x14ac:dyDescent="0.2">
      <c r="A279" t="s">
        <v>1585</v>
      </c>
      <c r="B279">
        <v>9003466202</v>
      </c>
      <c r="C279" t="s">
        <v>1586</v>
      </c>
      <c r="D279">
        <v>147778</v>
      </c>
      <c r="E279">
        <v>2.77</v>
      </c>
      <c r="F279">
        <v>88791.194810000001</v>
      </c>
      <c r="G279">
        <v>88.790999999999997</v>
      </c>
      <c r="H279">
        <v>0.92200000000000004</v>
      </c>
      <c r="I279">
        <v>5</v>
      </c>
      <c r="J279">
        <v>2361</v>
      </c>
      <c r="K279">
        <v>0.31908569399999998</v>
      </c>
      <c r="L279">
        <v>0.28199999999999997</v>
      </c>
      <c r="M279">
        <v>2</v>
      </c>
      <c r="N279">
        <v>9.8000000000000004E-2</v>
      </c>
      <c r="O279">
        <v>1</v>
      </c>
      <c r="P279">
        <v>1</v>
      </c>
      <c r="S279" s="114" t="s">
        <v>944</v>
      </c>
    </row>
    <row r="280" spans="1:19" x14ac:dyDescent="0.2">
      <c r="A280" t="s">
        <v>1587</v>
      </c>
      <c r="B280">
        <v>9003466300</v>
      </c>
      <c r="C280" t="s">
        <v>1588</v>
      </c>
      <c r="D280">
        <v>131583</v>
      </c>
      <c r="E280">
        <v>2.52</v>
      </c>
      <c r="F280">
        <v>82889.498749999999</v>
      </c>
      <c r="G280">
        <v>82.888999999999996</v>
      </c>
      <c r="H280">
        <v>0.89900000000000002</v>
      </c>
      <c r="I280">
        <v>5</v>
      </c>
      <c r="J280">
        <v>1968</v>
      </c>
      <c r="K280">
        <v>0.28490943200000002</v>
      </c>
      <c r="L280">
        <v>9.9000000000000005E-2</v>
      </c>
      <c r="M280">
        <v>1</v>
      </c>
      <c r="N280">
        <v>0.17599999999999999</v>
      </c>
      <c r="O280">
        <v>1</v>
      </c>
      <c r="P280">
        <v>1</v>
      </c>
      <c r="S280" s="116" t="s">
        <v>944</v>
      </c>
    </row>
    <row r="281" spans="1:19" x14ac:dyDescent="0.2">
      <c r="A281" t="s">
        <v>1589</v>
      </c>
      <c r="B281">
        <v>9003466400</v>
      </c>
      <c r="C281" t="s">
        <v>1590</v>
      </c>
      <c r="D281">
        <v>98000</v>
      </c>
      <c r="E281">
        <v>2.54</v>
      </c>
      <c r="F281">
        <v>61490.668899999997</v>
      </c>
      <c r="G281">
        <v>61.491</v>
      </c>
      <c r="H281">
        <v>0.68400000000000005</v>
      </c>
      <c r="I281">
        <v>4</v>
      </c>
      <c r="J281">
        <v>1768</v>
      </c>
      <c r="K281">
        <v>0.345027959</v>
      </c>
      <c r="L281">
        <v>0.45300000000000001</v>
      </c>
      <c r="M281">
        <v>3</v>
      </c>
      <c r="N281">
        <v>0.27100000000000002</v>
      </c>
      <c r="O281">
        <v>2</v>
      </c>
      <c r="P281">
        <v>2</v>
      </c>
      <c r="S281" s="114" t="s">
        <v>944</v>
      </c>
    </row>
    <row r="282" spans="1:19" x14ac:dyDescent="0.2">
      <c r="A282" t="s">
        <v>1591</v>
      </c>
      <c r="B282">
        <v>9003468101</v>
      </c>
      <c r="C282" t="s">
        <v>1592</v>
      </c>
      <c r="D282">
        <v>132740</v>
      </c>
      <c r="E282">
        <v>2.91</v>
      </c>
      <c r="F282">
        <v>77813.566070000001</v>
      </c>
      <c r="G282">
        <v>77.813999999999993</v>
      </c>
      <c r="H282">
        <v>0.86199999999999999</v>
      </c>
      <c r="I282">
        <v>5</v>
      </c>
      <c r="J282">
        <v>1939</v>
      </c>
      <c r="K282">
        <v>0.29902240899999999</v>
      </c>
      <c r="L282">
        <v>0.16500000000000001</v>
      </c>
      <c r="M282">
        <v>1</v>
      </c>
      <c r="N282">
        <v>0.19</v>
      </c>
      <c r="O282">
        <v>1</v>
      </c>
      <c r="P282">
        <v>1</v>
      </c>
      <c r="S282" s="116" t="s">
        <v>944</v>
      </c>
    </row>
    <row r="283" spans="1:19" x14ac:dyDescent="0.2">
      <c r="A283" t="s">
        <v>1593</v>
      </c>
      <c r="B283">
        <v>9003468102</v>
      </c>
      <c r="C283" t="s">
        <v>1594</v>
      </c>
      <c r="D283">
        <v>105000</v>
      </c>
      <c r="E283">
        <v>2.4</v>
      </c>
      <c r="F283">
        <v>67777.208559999999</v>
      </c>
      <c r="G283">
        <v>67.777000000000001</v>
      </c>
      <c r="H283">
        <v>0.77300000000000002</v>
      </c>
      <c r="I283">
        <v>4</v>
      </c>
      <c r="J283">
        <v>1759</v>
      </c>
      <c r="K283">
        <v>0.31143212399999998</v>
      </c>
      <c r="L283">
        <v>0.23200000000000001</v>
      </c>
      <c r="M283">
        <v>2</v>
      </c>
      <c r="N283">
        <v>0.27900000000000003</v>
      </c>
      <c r="O283">
        <v>2</v>
      </c>
      <c r="P283">
        <v>2</v>
      </c>
      <c r="S283" s="114" t="s">
        <v>944</v>
      </c>
    </row>
    <row r="284" spans="1:19" x14ac:dyDescent="0.2">
      <c r="A284" t="s">
        <v>1595</v>
      </c>
      <c r="B284">
        <v>9003470100</v>
      </c>
      <c r="C284" t="s">
        <v>1596</v>
      </c>
      <c r="D284">
        <v>104336</v>
      </c>
      <c r="E284">
        <v>2.62</v>
      </c>
      <c r="F284">
        <v>64458.996070000001</v>
      </c>
      <c r="G284">
        <v>64.459000000000003</v>
      </c>
      <c r="H284">
        <v>0.72399999999999998</v>
      </c>
      <c r="I284">
        <v>4</v>
      </c>
      <c r="J284">
        <v>1214</v>
      </c>
      <c r="K284">
        <v>0.22600413999999999</v>
      </c>
      <c r="L284">
        <v>1E-3</v>
      </c>
      <c r="M284">
        <v>1</v>
      </c>
      <c r="N284">
        <v>0.749</v>
      </c>
      <c r="O284">
        <v>4</v>
      </c>
      <c r="P284">
        <v>3</v>
      </c>
      <c r="S284" s="116" t="s">
        <v>944</v>
      </c>
    </row>
    <row r="285" spans="1:19" x14ac:dyDescent="0.2">
      <c r="A285" t="s">
        <v>1597</v>
      </c>
      <c r="B285">
        <v>9003471100</v>
      </c>
      <c r="C285" t="s">
        <v>1598</v>
      </c>
      <c r="D285">
        <v>75293</v>
      </c>
      <c r="E285">
        <v>2.84</v>
      </c>
      <c r="F285">
        <v>44678.1757</v>
      </c>
      <c r="G285">
        <v>44.677999999999997</v>
      </c>
      <c r="H285">
        <v>0.36199999999999999</v>
      </c>
      <c r="I285">
        <v>2</v>
      </c>
      <c r="J285">
        <v>1323</v>
      </c>
      <c r="K285">
        <v>0.35534127700000001</v>
      </c>
      <c r="L285">
        <v>0.51</v>
      </c>
      <c r="M285">
        <v>3</v>
      </c>
      <c r="N285">
        <v>0.63200000000000001</v>
      </c>
      <c r="O285">
        <v>4</v>
      </c>
      <c r="P285">
        <v>4</v>
      </c>
      <c r="S285" s="114" t="s">
        <v>944</v>
      </c>
    </row>
    <row r="286" spans="1:19" x14ac:dyDescent="0.2">
      <c r="A286" t="s">
        <v>1599</v>
      </c>
      <c r="B286">
        <v>9003471200</v>
      </c>
      <c r="C286" t="s">
        <v>1600</v>
      </c>
      <c r="D286">
        <v>63468</v>
      </c>
      <c r="E286">
        <v>2.57</v>
      </c>
      <c r="F286">
        <v>39590.250659999998</v>
      </c>
      <c r="G286">
        <v>39.590000000000003</v>
      </c>
      <c r="H286">
        <v>0.29099999999999998</v>
      </c>
      <c r="I286">
        <v>2</v>
      </c>
      <c r="J286">
        <v>1283</v>
      </c>
      <c r="K286">
        <v>0.38888361999999999</v>
      </c>
      <c r="L286">
        <v>0.66</v>
      </c>
      <c r="M286">
        <v>4</v>
      </c>
      <c r="N286">
        <v>0.67400000000000004</v>
      </c>
      <c r="O286">
        <v>4</v>
      </c>
      <c r="P286">
        <v>4</v>
      </c>
      <c r="S286" s="116" t="s">
        <v>944</v>
      </c>
    </row>
    <row r="287" spans="1:19" x14ac:dyDescent="0.2">
      <c r="A287" t="s">
        <v>1601</v>
      </c>
      <c r="B287">
        <v>9003471300</v>
      </c>
      <c r="C287" t="s">
        <v>1602</v>
      </c>
      <c r="D287">
        <v>71810</v>
      </c>
      <c r="E287">
        <v>2.14</v>
      </c>
      <c r="F287">
        <v>49088.305419999997</v>
      </c>
      <c r="G287">
        <v>49.088000000000001</v>
      </c>
      <c r="H287">
        <v>0.45400000000000001</v>
      </c>
      <c r="I287">
        <v>3</v>
      </c>
      <c r="J287">
        <v>1716</v>
      </c>
      <c r="K287">
        <v>0.41948891500000002</v>
      </c>
      <c r="L287">
        <v>0.72099999999999997</v>
      </c>
      <c r="M287">
        <v>4</v>
      </c>
      <c r="N287">
        <v>0.30099999999999999</v>
      </c>
      <c r="O287">
        <v>2</v>
      </c>
      <c r="P287">
        <v>3</v>
      </c>
      <c r="S287" s="114" t="s">
        <v>944</v>
      </c>
    </row>
    <row r="288" spans="1:19" x14ac:dyDescent="0.2">
      <c r="A288" t="s">
        <v>1603</v>
      </c>
      <c r="B288">
        <v>9003471400</v>
      </c>
      <c r="C288" t="s">
        <v>1604</v>
      </c>
      <c r="D288">
        <v>105066</v>
      </c>
      <c r="E288">
        <v>2.12</v>
      </c>
      <c r="F288">
        <v>72159.625060000006</v>
      </c>
      <c r="G288">
        <v>72.16</v>
      </c>
      <c r="H288">
        <v>0.82799999999999996</v>
      </c>
      <c r="I288">
        <v>5</v>
      </c>
      <c r="J288">
        <v>1483</v>
      </c>
      <c r="K288">
        <v>0.246619907</v>
      </c>
      <c r="L288">
        <v>8.0000000000000002E-3</v>
      </c>
      <c r="M288">
        <v>1</v>
      </c>
      <c r="N288">
        <v>0.499</v>
      </c>
      <c r="O288">
        <v>3</v>
      </c>
      <c r="P288">
        <v>2</v>
      </c>
      <c r="S288" s="116" t="s">
        <v>944</v>
      </c>
    </row>
    <row r="289" spans="1:19" x14ac:dyDescent="0.2">
      <c r="A289" t="s">
        <v>1605</v>
      </c>
      <c r="B289">
        <v>9003471500</v>
      </c>
      <c r="C289" t="s">
        <v>1606</v>
      </c>
      <c r="D289">
        <v>78713</v>
      </c>
      <c r="E289">
        <v>2.33</v>
      </c>
      <c r="F289">
        <v>51566.600830000003</v>
      </c>
      <c r="G289">
        <v>51.567</v>
      </c>
      <c r="H289">
        <v>0.49</v>
      </c>
      <c r="I289">
        <v>3</v>
      </c>
      <c r="J289">
        <v>1620</v>
      </c>
      <c r="K289">
        <v>0.37698819900000002</v>
      </c>
      <c r="L289">
        <v>0.622</v>
      </c>
      <c r="M289">
        <v>4</v>
      </c>
      <c r="N289">
        <v>0.36899999999999999</v>
      </c>
      <c r="O289">
        <v>2</v>
      </c>
      <c r="P289">
        <v>3</v>
      </c>
      <c r="S289" s="114" t="s">
        <v>944</v>
      </c>
    </row>
    <row r="290" spans="1:19" x14ac:dyDescent="0.2">
      <c r="A290" t="s">
        <v>1607</v>
      </c>
      <c r="B290">
        <v>9003473100</v>
      </c>
      <c r="C290" t="s">
        <v>1608</v>
      </c>
      <c r="D290">
        <v>98611</v>
      </c>
      <c r="E290">
        <v>2.83</v>
      </c>
      <c r="F290">
        <v>58618.155030000002</v>
      </c>
      <c r="G290">
        <v>58.618000000000002</v>
      </c>
      <c r="H290">
        <v>0.628</v>
      </c>
      <c r="I290">
        <v>4</v>
      </c>
      <c r="J290">
        <v>1627</v>
      </c>
      <c r="K290">
        <v>0.33307087200000002</v>
      </c>
      <c r="L290">
        <v>0.38100000000000001</v>
      </c>
      <c r="M290">
        <v>2</v>
      </c>
      <c r="N290">
        <v>0.36299999999999999</v>
      </c>
      <c r="O290">
        <v>2</v>
      </c>
      <c r="P290">
        <v>2</v>
      </c>
      <c r="S290" s="116" t="s">
        <v>944</v>
      </c>
    </row>
    <row r="291" spans="1:19" x14ac:dyDescent="0.2">
      <c r="A291" t="s">
        <v>1609</v>
      </c>
      <c r="B291">
        <v>9003473400</v>
      </c>
      <c r="C291" t="s">
        <v>1610</v>
      </c>
      <c r="D291">
        <v>74132</v>
      </c>
      <c r="E291">
        <v>2.11</v>
      </c>
      <c r="F291">
        <v>51034.573470000003</v>
      </c>
      <c r="G291">
        <v>51.034999999999997</v>
      </c>
      <c r="H291">
        <v>0.48299999999999998</v>
      </c>
      <c r="I291">
        <v>3</v>
      </c>
      <c r="J291">
        <v>1102</v>
      </c>
      <c r="K291">
        <v>0.259118458</v>
      </c>
      <c r="L291">
        <v>3.1E-2</v>
      </c>
      <c r="M291">
        <v>1</v>
      </c>
      <c r="N291">
        <v>0.874</v>
      </c>
      <c r="O291">
        <v>5</v>
      </c>
      <c r="P291">
        <v>4</v>
      </c>
      <c r="S291" s="114" t="s">
        <v>944</v>
      </c>
    </row>
    <row r="292" spans="1:19" x14ac:dyDescent="0.2">
      <c r="A292" t="s">
        <v>1611</v>
      </c>
      <c r="B292">
        <v>9003473501</v>
      </c>
      <c r="C292" t="s">
        <v>1612</v>
      </c>
      <c r="D292">
        <v>116402</v>
      </c>
      <c r="E292">
        <v>2.54</v>
      </c>
      <c r="F292">
        <v>73037.110629999996</v>
      </c>
      <c r="G292">
        <v>73.037000000000006</v>
      </c>
      <c r="H292">
        <v>0.83899999999999997</v>
      </c>
      <c r="I292">
        <v>5</v>
      </c>
      <c r="J292">
        <v>1912</v>
      </c>
      <c r="K292">
        <v>0.31414167100000001</v>
      </c>
      <c r="L292">
        <v>0.253</v>
      </c>
      <c r="M292">
        <v>2</v>
      </c>
      <c r="N292">
        <v>0.20499999999999999</v>
      </c>
      <c r="O292">
        <v>2</v>
      </c>
      <c r="P292">
        <v>2</v>
      </c>
      <c r="S292" s="116" t="s">
        <v>944</v>
      </c>
    </row>
    <row r="293" spans="1:19" x14ac:dyDescent="0.2">
      <c r="A293" t="s">
        <v>1613</v>
      </c>
      <c r="B293">
        <v>9003473502</v>
      </c>
      <c r="C293" t="s">
        <v>1614</v>
      </c>
      <c r="D293">
        <v>88896</v>
      </c>
      <c r="E293">
        <v>2.29</v>
      </c>
      <c r="F293">
        <v>58744.13031</v>
      </c>
      <c r="G293">
        <v>58.744</v>
      </c>
      <c r="H293">
        <v>0.629</v>
      </c>
      <c r="I293">
        <v>4</v>
      </c>
      <c r="J293">
        <v>1484</v>
      </c>
      <c r="K293">
        <v>0.30314518099999999</v>
      </c>
      <c r="L293">
        <v>0.193</v>
      </c>
      <c r="M293">
        <v>1</v>
      </c>
      <c r="N293">
        <v>0.497</v>
      </c>
      <c r="O293">
        <v>3</v>
      </c>
      <c r="P293">
        <v>3</v>
      </c>
      <c r="S293" s="114" t="s">
        <v>944</v>
      </c>
    </row>
    <row r="294" spans="1:19" x14ac:dyDescent="0.2">
      <c r="A294" t="s">
        <v>1615</v>
      </c>
      <c r="B294">
        <v>9003473601</v>
      </c>
      <c r="C294" t="s">
        <v>1616</v>
      </c>
      <c r="D294">
        <v>107670</v>
      </c>
      <c r="E294">
        <v>2.61</v>
      </c>
      <c r="F294">
        <v>66646.05687</v>
      </c>
      <c r="G294">
        <v>66.646000000000001</v>
      </c>
      <c r="H294">
        <v>0.76300000000000001</v>
      </c>
      <c r="I294">
        <v>4</v>
      </c>
      <c r="J294">
        <v>1572</v>
      </c>
      <c r="K294">
        <v>0.28304750299999998</v>
      </c>
      <c r="L294">
        <v>8.6999999999999994E-2</v>
      </c>
      <c r="M294">
        <v>1</v>
      </c>
      <c r="N294">
        <v>0.41299999999999998</v>
      </c>
      <c r="O294">
        <v>3</v>
      </c>
      <c r="P294">
        <v>3</v>
      </c>
      <c r="S294" s="116" t="s">
        <v>944</v>
      </c>
    </row>
    <row r="295" spans="1:19" x14ac:dyDescent="0.2">
      <c r="A295" t="s">
        <v>1617</v>
      </c>
      <c r="B295">
        <v>9003473602</v>
      </c>
      <c r="C295" t="s">
        <v>1618</v>
      </c>
      <c r="D295">
        <v>81641</v>
      </c>
      <c r="E295">
        <v>2.59</v>
      </c>
      <c r="F295">
        <v>50729.249069999998</v>
      </c>
      <c r="G295">
        <v>50.728999999999999</v>
      </c>
      <c r="H295">
        <v>0.47899999999999998</v>
      </c>
      <c r="I295">
        <v>3</v>
      </c>
      <c r="J295">
        <v>1413</v>
      </c>
      <c r="K295">
        <v>0.33424504199999999</v>
      </c>
      <c r="L295">
        <v>0.39</v>
      </c>
      <c r="M295">
        <v>2</v>
      </c>
      <c r="N295">
        <v>0.55300000000000005</v>
      </c>
      <c r="O295">
        <v>3</v>
      </c>
      <c r="P295">
        <v>3</v>
      </c>
      <c r="S295" s="114" t="s">
        <v>944</v>
      </c>
    </row>
    <row r="296" spans="1:19" x14ac:dyDescent="0.2">
      <c r="A296" t="s">
        <v>1619</v>
      </c>
      <c r="B296">
        <v>9003473700</v>
      </c>
      <c r="C296" t="s">
        <v>1620</v>
      </c>
      <c r="D296">
        <v>81250</v>
      </c>
      <c r="E296">
        <v>2.84</v>
      </c>
      <c r="F296">
        <v>48213.004860000001</v>
      </c>
      <c r="G296">
        <v>48.213000000000001</v>
      </c>
      <c r="H296">
        <v>0.436</v>
      </c>
      <c r="I296">
        <v>3</v>
      </c>
      <c r="J296">
        <v>1352</v>
      </c>
      <c r="K296">
        <v>0.33650671700000001</v>
      </c>
      <c r="L296">
        <v>0.40300000000000002</v>
      </c>
      <c r="M296">
        <v>3</v>
      </c>
      <c r="N296">
        <v>0.60399999999999998</v>
      </c>
      <c r="O296">
        <v>4</v>
      </c>
      <c r="P296">
        <v>4</v>
      </c>
      <c r="S296" s="116" t="s">
        <v>944</v>
      </c>
    </row>
    <row r="297" spans="1:19" x14ac:dyDescent="0.2">
      <c r="A297" t="s">
        <v>1621</v>
      </c>
      <c r="B297">
        <v>9003473800</v>
      </c>
      <c r="C297" t="s">
        <v>1622</v>
      </c>
      <c r="D297">
        <v>80298</v>
      </c>
      <c r="E297">
        <v>2.99</v>
      </c>
      <c r="F297">
        <v>46437.53241</v>
      </c>
      <c r="G297">
        <v>46.438000000000002</v>
      </c>
      <c r="H297">
        <v>0.39300000000000002</v>
      </c>
      <c r="I297">
        <v>2</v>
      </c>
      <c r="J297">
        <v>1359</v>
      </c>
      <c r="K297">
        <v>0.35118145099999998</v>
      </c>
      <c r="L297">
        <v>0.48599999999999999</v>
      </c>
      <c r="M297">
        <v>3</v>
      </c>
      <c r="N297">
        <v>0.6</v>
      </c>
      <c r="O297">
        <v>3</v>
      </c>
      <c r="P297">
        <v>4</v>
      </c>
      <c r="S297" s="114" t="s">
        <v>944</v>
      </c>
    </row>
    <row r="298" spans="1:19" x14ac:dyDescent="0.2">
      <c r="A298" t="s">
        <v>1623</v>
      </c>
      <c r="B298">
        <v>9003476100</v>
      </c>
      <c r="C298" t="s">
        <v>1624</v>
      </c>
      <c r="D298">
        <v>62120</v>
      </c>
      <c r="E298">
        <v>2.4700000000000002</v>
      </c>
      <c r="F298">
        <v>39526.009480000001</v>
      </c>
      <c r="G298">
        <v>39.526000000000003</v>
      </c>
      <c r="H298">
        <v>0.28899999999999998</v>
      </c>
      <c r="I298">
        <v>2</v>
      </c>
      <c r="J298">
        <v>1268</v>
      </c>
      <c r="K298">
        <v>0.38496170499999999</v>
      </c>
      <c r="L298">
        <v>0.64500000000000002</v>
      </c>
      <c r="M298">
        <v>4</v>
      </c>
      <c r="N298">
        <v>0.69499999999999995</v>
      </c>
      <c r="O298">
        <v>4</v>
      </c>
      <c r="P298">
        <v>4</v>
      </c>
      <c r="S298" s="116" t="s">
        <v>944</v>
      </c>
    </row>
    <row r="299" spans="1:19" x14ac:dyDescent="0.2">
      <c r="A299" t="s">
        <v>1625</v>
      </c>
      <c r="B299">
        <v>9003476200</v>
      </c>
      <c r="C299" t="s">
        <v>1626</v>
      </c>
      <c r="D299">
        <v>85347</v>
      </c>
      <c r="E299">
        <v>2.4500000000000002</v>
      </c>
      <c r="F299">
        <v>54526.198190000003</v>
      </c>
      <c r="G299">
        <v>54.526000000000003</v>
      </c>
      <c r="H299">
        <v>0.55200000000000005</v>
      </c>
      <c r="I299">
        <v>3</v>
      </c>
      <c r="J299">
        <v>1256</v>
      </c>
      <c r="K299">
        <v>0.27641758500000002</v>
      </c>
      <c r="L299">
        <v>7.5999999999999998E-2</v>
      </c>
      <c r="M299">
        <v>1</v>
      </c>
      <c r="N299">
        <v>0.70699999999999996</v>
      </c>
      <c r="O299">
        <v>4</v>
      </c>
      <c r="P299">
        <v>4</v>
      </c>
      <c r="S299" s="114" t="s">
        <v>944</v>
      </c>
    </row>
    <row r="300" spans="1:19" x14ac:dyDescent="0.2">
      <c r="A300" t="s">
        <v>1627</v>
      </c>
      <c r="B300">
        <v>9003476300</v>
      </c>
      <c r="C300" t="s">
        <v>1628</v>
      </c>
      <c r="D300">
        <v>63044</v>
      </c>
      <c r="E300">
        <v>2.2599999999999998</v>
      </c>
      <c r="F300">
        <v>41936.244989999999</v>
      </c>
      <c r="G300">
        <v>41.936</v>
      </c>
      <c r="H300">
        <v>0.32</v>
      </c>
      <c r="I300">
        <v>2</v>
      </c>
      <c r="J300">
        <v>1285</v>
      </c>
      <c r="K300">
        <v>0.36770101900000002</v>
      </c>
      <c r="L300">
        <v>0.57999999999999996</v>
      </c>
      <c r="M300">
        <v>3</v>
      </c>
      <c r="N300">
        <v>0.67</v>
      </c>
      <c r="O300">
        <v>4</v>
      </c>
      <c r="P300">
        <v>4</v>
      </c>
      <c r="S300" s="116" t="s">
        <v>944</v>
      </c>
    </row>
    <row r="301" spans="1:19" x14ac:dyDescent="0.2">
      <c r="A301" t="s">
        <v>1629</v>
      </c>
      <c r="B301">
        <v>9003477101</v>
      </c>
      <c r="C301" t="s">
        <v>1630</v>
      </c>
      <c r="D301">
        <v>121939</v>
      </c>
      <c r="E301">
        <v>2.63</v>
      </c>
      <c r="F301">
        <v>75190.808539999998</v>
      </c>
      <c r="G301">
        <v>75.191000000000003</v>
      </c>
      <c r="H301">
        <v>0.85</v>
      </c>
      <c r="I301">
        <v>5</v>
      </c>
      <c r="J301">
        <v>1775</v>
      </c>
      <c r="K301">
        <v>0.28327930499999998</v>
      </c>
      <c r="L301">
        <v>9.1999999999999998E-2</v>
      </c>
      <c r="M301">
        <v>1</v>
      </c>
      <c r="N301">
        <v>0.26600000000000001</v>
      </c>
      <c r="O301">
        <v>2</v>
      </c>
      <c r="P301">
        <v>2</v>
      </c>
      <c r="S301" s="114" t="s">
        <v>944</v>
      </c>
    </row>
    <row r="302" spans="1:19" x14ac:dyDescent="0.2">
      <c r="A302" t="s">
        <v>1631</v>
      </c>
      <c r="B302">
        <v>9003477102</v>
      </c>
      <c r="C302" t="s">
        <v>1632</v>
      </c>
      <c r="D302">
        <v>109671</v>
      </c>
      <c r="E302">
        <v>2.54</v>
      </c>
      <c r="F302">
        <v>68813.705610000005</v>
      </c>
      <c r="G302">
        <v>68.813999999999993</v>
      </c>
      <c r="H302">
        <v>0.78400000000000003</v>
      </c>
      <c r="I302">
        <v>4</v>
      </c>
      <c r="J302">
        <v>1615</v>
      </c>
      <c r="K302">
        <v>0.28162994299999999</v>
      </c>
      <c r="L302">
        <v>8.1000000000000003E-2</v>
      </c>
      <c r="M302">
        <v>1</v>
      </c>
      <c r="N302">
        <v>0.375</v>
      </c>
      <c r="O302">
        <v>2</v>
      </c>
      <c r="P302">
        <v>2</v>
      </c>
      <c r="S302" s="116" t="s">
        <v>944</v>
      </c>
    </row>
    <row r="303" spans="1:19" x14ac:dyDescent="0.2">
      <c r="A303" t="s">
        <v>1633</v>
      </c>
      <c r="B303">
        <v>9003477200</v>
      </c>
      <c r="C303" t="s">
        <v>1634</v>
      </c>
      <c r="D303">
        <v>112500</v>
      </c>
      <c r="E303">
        <v>2.71</v>
      </c>
      <c r="F303">
        <v>68338.883159999998</v>
      </c>
      <c r="G303">
        <v>68.338999999999999</v>
      </c>
      <c r="H303">
        <v>0.78</v>
      </c>
      <c r="I303">
        <v>4</v>
      </c>
      <c r="J303">
        <v>1850</v>
      </c>
      <c r="K303">
        <v>0.32485166500000001</v>
      </c>
      <c r="L303">
        <v>0.32800000000000001</v>
      </c>
      <c r="M303">
        <v>2</v>
      </c>
      <c r="N303">
        <v>0.23300000000000001</v>
      </c>
      <c r="O303">
        <v>2</v>
      </c>
      <c r="P303">
        <v>2</v>
      </c>
      <c r="S303" s="114" t="s">
        <v>944</v>
      </c>
    </row>
    <row r="304" spans="1:19" x14ac:dyDescent="0.2">
      <c r="A304" t="s">
        <v>1635</v>
      </c>
      <c r="B304">
        <v>9003480300</v>
      </c>
      <c r="C304" t="s">
        <v>1636</v>
      </c>
      <c r="D304">
        <v>68523</v>
      </c>
      <c r="E304">
        <v>2.4500000000000002</v>
      </c>
      <c r="F304">
        <v>43777.738859999998</v>
      </c>
      <c r="G304">
        <v>43.777999999999999</v>
      </c>
      <c r="H304">
        <v>0.34799999999999998</v>
      </c>
      <c r="I304">
        <v>2</v>
      </c>
      <c r="J304">
        <v>1206</v>
      </c>
      <c r="K304">
        <v>0.33057897400000003</v>
      </c>
      <c r="L304">
        <v>0.36399999999999999</v>
      </c>
      <c r="M304">
        <v>2</v>
      </c>
      <c r="N304">
        <v>0.75700000000000001</v>
      </c>
      <c r="O304">
        <v>4</v>
      </c>
      <c r="P304">
        <v>4</v>
      </c>
      <c r="S304" s="116" t="s">
        <v>944</v>
      </c>
    </row>
    <row r="305" spans="1:19" x14ac:dyDescent="0.2">
      <c r="A305" t="s">
        <v>1637</v>
      </c>
      <c r="B305">
        <v>9003480400</v>
      </c>
      <c r="C305" t="s">
        <v>1638</v>
      </c>
      <c r="D305">
        <v>79864</v>
      </c>
      <c r="E305">
        <v>2.57</v>
      </c>
      <c r="F305">
        <v>49817.794450000001</v>
      </c>
      <c r="G305">
        <v>49.817999999999998</v>
      </c>
      <c r="H305">
        <v>0.46600000000000003</v>
      </c>
      <c r="I305">
        <v>3</v>
      </c>
      <c r="J305">
        <v>1398</v>
      </c>
      <c r="K305">
        <v>0.336747144</v>
      </c>
      <c r="L305">
        <v>0.40500000000000003</v>
      </c>
      <c r="M305">
        <v>3</v>
      </c>
      <c r="N305">
        <v>0.57099999999999995</v>
      </c>
      <c r="O305">
        <v>3</v>
      </c>
      <c r="P305">
        <v>3</v>
      </c>
      <c r="S305" s="114" t="s">
        <v>944</v>
      </c>
    </row>
    <row r="306" spans="1:19" x14ac:dyDescent="0.2">
      <c r="A306" t="s">
        <v>1639</v>
      </c>
      <c r="B306">
        <v>9003480500</v>
      </c>
      <c r="C306" t="s">
        <v>1640</v>
      </c>
      <c r="D306">
        <v>73903</v>
      </c>
      <c r="E306">
        <v>2.42</v>
      </c>
      <c r="F306">
        <v>47506.647680000002</v>
      </c>
      <c r="G306">
        <v>47.506999999999998</v>
      </c>
      <c r="H306">
        <v>0.41399999999999998</v>
      </c>
      <c r="I306">
        <v>3</v>
      </c>
      <c r="J306">
        <v>1303</v>
      </c>
      <c r="K306">
        <v>0.32913288499999999</v>
      </c>
      <c r="L306">
        <v>0.34899999999999998</v>
      </c>
      <c r="M306">
        <v>2</v>
      </c>
      <c r="N306">
        <v>0.65300000000000002</v>
      </c>
      <c r="O306">
        <v>4</v>
      </c>
      <c r="P306">
        <v>4</v>
      </c>
      <c r="S306" s="116" t="s">
        <v>944</v>
      </c>
    </row>
    <row r="307" spans="1:19" x14ac:dyDescent="0.2">
      <c r="A307" t="s">
        <v>1641</v>
      </c>
      <c r="B307">
        <v>9003480600</v>
      </c>
      <c r="C307" t="s">
        <v>1642</v>
      </c>
      <c r="D307">
        <v>33221</v>
      </c>
      <c r="E307">
        <v>2.29</v>
      </c>
      <c r="F307">
        <v>21953.05473</v>
      </c>
      <c r="G307">
        <v>21.952999999999999</v>
      </c>
      <c r="H307">
        <v>8.1000000000000003E-2</v>
      </c>
      <c r="I307">
        <v>1</v>
      </c>
      <c r="J307">
        <v>1213</v>
      </c>
      <c r="K307">
        <v>0.66305123300000002</v>
      </c>
      <c r="L307">
        <v>0.95099999999999996</v>
      </c>
      <c r="M307">
        <v>5</v>
      </c>
      <c r="N307">
        <v>0.751</v>
      </c>
      <c r="O307">
        <v>4</v>
      </c>
      <c r="P307">
        <v>5</v>
      </c>
      <c r="S307" s="114" t="s">
        <v>936</v>
      </c>
    </row>
    <row r="308" spans="1:19" x14ac:dyDescent="0.2">
      <c r="A308" t="s">
        <v>1643</v>
      </c>
      <c r="B308">
        <v>9003480700</v>
      </c>
      <c r="C308" t="s">
        <v>1644</v>
      </c>
      <c r="D308">
        <v>58000</v>
      </c>
      <c r="E308">
        <v>2.59</v>
      </c>
      <c r="F308">
        <v>36039.446430000004</v>
      </c>
      <c r="G308">
        <v>36.039000000000001</v>
      </c>
      <c r="H308">
        <v>0.249</v>
      </c>
      <c r="I308">
        <v>2</v>
      </c>
      <c r="J308">
        <v>964</v>
      </c>
      <c r="K308">
        <v>0.32098162299999999</v>
      </c>
      <c r="L308">
        <v>0.3</v>
      </c>
      <c r="M308">
        <v>2</v>
      </c>
      <c r="N308">
        <v>0.95699999999999996</v>
      </c>
      <c r="O308">
        <v>5</v>
      </c>
      <c r="P308">
        <v>5</v>
      </c>
      <c r="S308" s="116" t="s">
        <v>944</v>
      </c>
    </row>
    <row r="309" spans="1:19" x14ac:dyDescent="0.2">
      <c r="A309" t="s">
        <v>1645</v>
      </c>
      <c r="B309">
        <v>9003480800</v>
      </c>
      <c r="C309" t="s">
        <v>1646</v>
      </c>
      <c r="D309">
        <v>83345</v>
      </c>
      <c r="E309">
        <v>2.36</v>
      </c>
      <c r="F309">
        <v>54252.97393</v>
      </c>
      <c r="G309">
        <v>54.253</v>
      </c>
      <c r="H309">
        <v>0.54500000000000004</v>
      </c>
      <c r="I309">
        <v>3</v>
      </c>
      <c r="J309">
        <v>1133</v>
      </c>
      <c r="K309">
        <v>0.250603774</v>
      </c>
      <c r="L309">
        <v>1.2999999999999999E-2</v>
      </c>
      <c r="M309">
        <v>1</v>
      </c>
      <c r="N309">
        <v>0.83299999999999996</v>
      </c>
      <c r="O309">
        <v>5</v>
      </c>
      <c r="P309">
        <v>4</v>
      </c>
      <c r="S309" s="114" t="s">
        <v>944</v>
      </c>
    </row>
    <row r="310" spans="1:19" x14ac:dyDescent="0.2">
      <c r="A310" t="s">
        <v>1647</v>
      </c>
      <c r="B310">
        <v>9003480900</v>
      </c>
      <c r="C310" t="s">
        <v>1648</v>
      </c>
      <c r="D310">
        <v>92500</v>
      </c>
      <c r="E310">
        <v>2.4</v>
      </c>
      <c r="F310">
        <v>59708.49325</v>
      </c>
      <c r="G310">
        <v>59.707999999999998</v>
      </c>
      <c r="H310">
        <v>0.64600000000000002</v>
      </c>
      <c r="I310">
        <v>4</v>
      </c>
      <c r="J310">
        <v>1268</v>
      </c>
      <c r="K310">
        <v>0.25483811699999998</v>
      </c>
      <c r="L310">
        <v>0.02</v>
      </c>
      <c r="M310">
        <v>1</v>
      </c>
      <c r="N310">
        <v>0.69499999999999995</v>
      </c>
      <c r="O310">
        <v>4</v>
      </c>
      <c r="P310">
        <v>3</v>
      </c>
      <c r="S310" s="116" t="s">
        <v>944</v>
      </c>
    </row>
    <row r="311" spans="1:19" x14ac:dyDescent="0.2">
      <c r="A311" t="s">
        <v>1649</v>
      </c>
      <c r="B311">
        <v>9003481000</v>
      </c>
      <c r="C311" t="s">
        <v>1650</v>
      </c>
      <c r="D311">
        <v>122222</v>
      </c>
      <c r="E311">
        <v>2.96</v>
      </c>
      <c r="F311">
        <v>71040.094509999995</v>
      </c>
      <c r="G311">
        <v>71.040000000000006</v>
      </c>
      <c r="H311">
        <v>0.81699999999999995</v>
      </c>
      <c r="I311">
        <v>5</v>
      </c>
      <c r="J311">
        <v>1767</v>
      </c>
      <c r="K311">
        <v>0.29847933300000001</v>
      </c>
      <c r="L311">
        <v>0.161</v>
      </c>
      <c r="M311">
        <v>1</v>
      </c>
      <c r="N311">
        <v>0.27300000000000002</v>
      </c>
      <c r="O311">
        <v>2</v>
      </c>
      <c r="P311">
        <v>2</v>
      </c>
      <c r="S311" s="114" t="s">
        <v>944</v>
      </c>
    </row>
    <row r="312" spans="1:19" x14ac:dyDescent="0.2">
      <c r="A312" t="s">
        <v>1651</v>
      </c>
      <c r="B312">
        <v>9003481100</v>
      </c>
      <c r="C312" t="s">
        <v>1652</v>
      </c>
      <c r="D312">
        <v>73365</v>
      </c>
      <c r="E312">
        <v>2.56</v>
      </c>
      <c r="F312">
        <v>45853.125</v>
      </c>
      <c r="G312">
        <v>45.853000000000002</v>
      </c>
      <c r="H312">
        <v>0.38100000000000001</v>
      </c>
      <c r="I312">
        <v>2</v>
      </c>
      <c r="J312">
        <v>1400</v>
      </c>
      <c r="K312">
        <v>0.366387242</v>
      </c>
      <c r="L312">
        <v>0.56999999999999995</v>
      </c>
      <c r="M312">
        <v>3</v>
      </c>
      <c r="N312">
        <v>0.56899999999999995</v>
      </c>
      <c r="O312">
        <v>3</v>
      </c>
      <c r="P312">
        <v>4</v>
      </c>
      <c r="S312" s="116" t="s">
        <v>944</v>
      </c>
    </row>
    <row r="313" spans="1:19" x14ac:dyDescent="0.2">
      <c r="A313" t="s">
        <v>1653</v>
      </c>
      <c r="B313">
        <v>9003481200</v>
      </c>
      <c r="C313" t="s">
        <v>1654</v>
      </c>
      <c r="D313">
        <v>90543</v>
      </c>
      <c r="E313">
        <v>2.4</v>
      </c>
      <c r="F313">
        <v>58445.255190000003</v>
      </c>
      <c r="G313">
        <v>58.445</v>
      </c>
      <c r="H313">
        <v>0.623</v>
      </c>
      <c r="I313">
        <v>4</v>
      </c>
      <c r="J313">
        <v>1204</v>
      </c>
      <c r="K313">
        <v>0.247205696</v>
      </c>
      <c r="L313">
        <v>8.9999999999999993E-3</v>
      </c>
      <c r="M313">
        <v>1</v>
      </c>
      <c r="N313">
        <v>0.75800000000000001</v>
      </c>
      <c r="O313">
        <v>4</v>
      </c>
      <c r="P313">
        <v>3</v>
      </c>
      <c r="S313" s="114" t="s">
        <v>944</v>
      </c>
    </row>
    <row r="314" spans="1:19" x14ac:dyDescent="0.2">
      <c r="A314" t="s">
        <v>1655</v>
      </c>
      <c r="B314">
        <v>9003481300</v>
      </c>
      <c r="C314" t="s">
        <v>1656</v>
      </c>
      <c r="D314">
        <v>99617</v>
      </c>
      <c r="E314">
        <v>2.42</v>
      </c>
      <c r="F314">
        <v>64036.232929999998</v>
      </c>
      <c r="G314">
        <v>64.036000000000001</v>
      </c>
      <c r="H314">
        <v>0.71799999999999997</v>
      </c>
      <c r="I314">
        <v>4</v>
      </c>
      <c r="J314">
        <v>1511</v>
      </c>
      <c r="K314">
        <v>0.28315219600000002</v>
      </c>
      <c r="L314">
        <v>9.0999999999999998E-2</v>
      </c>
      <c r="M314">
        <v>1</v>
      </c>
      <c r="N314">
        <v>0.45900000000000002</v>
      </c>
      <c r="O314">
        <v>3</v>
      </c>
      <c r="P314">
        <v>3</v>
      </c>
      <c r="S314" s="116" t="s">
        <v>944</v>
      </c>
    </row>
    <row r="315" spans="1:19" x14ac:dyDescent="0.2">
      <c r="A315" t="s">
        <v>1657</v>
      </c>
      <c r="B315">
        <v>9003484100</v>
      </c>
      <c r="C315" t="s">
        <v>1658</v>
      </c>
      <c r="D315">
        <v>72150</v>
      </c>
      <c r="E315">
        <v>1.93</v>
      </c>
      <c r="F315">
        <v>51934.706420000002</v>
      </c>
      <c r="G315">
        <v>51.935000000000002</v>
      </c>
      <c r="H315">
        <v>0.498</v>
      </c>
      <c r="I315">
        <v>3</v>
      </c>
      <c r="J315">
        <v>1227</v>
      </c>
      <c r="K315">
        <v>0.28350983400000002</v>
      </c>
      <c r="L315">
        <v>9.4E-2</v>
      </c>
      <c r="M315">
        <v>1</v>
      </c>
      <c r="N315">
        <v>0.74</v>
      </c>
      <c r="O315">
        <v>4</v>
      </c>
      <c r="P315">
        <v>4</v>
      </c>
      <c r="S315" s="114" t="s">
        <v>944</v>
      </c>
    </row>
    <row r="316" spans="1:19" x14ac:dyDescent="0.2">
      <c r="A316" t="s">
        <v>1659</v>
      </c>
      <c r="B316">
        <v>9003484200</v>
      </c>
      <c r="C316" t="s">
        <v>1660</v>
      </c>
      <c r="D316">
        <v>84779</v>
      </c>
      <c r="E316">
        <v>2.76</v>
      </c>
      <c r="F316">
        <v>51030.961190000002</v>
      </c>
      <c r="G316">
        <v>51.030999999999999</v>
      </c>
      <c r="H316">
        <v>0.48199999999999998</v>
      </c>
      <c r="I316">
        <v>3</v>
      </c>
      <c r="J316">
        <v>1355</v>
      </c>
      <c r="K316">
        <v>0.318630095</v>
      </c>
      <c r="L316">
        <v>0.27800000000000002</v>
      </c>
      <c r="M316">
        <v>2</v>
      </c>
      <c r="N316">
        <v>0.60299999999999998</v>
      </c>
      <c r="O316">
        <v>4</v>
      </c>
      <c r="P316">
        <v>4</v>
      </c>
      <c r="S316" s="116" t="s">
        <v>944</v>
      </c>
    </row>
    <row r="317" spans="1:19" x14ac:dyDescent="0.2">
      <c r="A317" t="s">
        <v>1661</v>
      </c>
      <c r="B317">
        <v>9003487100</v>
      </c>
      <c r="C317" t="s">
        <v>1662</v>
      </c>
      <c r="D317">
        <v>121296</v>
      </c>
      <c r="E317">
        <v>2.93</v>
      </c>
      <c r="F317">
        <v>70861.879820000002</v>
      </c>
      <c r="G317">
        <v>70.861999999999995</v>
      </c>
      <c r="H317">
        <v>0.81399999999999995</v>
      </c>
      <c r="I317">
        <v>5</v>
      </c>
      <c r="J317">
        <v>1813</v>
      </c>
      <c r="K317">
        <v>0.30701979800000001</v>
      </c>
      <c r="L317">
        <v>0.20899999999999999</v>
      </c>
      <c r="M317">
        <v>2</v>
      </c>
      <c r="N317">
        <v>0.251</v>
      </c>
      <c r="O317">
        <v>2</v>
      </c>
      <c r="P317">
        <v>2</v>
      </c>
      <c r="S317" s="114" t="s">
        <v>944</v>
      </c>
    </row>
    <row r="318" spans="1:19" x14ac:dyDescent="0.2">
      <c r="A318" t="s">
        <v>1663</v>
      </c>
      <c r="B318">
        <v>9003487201</v>
      </c>
      <c r="C318" t="s">
        <v>1664</v>
      </c>
      <c r="D318">
        <v>114792</v>
      </c>
      <c r="E318">
        <v>2.63</v>
      </c>
      <c r="F318">
        <v>70783.779540000003</v>
      </c>
      <c r="G318">
        <v>70.784000000000006</v>
      </c>
      <c r="H318">
        <v>0.81200000000000006</v>
      </c>
      <c r="I318">
        <v>5</v>
      </c>
      <c r="J318">
        <v>1698</v>
      </c>
      <c r="K318">
        <v>0.28786255999999999</v>
      </c>
      <c r="L318">
        <v>0.108</v>
      </c>
      <c r="M318">
        <v>1</v>
      </c>
      <c r="N318">
        <v>0.312</v>
      </c>
      <c r="O318">
        <v>2</v>
      </c>
      <c r="P318">
        <v>2</v>
      </c>
      <c r="S318" s="116" t="s">
        <v>944</v>
      </c>
    </row>
    <row r="319" spans="1:19" x14ac:dyDescent="0.2">
      <c r="A319" t="s">
        <v>1665</v>
      </c>
      <c r="B319">
        <v>9003487202</v>
      </c>
      <c r="C319" t="s">
        <v>1666</v>
      </c>
      <c r="D319">
        <v>169688</v>
      </c>
      <c r="E319">
        <v>3.17</v>
      </c>
      <c r="F319">
        <v>95306.275909999997</v>
      </c>
      <c r="G319">
        <v>95.305999999999997</v>
      </c>
      <c r="H319">
        <v>0.93500000000000005</v>
      </c>
      <c r="I319">
        <v>5</v>
      </c>
      <c r="J319">
        <v>2347</v>
      </c>
      <c r="K319">
        <v>0.29551044500000001</v>
      </c>
      <c r="L319">
        <v>0.14299999999999999</v>
      </c>
      <c r="M319">
        <v>1</v>
      </c>
      <c r="N319">
        <v>0.104</v>
      </c>
      <c r="O319">
        <v>1</v>
      </c>
      <c r="P319">
        <v>1</v>
      </c>
      <c r="S319" s="114" t="s">
        <v>944</v>
      </c>
    </row>
    <row r="320" spans="1:19" x14ac:dyDescent="0.2">
      <c r="A320" t="s">
        <v>1667</v>
      </c>
      <c r="B320">
        <v>9003487300</v>
      </c>
      <c r="C320" t="s">
        <v>1668</v>
      </c>
      <c r="D320">
        <v>96875</v>
      </c>
      <c r="E320">
        <v>2.63</v>
      </c>
      <c r="F320">
        <v>59735.684050000003</v>
      </c>
      <c r="G320">
        <v>59.735999999999997</v>
      </c>
      <c r="H320">
        <v>0.64800000000000002</v>
      </c>
      <c r="I320">
        <v>4</v>
      </c>
      <c r="J320">
        <v>1792</v>
      </c>
      <c r="K320">
        <v>0.35998583299999998</v>
      </c>
      <c r="L320">
        <v>0.53700000000000003</v>
      </c>
      <c r="M320">
        <v>3</v>
      </c>
      <c r="N320">
        <v>0.25700000000000001</v>
      </c>
      <c r="O320">
        <v>2</v>
      </c>
      <c r="P320">
        <v>2</v>
      </c>
      <c r="S320" s="116" t="s">
        <v>944</v>
      </c>
    </row>
    <row r="321" spans="1:19" x14ac:dyDescent="0.2">
      <c r="A321" t="s">
        <v>1669</v>
      </c>
      <c r="B321">
        <v>9003487400</v>
      </c>
      <c r="C321" t="s">
        <v>1670</v>
      </c>
      <c r="D321">
        <v>109605</v>
      </c>
      <c r="E321">
        <v>2.6</v>
      </c>
      <c r="F321">
        <v>67974.135420000006</v>
      </c>
      <c r="G321">
        <v>67.974000000000004</v>
      </c>
      <c r="H321">
        <v>0.77700000000000002</v>
      </c>
      <c r="I321">
        <v>4</v>
      </c>
      <c r="J321">
        <v>1660</v>
      </c>
      <c r="K321">
        <v>0.29305264199999997</v>
      </c>
      <c r="L321">
        <v>0.13600000000000001</v>
      </c>
      <c r="M321">
        <v>1</v>
      </c>
      <c r="N321">
        <v>0.34100000000000003</v>
      </c>
      <c r="O321">
        <v>2</v>
      </c>
      <c r="P321">
        <v>2</v>
      </c>
      <c r="S321" s="114" t="s">
        <v>944</v>
      </c>
    </row>
    <row r="322" spans="1:19" x14ac:dyDescent="0.2">
      <c r="A322" t="s">
        <v>1671</v>
      </c>
      <c r="B322">
        <v>9003487500</v>
      </c>
      <c r="C322" t="s">
        <v>1672</v>
      </c>
      <c r="D322">
        <v>69135</v>
      </c>
      <c r="E322">
        <v>2.2200000000000002</v>
      </c>
      <c r="F322">
        <v>46400.373879999999</v>
      </c>
      <c r="G322">
        <v>46.4</v>
      </c>
      <c r="H322">
        <v>0.39200000000000002</v>
      </c>
      <c r="I322">
        <v>2</v>
      </c>
      <c r="J322">
        <v>1450</v>
      </c>
      <c r="K322">
        <v>0.37499697799999998</v>
      </c>
      <c r="L322">
        <v>0.61299999999999999</v>
      </c>
      <c r="M322">
        <v>4</v>
      </c>
      <c r="N322">
        <v>0.52500000000000002</v>
      </c>
      <c r="O322">
        <v>3</v>
      </c>
      <c r="P322">
        <v>4</v>
      </c>
      <c r="S322" s="116" t="s">
        <v>944</v>
      </c>
    </row>
    <row r="323" spans="1:19" x14ac:dyDescent="0.2">
      <c r="A323" t="s">
        <v>1673</v>
      </c>
      <c r="B323">
        <v>9003490100</v>
      </c>
      <c r="C323" t="s">
        <v>1674</v>
      </c>
      <c r="D323">
        <v>72198</v>
      </c>
      <c r="E323">
        <v>2.15</v>
      </c>
      <c r="F323">
        <v>49238.62732</v>
      </c>
      <c r="G323">
        <v>49.238999999999997</v>
      </c>
      <c r="H323">
        <v>0.45800000000000002</v>
      </c>
      <c r="I323">
        <v>3</v>
      </c>
      <c r="J323">
        <v>1335</v>
      </c>
      <c r="K323">
        <v>0.32535431799999998</v>
      </c>
      <c r="L323">
        <v>0.33200000000000002</v>
      </c>
      <c r="M323">
        <v>2</v>
      </c>
      <c r="N323">
        <v>0.622</v>
      </c>
      <c r="O323">
        <v>4</v>
      </c>
      <c r="P323">
        <v>4</v>
      </c>
      <c r="S323" s="114" t="s">
        <v>944</v>
      </c>
    </row>
    <row r="324" spans="1:19" x14ac:dyDescent="0.2">
      <c r="A324" t="s">
        <v>1675</v>
      </c>
      <c r="B324">
        <v>9003490302</v>
      </c>
      <c r="C324" t="s">
        <v>1676</v>
      </c>
      <c r="D324">
        <v>89691</v>
      </c>
      <c r="E324">
        <v>2.2599999999999998</v>
      </c>
      <c r="F324">
        <v>59661.565730000002</v>
      </c>
      <c r="G324">
        <v>59.661999999999999</v>
      </c>
      <c r="H324">
        <v>0.64300000000000002</v>
      </c>
      <c r="I324">
        <v>4</v>
      </c>
      <c r="J324">
        <v>1552</v>
      </c>
      <c r="K324">
        <v>0.31216076500000001</v>
      </c>
      <c r="L324">
        <v>0.23799999999999999</v>
      </c>
      <c r="M324">
        <v>2</v>
      </c>
      <c r="N324">
        <v>0.42499999999999999</v>
      </c>
      <c r="O324">
        <v>3</v>
      </c>
      <c r="P324">
        <v>3</v>
      </c>
      <c r="S324" s="116" t="s">
        <v>944</v>
      </c>
    </row>
    <row r="325" spans="1:19" x14ac:dyDescent="0.2">
      <c r="A325" t="s">
        <v>1677</v>
      </c>
      <c r="B325">
        <v>9003492100</v>
      </c>
      <c r="C325" t="s">
        <v>1678</v>
      </c>
      <c r="D325">
        <v>98664</v>
      </c>
      <c r="E325">
        <v>2.54</v>
      </c>
      <c r="F325">
        <v>61907.299559999999</v>
      </c>
      <c r="G325">
        <v>61.906999999999996</v>
      </c>
      <c r="H325">
        <v>0.69099999999999995</v>
      </c>
      <c r="I325">
        <v>4</v>
      </c>
      <c r="J325">
        <v>1549</v>
      </c>
      <c r="K325">
        <v>0.30025538400000001</v>
      </c>
      <c r="L325">
        <v>0.17100000000000001</v>
      </c>
      <c r="M325">
        <v>1</v>
      </c>
      <c r="N325">
        <v>0.43</v>
      </c>
      <c r="O325">
        <v>3</v>
      </c>
      <c r="P325">
        <v>3</v>
      </c>
      <c r="S325" s="114" t="s">
        <v>944</v>
      </c>
    </row>
    <row r="326" spans="1:19" x14ac:dyDescent="0.2">
      <c r="A326" t="s">
        <v>1679</v>
      </c>
      <c r="B326">
        <v>9003492200</v>
      </c>
      <c r="C326" t="s">
        <v>1680</v>
      </c>
      <c r="D326">
        <v>92750</v>
      </c>
      <c r="E326">
        <v>2.46</v>
      </c>
      <c r="F326">
        <v>59135.240140000002</v>
      </c>
      <c r="G326">
        <v>59.134999999999998</v>
      </c>
      <c r="H326">
        <v>0.63500000000000001</v>
      </c>
      <c r="I326">
        <v>4</v>
      </c>
      <c r="J326">
        <v>1582</v>
      </c>
      <c r="K326">
        <v>0.32102685199999997</v>
      </c>
      <c r="L326">
        <v>0.30199999999999999</v>
      </c>
      <c r="M326">
        <v>2</v>
      </c>
      <c r="N326">
        <v>0.40200000000000002</v>
      </c>
      <c r="O326">
        <v>3</v>
      </c>
      <c r="P326">
        <v>3</v>
      </c>
      <c r="S326" s="116" t="s">
        <v>944</v>
      </c>
    </row>
    <row r="327" spans="1:19" x14ac:dyDescent="0.2">
      <c r="A327" t="s">
        <v>1681</v>
      </c>
      <c r="B327">
        <v>9003492300</v>
      </c>
      <c r="C327" t="s">
        <v>1682</v>
      </c>
      <c r="D327">
        <v>68125</v>
      </c>
      <c r="E327">
        <v>2.21</v>
      </c>
      <c r="F327">
        <v>45825.834089999997</v>
      </c>
      <c r="G327">
        <v>45.826000000000001</v>
      </c>
      <c r="H327">
        <v>0.38</v>
      </c>
      <c r="I327">
        <v>2</v>
      </c>
      <c r="J327">
        <v>1456</v>
      </c>
      <c r="K327">
        <v>0.38126965600000001</v>
      </c>
      <c r="L327">
        <v>0.63600000000000001</v>
      </c>
      <c r="M327">
        <v>4</v>
      </c>
      <c r="N327">
        <v>0.52</v>
      </c>
      <c r="O327">
        <v>3</v>
      </c>
      <c r="P327">
        <v>4</v>
      </c>
      <c r="S327" s="114" t="s">
        <v>944</v>
      </c>
    </row>
    <row r="328" spans="1:19" x14ac:dyDescent="0.2">
      <c r="A328" t="s">
        <v>1683</v>
      </c>
      <c r="B328">
        <v>9003492400</v>
      </c>
      <c r="C328" t="s">
        <v>1684</v>
      </c>
      <c r="D328">
        <v>85446</v>
      </c>
      <c r="E328">
        <v>2.61</v>
      </c>
      <c r="F328">
        <v>52889.746220000001</v>
      </c>
      <c r="G328">
        <v>52.89</v>
      </c>
      <c r="H328">
        <v>0.52</v>
      </c>
      <c r="I328">
        <v>3</v>
      </c>
      <c r="J328">
        <v>1448</v>
      </c>
      <c r="K328">
        <v>0.32853249000000001</v>
      </c>
      <c r="L328">
        <v>0.34499999999999997</v>
      </c>
      <c r="M328">
        <v>2</v>
      </c>
      <c r="N328">
        <v>0.52700000000000002</v>
      </c>
      <c r="O328">
        <v>3</v>
      </c>
      <c r="P328">
        <v>3</v>
      </c>
      <c r="S328" s="116" t="s">
        <v>944</v>
      </c>
    </row>
    <row r="329" spans="1:19" x14ac:dyDescent="0.2">
      <c r="A329" t="s">
        <v>1685</v>
      </c>
      <c r="B329">
        <v>9003492500</v>
      </c>
      <c r="C329" t="s">
        <v>1686</v>
      </c>
      <c r="D329">
        <v>90644</v>
      </c>
      <c r="E329">
        <v>2.48</v>
      </c>
      <c r="F329">
        <v>57558.997560000003</v>
      </c>
      <c r="G329">
        <v>57.558999999999997</v>
      </c>
      <c r="H329">
        <v>0.61199999999999999</v>
      </c>
      <c r="I329">
        <v>4</v>
      </c>
      <c r="J329">
        <v>1726</v>
      </c>
      <c r="K329">
        <v>0.35983948399999999</v>
      </c>
      <c r="L329">
        <v>0.53600000000000003</v>
      </c>
      <c r="M329">
        <v>3</v>
      </c>
      <c r="N329">
        <v>0.29499999999999998</v>
      </c>
      <c r="O329">
        <v>2</v>
      </c>
      <c r="P329">
        <v>2</v>
      </c>
      <c r="S329" s="114" t="s">
        <v>944</v>
      </c>
    </row>
    <row r="330" spans="1:19" x14ac:dyDescent="0.2">
      <c r="A330" t="s">
        <v>1687</v>
      </c>
      <c r="B330">
        <v>9003492600</v>
      </c>
      <c r="C330" t="s">
        <v>1688</v>
      </c>
      <c r="D330">
        <v>101964</v>
      </c>
      <c r="E330">
        <v>2.3199999999999998</v>
      </c>
      <c r="F330">
        <v>66942.645600000003</v>
      </c>
      <c r="G330">
        <v>66.942999999999998</v>
      </c>
      <c r="H330">
        <v>0.76600000000000001</v>
      </c>
      <c r="I330">
        <v>4</v>
      </c>
      <c r="J330">
        <v>1333</v>
      </c>
      <c r="K330">
        <v>0.23895081900000001</v>
      </c>
      <c r="L330">
        <v>4.0000000000000001E-3</v>
      </c>
      <c r="M330">
        <v>1</v>
      </c>
      <c r="N330">
        <v>0.625</v>
      </c>
      <c r="O330">
        <v>4</v>
      </c>
      <c r="P330">
        <v>3</v>
      </c>
      <c r="S330" s="116" t="s">
        <v>944</v>
      </c>
    </row>
    <row r="331" spans="1:19" x14ac:dyDescent="0.2">
      <c r="A331" t="s">
        <v>1689</v>
      </c>
      <c r="B331">
        <v>9003494100</v>
      </c>
      <c r="C331" t="s">
        <v>1690</v>
      </c>
      <c r="D331">
        <v>86119</v>
      </c>
      <c r="E331">
        <v>2.25</v>
      </c>
      <c r="F331">
        <v>57412.666669999999</v>
      </c>
      <c r="G331">
        <v>57.412999999999997</v>
      </c>
      <c r="H331">
        <v>0.60199999999999998</v>
      </c>
      <c r="I331">
        <v>4</v>
      </c>
      <c r="J331">
        <v>1538</v>
      </c>
      <c r="K331">
        <v>0.32146216300000002</v>
      </c>
      <c r="L331">
        <v>0.307</v>
      </c>
      <c r="M331">
        <v>2</v>
      </c>
      <c r="N331">
        <v>0.435</v>
      </c>
      <c r="O331">
        <v>3</v>
      </c>
      <c r="P331">
        <v>3</v>
      </c>
      <c r="S331" s="114" t="s">
        <v>944</v>
      </c>
    </row>
    <row r="332" spans="1:19" x14ac:dyDescent="0.2">
      <c r="A332" t="s">
        <v>1691</v>
      </c>
      <c r="B332">
        <v>9003494201</v>
      </c>
      <c r="C332" t="s">
        <v>1692</v>
      </c>
      <c r="D332">
        <v>75536</v>
      </c>
      <c r="E332">
        <v>2.5499999999999998</v>
      </c>
      <c r="F332">
        <v>47302.478049999998</v>
      </c>
      <c r="G332">
        <v>47.302</v>
      </c>
      <c r="H332">
        <v>0.40400000000000003</v>
      </c>
      <c r="I332">
        <v>3</v>
      </c>
      <c r="J332">
        <v>1230</v>
      </c>
      <c r="K332">
        <v>0.31203439199999999</v>
      </c>
      <c r="L332">
        <v>0.23699999999999999</v>
      </c>
      <c r="M332">
        <v>2</v>
      </c>
      <c r="N332">
        <v>0.73499999999999999</v>
      </c>
      <c r="O332">
        <v>4</v>
      </c>
      <c r="P332">
        <v>4</v>
      </c>
      <c r="S332" s="116" t="s">
        <v>944</v>
      </c>
    </row>
    <row r="333" spans="1:19" x14ac:dyDescent="0.2">
      <c r="A333" t="s">
        <v>1693</v>
      </c>
      <c r="B333">
        <v>9003494202</v>
      </c>
      <c r="C333" t="s">
        <v>1694</v>
      </c>
      <c r="D333">
        <v>90571</v>
      </c>
      <c r="E333">
        <v>2.23</v>
      </c>
      <c r="F333">
        <v>60650.827599999997</v>
      </c>
      <c r="G333">
        <v>60.651000000000003</v>
      </c>
      <c r="H333">
        <v>0.66300000000000003</v>
      </c>
      <c r="I333">
        <v>4</v>
      </c>
      <c r="J333">
        <v>1431</v>
      </c>
      <c r="K333">
        <v>0.28312886500000001</v>
      </c>
      <c r="L333">
        <v>0.09</v>
      </c>
      <c r="M333">
        <v>1</v>
      </c>
      <c r="N333">
        <v>0.54100000000000004</v>
      </c>
      <c r="O333">
        <v>3</v>
      </c>
      <c r="P333">
        <v>3</v>
      </c>
      <c r="S333" s="114" t="s">
        <v>944</v>
      </c>
    </row>
    <row r="334" spans="1:19" x14ac:dyDescent="0.2">
      <c r="A334" t="s">
        <v>1695</v>
      </c>
      <c r="B334">
        <v>9003494300</v>
      </c>
      <c r="C334" t="s">
        <v>1696</v>
      </c>
      <c r="D334">
        <v>79475</v>
      </c>
      <c r="E334">
        <v>2.73</v>
      </c>
      <c r="F334">
        <v>48100.458160000002</v>
      </c>
      <c r="G334">
        <v>48.1</v>
      </c>
      <c r="H334">
        <v>0.432</v>
      </c>
      <c r="I334">
        <v>3</v>
      </c>
      <c r="J334">
        <v>1461</v>
      </c>
      <c r="K334">
        <v>0.364487173</v>
      </c>
      <c r="L334">
        <v>0.56299999999999994</v>
      </c>
      <c r="M334">
        <v>3</v>
      </c>
      <c r="N334">
        <v>0.51300000000000001</v>
      </c>
      <c r="O334">
        <v>3</v>
      </c>
      <c r="P334">
        <v>3</v>
      </c>
      <c r="S334" s="116" t="s">
        <v>944</v>
      </c>
    </row>
    <row r="335" spans="1:19" x14ac:dyDescent="0.2">
      <c r="A335" t="s">
        <v>1697</v>
      </c>
      <c r="B335">
        <v>9003494400</v>
      </c>
      <c r="C335" t="s">
        <v>1698</v>
      </c>
      <c r="D335">
        <v>74659</v>
      </c>
      <c r="E335">
        <v>2.2999999999999998</v>
      </c>
      <c r="F335">
        <v>49228.686759999997</v>
      </c>
      <c r="G335">
        <v>49.228999999999999</v>
      </c>
      <c r="H335">
        <v>0.45600000000000002</v>
      </c>
      <c r="I335">
        <v>3</v>
      </c>
      <c r="J335">
        <v>1268</v>
      </c>
      <c r="K335">
        <v>0.30908807399999999</v>
      </c>
      <c r="L335">
        <v>0.221</v>
      </c>
      <c r="M335">
        <v>2</v>
      </c>
      <c r="N335">
        <v>0.69499999999999995</v>
      </c>
      <c r="O335">
        <v>4</v>
      </c>
      <c r="P335">
        <v>4</v>
      </c>
      <c r="S335" s="114" t="s">
        <v>944</v>
      </c>
    </row>
    <row r="336" spans="1:19" x14ac:dyDescent="0.2">
      <c r="A336" t="s">
        <v>1699</v>
      </c>
      <c r="B336">
        <v>9003494500</v>
      </c>
      <c r="C336" t="s">
        <v>1700</v>
      </c>
      <c r="D336">
        <v>87917</v>
      </c>
      <c r="E336">
        <v>2.4700000000000002</v>
      </c>
      <c r="F336">
        <v>55940.247510000001</v>
      </c>
      <c r="G336">
        <v>55.94</v>
      </c>
      <c r="H336">
        <v>0.57799999999999996</v>
      </c>
      <c r="I336">
        <v>3</v>
      </c>
      <c r="J336">
        <v>1407</v>
      </c>
      <c r="K336">
        <v>0.30182204699999998</v>
      </c>
      <c r="L336">
        <v>0.18</v>
      </c>
      <c r="M336">
        <v>1</v>
      </c>
      <c r="N336">
        <v>0.56399999999999995</v>
      </c>
      <c r="O336">
        <v>3</v>
      </c>
      <c r="P336">
        <v>3</v>
      </c>
      <c r="S336" s="116" t="s">
        <v>944</v>
      </c>
    </row>
    <row r="337" spans="1:19" x14ac:dyDescent="0.2">
      <c r="A337" t="s">
        <v>1701</v>
      </c>
      <c r="B337">
        <v>9003494600</v>
      </c>
      <c r="C337" t="s">
        <v>1702</v>
      </c>
      <c r="D337">
        <v>75980</v>
      </c>
      <c r="E337">
        <v>2.34</v>
      </c>
      <c r="F337">
        <v>49669.679830000001</v>
      </c>
      <c r="G337">
        <v>49.67</v>
      </c>
      <c r="H337">
        <v>0.46500000000000002</v>
      </c>
      <c r="I337">
        <v>3</v>
      </c>
      <c r="J337">
        <v>1400</v>
      </c>
      <c r="K337">
        <v>0.33823451399999999</v>
      </c>
      <c r="L337">
        <v>0.41299999999999998</v>
      </c>
      <c r="M337">
        <v>3</v>
      </c>
      <c r="N337">
        <v>0.56899999999999995</v>
      </c>
      <c r="O337">
        <v>3</v>
      </c>
      <c r="P337">
        <v>3</v>
      </c>
      <c r="S337" s="114" t="s">
        <v>944</v>
      </c>
    </row>
    <row r="338" spans="1:19" x14ac:dyDescent="0.2">
      <c r="A338" t="s">
        <v>1703</v>
      </c>
      <c r="B338">
        <v>9003496100</v>
      </c>
      <c r="C338" t="s">
        <v>1704</v>
      </c>
      <c r="D338">
        <v>59914</v>
      </c>
      <c r="E338">
        <v>2.74</v>
      </c>
      <c r="F338">
        <v>36195.371099999997</v>
      </c>
      <c r="G338">
        <v>36.195</v>
      </c>
      <c r="H338">
        <v>0.251</v>
      </c>
      <c r="I338">
        <v>2</v>
      </c>
      <c r="J338">
        <v>1260</v>
      </c>
      <c r="K338">
        <v>0.41773297399999998</v>
      </c>
      <c r="L338">
        <v>0.71699999999999997</v>
      </c>
      <c r="M338">
        <v>4</v>
      </c>
      <c r="N338">
        <v>0.70199999999999996</v>
      </c>
      <c r="O338">
        <v>4</v>
      </c>
      <c r="P338">
        <v>4</v>
      </c>
      <c r="S338" s="116" t="s">
        <v>944</v>
      </c>
    </row>
    <row r="339" spans="1:19" x14ac:dyDescent="0.2">
      <c r="A339" t="s">
        <v>1705</v>
      </c>
      <c r="B339">
        <v>9003496200</v>
      </c>
      <c r="C339" t="s">
        <v>1706</v>
      </c>
      <c r="D339">
        <v>75417</v>
      </c>
      <c r="E339">
        <v>2.5499999999999998</v>
      </c>
      <c r="F339">
        <v>47227.95736</v>
      </c>
      <c r="G339">
        <v>47.228000000000002</v>
      </c>
      <c r="H339">
        <v>0.40300000000000002</v>
      </c>
      <c r="I339">
        <v>3</v>
      </c>
      <c r="J339">
        <v>1640</v>
      </c>
      <c r="K339">
        <v>0.41670233299999998</v>
      </c>
      <c r="L339">
        <v>0.71599999999999997</v>
      </c>
      <c r="M339">
        <v>4</v>
      </c>
      <c r="N339">
        <v>0.35699999999999998</v>
      </c>
      <c r="O339">
        <v>2</v>
      </c>
      <c r="P339">
        <v>3</v>
      </c>
      <c r="S339" s="114" t="s">
        <v>944</v>
      </c>
    </row>
    <row r="340" spans="1:19" x14ac:dyDescent="0.2">
      <c r="A340" t="s">
        <v>1707</v>
      </c>
      <c r="B340">
        <v>9003496300</v>
      </c>
      <c r="C340" t="s">
        <v>1708</v>
      </c>
      <c r="D340">
        <v>102955</v>
      </c>
      <c r="E340">
        <v>2.4700000000000002</v>
      </c>
      <c r="F340">
        <v>65508.697769999999</v>
      </c>
      <c r="G340">
        <v>65.509</v>
      </c>
      <c r="H340">
        <v>0.74399999999999999</v>
      </c>
      <c r="I340">
        <v>4</v>
      </c>
      <c r="J340">
        <v>1589</v>
      </c>
      <c r="K340">
        <v>0.29107585200000002</v>
      </c>
      <c r="L340">
        <v>0.12</v>
      </c>
      <c r="M340">
        <v>1</v>
      </c>
      <c r="N340">
        <v>0.39600000000000002</v>
      </c>
      <c r="O340">
        <v>2</v>
      </c>
      <c r="P340">
        <v>2</v>
      </c>
      <c r="S340" s="116" t="s">
        <v>944</v>
      </c>
    </row>
    <row r="341" spans="1:19" x14ac:dyDescent="0.2">
      <c r="A341" t="s">
        <v>1709</v>
      </c>
      <c r="B341">
        <v>9003496400</v>
      </c>
      <c r="C341" t="s">
        <v>1710</v>
      </c>
      <c r="D341">
        <v>142566</v>
      </c>
      <c r="E341">
        <v>2.74</v>
      </c>
      <c r="F341">
        <v>86127.270359999995</v>
      </c>
      <c r="G341">
        <v>86.126999999999995</v>
      </c>
      <c r="H341">
        <v>0.91300000000000003</v>
      </c>
      <c r="I341">
        <v>5</v>
      </c>
      <c r="J341">
        <v>1910</v>
      </c>
      <c r="K341">
        <v>0.26611780299999999</v>
      </c>
      <c r="L341">
        <v>5.3999999999999999E-2</v>
      </c>
      <c r="M341">
        <v>1</v>
      </c>
      <c r="N341">
        <v>0.20599999999999999</v>
      </c>
      <c r="O341">
        <v>2</v>
      </c>
      <c r="P341">
        <v>2</v>
      </c>
      <c r="S341" s="114" t="s">
        <v>944</v>
      </c>
    </row>
    <row r="342" spans="1:19" x14ac:dyDescent="0.2">
      <c r="A342" t="s">
        <v>1711</v>
      </c>
      <c r="B342">
        <v>9003496500</v>
      </c>
      <c r="C342" t="s">
        <v>1712</v>
      </c>
      <c r="D342">
        <v>126738</v>
      </c>
      <c r="E342">
        <v>2.46</v>
      </c>
      <c r="F342">
        <v>80805.197459999996</v>
      </c>
      <c r="G342">
        <v>80.805000000000007</v>
      </c>
      <c r="H342">
        <v>0.88400000000000001</v>
      </c>
      <c r="I342">
        <v>5</v>
      </c>
      <c r="J342">
        <v>1920</v>
      </c>
      <c r="K342">
        <v>0.28513017400000001</v>
      </c>
      <c r="L342">
        <v>0.1</v>
      </c>
      <c r="M342">
        <v>1</v>
      </c>
      <c r="N342">
        <v>0.19900000000000001</v>
      </c>
      <c r="O342">
        <v>1</v>
      </c>
      <c r="P342">
        <v>1</v>
      </c>
      <c r="S342" s="116" t="s">
        <v>944</v>
      </c>
    </row>
    <row r="343" spans="1:19" x14ac:dyDescent="0.2">
      <c r="A343" t="s">
        <v>1713</v>
      </c>
      <c r="B343">
        <v>9003496600</v>
      </c>
      <c r="C343" t="s">
        <v>1714</v>
      </c>
      <c r="D343">
        <v>130694</v>
      </c>
      <c r="E343">
        <v>2.41</v>
      </c>
      <c r="F343">
        <v>84187.406130000003</v>
      </c>
      <c r="G343">
        <v>84.186999999999998</v>
      </c>
      <c r="H343">
        <v>0.90100000000000002</v>
      </c>
      <c r="I343">
        <v>5</v>
      </c>
      <c r="J343">
        <v>2109</v>
      </c>
      <c r="K343">
        <v>0.30061503499999997</v>
      </c>
      <c r="L343">
        <v>0.17499999999999999</v>
      </c>
      <c r="M343">
        <v>1</v>
      </c>
      <c r="N343">
        <v>0.14199999999999999</v>
      </c>
      <c r="O343">
        <v>1</v>
      </c>
      <c r="P343">
        <v>1</v>
      </c>
      <c r="S343" s="114" t="s">
        <v>944</v>
      </c>
    </row>
    <row r="344" spans="1:19" x14ac:dyDescent="0.2">
      <c r="A344" t="s">
        <v>1715</v>
      </c>
      <c r="B344">
        <v>9003496700</v>
      </c>
      <c r="C344" t="s">
        <v>1716</v>
      </c>
      <c r="D344">
        <v>58889</v>
      </c>
      <c r="E344">
        <v>2.2999999999999998</v>
      </c>
      <c r="F344">
        <v>38830.256699999998</v>
      </c>
      <c r="G344">
        <v>38.83</v>
      </c>
      <c r="H344">
        <v>0.27500000000000002</v>
      </c>
      <c r="I344">
        <v>2</v>
      </c>
      <c r="J344">
        <v>1280</v>
      </c>
      <c r="K344">
        <v>0.39556782000000001</v>
      </c>
      <c r="L344">
        <v>0.67600000000000005</v>
      </c>
      <c r="M344">
        <v>4</v>
      </c>
      <c r="N344">
        <v>0.67900000000000005</v>
      </c>
      <c r="O344">
        <v>4</v>
      </c>
      <c r="P344">
        <v>4</v>
      </c>
      <c r="S344" s="116" t="s">
        <v>944</v>
      </c>
    </row>
    <row r="345" spans="1:19" x14ac:dyDescent="0.2">
      <c r="A345" t="s">
        <v>1717</v>
      </c>
      <c r="B345">
        <v>9003496800</v>
      </c>
      <c r="C345" t="s">
        <v>1718</v>
      </c>
      <c r="D345">
        <v>82346</v>
      </c>
      <c r="E345">
        <v>2.4500000000000002</v>
      </c>
      <c r="F345">
        <v>52608.929620000003</v>
      </c>
      <c r="G345">
        <v>52.609000000000002</v>
      </c>
      <c r="H345">
        <v>0.51200000000000001</v>
      </c>
      <c r="I345">
        <v>3</v>
      </c>
      <c r="J345">
        <v>1447</v>
      </c>
      <c r="K345">
        <v>0.330058036</v>
      </c>
      <c r="L345">
        <v>0.36</v>
      </c>
      <c r="M345">
        <v>2</v>
      </c>
      <c r="N345">
        <v>0.53</v>
      </c>
      <c r="O345">
        <v>3</v>
      </c>
      <c r="P345">
        <v>3</v>
      </c>
      <c r="S345" s="114" t="s">
        <v>944</v>
      </c>
    </row>
    <row r="346" spans="1:19" x14ac:dyDescent="0.2">
      <c r="A346" t="s">
        <v>1719</v>
      </c>
      <c r="B346">
        <v>9003496900</v>
      </c>
      <c r="C346" t="s">
        <v>1720</v>
      </c>
      <c r="D346">
        <v>96472</v>
      </c>
      <c r="E346">
        <v>2.13</v>
      </c>
      <c r="F346">
        <v>66101.525210000007</v>
      </c>
      <c r="G346">
        <v>66.102000000000004</v>
      </c>
      <c r="H346">
        <v>0.754</v>
      </c>
      <c r="I346">
        <v>4</v>
      </c>
      <c r="J346">
        <v>1454</v>
      </c>
      <c r="K346">
        <v>0.26395760099999999</v>
      </c>
      <c r="L346">
        <v>4.4999999999999998E-2</v>
      </c>
      <c r="M346">
        <v>1</v>
      </c>
      <c r="N346">
        <v>0.52400000000000002</v>
      </c>
      <c r="O346">
        <v>3</v>
      </c>
      <c r="P346">
        <v>3</v>
      </c>
      <c r="S346" s="116" t="s">
        <v>944</v>
      </c>
    </row>
    <row r="347" spans="1:19" x14ac:dyDescent="0.2">
      <c r="A347" t="s">
        <v>1721</v>
      </c>
      <c r="B347">
        <v>9003497000</v>
      </c>
      <c r="C347" t="s">
        <v>1722</v>
      </c>
      <c r="D347">
        <v>179821</v>
      </c>
      <c r="E347">
        <v>2.76</v>
      </c>
      <c r="F347">
        <v>108239.5224</v>
      </c>
      <c r="G347">
        <v>108.24</v>
      </c>
      <c r="H347">
        <v>0.96099999999999997</v>
      </c>
      <c r="I347">
        <v>5</v>
      </c>
      <c r="J347">
        <v>2397</v>
      </c>
      <c r="K347">
        <v>0.265743966</v>
      </c>
      <c r="L347">
        <v>5.2999999999999999E-2</v>
      </c>
      <c r="M347">
        <v>1</v>
      </c>
      <c r="N347">
        <v>9.1999999999999998E-2</v>
      </c>
      <c r="O347">
        <v>1</v>
      </c>
      <c r="P347">
        <v>1</v>
      </c>
      <c r="S347" s="114" t="s">
        <v>944</v>
      </c>
    </row>
    <row r="348" spans="1:19" x14ac:dyDescent="0.2">
      <c r="A348" t="s">
        <v>1723</v>
      </c>
      <c r="B348">
        <v>9003497100</v>
      </c>
      <c r="C348" t="s">
        <v>1724</v>
      </c>
      <c r="D348">
        <v>75135</v>
      </c>
      <c r="E348">
        <v>2.0499999999999998</v>
      </c>
      <c r="F348">
        <v>52476.560270000002</v>
      </c>
      <c r="G348">
        <v>52.476999999999997</v>
      </c>
      <c r="H348">
        <v>0.51</v>
      </c>
      <c r="I348">
        <v>3</v>
      </c>
      <c r="J348">
        <v>1442</v>
      </c>
      <c r="K348">
        <v>0.32974722299999998</v>
      </c>
      <c r="L348">
        <v>0.35199999999999998</v>
      </c>
      <c r="M348">
        <v>2</v>
      </c>
      <c r="N348">
        <v>0.53700000000000003</v>
      </c>
      <c r="O348">
        <v>3</v>
      </c>
      <c r="P348">
        <v>3</v>
      </c>
      <c r="S348" s="116" t="s">
        <v>944</v>
      </c>
    </row>
    <row r="349" spans="1:19" x14ac:dyDescent="0.2">
      <c r="A349" t="s">
        <v>1725</v>
      </c>
      <c r="B349">
        <v>9003497200</v>
      </c>
      <c r="C349" t="s">
        <v>1726</v>
      </c>
      <c r="D349">
        <v>141765</v>
      </c>
      <c r="E349">
        <v>2.34</v>
      </c>
      <c r="F349">
        <v>92674.679659999994</v>
      </c>
      <c r="G349">
        <v>92.674999999999997</v>
      </c>
      <c r="H349">
        <v>0.93300000000000005</v>
      </c>
      <c r="I349">
        <v>5</v>
      </c>
      <c r="J349">
        <v>2426</v>
      </c>
      <c r="K349">
        <v>0.31413110999999999</v>
      </c>
      <c r="L349">
        <v>0.251</v>
      </c>
      <c r="M349">
        <v>2</v>
      </c>
      <c r="N349">
        <v>8.5999999999999993E-2</v>
      </c>
      <c r="O349">
        <v>1</v>
      </c>
      <c r="P349">
        <v>1</v>
      </c>
      <c r="S349" s="114" t="s">
        <v>944</v>
      </c>
    </row>
    <row r="350" spans="1:19" x14ac:dyDescent="0.2">
      <c r="A350" t="s">
        <v>1727</v>
      </c>
      <c r="B350">
        <v>9003497300</v>
      </c>
      <c r="C350" t="s">
        <v>1728</v>
      </c>
      <c r="D350">
        <v>140000</v>
      </c>
      <c r="E350">
        <v>2.74</v>
      </c>
      <c r="F350">
        <v>84577.093070000003</v>
      </c>
      <c r="G350">
        <v>84.576999999999998</v>
      </c>
      <c r="H350">
        <v>0.90400000000000003</v>
      </c>
      <c r="I350">
        <v>5</v>
      </c>
      <c r="J350">
        <v>2038</v>
      </c>
      <c r="K350">
        <v>0.28915630799999997</v>
      </c>
      <c r="L350">
        <v>0.11</v>
      </c>
      <c r="M350">
        <v>1</v>
      </c>
      <c r="N350">
        <v>0.154</v>
      </c>
      <c r="O350">
        <v>1</v>
      </c>
      <c r="P350">
        <v>1</v>
      </c>
      <c r="S350" s="116" t="s">
        <v>944</v>
      </c>
    </row>
    <row r="351" spans="1:19" x14ac:dyDescent="0.2">
      <c r="A351" t="s">
        <v>1729</v>
      </c>
      <c r="B351">
        <v>9003497400</v>
      </c>
      <c r="C351" t="s">
        <v>1730</v>
      </c>
      <c r="D351">
        <v>172031</v>
      </c>
      <c r="E351">
        <v>2.77</v>
      </c>
      <c r="F351">
        <v>103363.4102</v>
      </c>
      <c r="G351">
        <v>103.363</v>
      </c>
      <c r="H351">
        <v>0.95099999999999996</v>
      </c>
      <c r="I351">
        <v>5</v>
      </c>
      <c r="J351">
        <v>2065</v>
      </c>
      <c r="K351">
        <v>0.23973667200000001</v>
      </c>
      <c r="L351">
        <v>6.0000000000000001E-3</v>
      </c>
      <c r="M351">
        <v>1</v>
      </c>
      <c r="N351">
        <v>0.14799999999999999</v>
      </c>
      <c r="O351">
        <v>1</v>
      </c>
      <c r="P351">
        <v>1</v>
      </c>
      <c r="S351" s="114" t="s">
        <v>944</v>
      </c>
    </row>
    <row r="352" spans="1:19" x14ac:dyDescent="0.2">
      <c r="A352" t="s">
        <v>1731</v>
      </c>
      <c r="B352">
        <v>9003497500</v>
      </c>
      <c r="C352" t="s">
        <v>1732</v>
      </c>
      <c r="D352">
        <v>93843</v>
      </c>
      <c r="E352">
        <v>2.33</v>
      </c>
      <c r="F352">
        <v>61478.593399999998</v>
      </c>
      <c r="G352">
        <v>61.478999999999999</v>
      </c>
      <c r="H352">
        <v>0.68200000000000005</v>
      </c>
      <c r="I352">
        <v>4</v>
      </c>
      <c r="J352">
        <v>1818</v>
      </c>
      <c r="K352">
        <v>0.354855223</v>
      </c>
      <c r="L352">
        <v>0.50600000000000001</v>
      </c>
      <c r="M352">
        <v>3</v>
      </c>
      <c r="N352">
        <v>0.25</v>
      </c>
      <c r="O352">
        <v>2</v>
      </c>
      <c r="P352">
        <v>2</v>
      </c>
      <c r="S352" s="116" t="s">
        <v>944</v>
      </c>
    </row>
    <row r="353" spans="1:19" x14ac:dyDescent="0.2">
      <c r="A353" t="s">
        <v>1733</v>
      </c>
      <c r="B353">
        <v>9003497600</v>
      </c>
      <c r="C353" t="s">
        <v>1734</v>
      </c>
      <c r="D353">
        <v>138542</v>
      </c>
      <c r="E353">
        <v>2.35</v>
      </c>
      <c r="F353">
        <v>90374.835900000005</v>
      </c>
      <c r="G353">
        <v>90.375</v>
      </c>
      <c r="H353">
        <v>0.92400000000000004</v>
      </c>
      <c r="I353">
        <v>5</v>
      </c>
      <c r="J353">
        <v>1949</v>
      </c>
      <c r="K353">
        <v>0.25878885200000001</v>
      </c>
      <c r="L353">
        <v>2.7E-2</v>
      </c>
      <c r="M353">
        <v>1</v>
      </c>
      <c r="N353">
        <v>0.184</v>
      </c>
      <c r="O353">
        <v>1</v>
      </c>
      <c r="P353">
        <v>1</v>
      </c>
      <c r="S353" s="114" t="s">
        <v>944</v>
      </c>
    </row>
    <row r="354" spans="1:19" x14ac:dyDescent="0.2">
      <c r="A354" t="s">
        <v>1735</v>
      </c>
      <c r="B354">
        <v>9003497700</v>
      </c>
      <c r="C354" t="s">
        <v>1736</v>
      </c>
      <c r="D354">
        <v>178696</v>
      </c>
      <c r="E354">
        <v>2.81</v>
      </c>
      <c r="F354">
        <v>106601.0963</v>
      </c>
      <c r="G354">
        <v>106.601</v>
      </c>
      <c r="H354">
        <v>0.95699999999999996</v>
      </c>
      <c r="I354">
        <v>5</v>
      </c>
      <c r="J354">
        <v>2676</v>
      </c>
      <c r="K354">
        <v>0.30123517599999999</v>
      </c>
      <c r="L354">
        <v>0.17799999999999999</v>
      </c>
      <c r="M354">
        <v>1</v>
      </c>
      <c r="N354">
        <v>6.0999999999999999E-2</v>
      </c>
      <c r="O354">
        <v>1</v>
      </c>
      <c r="P354">
        <v>1</v>
      </c>
      <c r="S354" s="116" t="s">
        <v>944</v>
      </c>
    </row>
    <row r="355" spans="1:19" x14ac:dyDescent="0.2">
      <c r="A355" t="s">
        <v>1737</v>
      </c>
      <c r="B355">
        <v>9003500100</v>
      </c>
      <c r="C355" t="s">
        <v>1738</v>
      </c>
      <c r="D355">
        <v>28438</v>
      </c>
      <c r="E355">
        <v>2.73</v>
      </c>
      <c r="F355">
        <v>17211.460569999999</v>
      </c>
      <c r="G355">
        <v>17.210999999999999</v>
      </c>
      <c r="H355">
        <v>3.1E-2</v>
      </c>
      <c r="I355">
        <v>1</v>
      </c>
      <c r="J355">
        <v>999</v>
      </c>
      <c r="K355">
        <v>0.69651264899999998</v>
      </c>
      <c r="L355">
        <v>0.96299999999999997</v>
      </c>
      <c r="M355">
        <v>5</v>
      </c>
      <c r="N355">
        <v>0.94099999999999995</v>
      </c>
      <c r="O355">
        <v>5</v>
      </c>
      <c r="P355">
        <v>5</v>
      </c>
      <c r="S355" s="114" t="s">
        <v>936</v>
      </c>
    </row>
    <row r="356" spans="1:19" x14ac:dyDescent="0.2">
      <c r="A356" t="s">
        <v>1739</v>
      </c>
      <c r="B356">
        <v>9003500200</v>
      </c>
      <c r="C356" t="s">
        <v>1740</v>
      </c>
      <c r="D356">
        <v>24943</v>
      </c>
      <c r="E356">
        <v>2.87</v>
      </c>
      <c r="F356">
        <v>14723.38737</v>
      </c>
      <c r="G356">
        <v>14.723000000000001</v>
      </c>
      <c r="H356">
        <v>1.4999999999999999E-2</v>
      </c>
      <c r="I356">
        <v>1</v>
      </c>
      <c r="J356">
        <v>996</v>
      </c>
      <c r="K356">
        <v>0.811769717</v>
      </c>
      <c r="L356">
        <v>0.98599999999999999</v>
      </c>
      <c r="M356">
        <v>5</v>
      </c>
      <c r="N356">
        <v>0.94499999999999995</v>
      </c>
      <c r="O356">
        <v>5</v>
      </c>
      <c r="P356">
        <v>5</v>
      </c>
      <c r="S356" s="116" t="s">
        <v>936</v>
      </c>
    </row>
    <row r="357" spans="1:19" x14ac:dyDescent="0.2">
      <c r="A357" t="s">
        <v>1741</v>
      </c>
      <c r="B357">
        <v>9003500300</v>
      </c>
      <c r="C357" t="s">
        <v>1742</v>
      </c>
      <c r="D357">
        <v>24325</v>
      </c>
      <c r="E357">
        <v>1.97</v>
      </c>
      <c r="F357">
        <v>17330.84491</v>
      </c>
      <c r="G357">
        <v>17.331</v>
      </c>
      <c r="H357">
        <v>3.4000000000000002E-2</v>
      </c>
      <c r="I357">
        <v>1</v>
      </c>
      <c r="J357">
        <v>879</v>
      </c>
      <c r="K357">
        <v>0.60862583800000003</v>
      </c>
      <c r="L357">
        <v>0.92700000000000005</v>
      </c>
      <c r="M357">
        <v>5</v>
      </c>
      <c r="N357">
        <v>0.97899999999999998</v>
      </c>
      <c r="O357">
        <v>5</v>
      </c>
      <c r="P357">
        <v>5</v>
      </c>
      <c r="S357" s="114" t="s">
        <v>936</v>
      </c>
    </row>
    <row r="358" spans="1:19" x14ac:dyDescent="0.2">
      <c r="A358" t="s">
        <v>1743</v>
      </c>
      <c r="B358">
        <v>9003500400</v>
      </c>
      <c r="C358" t="s">
        <v>1744</v>
      </c>
      <c r="D358">
        <v>33750</v>
      </c>
      <c r="E358">
        <v>2.27</v>
      </c>
      <c r="F358">
        <v>22400.661769999999</v>
      </c>
      <c r="G358">
        <v>22.401</v>
      </c>
      <c r="H358">
        <v>8.6999999999999994E-2</v>
      </c>
      <c r="I358">
        <v>1</v>
      </c>
      <c r="J358">
        <v>1069</v>
      </c>
      <c r="K358">
        <v>0.57266165300000005</v>
      </c>
      <c r="L358">
        <v>0.90500000000000003</v>
      </c>
      <c r="M358">
        <v>5</v>
      </c>
      <c r="N358">
        <v>0.89700000000000002</v>
      </c>
      <c r="O358">
        <v>5</v>
      </c>
      <c r="P358">
        <v>5</v>
      </c>
      <c r="S358" s="116" t="s">
        <v>936</v>
      </c>
    </row>
    <row r="359" spans="1:19" x14ac:dyDescent="0.2">
      <c r="A359" t="s">
        <v>1745</v>
      </c>
      <c r="B359">
        <v>9003500500</v>
      </c>
      <c r="C359" t="s">
        <v>1746</v>
      </c>
      <c r="D359">
        <v>45481</v>
      </c>
      <c r="E359">
        <v>1.77</v>
      </c>
      <c r="F359">
        <v>34185.612999999998</v>
      </c>
      <c r="G359">
        <v>34.186</v>
      </c>
      <c r="H359">
        <v>0.22600000000000001</v>
      </c>
      <c r="I359">
        <v>2</v>
      </c>
      <c r="J359">
        <v>1051</v>
      </c>
      <c r="K359">
        <v>0.36892712700000002</v>
      </c>
      <c r="L359">
        <v>0.59</v>
      </c>
      <c r="M359">
        <v>3</v>
      </c>
      <c r="N359">
        <v>0.90800000000000003</v>
      </c>
      <c r="O359">
        <v>5</v>
      </c>
      <c r="P359">
        <v>5</v>
      </c>
      <c r="S359" s="114" t="s">
        <v>936</v>
      </c>
    </row>
    <row r="360" spans="1:19" x14ac:dyDescent="0.2">
      <c r="A360" t="s">
        <v>1747</v>
      </c>
      <c r="B360">
        <v>9003500900</v>
      </c>
      <c r="C360" t="s">
        <v>1748</v>
      </c>
      <c r="D360">
        <v>21633</v>
      </c>
      <c r="E360">
        <v>2.5099999999999998</v>
      </c>
      <c r="F360">
        <v>13654.62852</v>
      </c>
      <c r="G360">
        <v>13.654999999999999</v>
      </c>
      <c r="H360">
        <v>1.2E-2</v>
      </c>
      <c r="I360">
        <v>1</v>
      </c>
      <c r="J360">
        <v>596</v>
      </c>
      <c r="K360">
        <v>0.52377843800000001</v>
      </c>
      <c r="L360">
        <v>0.86799999999999999</v>
      </c>
      <c r="M360">
        <v>5</v>
      </c>
      <c r="N360">
        <v>0.997</v>
      </c>
      <c r="O360">
        <v>5</v>
      </c>
      <c r="P360">
        <v>5</v>
      </c>
      <c r="S360" s="116" t="s">
        <v>936</v>
      </c>
    </row>
    <row r="361" spans="1:19" x14ac:dyDescent="0.2">
      <c r="A361" t="s">
        <v>1749</v>
      </c>
      <c r="B361">
        <v>9003501200</v>
      </c>
      <c r="C361" t="s">
        <v>1750</v>
      </c>
      <c r="D361">
        <v>22449</v>
      </c>
      <c r="E361">
        <v>3.07</v>
      </c>
      <c r="F361">
        <v>12812.321040000001</v>
      </c>
      <c r="G361">
        <v>12.811999999999999</v>
      </c>
      <c r="H361">
        <v>6.0000000000000001E-3</v>
      </c>
      <c r="I361">
        <v>1</v>
      </c>
      <c r="J361">
        <v>937</v>
      </c>
      <c r="K361">
        <v>0.87759274600000003</v>
      </c>
      <c r="L361">
        <v>0.99099999999999999</v>
      </c>
      <c r="M361">
        <v>5</v>
      </c>
      <c r="N361">
        <v>0.96399999999999997</v>
      </c>
      <c r="O361">
        <v>5</v>
      </c>
      <c r="P361">
        <v>5</v>
      </c>
      <c r="S361" s="114" t="s">
        <v>936</v>
      </c>
    </row>
    <row r="362" spans="1:19" x14ac:dyDescent="0.2">
      <c r="A362" t="s">
        <v>1751</v>
      </c>
      <c r="B362">
        <v>9003501300</v>
      </c>
      <c r="C362" t="s">
        <v>1752</v>
      </c>
      <c r="D362">
        <v>30034</v>
      </c>
      <c r="E362">
        <v>2.96</v>
      </c>
      <c r="F362">
        <v>17456.907910000002</v>
      </c>
      <c r="G362">
        <v>17.457000000000001</v>
      </c>
      <c r="H362">
        <v>3.5999999999999997E-2</v>
      </c>
      <c r="I362">
        <v>1</v>
      </c>
      <c r="J362">
        <v>902</v>
      </c>
      <c r="K362">
        <v>0.62004107799999997</v>
      </c>
      <c r="L362">
        <v>0.93100000000000005</v>
      </c>
      <c r="M362">
        <v>5</v>
      </c>
      <c r="N362">
        <v>0.97299999999999998</v>
      </c>
      <c r="O362">
        <v>5</v>
      </c>
      <c r="P362">
        <v>5</v>
      </c>
      <c r="S362" s="116" t="s">
        <v>936</v>
      </c>
    </row>
    <row r="363" spans="1:19" x14ac:dyDescent="0.2">
      <c r="A363" t="s">
        <v>1753</v>
      </c>
      <c r="B363">
        <v>9003501400</v>
      </c>
      <c r="C363" t="s">
        <v>1754</v>
      </c>
      <c r="D363">
        <v>23500</v>
      </c>
      <c r="E363">
        <v>2.4700000000000002</v>
      </c>
      <c r="F363">
        <v>14952.691930000001</v>
      </c>
      <c r="G363">
        <v>14.952999999999999</v>
      </c>
      <c r="H363">
        <v>1.7999999999999999E-2</v>
      </c>
      <c r="I363">
        <v>1</v>
      </c>
      <c r="J363">
        <v>842</v>
      </c>
      <c r="K363">
        <v>0.67573116899999996</v>
      </c>
      <c r="L363">
        <v>0.95599999999999996</v>
      </c>
      <c r="M363">
        <v>5</v>
      </c>
      <c r="N363">
        <v>0.98599999999999999</v>
      </c>
      <c r="O363">
        <v>5</v>
      </c>
      <c r="P363">
        <v>5</v>
      </c>
      <c r="S363" s="114" t="s">
        <v>936</v>
      </c>
    </row>
    <row r="364" spans="1:19" x14ac:dyDescent="0.2">
      <c r="A364" t="s">
        <v>1755</v>
      </c>
      <c r="B364">
        <v>9003501500</v>
      </c>
      <c r="C364" t="s">
        <v>1756</v>
      </c>
      <c r="D364">
        <v>31309</v>
      </c>
      <c r="E364">
        <v>2.4300000000000002</v>
      </c>
      <c r="F364">
        <v>20084.73286</v>
      </c>
      <c r="G364">
        <v>20.085000000000001</v>
      </c>
      <c r="H364">
        <v>5.8999999999999997E-2</v>
      </c>
      <c r="I364">
        <v>1</v>
      </c>
      <c r="J364">
        <v>1024</v>
      </c>
      <c r="K364">
        <v>0.61180798800000002</v>
      </c>
      <c r="L364">
        <v>0.92800000000000005</v>
      </c>
      <c r="M364">
        <v>5</v>
      </c>
      <c r="N364">
        <v>0.92500000000000004</v>
      </c>
      <c r="O364">
        <v>5</v>
      </c>
      <c r="P364">
        <v>5</v>
      </c>
      <c r="S364" s="116" t="s">
        <v>936</v>
      </c>
    </row>
    <row r="365" spans="1:19" x14ac:dyDescent="0.2">
      <c r="A365" t="s">
        <v>1757</v>
      </c>
      <c r="B365">
        <v>9003501700</v>
      </c>
      <c r="C365" t="s">
        <v>1758</v>
      </c>
      <c r="D365">
        <v>28029</v>
      </c>
      <c r="E365">
        <v>3.36</v>
      </c>
      <c r="F365">
        <v>15291.073109999999</v>
      </c>
      <c r="G365">
        <v>15.291</v>
      </c>
      <c r="H365">
        <v>1.9E-2</v>
      </c>
      <c r="I365">
        <v>1</v>
      </c>
      <c r="J365">
        <v>986</v>
      </c>
      <c r="K365">
        <v>0.77378480299999997</v>
      </c>
      <c r="L365">
        <v>0.98</v>
      </c>
      <c r="M365">
        <v>5</v>
      </c>
      <c r="N365">
        <v>0.94799999999999995</v>
      </c>
      <c r="O365">
        <v>5</v>
      </c>
      <c r="P365">
        <v>5</v>
      </c>
      <c r="S365" s="114" t="s">
        <v>936</v>
      </c>
    </row>
    <row r="366" spans="1:19" x14ac:dyDescent="0.2">
      <c r="A366" t="s">
        <v>1759</v>
      </c>
      <c r="B366">
        <v>9003501800</v>
      </c>
      <c r="C366" t="s">
        <v>1760</v>
      </c>
      <c r="D366">
        <v>22454</v>
      </c>
      <c r="E366">
        <v>2.87</v>
      </c>
      <c r="F366">
        <v>13254.17712</v>
      </c>
      <c r="G366">
        <v>13.254</v>
      </c>
      <c r="H366">
        <v>7.0000000000000001E-3</v>
      </c>
      <c r="I366">
        <v>1</v>
      </c>
      <c r="J366">
        <v>1004</v>
      </c>
      <c r="K366">
        <v>0.90899645399999995</v>
      </c>
      <c r="L366">
        <v>0.99199999999999999</v>
      </c>
      <c r="M366">
        <v>5</v>
      </c>
      <c r="N366">
        <v>0.93700000000000006</v>
      </c>
      <c r="O366">
        <v>5</v>
      </c>
      <c r="P366">
        <v>5</v>
      </c>
      <c r="S366" s="116" t="s">
        <v>936</v>
      </c>
    </row>
    <row r="367" spans="1:19" x14ac:dyDescent="0.2">
      <c r="A367" t="s">
        <v>1761</v>
      </c>
      <c r="B367">
        <v>9003502100</v>
      </c>
      <c r="C367" t="s">
        <v>1762</v>
      </c>
      <c r="D367">
        <v>82355</v>
      </c>
      <c r="E367">
        <v>1.43</v>
      </c>
      <c r="F367">
        <v>68868.710730000006</v>
      </c>
      <c r="G367">
        <v>68.869</v>
      </c>
      <c r="H367">
        <v>0.78800000000000003</v>
      </c>
      <c r="I367">
        <v>4</v>
      </c>
      <c r="J367">
        <v>1487</v>
      </c>
      <c r="K367">
        <v>0.25910169999999999</v>
      </c>
      <c r="L367">
        <v>0.03</v>
      </c>
      <c r="M367">
        <v>1</v>
      </c>
      <c r="N367">
        <v>0.496</v>
      </c>
      <c r="O367">
        <v>3</v>
      </c>
      <c r="P367">
        <v>3</v>
      </c>
      <c r="S367" s="114" t="s">
        <v>944</v>
      </c>
    </row>
    <row r="368" spans="1:19" x14ac:dyDescent="0.2">
      <c r="A368" t="s">
        <v>1763</v>
      </c>
      <c r="B368">
        <v>9003502300</v>
      </c>
      <c r="C368" t="s">
        <v>1764</v>
      </c>
      <c r="D368">
        <v>49643</v>
      </c>
      <c r="E368">
        <v>3.05</v>
      </c>
      <c r="F368">
        <v>28425.499110000001</v>
      </c>
      <c r="G368">
        <v>28.425000000000001</v>
      </c>
      <c r="H368">
        <v>0.14699999999999999</v>
      </c>
      <c r="I368">
        <v>1</v>
      </c>
      <c r="J368">
        <v>1218</v>
      </c>
      <c r="K368">
        <v>0.51418622199999997</v>
      </c>
      <c r="L368">
        <v>0.85799999999999998</v>
      </c>
      <c r="M368">
        <v>5</v>
      </c>
      <c r="N368">
        <v>0.74399999999999999</v>
      </c>
      <c r="O368">
        <v>4</v>
      </c>
      <c r="P368">
        <v>5</v>
      </c>
      <c r="S368" s="116" t="s">
        <v>944</v>
      </c>
    </row>
    <row r="369" spans="1:19" x14ac:dyDescent="0.2">
      <c r="A369" t="s">
        <v>1765</v>
      </c>
      <c r="B369">
        <v>9003502400</v>
      </c>
      <c r="C369" t="s">
        <v>1766</v>
      </c>
      <c r="D369">
        <v>31179</v>
      </c>
      <c r="E369">
        <v>2.79</v>
      </c>
      <c r="F369">
        <v>18666.37904</v>
      </c>
      <c r="G369">
        <v>18.666</v>
      </c>
      <c r="H369">
        <v>4.3999999999999997E-2</v>
      </c>
      <c r="I369">
        <v>1</v>
      </c>
      <c r="J369">
        <v>1114</v>
      </c>
      <c r="K369">
        <v>0.71615389200000001</v>
      </c>
      <c r="L369">
        <v>0.96799999999999997</v>
      </c>
      <c r="M369">
        <v>5</v>
      </c>
      <c r="N369">
        <v>0.86099999999999999</v>
      </c>
      <c r="O369">
        <v>5</v>
      </c>
      <c r="P369">
        <v>5</v>
      </c>
      <c r="S369" s="114" t="s">
        <v>936</v>
      </c>
    </row>
    <row r="370" spans="1:19" x14ac:dyDescent="0.2">
      <c r="A370" t="s">
        <v>1767</v>
      </c>
      <c r="B370">
        <v>9003502500</v>
      </c>
      <c r="C370" t="s">
        <v>1768</v>
      </c>
      <c r="D370">
        <v>39545</v>
      </c>
      <c r="E370">
        <v>2.56</v>
      </c>
      <c r="F370">
        <v>24715.625</v>
      </c>
      <c r="G370">
        <v>24.716000000000001</v>
      </c>
      <c r="H370">
        <v>0.111</v>
      </c>
      <c r="I370">
        <v>1</v>
      </c>
      <c r="J370">
        <v>1034</v>
      </c>
      <c r="K370">
        <v>0.50203059800000005</v>
      </c>
      <c r="L370">
        <v>0.84899999999999998</v>
      </c>
      <c r="M370">
        <v>5</v>
      </c>
      <c r="N370">
        <v>0.91800000000000004</v>
      </c>
      <c r="O370">
        <v>5</v>
      </c>
      <c r="P370">
        <v>5</v>
      </c>
      <c r="S370" s="116" t="s">
        <v>936</v>
      </c>
    </row>
    <row r="371" spans="1:19" x14ac:dyDescent="0.2">
      <c r="A371" t="s">
        <v>1769</v>
      </c>
      <c r="B371">
        <v>9003502600</v>
      </c>
      <c r="C371" t="s">
        <v>1770</v>
      </c>
      <c r="D371">
        <v>36495</v>
      </c>
      <c r="E371">
        <v>2.99</v>
      </c>
      <c r="F371">
        <v>21105.603439999999</v>
      </c>
      <c r="G371">
        <v>21.106000000000002</v>
      </c>
      <c r="H371">
        <v>7.0999999999999994E-2</v>
      </c>
      <c r="I371">
        <v>1</v>
      </c>
      <c r="J371">
        <v>1081</v>
      </c>
      <c r="K371">
        <v>0.61462350700000001</v>
      </c>
      <c r="L371">
        <v>0.92900000000000005</v>
      </c>
      <c r="M371">
        <v>5</v>
      </c>
      <c r="N371">
        <v>0.88900000000000001</v>
      </c>
      <c r="O371">
        <v>5</v>
      </c>
      <c r="P371">
        <v>5</v>
      </c>
      <c r="S371" s="114" t="s">
        <v>936</v>
      </c>
    </row>
    <row r="372" spans="1:19" x14ac:dyDescent="0.2">
      <c r="A372" t="s">
        <v>1771</v>
      </c>
      <c r="B372">
        <v>9003502700</v>
      </c>
      <c r="C372" t="s">
        <v>1772</v>
      </c>
      <c r="D372">
        <v>23608</v>
      </c>
      <c r="E372">
        <v>2.2200000000000002</v>
      </c>
      <c r="F372">
        <v>15844.65215</v>
      </c>
      <c r="G372">
        <v>15.845000000000001</v>
      </c>
      <c r="H372">
        <v>2.4E-2</v>
      </c>
      <c r="I372">
        <v>1</v>
      </c>
      <c r="J372">
        <v>914</v>
      </c>
      <c r="K372">
        <v>0.69222094000000001</v>
      </c>
      <c r="L372">
        <v>0.95899999999999996</v>
      </c>
      <c r="M372">
        <v>5</v>
      </c>
      <c r="N372">
        <v>0.96799999999999997</v>
      </c>
      <c r="O372">
        <v>5</v>
      </c>
      <c r="P372">
        <v>5</v>
      </c>
      <c r="S372" s="116" t="s">
        <v>936</v>
      </c>
    </row>
    <row r="373" spans="1:19" x14ac:dyDescent="0.2">
      <c r="A373" t="s">
        <v>1773</v>
      </c>
      <c r="B373">
        <v>9003502800</v>
      </c>
      <c r="C373" t="s">
        <v>1774</v>
      </c>
      <c r="D373">
        <v>30987</v>
      </c>
      <c r="E373">
        <v>3.14</v>
      </c>
      <c r="F373">
        <v>17486.975760000001</v>
      </c>
      <c r="G373">
        <v>17.486999999999998</v>
      </c>
      <c r="H373">
        <v>3.6999999999999998E-2</v>
      </c>
      <c r="I373">
        <v>1</v>
      </c>
      <c r="J373">
        <v>1018</v>
      </c>
      <c r="K373">
        <v>0.69857705299999995</v>
      </c>
      <c r="L373">
        <v>0.96399999999999997</v>
      </c>
      <c r="M373">
        <v>5</v>
      </c>
      <c r="N373">
        <v>0.92800000000000005</v>
      </c>
      <c r="O373">
        <v>5</v>
      </c>
      <c r="P373">
        <v>5</v>
      </c>
      <c r="S373" s="114" t="s">
        <v>936</v>
      </c>
    </row>
    <row r="374" spans="1:19" x14ac:dyDescent="0.2">
      <c r="A374" t="s">
        <v>1775</v>
      </c>
      <c r="B374">
        <v>9003502900</v>
      </c>
      <c r="C374" t="s">
        <v>1776</v>
      </c>
      <c r="D374">
        <v>43600</v>
      </c>
      <c r="E374">
        <v>2.4700000000000002</v>
      </c>
      <c r="F374">
        <v>27742.015670000001</v>
      </c>
      <c r="G374">
        <v>27.742000000000001</v>
      </c>
      <c r="H374">
        <v>0.14000000000000001</v>
      </c>
      <c r="I374">
        <v>1</v>
      </c>
      <c r="J374">
        <v>1171</v>
      </c>
      <c r="K374">
        <v>0.506524117</v>
      </c>
      <c r="L374">
        <v>0.85399999999999998</v>
      </c>
      <c r="M374">
        <v>5</v>
      </c>
      <c r="N374">
        <v>0.80200000000000005</v>
      </c>
      <c r="O374">
        <v>5</v>
      </c>
      <c r="P374">
        <v>5</v>
      </c>
      <c r="S374" s="116" t="s">
        <v>936</v>
      </c>
    </row>
    <row r="375" spans="1:19" x14ac:dyDescent="0.2">
      <c r="A375" t="s">
        <v>1777</v>
      </c>
      <c r="B375">
        <v>9003503000</v>
      </c>
      <c r="C375" t="s">
        <v>1778</v>
      </c>
      <c r="D375">
        <v>23480</v>
      </c>
      <c r="E375">
        <v>2.4700000000000002</v>
      </c>
      <c r="F375">
        <v>14939.96623</v>
      </c>
      <c r="G375">
        <v>14.94</v>
      </c>
      <c r="H375">
        <v>1.7000000000000001E-2</v>
      </c>
      <c r="I375">
        <v>1</v>
      </c>
      <c r="J375">
        <v>859</v>
      </c>
      <c r="K375">
        <v>0.68996139899999998</v>
      </c>
      <c r="L375">
        <v>0.95699999999999996</v>
      </c>
      <c r="M375">
        <v>5</v>
      </c>
      <c r="N375">
        <v>0.98299999999999998</v>
      </c>
      <c r="O375">
        <v>5</v>
      </c>
      <c r="P375">
        <v>5</v>
      </c>
      <c r="S375" s="114" t="s">
        <v>936</v>
      </c>
    </row>
    <row r="376" spans="1:19" x14ac:dyDescent="0.2">
      <c r="A376" t="s">
        <v>1779</v>
      </c>
      <c r="B376">
        <v>9003503100</v>
      </c>
      <c r="C376" t="s">
        <v>1780</v>
      </c>
      <c r="D376">
        <v>30206</v>
      </c>
      <c r="E376">
        <v>1.59</v>
      </c>
      <c r="F376">
        <v>23954.9162</v>
      </c>
      <c r="G376">
        <v>23.954999999999998</v>
      </c>
      <c r="H376">
        <v>0.104</v>
      </c>
      <c r="I376">
        <v>1</v>
      </c>
      <c r="J376">
        <v>843</v>
      </c>
      <c r="K376">
        <v>0.422293274</v>
      </c>
      <c r="L376">
        <v>0.73299999999999998</v>
      </c>
      <c r="M376">
        <v>4</v>
      </c>
      <c r="N376">
        <v>0.98499999999999999</v>
      </c>
      <c r="O376">
        <v>5</v>
      </c>
      <c r="P376">
        <v>5</v>
      </c>
      <c r="S376" s="116" t="s">
        <v>936</v>
      </c>
    </row>
    <row r="377" spans="1:19" x14ac:dyDescent="0.2">
      <c r="A377" t="s">
        <v>1781</v>
      </c>
      <c r="B377">
        <v>9003503300</v>
      </c>
      <c r="C377" t="s">
        <v>1782</v>
      </c>
      <c r="D377">
        <v>33958</v>
      </c>
      <c r="E377">
        <v>2.19</v>
      </c>
      <c r="F377">
        <v>22946.689900000001</v>
      </c>
      <c r="G377">
        <v>22.946999999999999</v>
      </c>
      <c r="H377">
        <v>9.4E-2</v>
      </c>
      <c r="I377">
        <v>1</v>
      </c>
      <c r="J377">
        <v>896</v>
      </c>
      <c r="K377">
        <v>0.46856431300000001</v>
      </c>
      <c r="L377">
        <v>0.81100000000000005</v>
      </c>
      <c r="M377">
        <v>5</v>
      </c>
      <c r="N377">
        <v>0.97399999999999998</v>
      </c>
      <c r="O377">
        <v>5</v>
      </c>
      <c r="P377">
        <v>5</v>
      </c>
      <c r="S377" s="114" t="s">
        <v>936</v>
      </c>
    </row>
    <row r="378" spans="1:19" x14ac:dyDescent="0.2">
      <c r="A378" t="s">
        <v>1783</v>
      </c>
      <c r="B378">
        <v>9003503500</v>
      </c>
      <c r="C378" t="s">
        <v>1784</v>
      </c>
      <c r="D378">
        <v>35030</v>
      </c>
      <c r="E378">
        <v>2.65</v>
      </c>
      <c r="F378">
        <v>21518.75794</v>
      </c>
      <c r="G378">
        <v>21.518999999999998</v>
      </c>
      <c r="H378">
        <v>7.8E-2</v>
      </c>
      <c r="I378">
        <v>1</v>
      </c>
      <c r="J378">
        <v>1127</v>
      </c>
      <c r="K378">
        <v>0.62847493499999996</v>
      </c>
      <c r="L378">
        <v>0.93500000000000005</v>
      </c>
      <c r="M378">
        <v>5</v>
      </c>
      <c r="N378">
        <v>0.84399999999999997</v>
      </c>
      <c r="O378">
        <v>5</v>
      </c>
      <c r="P378">
        <v>5</v>
      </c>
      <c r="S378" s="116" t="s">
        <v>936</v>
      </c>
    </row>
    <row r="379" spans="1:19" x14ac:dyDescent="0.2">
      <c r="A379" t="s">
        <v>1785</v>
      </c>
      <c r="B379">
        <v>9003503700</v>
      </c>
      <c r="C379" t="s">
        <v>1786</v>
      </c>
      <c r="D379">
        <v>37353</v>
      </c>
      <c r="E379">
        <v>2.5</v>
      </c>
      <c r="F379">
        <v>23624.111489999999</v>
      </c>
      <c r="G379">
        <v>23.623999999999999</v>
      </c>
      <c r="H379">
        <v>0.1</v>
      </c>
      <c r="I379">
        <v>1</v>
      </c>
      <c r="J379">
        <v>1097</v>
      </c>
      <c r="K379">
        <v>0.55722730600000003</v>
      </c>
      <c r="L379">
        <v>0.89400000000000002</v>
      </c>
      <c r="M379">
        <v>5</v>
      </c>
      <c r="N379">
        <v>0.879</v>
      </c>
      <c r="O379">
        <v>5</v>
      </c>
      <c r="P379">
        <v>5</v>
      </c>
      <c r="S379" s="114" t="s">
        <v>936</v>
      </c>
    </row>
    <row r="380" spans="1:19" x14ac:dyDescent="0.2">
      <c r="A380" t="s">
        <v>1787</v>
      </c>
      <c r="B380">
        <v>9003503800</v>
      </c>
      <c r="C380" t="s">
        <v>1788</v>
      </c>
      <c r="D380">
        <v>26250</v>
      </c>
      <c r="E380">
        <v>2.37</v>
      </c>
      <c r="F380">
        <v>17051.207310000002</v>
      </c>
      <c r="G380">
        <v>17.050999999999998</v>
      </c>
      <c r="H380">
        <v>0.03</v>
      </c>
      <c r="I380">
        <v>1</v>
      </c>
      <c r="J380">
        <v>648</v>
      </c>
      <c r="K380">
        <v>0.45603808899999998</v>
      </c>
      <c r="L380">
        <v>0.79300000000000004</v>
      </c>
      <c r="M380">
        <v>4</v>
      </c>
      <c r="N380">
        <v>0.996</v>
      </c>
      <c r="O380">
        <v>5</v>
      </c>
      <c r="P380">
        <v>5</v>
      </c>
      <c r="S380" s="116" t="s">
        <v>936</v>
      </c>
    </row>
    <row r="381" spans="1:19" x14ac:dyDescent="0.2">
      <c r="A381" t="s">
        <v>1789</v>
      </c>
      <c r="B381">
        <v>9003503900</v>
      </c>
      <c r="C381" t="s">
        <v>1790</v>
      </c>
      <c r="D381">
        <v>49309</v>
      </c>
      <c r="E381">
        <v>2.64</v>
      </c>
      <c r="F381">
        <v>30347.591639999999</v>
      </c>
      <c r="G381">
        <v>30.347999999999999</v>
      </c>
      <c r="H381">
        <v>0.17399999999999999</v>
      </c>
      <c r="I381">
        <v>1</v>
      </c>
      <c r="J381">
        <v>1259</v>
      </c>
      <c r="K381">
        <v>0.49783192599999998</v>
      </c>
      <c r="L381">
        <v>0.84</v>
      </c>
      <c r="M381">
        <v>5</v>
      </c>
      <c r="N381">
        <v>0.70499999999999996</v>
      </c>
      <c r="O381">
        <v>4</v>
      </c>
      <c r="P381">
        <v>5</v>
      </c>
      <c r="S381" s="114" t="s">
        <v>944</v>
      </c>
    </row>
    <row r="382" spans="1:19" x14ac:dyDescent="0.2">
      <c r="A382" t="s">
        <v>1791</v>
      </c>
      <c r="B382">
        <v>9003504000</v>
      </c>
      <c r="C382" t="s">
        <v>1792</v>
      </c>
      <c r="D382">
        <v>54908</v>
      </c>
      <c r="E382">
        <v>2.64</v>
      </c>
      <c r="F382">
        <v>33793.537929999999</v>
      </c>
      <c r="G382">
        <v>33.793999999999997</v>
      </c>
      <c r="H382">
        <v>0.219</v>
      </c>
      <c r="I382">
        <v>2</v>
      </c>
      <c r="J382">
        <v>1182</v>
      </c>
      <c r="K382">
        <v>0.41972521600000001</v>
      </c>
      <c r="L382">
        <v>0.72199999999999998</v>
      </c>
      <c r="M382">
        <v>4</v>
      </c>
      <c r="N382">
        <v>0.79200000000000004</v>
      </c>
      <c r="O382">
        <v>4</v>
      </c>
      <c r="P382">
        <v>4</v>
      </c>
      <c r="S382" s="116" t="s">
        <v>944</v>
      </c>
    </row>
    <row r="383" spans="1:19" x14ac:dyDescent="0.2">
      <c r="A383" t="s">
        <v>1793</v>
      </c>
      <c r="B383">
        <v>9003504100</v>
      </c>
      <c r="C383" t="s">
        <v>1794</v>
      </c>
      <c r="D383">
        <v>36743</v>
      </c>
      <c r="E383">
        <v>2.97</v>
      </c>
      <c r="F383">
        <v>21320.45104</v>
      </c>
      <c r="G383">
        <v>21.32</v>
      </c>
      <c r="H383">
        <v>7.5999999999999998E-2</v>
      </c>
      <c r="I383">
        <v>1</v>
      </c>
      <c r="J383">
        <v>1060</v>
      </c>
      <c r="K383">
        <v>0.59661026800000005</v>
      </c>
      <c r="L383">
        <v>0.92</v>
      </c>
      <c r="M383">
        <v>5</v>
      </c>
      <c r="N383">
        <v>0.90100000000000002</v>
      </c>
      <c r="O383">
        <v>5</v>
      </c>
      <c r="P383">
        <v>5</v>
      </c>
      <c r="S383" s="114" t="s">
        <v>936</v>
      </c>
    </row>
    <row r="384" spans="1:19" x14ac:dyDescent="0.2">
      <c r="A384" t="s">
        <v>1795</v>
      </c>
      <c r="B384">
        <v>9003504200</v>
      </c>
      <c r="C384" t="s">
        <v>1796</v>
      </c>
      <c r="D384">
        <v>25648</v>
      </c>
      <c r="E384">
        <v>1.93</v>
      </c>
      <c r="F384">
        <v>18461.83438</v>
      </c>
      <c r="G384">
        <v>18.462</v>
      </c>
      <c r="H384">
        <v>4.2000000000000003E-2</v>
      </c>
      <c r="I384">
        <v>1</v>
      </c>
      <c r="J384">
        <v>969</v>
      </c>
      <c r="K384">
        <v>0.62983990400000001</v>
      </c>
      <c r="L384">
        <v>0.93700000000000006</v>
      </c>
      <c r="M384">
        <v>5</v>
      </c>
      <c r="N384">
        <v>0.95399999999999996</v>
      </c>
      <c r="O384">
        <v>5</v>
      </c>
      <c r="P384">
        <v>5</v>
      </c>
      <c r="S384" s="116" t="s">
        <v>936</v>
      </c>
    </row>
    <row r="385" spans="1:19" x14ac:dyDescent="0.2">
      <c r="A385" t="s">
        <v>1797</v>
      </c>
      <c r="B385">
        <v>9003504300</v>
      </c>
      <c r="C385" t="s">
        <v>1798</v>
      </c>
      <c r="D385">
        <v>25958</v>
      </c>
      <c r="E385">
        <v>2.65</v>
      </c>
      <c r="F385">
        <v>15945.87264</v>
      </c>
      <c r="G385">
        <v>15.946</v>
      </c>
      <c r="H385">
        <v>2.5000000000000001E-2</v>
      </c>
      <c r="I385">
        <v>1</v>
      </c>
      <c r="J385">
        <v>976</v>
      </c>
      <c r="K385">
        <v>0.73448473199999997</v>
      </c>
      <c r="L385">
        <v>0.97299999999999998</v>
      </c>
      <c r="M385">
        <v>5</v>
      </c>
      <c r="N385">
        <v>0.95099999999999996</v>
      </c>
      <c r="O385">
        <v>5</v>
      </c>
      <c r="P385">
        <v>5</v>
      </c>
      <c r="S385" s="114" t="s">
        <v>936</v>
      </c>
    </row>
    <row r="386" spans="1:19" x14ac:dyDescent="0.2">
      <c r="A386" t="s">
        <v>1799</v>
      </c>
      <c r="B386">
        <v>9003504500</v>
      </c>
      <c r="C386" t="s">
        <v>1800</v>
      </c>
      <c r="D386">
        <v>31972</v>
      </c>
      <c r="E386">
        <v>2.61</v>
      </c>
      <c r="F386">
        <v>19790.171170000001</v>
      </c>
      <c r="G386">
        <v>19.79</v>
      </c>
      <c r="H386">
        <v>5.5E-2</v>
      </c>
      <c r="I386">
        <v>1</v>
      </c>
      <c r="J386">
        <v>998</v>
      </c>
      <c r="K386">
        <v>0.605148884</v>
      </c>
      <c r="L386">
        <v>0.92400000000000004</v>
      </c>
      <c r="M386">
        <v>5</v>
      </c>
      <c r="N386">
        <v>0.94299999999999995</v>
      </c>
      <c r="O386">
        <v>5</v>
      </c>
      <c r="P386">
        <v>5</v>
      </c>
      <c r="S386" s="116" t="s">
        <v>936</v>
      </c>
    </row>
    <row r="387" spans="1:19" x14ac:dyDescent="0.2">
      <c r="A387" t="s">
        <v>1801</v>
      </c>
      <c r="B387">
        <v>9003504800</v>
      </c>
      <c r="C387" t="s">
        <v>1802</v>
      </c>
      <c r="D387">
        <v>53607</v>
      </c>
      <c r="E387">
        <v>2.93</v>
      </c>
      <c r="F387">
        <v>31317.54379</v>
      </c>
      <c r="G387">
        <v>31.318000000000001</v>
      </c>
      <c r="H387">
        <v>0.19400000000000001</v>
      </c>
      <c r="I387">
        <v>1</v>
      </c>
      <c r="J387">
        <v>1342</v>
      </c>
      <c r="K387">
        <v>0.51421657200000004</v>
      </c>
      <c r="L387">
        <v>0.86</v>
      </c>
      <c r="M387">
        <v>5</v>
      </c>
      <c r="N387">
        <v>0.61499999999999999</v>
      </c>
      <c r="O387">
        <v>4</v>
      </c>
      <c r="P387">
        <v>5</v>
      </c>
      <c r="S387" s="114" t="s">
        <v>944</v>
      </c>
    </row>
    <row r="388" spans="1:19" x14ac:dyDescent="0.2">
      <c r="A388" t="s">
        <v>1803</v>
      </c>
      <c r="B388">
        <v>9003504900</v>
      </c>
      <c r="C388" t="s">
        <v>1804</v>
      </c>
      <c r="D388">
        <v>39167</v>
      </c>
      <c r="E388">
        <v>2.82</v>
      </c>
      <c r="F388">
        <v>23323.609090000002</v>
      </c>
      <c r="G388">
        <v>23.324000000000002</v>
      </c>
      <c r="H388">
        <v>9.7000000000000003E-2</v>
      </c>
      <c r="I388">
        <v>1</v>
      </c>
      <c r="J388">
        <v>1130</v>
      </c>
      <c r="K388">
        <v>0.58138515099999999</v>
      </c>
      <c r="L388">
        <v>0.90800000000000003</v>
      </c>
      <c r="M388">
        <v>5</v>
      </c>
      <c r="N388">
        <v>0.83699999999999997</v>
      </c>
      <c r="O388">
        <v>5</v>
      </c>
      <c r="P388">
        <v>5</v>
      </c>
      <c r="S388" s="116" t="s">
        <v>936</v>
      </c>
    </row>
    <row r="389" spans="1:19" x14ac:dyDescent="0.2">
      <c r="A389" t="s">
        <v>1805</v>
      </c>
      <c r="B389">
        <v>9003510100</v>
      </c>
      <c r="C389" t="s">
        <v>1806</v>
      </c>
      <c r="D389">
        <v>68482</v>
      </c>
      <c r="E389">
        <v>2.67</v>
      </c>
      <c r="F389">
        <v>41910.303379999998</v>
      </c>
      <c r="G389">
        <v>41.91</v>
      </c>
      <c r="H389">
        <v>0.31900000000000001</v>
      </c>
      <c r="I389">
        <v>2</v>
      </c>
      <c r="J389">
        <v>1120</v>
      </c>
      <c r="K389">
        <v>0.32068486499999999</v>
      </c>
      <c r="L389">
        <v>0.29599999999999999</v>
      </c>
      <c r="M389">
        <v>2</v>
      </c>
      <c r="N389">
        <v>0.85499999999999998</v>
      </c>
      <c r="O389">
        <v>5</v>
      </c>
      <c r="P389">
        <v>5</v>
      </c>
      <c r="S389" s="114" t="s">
        <v>944</v>
      </c>
    </row>
    <row r="390" spans="1:19" x14ac:dyDescent="0.2">
      <c r="A390" t="s">
        <v>1807</v>
      </c>
      <c r="B390">
        <v>9003510200</v>
      </c>
      <c r="C390" t="s">
        <v>1808</v>
      </c>
      <c r="D390">
        <v>45278</v>
      </c>
      <c r="E390">
        <v>2.2999999999999998</v>
      </c>
      <c r="F390">
        <v>29855.429069999998</v>
      </c>
      <c r="G390">
        <v>29.855</v>
      </c>
      <c r="H390">
        <v>0.16600000000000001</v>
      </c>
      <c r="I390">
        <v>1</v>
      </c>
      <c r="J390">
        <v>1049</v>
      </c>
      <c r="K390">
        <v>0.421631857</v>
      </c>
      <c r="L390">
        <v>0.72899999999999998</v>
      </c>
      <c r="M390">
        <v>4</v>
      </c>
      <c r="N390">
        <v>0.91</v>
      </c>
      <c r="O390">
        <v>5</v>
      </c>
      <c r="P390">
        <v>5</v>
      </c>
      <c r="S390" s="116" t="s">
        <v>936</v>
      </c>
    </row>
    <row r="391" spans="1:19" x14ac:dyDescent="0.2">
      <c r="A391" t="s">
        <v>1809</v>
      </c>
      <c r="B391">
        <v>9003510300</v>
      </c>
      <c r="C391" t="s">
        <v>1810</v>
      </c>
      <c r="D391">
        <v>52860</v>
      </c>
      <c r="E391">
        <v>2.74</v>
      </c>
      <c r="F391">
        <v>31933.89385</v>
      </c>
      <c r="G391">
        <v>31.934000000000001</v>
      </c>
      <c r="H391">
        <v>0.2</v>
      </c>
      <c r="I391">
        <v>1</v>
      </c>
      <c r="J391">
        <v>1123</v>
      </c>
      <c r="K391">
        <v>0.42199676800000002</v>
      </c>
      <c r="L391">
        <v>0.73199999999999998</v>
      </c>
      <c r="M391">
        <v>4</v>
      </c>
      <c r="N391">
        <v>0.85099999999999998</v>
      </c>
      <c r="O391">
        <v>5</v>
      </c>
      <c r="P391">
        <v>5</v>
      </c>
      <c r="S391" s="114" t="s">
        <v>944</v>
      </c>
    </row>
    <row r="392" spans="1:19" x14ac:dyDescent="0.2">
      <c r="A392" t="s">
        <v>1811</v>
      </c>
      <c r="B392">
        <v>9003510400</v>
      </c>
      <c r="C392" t="s">
        <v>1812</v>
      </c>
      <c r="D392">
        <v>37403</v>
      </c>
      <c r="E392">
        <v>2.88</v>
      </c>
      <c r="F392">
        <v>22039.929110000001</v>
      </c>
      <c r="G392">
        <v>22.04</v>
      </c>
      <c r="H392">
        <v>8.2000000000000003E-2</v>
      </c>
      <c r="I392">
        <v>1</v>
      </c>
      <c r="J392">
        <v>1017</v>
      </c>
      <c r="K392">
        <v>0.55372228899999998</v>
      </c>
      <c r="L392">
        <v>0.88900000000000001</v>
      </c>
      <c r="M392">
        <v>5</v>
      </c>
      <c r="N392">
        <v>0.92900000000000005</v>
      </c>
      <c r="O392">
        <v>5</v>
      </c>
      <c r="P392">
        <v>5</v>
      </c>
      <c r="S392" s="116" t="s">
        <v>936</v>
      </c>
    </row>
    <row r="393" spans="1:19" x14ac:dyDescent="0.2">
      <c r="A393" t="s">
        <v>1813</v>
      </c>
      <c r="B393">
        <v>9003510500</v>
      </c>
      <c r="C393" t="s">
        <v>1814</v>
      </c>
      <c r="D393">
        <v>53237</v>
      </c>
      <c r="E393">
        <v>2.2000000000000002</v>
      </c>
      <c r="F393">
        <v>35892.378080000002</v>
      </c>
      <c r="G393">
        <v>35.892000000000003</v>
      </c>
      <c r="H393">
        <v>0.246</v>
      </c>
      <c r="I393">
        <v>2</v>
      </c>
      <c r="J393">
        <v>1201</v>
      </c>
      <c r="K393">
        <v>0.40153371700000001</v>
      </c>
      <c r="L393">
        <v>0.68200000000000005</v>
      </c>
      <c r="M393">
        <v>4</v>
      </c>
      <c r="N393">
        <v>0.76300000000000001</v>
      </c>
      <c r="O393">
        <v>4</v>
      </c>
      <c r="P393">
        <v>4</v>
      </c>
      <c r="S393" s="114" t="s">
        <v>944</v>
      </c>
    </row>
    <row r="394" spans="1:19" x14ac:dyDescent="0.2">
      <c r="A394" t="s">
        <v>1815</v>
      </c>
      <c r="B394">
        <v>9003510600</v>
      </c>
      <c r="C394" t="s">
        <v>1816</v>
      </c>
      <c r="D394">
        <v>41467</v>
      </c>
      <c r="E394">
        <v>2.5499999999999998</v>
      </c>
      <c r="F394">
        <v>25967.642680000001</v>
      </c>
      <c r="G394">
        <v>25.968</v>
      </c>
      <c r="H394">
        <v>0.123</v>
      </c>
      <c r="I394">
        <v>1</v>
      </c>
      <c r="J394">
        <v>1077</v>
      </c>
      <c r="K394">
        <v>0.49769631199999997</v>
      </c>
      <c r="L394">
        <v>0.83899999999999997</v>
      </c>
      <c r="M394">
        <v>5</v>
      </c>
      <c r="N394">
        <v>0.89200000000000002</v>
      </c>
      <c r="O394">
        <v>5</v>
      </c>
      <c r="P394">
        <v>5</v>
      </c>
      <c r="S394" s="116" t="s">
        <v>936</v>
      </c>
    </row>
    <row r="395" spans="1:19" x14ac:dyDescent="0.2">
      <c r="A395" t="s">
        <v>1817</v>
      </c>
      <c r="B395">
        <v>9003510700</v>
      </c>
      <c r="C395" t="s">
        <v>1818</v>
      </c>
      <c r="D395">
        <v>58029</v>
      </c>
      <c r="E395">
        <v>2.41</v>
      </c>
      <c r="F395">
        <v>37379.764869999999</v>
      </c>
      <c r="G395">
        <v>37.380000000000003</v>
      </c>
      <c r="H395">
        <v>0.26100000000000001</v>
      </c>
      <c r="I395">
        <v>2</v>
      </c>
      <c r="J395">
        <v>1201</v>
      </c>
      <c r="K395">
        <v>0.38555619699999999</v>
      </c>
      <c r="L395">
        <v>0.64700000000000002</v>
      </c>
      <c r="M395">
        <v>4</v>
      </c>
      <c r="N395">
        <v>0.76300000000000001</v>
      </c>
      <c r="O395">
        <v>4</v>
      </c>
      <c r="P395">
        <v>4</v>
      </c>
      <c r="S395" s="114" t="s">
        <v>944</v>
      </c>
    </row>
    <row r="396" spans="1:19" x14ac:dyDescent="0.2">
      <c r="A396" t="s">
        <v>1819</v>
      </c>
      <c r="B396">
        <v>9003510800</v>
      </c>
      <c r="C396" t="s">
        <v>1820</v>
      </c>
      <c r="D396">
        <v>59018</v>
      </c>
      <c r="E396">
        <v>2.2999999999999998</v>
      </c>
      <c r="F396">
        <v>38915.316780000001</v>
      </c>
      <c r="G396">
        <v>38.914999999999999</v>
      </c>
      <c r="H396">
        <v>0.27800000000000002</v>
      </c>
      <c r="I396">
        <v>2</v>
      </c>
      <c r="J396">
        <v>1070</v>
      </c>
      <c r="K396">
        <v>0.32994720500000002</v>
      </c>
      <c r="L396">
        <v>0.35699999999999998</v>
      </c>
      <c r="M396">
        <v>2</v>
      </c>
      <c r="N396">
        <v>0.89600000000000002</v>
      </c>
      <c r="O396">
        <v>5</v>
      </c>
      <c r="P396">
        <v>5</v>
      </c>
      <c r="S396" s="116" t="s">
        <v>944</v>
      </c>
    </row>
    <row r="397" spans="1:19" x14ac:dyDescent="0.2">
      <c r="A397" t="s">
        <v>1821</v>
      </c>
      <c r="B397">
        <v>9003510900</v>
      </c>
      <c r="C397" t="s">
        <v>1822</v>
      </c>
      <c r="D397">
        <v>91170</v>
      </c>
      <c r="E397">
        <v>2.81</v>
      </c>
      <c r="F397">
        <v>54387.462249999997</v>
      </c>
      <c r="G397">
        <v>54.387</v>
      </c>
      <c r="H397">
        <v>0.54900000000000004</v>
      </c>
      <c r="I397">
        <v>3</v>
      </c>
      <c r="J397">
        <v>1516</v>
      </c>
      <c r="K397">
        <v>0.33448885499999997</v>
      </c>
      <c r="L397">
        <v>0.39100000000000001</v>
      </c>
      <c r="M397">
        <v>2</v>
      </c>
      <c r="N397">
        <v>0.45500000000000002</v>
      </c>
      <c r="O397">
        <v>3</v>
      </c>
      <c r="P397">
        <v>3</v>
      </c>
      <c r="S397" s="114" t="s">
        <v>944</v>
      </c>
    </row>
    <row r="398" spans="1:19" x14ac:dyDescent="0.2">
      <c r="A398" t="s">
        <v>1823</v>
      </c>
      <c r="B398">
        <v>9003511000</v>
      </c>
      <c r="C398" t="s">
        <v>1824</v>
      </c>
      <c r="D398">
        <v>84648</v>
      </c>
      <c r="E398">
        <v>2.65</v>
      </c>
      <c r="F398">
        <v>51998.853049999998</v>
      </c>
      <c r="G398">
        <v>51.999000000000002</v>
      </c>
      <c r="H398">
        <v>0.5</v>
      </c>
      <c r="I398">
        <v>3</v>
      </c>
      <c r="J398">
        <v>1460</v>
      </c>
      <c r="K398">
        <v>0.33693050899999999</v>
      </c>
      <c r="L398">
        <v>0.40600000000000003</v>
      </c>
      <c r="M398">
        <v>3</v>
      </c>
      <c r="N398">
        <v>0.51400000000000001</v>
      </c>
      <c r="O398">
        <v>3</v>
      </c>
      <c r="P398">
        <v>3</v>
      </c>
      <c r="S398" s="116" t="s">
        <v>944</v>
      </c>
    </row>
    <row r="399" spans="1:19" x14ac:dyDescent="0.2">
      <c r="A399" t="s">
        <v>1825</v>
      </c>
      <c r="B399">
        <v>9003511100</v>
      </c>
      <c r="C399" t="s">
        <v>1826</v>
      </c>
      <c r="D399">
        <v>93403</v>
      </c>
      <c r="E399">
        <v>2.72</v>
      </c>
      <c r="F399">
        <v>56633.887459999998</v>
      </c>
      <c r="G399">
        <v>56.634</v>
      </c>
      <c r="H399">
        <v>0.59099999999999997</v>
      </c>
      <c r="I399">
        <v>3</v>
      </c>
      <c r="J399">
        <v>1502</v>
      </c>
      <c r="K399">
        <v>0.31825468499999998</v>
      </c>
      <c r="L399">
        <v>0.27600000000000002</v>
      </c>
      <c r="M399">
        <v>2</v>
      </c>
      <c r="N399">
        <v>0.47</v>
      </c>
      <c r="O399">
        <v>3</v>
      </c>
      <c r="P399">
        <v>3</v>
      </c>
      <c r="S399" s="114" t="s">
        <v>944</v>
      </c>
    </row>
    <row r="400" spans="1:19" x14ac:dyDescent="0.2">
      <c r="A400" t="s">
        <v>1827</v>
      </c>
      <c r="B400">
        <v>9003511200</v>
      </c>
      <c r="C400" t="s">
        <v>1828</v>
      </c>
      <c r="D400">
        <v>50000</v>
      </c>
      <c r="E400">
        <v>2.67</v>
      </c>
      <c r="F400">
        <v>30599.503069999999</v>
      </c>
      <c r="G400">
        <v>30.6</v>
      </c>
      <c r="H400">
        <v>0.17699999999999999</v>
      </c>
      <c r="I400">
        <v>1</v>
      </c>
      <c r="J400">
        <v>1359</v>
      </c>
      <c r="K400">
        <v>0.53294983100000004</v>
      </c>
      <c r="L400">
        <v>0.874</v>
      </c>
      <c r="M400">
        <v>5</v>
      </c>
      <c r="N400">
        <v>0.6</v>
      </c>
      <c r="O400">
        <v>3</v>
      </c>
      <c r="P400">
        <v>4</v>
      </c>
      <c r="S400" s="116" t="s">
        <v>944</v>
      </c>
    </row>
    <row r="401" spans="1:19" x14ac:dyDescent="0.2">
      <c r="A401" t="s">
        <v>1829</v>
      </c>
      <c r="B401">
        <v>9003511300</v>
      </c>
      <c r="C401" t="s">
        <v>1830</v>
      </c>
      <c r="D401">
        <v>46646</v>
      </c>
      <c r="E401">
        <v>2.76</v>
      </c>
      <c r="F401">
        <v>28077.592519999998</v>
      </c>
      <c r="G401">
        <v>28.077999999999999</v>
      </c>
      <c r="H401">
        <v>0.14299999999999999</v>
      </c>
      <c r="I401">
        <v>1</v>
      </c>
      <c r="J401">
        <v>1166</v>
      </c>
      <c r="K401">
        <v>0.49833332400000002</v>
      </c>
      <c r="L401">
        <v>0.84099999999999997</v>
      </c>
      <c r="M401">
        <v>5</v>
      </c>
      <c r="N401">
        <v>0.80800000000000005</v>
      </c>
      <c r="O401">
        <v>5</v>
      </c>
      <c r="P401">
        <v>5</v>
      </c>
      <c r="S401" s="114" t="s">
        <v>936</v>
      </c>
    </row>
    <row r="402" spans="1:19" x14ac:dyDescent="0.2">
      <c r="A402" t="s">
        <v>1831</v>
      </c>
      <c r="B402">
        <v>9003511400</v>
      </c>
      <c r="C402" t="s">
        <v>1832</v>
      </c>
      <c r="D402">
        <v>81270</v>
      </c>
      <c r="E402">
        <v>2.72</v>
      </c>
      <c r="F402">
        <v>49277.175620000002</v>
      </c>
      <c r="G402">
        <v>49.277000000000001</v>
      </c>
      <c r="H402">
        <v>0.45900000000000002</v>
      </c>
      <c r="I402">
        <v>3</v>
      </c>
      <c r="J402">
        <v>1503</v>
      </c>
      <c r="K402">
        <v>0.36601123699999999</v>
      </c>
      <c r="L402">
        <v>0.56799999999999995</v>
      </c>
      <c r="M402">
        <v>3</v>
      </c>
      <c r="N402">
        <v>0.46899999999999997</v>
      </c>
      <c r="O402">
        <v>3</v>
      </c>
      <c r="P402">
        <v>3</v>
      </c>
      <c r="S402" s="116" t="s">
        <v>944</v>
      </c>
    </row>
    <row r="403" spans="1:19" x14ac:dyDescent="0.2">
      <c r="A403" t="s">
        <v>1833</v>
      </c>
      <c r="B403">
        <v>9003514101</v>
      </c>
      <c r="C403" t="s">
        <v>1834</v>
      </c>
      <c r="D403">
        <v>93571</v>
      </c>
      <c r="E403">
        <v>2.44</v>
      </c>
      <c r="F403">
        <v>59902.694459999999</v>
      </c>
      <c r="G403">
        <v>59.902999999999999</v>
      </c>
      <c r="H403">
        <v>0.65200000000000002</v>
      </c>
      <c r="I403">
        <v>4</v>
      </c>
      <c r="J403">
        <v>1586</v>
      </c>
      <c r="K403">
        <v>0.317715258</v>
      </c>
      <c r="L403">
        <v>0.27100000000000002</v>
      </c>
      <c r="M403">
        <v>2</v>
      </c>
      <c r="N403">
        <v>0.40100000000000002</v>
      </c>
      <c r="O403">
        <v>3</v>
      </c>
      <c r="P403">
        <v>3</v>
      </c>
      <c r="S403" s="114" t="s">
        <v>944</v>
      </c>
    </row>
    <row r="404" spans="1:19" x14ac:dyDescent="0.2">
      <c r="A404" t="s">
        <v>1835</v>
      </c>
      <c r="B404">
        <v>9003514102</v>
      </c>
      <c r="C404" t="s">
        <v>1836</v>
      </c>
      <c r="D404">
        <v>83929</v>
      </c>
      <c r="E404">
        <v>2.3199999999999998</v>
      </c>
      <c r="F404">
        <v>55102.088020000003</v>
      </c>
      <c r="G404">
        <v>55.101999999999997</v>
      </c>
      <c r="H404">
        <v>0.56599999999999995</v>
      </c>
      <c r="I404">
        <v>3</v>
      </c>
      <c r="J404">
        <v>1576</v>
      </c>
      <c r="K404">
        <v>0.34321748400000002</v>
      </c>
      <c r="L404">
        <v>0.437</v>
      </c>
      <c r="M404">
        <v>3</v>
      </c>
      <c r="N404">
        <v>0.40699999999999997</v>
      </c>
      <c r="O404">
        <v>3</v>
      </c>
      <c r="P404">
        <v>3</v>
      </c>
      <c r="S404" s="116" t="s">
        <v>944</v>
      </c>
    </row>
    <row r="405" spans="1:19" x14ac:dyDescent="0.2">
      <c r="A405" t="s">
        <v>1837</v>
      </c>
      <c r="B405">
        <v>9003514200</v>
      </c>
      <c r="C405" t="s">
        <v>1838</v>
      </c>
      <c r="D405">
        <v>63190</v>
      </c>
      <c r="E405">
        <v>2.1</v>
      </c>
      <c r="F405">
        <v>43605.242689999999</v>
      </c>
      <c r="G405">
        <v>43.604999999999997</v>
      </c>
      <c r="H405">
        <v>0.34499999999999997</v>
      </c>
      <c r="I405">
        <v>2</v>
      </c>
      <c r="J405">
        <v>1310</v>
      </c>
      <c r="K405">
        <v>0.36050710899999999</v>
      </c>
      <c r="L405">
        <v>0.54100000000000004</v>
      </c>
      <c r="M405">
        <v>3</v>
      </c>
      <c r="N405">
        <v>0.64600000000000002</v>
      </c>
      <c r="O405">
        <v>4</v>
      </c>
      <c r="P405">
        <v>4</v>
      </c>
      <c r="S405" s="114" t="s">
        <v>944</v>
      </c>
    </row>
    <row r="406" spans="1:19" x14ac:dyDescent="0.2">
      <c r="A406" t="s">
        <v>1839</v>
      </c>
      <c r="B406">
        <v>9003514300</v>
      </c>
      <c r="C406" t="s">
        <v>1840</v>
      </c>
      <c r="D406">
        <v>75685</v>
      </c>
      <c r="E406">
        <v>2.37</v>
      </c>
      <c r="F406">
        <v>49162.690499999997</v>
      </c>
      <c r="G406">
        <v>49.162999999999997</v>
      </c>
      <c r="H406">
        <v>0.45500000000000002</v>
      </c>
      <c r="I406">
        <v>3</v>
      </c>
      <c r="J406">
        <v>1341</v>
      </c>
      <c r="K406">
        <v>0.32732138599999999</v>
      </c>
      <c r="L406">
        <v>0.33800000000000002</v>
      </c>
      <c r="M406">
        <v>2</v>
      </c>
      <c r="N406">
        <v>0.61599999999999999</v>
      </c>
      <c r="O406">
        <v>4</v>
      </c>
      <c r="P406">
        <v>4</v>
      </c>
      <c r="S406" s="116" t="s">
        <v>944</v>
      </c>
    </row>
    <row r="407" spans="1:19" x14ac:dyDescent="0.2">
      <c r="A407" t="s">
        <v>1841</v>
      </c>
      <c r="B407">
        <v>9003514400</v>
      </c>
      <c r="C407" t="s">
        <v>1842</v>
      </c>
      <c r="D407">
        <v>62700</v>
      </c>
      <c r="E407">
        <v>2.5099999999999998</v>
      </c>
      <c r="F407">
        <v>39575.889069999997</v>
      </c>
      <c r="G407">
        <v>39.576000000000001</v>
      </c>
      <c r="H407">
        <v>0.28999999999999998</v>
      </c>
      <c r="I407">
        <v>2</v>
      </c>
      <c r="J407">
        <v>1198</v>
      </c>
      <c r="K407">
        <v>0.36325147299999999</v>
      </c>
      <c r="L407">
        <v>0.55500000000000005</v>
      </c>
      <c r="M407">
        <v>3</v>
      </c>
      <c r="N407">
        <v>0.76700000000000002</v>
      </c>
      <c r="O407">
        <v>4</v>
      </c>
      <c r="P407">
        <v>4</v>
      </c>
      <c r="S407" s="114" t="s">
        <v>944</v>
      </c>
    </row>
    <row r="408" spans="1:19" x14ac:dyDescent="0.2">
      <c r="A408" t="s">
        <v>1843</v>
      </c>
      <c r="B408">
        <v>9003514500</v>
      </c>
      <c r="C408" t="s">
        <v>1844</v>
      </c>
      <c r="D408">
        <v>70875</v>
      </c>
      <c r="E408">
        <v>2.59</v>
      </c>
      <c r="F408">
        <v>44039.582170000001</v>
      </c>
      <c r="G408">
        <v>44.04</v>
      </c>
      <c r="H408">
        <v>0.35299999999999998</v>
      </c>
      <c r="I408">
        <v>2</v>
      </c>
      <c r="J408">
        <v>1332</v>
      </c>
      <c r="K408">
        <v>0.36294622300000001</v>
      </c>
      <c r="L408">
        <v>0.55300000000000005</v>
      </c>
      <c r="M408">
        <v>3</v>
      </c>
      <c r="N408">
        <v>0.626</v>
      </c>
      <c r="O408">
        <v>4</v>
      </c>
      <c r="P408">
        <v>4</v>
      </c>
      <c r="S408" s="116" t="s">
        <v>944</v>
      </c>
    </row>
    <row r="409" spans="1:19" x14ac:dyDescent="0.2">
      <c r="A409" t="s">
        <v>1845</v>
      </c>
      <c r="B409">
        <v>9003514600</v>
      </c>
      <c r="C409" t="s">
        <v>1846</v>
      </c>
      <c r="D409">
        <v>52932</v>
      </c>
      <c r="E409">
        <v>2.15</v>
      </c>
      <c r="F409">
        <v>36099.324379999998</v>
      </c>
      <c r="G409">
        <v>36.098999999999997</v>
      </c>
      <c r="H409">
        <v>0.25</v>
      </c>
      <c r="I409">
        <v>2</v>
      </c>
      <c r="J409">
        <v>1268</v>
      </c>
      <c r="K409">
        <v>0.42150373299999999</v>
      </c>
      <c r="L409">
        <v>0.72699999999999998</v>
      </c>
      <c r="M409">
        <v>4</v>
      </c>
      <c r="N409">
        <v>0.69499999999999995</v>
      </c>
      <c r="O409">
        <v>4</v>
      </c>
      <c r="P409">
        <v>4</v>
      </c>
      <c r="S409" s="114" t="s">
        <v>944</v>
      </c>
    </row>
    <row r="410" spans="1:19" x14ac:dyDescent="0.2">
      <c r="A410" t="s">
        <v>1847</v>
      </c>
      <c r="B410">
        <v>9003514700</v>
      </c>
      <c r="C410" t="s">
        <v>1848</v>
      </c>
      <c r="D410">
        <v>44015</v>
      </c>
      <c r="E410">
        <v>2.23</v>
      </c>
      <c r="F410">
        <v>29474.624070000002</v>
      </c>
      <c r="G410">
        <v>29.475000000000001</v>
      </c>
      <c r="H410">
        <v>0.16200000000000001</v>
      </c>
      <c r="I410">
        <v>1</v>
      </c>
      <c r="J410">
        <v>1189</v>
      </c>
      <c r="K410">
        <v>0.48407742100000001</v>
      </c>
      <c r="L410">
        <v>0.82799999999999996</v>
      </c>
      <c r="M410">
        <v>5</v>
      </c>
      <c r="N410">
        <v>0.78300000000000003</v>
      </c>
      <c r="O410">
        <v>4</v>
      </c>
      <c r="P410">
        <v>5</v>
      </c>
      <c r="S410" s="116" t="s">
        <v>936</v>
      </c>
    </row>
    <row r="411" spans="1:19" x14ac:dyDescent="0.2">
      <c r="A411" t="s">
        <v>1849</v>
      </c>
      <c r="B411">
        <v>9003514800</v>
      </c>
      <c r="C411" t="s">
        <v>1850</v>
      </c>
      <c r="D411">
        <v>53083</v>
      </c>
      <c r="E411">
        <v>2.61</v>
      </c>
      <c r="F411">
        <v>32857.55212</v>
      </c>
      <c r="G411">
        <v>32.857999999999997</v>
      </c>
      <c r="H411">
        <v>0.21099999999999999</v>
      </c>
      <c r="I411">
        <v>2</v>
      </c>
      <c r="J411">
        <v>1192</v>
      </c>
      <c r="K411">
        <v>0.43533370799999999</v>
      </c>
      <c r="L411">
        <v>0.76</v>
      </c>
      <c r="M411">
        <v>4</v>
      </c>
      <c r="N411">
        <v>0.77700000000000002</v>
      </c>
      <c r="O411">
        <v>4</v>
      </c>
      <c r="P411">
        <v>4</v>
      </c>
      <c r="S411" s="114" t="s">
        <v>944</v>
      </c>
    </row>
    <row r="412" spans="1:19" x14ac:dyDescent="0.2">
      <c r="A412" t="s">
        <v>1851</v>
      </c>
      <c r="B412">
        <v>9003514900</v>
      </c>
      <c r="C412" t="s">
        <v>1852</v>
      </c>
      <c r="D412">
        <v>86714</v>
      </c>
      <c r="E412">
        <v>2.4300000000000002</v>
      </c>
      <c r="F412">
        <v>55627.056940000002</v>
      </c>
      <c r="G412">
        <v>55.627000000000002</v>
      </c>
      <c r="H412">
        <v>0.57299999999999995</v>
      </c>
      <c r="I412">
        <v>3</v>
      </c>
      <c r="J412">
        <v>1345</v>
      </c>
      <c r="K412">
        <v>0.29014657399999999</v>
      </c>
      <c r="L412">
        <v>0.11799999999999999</v>
      </c>
      <c r="M412">
        <v>1</v>
      </c>
      <c r="N412">
        <v>0.61099999999999999</v>
      </c>
      <c r="O412">
        <v>4</v>
      </c>
      <c r="P412">
        <v>4</v>
      </c>
      <c r="S412" s="116" t="s">
        <v>944</v>
      </c>
    </row>
    <row r="413" spans="1:19" x14ac:dyDescent="0.2">
      <c r="A413" t="s">
        <v>1853</v>
      </c>
      <c r="B413">
        <v>9003515000</v>
      </c>
      <c r="C413" t="s">
        <v>1854</v>
      </c>
      <c r="D413">
        <v>104500</v>
      </c>
      <c r="E413">
        <v>2.78</v>
      </c>
      <c r="F413">
        <v>62674.935039999997</v>
      </c>
      <c r="G413">
        <v>62.674999999999997</v>
      </c>
      <c r="H413">
        <v>0.70299999999999996</v>
      </c>
      <c r="I413">
        <v>4</v>
      </c>
      <c r="J413">
        <v>1647</v>
      </c>
      <c r="K413">
        <v>0.31534137200000001</v>
      </c>
      <c r="L413">
        <v>0.255</v>
      </c>
      <c r="M413">
        <v>2</v>
      </c>
      <c r="N413">
        <v>0.35299999999999998</v>
      </c>
      <c r="O413">
        <v>2</v>
      </c>
      <c r="P413">
        <v>2</v>
      </c>
      <c r="S413" s="114" t="s">
        <v>944</v>
      </c>
    </row>
    <row r="414" spans="1:19" x14ac:dyDescent="0.2">
      <c r="A414" t="s">
        <v>1855</v>
      </c>
      <c r="B414">
        <v>9003515101</v>
      </c>
      <c r="C414" t="s">
        <v>1856</v>
      </c>
      <c r="D414">
        <v>82454</v>
      </c>
      <c r="E414">
        <v>2.54</v>
      </c>
      <c r="F414">
        <v>51736.240960000003</v>
      </c>
      <c r="G414">
        <v>51.735999999999997</v>
      </c>
      <c r="H414">
        <v>0.495</v>
      </c>
      <c r="I414">
        <v>3</v>
      </c>
      <c r="J414">
        <v>1312</v>
      </c>
      <c r="K414">
        <v>0.30431279300000003</v>
      </c>
      <c r="L414">
        <v>0.19800000000000001</v>
      </c>
      <c r="M414">
        <v>1</v>
      </c>
      <c r="N414">
        <v>0.64400000000000002</v>
      </c>
      <c r="O414">
        <v>4</v>
      </c>
      <c r="P414">
        <v>4</v>
      </c>
      <c r="S414" s="116" t="s">
        <v>944</v>
      </c>
    </row>
    <row r="415" spans="1:19" x14ac:dyDescent="0.2">
      <c r="A415" t="s">
        <v>1857</v>
      </c>
      <c r="B415">
        <v>9003515102</v>
      </c>
      <c r="C415" t="s">
        <v>1858</v>
      </c>
      <c r="D415">
        <v>78254</v>
      </c>
      <c r="E415">
        <v>2.69</v>
      </c>
      <c r="F415">
        <v>47712.30588</v>
      </c>
      <c r="G415">
        <v>47.712000000000003</v>
      </c>
      <c r="H415">
        <v>0.41699999999999998</v>
      </c>
      <c r="I415">
        <v>3</v>
      </c>
      <c r="J415">
        <v>1259</v>
      </c>
      <c r="K415">
        <v>0.31664786900000003</v>
      </c>
      <c r="L415">
        <v>0.26100000000000001</v>
      </c>
      <c r="M415">
        <v>2</v>
      </c>
      <c r="N415">
        <v>0.70499999999999996</v>
      </c>
      <c r="O415">
        <v>4</v>
      </c>
      <c r="P415">
        <v>4</v>
      </c>
      <c r="S415" s="114" t="s">
        <v>944</v>
      </c>
    </row>
    <row r="416" spans="1:19" x14ac:dyDescent="0.2">
      <c r="A416" t="s">
        <v>1859</v>
      </c>
      <c r="B416">
        <v>9003515200</v>
      </c>
      <c r="C416" t="s">
        <v>1860</v>
      </c>
      <c r="D416">
        <v>111809</v>
      </c>
      <c r="E416">
        <v>2.36</v>
      </c>
      <c r="F416">
        <v>72781.459740000006</v>
      </c>
      <c r="G416">
        <v>72.781000000000006</v>
      </c>
      <c r="H416">
        <v>0.83299999999999996</v>
      </c>
      <c r="I416">
        <v>5</v>
      </c>
      <c r="J416">
        <v>1678</v>
      </c>
      <c r="K416">
        <v>0.27666386599999998</v>
      </c>
      <c r="L416">
        <v>7.6999999999999999E-2</v>
      </c>
      <c r="M416">
        <v>1</v>
      </c>
      <c r="N416">
        <v>0.32300000000000001</v>
      </c>
      <c r="O416">
        <v>2</v>
      </c>
      <c r="P416">
        <v>2</v>
      </c>
      <c r="S416" s="116" t="s">
        <v>944</v>
      </c>
    </row>
    <row r="417" spans="1:19" x14ac:dyDescent="0.2">
      <c r="A417" t="s">
        <v>1861</v>
      </c>
      <c r="B417">
        <v>9003520100</v>
      </c>
      <c r="C417" t="s">
        <v>1862</v>
      </c>
      <c r="D417">
        <v>141914</v>
      </c>
      <c r="E417">
        <v>2.69</v>
      </c>
      <c r="F417">
        <v>86526.492920000004</v>
      </c>
      <c r="G417">
        <v>86.525999999999996</v>
      </c>
      <c r="H417">
        <v>0.91400000000000003</v>
      </c>
      <c r="I417">
        <v>5</v>
      </c>
      <c r="J417">
        <v>1960</v>
      </c>
      <c r="K417">
        <v>0.27182426100000001</v>
      </c>
      <c r="L417">
        <v>6.6000000000000003E-2</v>
      </c>
      <c r="M417">
        <v>1</v>
      </c>
      <c r="N417">
        <v>0.17899999999999999</v>
      </c>
      <c r="O417">
        <v>1</v>
      </c>
      <c r="P417">
        <v>1</v>
      </c>
      <c r="S417" s="114" t="s">
        <v>944</v>
      </c>
    </row>
    <row r="418" spans="1:19" x14ac:dyDescent="0.2">
      <c r="A418" t="s">
        <v>1863</v>
      </c>
      <c r="B418">
        <v>9003520201</v>
      </c>
      <c r="C418" t="s">
        <v>1864</v>
      </c>
      <c r="D418">
        <v>168672</v>
      </c>
      <c r="E418">
        <v>3.01</v>
      </c>
      <c r="F418">
        <v>97220.924540000007</v>
      </c>
      <c r="G418">
        <v>97.221000000000004</v>
      </c>
      <c r="H418">
        <v>0.94</v>
      </c>
      <c r="I418">
        <v>5</v>
      </c>
      <c r="J418">
        <v>2397</v>
      </c>
      <c r="K418">
        <v>0.29586223499999997</v>
      </c>
      <c r="L418">
        <v>0.14499999999999999</v>
      </c>
      <c r="M418">
        <v>1</v>
      </c>
      <c r="N418">
        <v>9.1999999999999998E-2</v>
      </c>
      <c r="O418">
        <v>1</v>
      </c>
      <c r="P418">
        <v>1</v>
      </c>
      <c r="S418" s="116" t="s">
        <v>944</v>
      </c>
    </row>
    <row r="419" spans="1:19" x14ac:dyDescent="0.2">
      <c r="A419" t="s">
        <v>1865</v>
      </c>
      <c r="B419">
        <v>9003520202</v>
      </c>
      <c r="C419" t="s">
        <v>1866</v>
      </c>
      <c r="D419">
        <v>153878</v>
      </c>
      <c r="E419">
        <v>2.77</v>
      </c>
      <c r="F419">
        <v>92456.329599999997</v>
      </c>
      <c r="G419">
        <v>92.456000000000003</v>
      </c>
      <c r="H419">
        <v>0.93100000000000005</v>
      </c>
      <c r="I419">
        <v>5</v>
      </c>
      <c r="J419">
        <v>2253</v>
      </c>
      <c r="K419">
        <v>0.29241913600000002</v>
      </c>
      <c r="L419">
        <v>0.13</v>
      </c>
      <c r="M419">
        <v>1</v>
      </c>
      <c r="N419">
        <v>0.122</v>
      </c>
      <c r="O419">
        <v>1</v>
      </c>
      <c r="P419">
        <v>1</v>
      </c>
      <c r="S419" s="114" t="s">
        <v>944</v>
      </c>
    </row>
    <row r="420" spans="1:19" x14ac:dyDescent="0.2">
      <c r="A420" t="s">
        <v>1867</v>
      </c>
      <c r="B420">
        <v>9003520301</v>
      </c>
      <c r="C420" t="s">
        <v>1868</v>
      </c>
      <c r="D420">
        <v>87500</v>
      </c>
      <c r="E420">
        <v>2.2799999999999998</v>
      </c>
      <c r="F420">
        <v>57948.29062</v>
      </c>
      <c r="G420">
        <v>57.948</v>
      </c>
      <c r="H420">
        <v>0.61599999999999999</v>
      </c>
      <c r="I420">
        <v>4</v>
      </c>
      <c r="J420">
        <v>1458</v>
      </c>
      <c r="K420">
        <v>0.30192435000000001</v>
      </c>
      <c r="L420">
        <v>0.18099999999999999</v>
      </c>
      <c r="M420">
        <v>1</v>
      </c>
      <c r="N420">
        <v>0.51600000000000001</v>
      </c>
      <c r="O420">
        <v>3</v>
      </c>
      <c r="P420">
        <v>3</v>
      </c>
      <c r="S420" s="116" t="s">
        <v>944</v>
      </c>
    </row>
    <row r="421" spans="1:19" x14ac:dyDescent="0.2">
      <c r="A421" t="s">
        <v>1869</v>
      </c>
      <c r="B421">
        <v>9003520302</v>
      </c>
      <c r="C421" t="s">
        <v>1870</v>
      </c>
      <c r="D421">
        <v>63821</v>
      </c>
      <c r="E421">
        <v>1.97</v>
      </c>
      <c r="F421">
        <v>45470.579769999997</v>
      </c>
      <c r="G421">
        <v>45.470999999999997</v>
      </c>
      <c r="H421">
        <v>0.373</v>
      </c>
      <c r="I421">
        <v>2</v>
      </c>
      <c r="J421">
        <v>1337</v>
      </c>
      <c r="K421">
        <v>0.35284353299999999</v>
      </c>
      <c r="L421">
        <v>0.496</v>
      </c>
      <c r="M421">
        <v>3</v>
      </c>
      <c r="N421">
        <v>0.61899999999999999</v>
      </c>
      <c r="O421">
        <v>4</v>
      </c>
      <c r="P421">
        <v>4</v>
      </c>
      <c r="S421" s="114" t="s">
        <v>944</v>
      </c>
    </row>
    <row r="422" spans="1:19" x14ac:dyDescent="0.2">
      <c r="A422" t="s">
        <v>1871</v>
      </c>
      <c r="B422">
        <v>9003520400</v>
      </c>
      <c r="C422" t="s">
        <v>1872</v>
      </c>
      <c r="D422">
        <v>123480</v>
      </c>
      <c r="E422">
        <v>2.64</v>
      </c>
      <c r="F422">
        <v>75996.686530000006</v>
      </c>
      <c r="G422">
        <v>75.997</v>
      </c>
      <c r="H422">
        <v>0.85699999999999998</v>
      </c>
      <c r="I422">
        <v>5</v>
      </c>
      <c r="J422">
        <v>1929</v>
      </c>
      <c r="K422">
        <v>0.30459222699999999</v>
      </c>
      <c r="L422">
        <v>0.19900000000000001</v>
      </c>
      <c r="M422">
        <v>1</v>
      </c>
      <c r="N422">
        <v>0.19400000000000001</v>
      </c>
      <c r="O422">
        <v>1</v>
      </c>
      <c r="P422">
        <v>1</v>
      </c>
      <c r="S422" s="116" t="s">
        <v>944</v>
      </c>
    </row>
    <row r="423" spans="1:19" x14ac:dyDescent="0.2">
      <c r="A423" t="s">
        <v>1873</v>
      </c>
      <c r="B423">
        <v>9003520501</v>
      </c>
      <c r="C423" t="s">
        <v>1874</v>
      </c>
      <c r="D423">
        <v>174375</v>
      </c>
      <c r="E423">
        <v>2.7</v>
      </c>
      <c r="F423">
        <v>106121.2455</v>
      </c>
      <c r="G423">
        <v>106.121</v>
      </c>
      <c r="H423">
        <v>0.95499999999999996</v>
      </c>
      <c r="I423">
        <v>5</v>
      </c>
      <c r="J423">
        <v>2346</v>
      </c>
      <c r="K423">
        <v>0.26528147000000002</v>
      </c>
      <c r="L423">
        <v>4.9000000000000002E-2</v>
      </c>
      <c r="M423">
        <v>1</v>
      </c>
      <c r="N423">
        <v>0.105</v>
      </c>
      <c r="O423">
        <v>1</v>
      </c>
      <c r="P423">
        <v>1</v>
      </c>
      <c r="S423" s="114" t="s">
        <v>944</v>
      </c>
    </row>
    <row r="424" spans="1:19" x14ac:dyDescent="0.2">
      <c r="A424" t="s">
        <v>1875</v>
      </c>
      <c r="B424">
        <v>9003524100</v>
      </c>
      <c r="C424" t="s">
        <v>1876</v>
      </c>
      <c r="D424">
        <v>112557</v>
      </c>
      <c r="E424">
        <v>2.68</v>
      </c>
      <c r="F424">
        <v>68755.130739999993</v>
      </c>
      <c r="G424">
        <v>68.754999999999995</v>
      </c>
      <c r="H424">
        <v>0.78300000000000003</v>
      </c>
      <c r="I424">
        <v>4</v>
      </c>
      <c r="J424">
        <v>1849</v>
      </c>
      <c r="K424">
        <v>0.32271046199999998</v>
      </c>
      <c r="L424">
        <v>0.318</v>
      </c>
      <c r="M424">
        <v>2</v>
      </c>
      <c r="N424">
        <v>0.23400000000000001</v>
      </c>
      <c r="O424">
        <v>2</v>
      </c>
      <c r="P424">
        <v>2</v>
      </c>
      <c r="S424" s="116" t="s">
        <v>944</v>
      </c>
    </row>
    <row r="425" spans="1:19" x14ac:dyDescent="0.2">
      <c r="A425" t="s">
        <v>1877</v>
      </c>
      <c r="B425">
        <v>9003524200</v>
      </c>
      <c r="C425" t="s">
        <v>1878</v>
      </c>
      <c r="D425">
        <v>89076</v>
      </c>
      <c r="E425">
        <v>2.31</v>
      </c>
      <c r="F425">
        <v>58607.705179999997</v>
      </c>
      <c r="G425">
        <v>58.607999999999997</v>
      </c>
      <c r="H425">
        <v>0.625</v>
      </c>
      <c r="I425">
        <v>4</v>
      </c>
      <c r="J425">
        <v>1346</v>
      </c>
      <c r="K425">
        <v>0.275595162</v>
      </c>
      <c r="L425">
        <v>7.1999999999999995E-2</v>
      </c>
      <c r="M425">
        <v>1</v>
      </c>
      <c r="N425">
        <v>0.60799999999999998</v>
      </c>
      <c r="O425">
        <v>4</v>
      </c>
      <c r="P425">
        <v>3</v>
      </c>
      <c r="S425" s="114" t="s">
        <v>944</v>
      </c>
    </row>
    <row r="426" spans="1:19" x14ac:dyDescent="0.2">
      <c r="A426" t="s">
        <v>1879</v>
      </c>
      <c r="B426">
        <v>9003524300</v>
      </c>
      <c r="C426" t="s">
        <v>1880</v>
      </c>
      <c r="D426">
        <v>89079</v>
      </c>
      <c r="E426">
        <v>2.23</v>
      </c>
      <c r="F426">
        <v>59651.710500000001</v>
      </c>
      <c r="G426">
        <v>59.652000000000001</v>
      </c>
      <c r="H426">
        <v>0.64200000000000002</v>
      </c>
      <c r="I426">
        <v>4</v>
      </c>
      <c r="J426">
        <v>1336</v>
      </c>
      <c r="K426">
        <v>0.26876010500000003</v>
      </c>
      <c r="L426">
        <v>5.8999999999999997E-2</v>
      </c>
      <c r="M426">
        <v>1</v>
      </c>
      <c r="N426">
        <v>0.62</v>
      </c>
      <c r="O426">
        <v>4</v>
      </c>
      <c r="P426">
        <v>3</v>
      </c>
      <c r="S426" s="116" t="s">
        <v>944</v>
      </c>
    </row>
    <row r="427" spans="1:19" x14ac:dyDescent="0.2">
      <c r="A427" t="s">
        <v>1881</v>
      </c>
      <c r="B427">
        <v>9003524400</v>
      </c>
      <c r="C427" t="s">
        <v>1882</v>
      </c>
      <c r="D427">
        <v>46155</v>
      </c>
      <c r="E427">
        <v>2.95</v>
      </c>
      <c r="F427">
        <v>26872.479940000001</v>
      </c>
      <c r="G427">
        <v>26.872</v>
      </c>
      <c r="H427">
        <v>0.13200000000000001</v>
      </c>
      <c r="I427">
        <v>1</v>
      </c>
      <c r="J427">
        <v>1123</v>
      </c>
      <c r="K427">
        <v>0.50147958199999998</v>
      </c>
      <c r="L427">
        <v>0.84599999999999997</v>
      </c>
      <c r="M427">
        <v>5</v>
      </c>
      <c r="N427">
        <v>0.85099999999999998</v>
      </c>
      <c r="O427">
        <v>5</v>
      </c>
      <c r="P427">
        <v>5</v>
      </c>
      <c r="S427" s="114" t="s">
        <v>936</v>
      </c>
    </row>
    <row r="428" spans="1:19" x14ac:dyDescent="0.2">
      <c r="A428" t="s">
        <v>1883</v>
      </c>
      <c r="B428">
        <v>9003524501</v>
      </c>
      <c r="C428" t="s">
        <v>1884</v>
      </c>
      <c r="D428">
        <v>42021</v>
      </c>
      <c r="E428">
        <v>2.06</v>
      </c>
      <c r="F428">
        <v>29277.417990000002</v>
      </c>
      <c r="G428">
        <v>29.277000000000001</v>
      </c>
      <c r="H428">
        <v>0.159</v>
      </c>
      <c r="I428">
        <v>1</v>
      </c>
      <c r="J428">
        <v>1142</v>
      </c>
      <c r="K428">
        <v>0.46807406299999998</v>
      </c>
      <c r="L428">
        <v>0.80900000000000005</v>
      </c>
      <c r="M428">
        <v>5</v>
      </c>
      <c r="N428">
        <v>0.82399999999999995</v>
      </c>
      <c r="O428">
        <v>5</v>
      </c>
      <c r="P428">
        <v>5</v>
      </c>
      <c r="S428" s="116" t="s">
        <v>936</v>
      </c>
    </row>
    <row r="429" spans="1:19" x14ac:dyDescent="0.2">
      <c r="A429" t="s">
        <v>1885</v>
      </c>
      <c r="B429">
        <v>9003524502</v>
      </c>
      <c r="C429" t="s">
        <v>1886</v>
      </c>
      <c r="D429">
        <v>57778</v>
      </c>
      <c r="E429">
        <v>1.89</v>
      </c>
      <c r="F429">
        <v>42027.310870000001</v>
      </c>
      <c r="G429">
        <v>42.027000000000001</v>
      </c>
      <c r="H429">
        <v>0.32100000000000001</v>
      </c>
      <c r="I429">
        <v>2</v>
      </c>
      <c r="J429">
        <v>1109</v>
      </c>
      <c r="K429">
        <v>0.316651238</v>
      </c>
      <c r="L429">
        <v>0.26200000000000001</v>
      </c>
      <c r="M429">
        <v>2</v>
      </c>
      <c r="N429">
        <v>0.86499999999999999</v>
      </c>
      <c r="O429">
        <v>5</v>
      </c>
      <c r="P429">
        <v>5</v>
      </c>
      <c r="S429" s="114" t="s">
        <v>944</v>
      </c>
    </row>
    <row r="430" spans="1:19" x14ac:dyDescent="0.2">
      <c r="A430" t="s">
        <v>1887</v>
      </c>
      <c r="B430">
        <v>9003524600</v>
      </c>
      <c r="C430" t="s">
        <v>1888</v>
      </c>
      <c r="D430">
        <v>36120</v>
      </c>
      <c r="E430">
        <v>2.02</v>
      </c>
      <c r="F430">
        <v>25413.943319999998</v>
      </c>
      <c r="G430">
        <v>25.414000000000001</v>
      </c>
      <c r="H430">
        <v>0.115</v>
      </c>
      <c r="I430">
        <v>1</v>
      </c>
      <c r="J430">
        <v>1020</v>
      </c>
      <c r="K430">
        <v>0.48162537599999999</v>
      </c>
      <c r="L430">
        <v>0.82399999999999995</v>
      </c>
      <c r="M430">
        <v>5</v>
      </c>
      <c r="N430">
        <v>0.92600000000000005</v>
      </c>
      <c r="O430">
        <v>5</v>
      </c>
      <c r="P430">
        <v>5</v>
      </c>
      <c r="S430" s="116" t="s">
        <v>936</v>
      </c>
    </row>
    <row r="431" spans="1:19" x14ac:dyDescent="0.2">
      <c r="A431" t="s">
        <v>1889</v>
      </c>
      <c r="B431">
        <v>9003524700</v>
      </c>
      <c r="C431" t="s">
        <v>1890</v>
      </c>
      <c r="D431">
        <v>75110</v>
      </c>
      <c r="E431">
        <v>2.84</v>
      </c>
      <c r="F431">
        <v>44569.585169999998</v>
      </c>
      <c r="G431">
        <v>44.57</v>
      </c>
      <c r="H431">
        <v>0.36</v>
      </c>
      <c r="I431">
        <v>2</v>
      </c>
      <c r="J431">
        <v>1319</v>
      </c>
      <c r="K431">
        <v>0.35513007200000002</v>
      </c>
      <c r="L431">
        <v>0.50900000000000001</v>
      </c>
      <c r="M431">
        <v>3</v>
      </c>
      <c r="N431">
        <v>0.63800000000000001</v>
      </c>
      <c r="O431">
        <v>4</v>
      </c>
      <c r="P431">
        <v>4</v>
      </c>
      <c r="S431" s="114" t="s">
        <v>944</v>
      </c>
    </row>
    <row r="432" spans="1:19" x14ac:dyDescent="0.2">
      <c r="A432" t="s">
        <v>1891</v>
      </c>
      <c r="B432">
        <v>9005250100</v>
      </c>
      <c r="C432" t="s">
        <v>1892</v>
      </c>
      <c r="D432">
        <v>111250</v>
      </c>
      <c r="E432">
        <v>2.4300000000000002</v>
      </c>
      <c r="F432">
        <v>71366.90827</v>
      </c>
      <c r="G432">
        <v>71.367000000000004</v>
      </c>
      <c r="H432">
        <v>0.82</v>
      </c>
      <c r="I432">
        <v>5</v>
      </c>
      <c r="J432">
        <v>1890</v>
      </c>
      <c r="K432">
        <v>0.31779434699999998</v>
      </c>
      <c r="L432">
        <v>0.27200000000000002</v>
      </c>
      <c r="M432">
        <v>2</v>
      </c>
      <c r="N432">
        <v>0.216</v>
      </c>
      <c r="O432">
        <v>2</v>
      </c>
      <c r="P432">
        <v>2</v>
      </c>
      <c r="S432" s="116" t="s">
        <v>944</v>
      </c>
    </row>
    <row r="433" spans="1:19" x14ac:dyDescent="0.2">
      <c r="A433" t="s">
        <v>1893</v>
      </c>
      <c r="B433">
        <v>9005253100</v>
      </c>
      <c r="C433" t="s">
        <v>1894</v>
      </c>
      <c r="D433">
        <v>57072</v>
      </c>
      <c r="E433">
        <v>2.35</v>
      </c>
      <c r="F433">
        <v>37229.66779</v>
      </c>
      <c r="G433">
        <v>37.229999999999997</v>
      </c>
      <c r="H433">
        <v>0.26</v>
      </c>
      <c r="I433">
        <v>2</v>
      </c>
      <c r="J433">
        <v>1136</v>
      </c>
      <c r="K433">
        <v>0.36615959300000001</v>
      </c>
      <c r="L433">
        <v>0.56899999999999995</v>
      </c>
      <c r="M433">
        <v>3</v>
      </c>
      <c r="N433">
        <v>0.83</v>
      </c>
      <c r="O433">
        <v>5</v>
      </c>
      <c r="P433">
        <v>5</v>
      </c>
      <c r="S433" s="114" t="s">
        <v>944</v>
      </c>
    </row>
    <row r="434" spans="1:19" x14ac:dyDescent="0.2">
      <c r="A434" t="s">
        <v>1895</v>
      </c>
      <c r="B434">
        <v>9005253200</v>
      </c>
      <c r="C434" t="s">
        <v>1896</v>
      </c>
      <c r="D434">
        <v>101974</v>
      </c>
      <c r="E434">
        <v>2.76</v>
      </c>
      <c r="F434">
        <v>61381.134910000001</v>
      </c>
      <c r="G434">
        <v>61.381</v>
      </c>
      <c r="H434">
        <v>0.67900000000000005</v>
      </c>
      <c r="I434">
        <v>4</v>
      </c>
      <c r="J434">
        <v>1923</v>
      </c>
      <c r="K434">
        <v>0.37594612799999999</v>
      </c>
      <c r="L434">
        <v>0.61799999999999999</v>
      </c>
      <c r="M434">
        <v>4</v>
      </c>
      <c r="N434">
        <v>0.19800000000000001</v>
      </c>
      <c r="O434">
        <v>1</v>
      </c>
      <c r="P434">
        <v>2</v>
      </c>
      <c r="S434" s="116" t="s">
        <v>944</v>
      </c>
    </row>
    <row r="435" spans="1:19" x14ac:dyDescent="0.2">
      <c r="A435" t="s">
        <v>1897</v>
      </c>
      <c r="B435">
        <v>9005253300</v>
      </c>
      <c r="C435" t="s">
        <v>1898</v>
      </c>
      <c r="D435">
        <v>90141</v>
      </c>
      <c r="E435">
        <v>2.37</v>
      </c>
      <c r="F435">
        <v>58552.87156</v>
      </c>
      <c r="G435">
        <v>58.552999999999997</v>
      </c>
      <c r="H435">
        <v>0.624</v>
      </c>
      <c r="I435">
        <v>4</v>
      </c>
      <c r="J435">
        <v>1623</v>
      </c>
      <c r="K435">
        <v>0.33262245699999998</v>
      </c>
      <c r="L435">
        <v>0.38</v>
      </c>
      <c r="M435">
        <v>2</v>
      </c>
      <c r="N435">
        <v>0.36699999999999999</v>
      </c>
      <c r="O435">
        <v>2</v>
      </c>
      <c r="P435">
        <v>2</v>
      </c>
      <c r="S435" s="114" t="s">
        <v>944</v>
      </c>
    </row>
    <row r="436" spans="1:19" x14ac:dyDescent="0.2">
      <c r="A436" t="s">
        <v>1899</v>
      </c>
      <c r="B436">
        <v>9005253400</v>
      </c>
      <c r="C436" t="s">
        <v>1900</v>
      </c>
      <c r="D436">
        <v>109167</v>
      </c>
      <c r="E436">
        <v>2.59</v>
      </c>
      <c r="F436">
        <v>67833.073250000001</v>
      </c>
      <c r="G436">
        <v>67.832999999999998</v>
      </c>
      <c r="H436">
        <v>0.77500000000000002</v>
      </c>
      <c r="I436">
        <v>4</v>
      </c>
      <c r="J436">
        <v>1878</v>
      </c>
      <c r="K436">
        <v>0.33222731799999999</v>
      </c>
      <c r="L436">
        <v>0.374</v>
      </c>
      <c r="M436">
        <v>2</v>
      </c>
      <c r="N436">
        <v>0.218</v>
      </c>
      <c r="O436">
        <v>2</v>
      </c>
      <c r="P436">
        <v>2</v>
      </c>
      <c r="S436" s="116" t="s">
        <v>944</v>
      </c>
    </row>
    <row r="437" spans="1:19" x14ac:dyDescent="0.2">
      <c r="A437" t="s">
        <v>1901</v>
      </c>
      <c r="B437">
        <v>9005253500</v>
      </c>
      <c r="C437" t="s">
        <v>1902</v>
      </c>
      <c r="D437">
        <v>107109</v>
      </c>
      <c r="E437">
        <v>2.62</v>
      </c>
      <c r="F437">
        <v>66172.161189999999</v>
      </c>
      <c r="G437">
        <v>66.171999999999997</v>
      </c>
      <c r="H437">
        <v>0.755</v>
      </c>
      <c r="I437">
        <v>4</v>
      </c>
      <c r="J437">
        <v>1988</v>
      </c>
      <c r="K437">
        <v>0.36051414300000001</v>
      </c>
      <c r="L437">
        <v>0.54200000000000004</v>
      </c>
      <c r="M437">
        <v>3</v>
      </c>
      <c r="N437">
        <v>0.16600000000000001</v>
      </c>
      <c r="O437">
        <v>1</v>
      </c>
      <c r="P437">
        <v>2</v>
      </c>
      <c r="S437" s="114" t="s">
        <v>944</v>
      </c>
    </row>
    <row r="438" spans="1:19" x14ac:dyDescent="0.2">
      <c r="A438" t="s">
        <v>1903</v>
      </c>
      <c r="B438">
        <v>9005253600</v>
      </c>
      <c r="C438" t="s">
        <v>1904</v>
      </c>
      <c r="D438">
        <v>54482</v>
      </c>
      <c r="E438">
        <v>2.25</v>
      </c>
      <c r="F438">
        <v>36321.333330000001</v>
      </c>
      <c r="G438">
        <v>36.320999999999998</v>
      </c>
      <c r="H438">
        <v>0.255</v>
      </c>
      <c r="I438">
        <v>2</v>
      </c>
      <c r="J438">
        <v>1230</v>
      </c>
      <c r="K438">
        <v>0.40637274699999998</v>
      </c>
      <c r="L438">
        <v>0.69499999999999995</v>
      </c>
      <c r="M438">
        <v>4</v>
      </c>
      <c r="N438">
        <v>0.73499999999999999</v>
      </c>
      <c r="O438">
        <v>4</v>
      </c>
      <c r="P438">
        <v>4</v>
      </c>
      <c r="S438" s="116" t="s">
        <v>944</v>
      </c>
    </row>
    <row r="439" spans="1:19" x14ac:dyDescent="0.2">
      <c r="A439" t="s">
        <v>1905</v>
      </c>
      <c r="B439">
        <v>9005260200</v>
      </c>
      <c r="C439" t="s">
        <v>1906</v>
      </c>
      <c r="D439">
        <v>62432</v>
      </c>
      <c r="E439">
        <v>2.2400000000000002</v>
      </c>
      <c r="F439">
        <v>41714.134639999997</v>
      </c>
      <c r="G439">
        <v>41.713999999999999</v>
      </c>
      <c r="H439">
        <v>0.315</v>
      </c>
      <c r="I439">
        <v>2</v>
      </c>
      <c r="J439">
        <v>1290</v>
      </c>
      <c r="K439">
        <v>0.371097234</v>
      </c>
      <c r="L439">
        <v>0.59599999999999997</v>
      </c>
      <c r="M439">
        <v>3</v>
      </c>
      <c r="N439">
        <v>0.66400000000000003</v>
      </c>
      <c r="O439">
        <v>4</v>
      </c>
      <c r="P439">
        <v>4</v>
      </c>
      <c r="S439" s="114" t="s">
        <v>944</v>
      </c>
    </row>
    <row r="440" spans="1:19" x14ac:dyDescent="0.2">
      <c r="A440" t="s">
        <v>1907</v>
      </c>
      <c r="B440">
        <v>9005261100</v>
      </c>
      <c r="C440" t="s">
        <v>1908</v>
      </c>
      <c r="D440">
        <v>72658</v>
      </c>
      <c r="E440">
        <v>2.08</v>
      </c>
      <c r="F440">
        <v>50379.258569999998</v>
      </c>
      <c r="G440">
        <v>50.378999999999998</v>
      </c>
      <c r="H440">
        <v>0.47599999999999998</v>
      </c>
      <c r="I440">
        <v>3</v>
      </c>
      <c r="J440">
        <v>1373</v>
      </c>
      <c r="K440">
        <v>0.32703935000000001</v>
      </c>
      <c r="L440">
        <v>0.33600000000000002</v>
      </c>
      <c r="M440">
        <v>2</v>
      </c>
      <c r="N440">
        <v>0.58699999999999997</v>
      </c>
      <c r="O440">
        <v>3</v>
      </c>
      <c r="P440">
        <v>3</v>
      </c>
      <c r="S440" s="116" t="s">
        <v>944</v>
      </c>
    </row>
    <row r="441" spans="1:19" x14ac:dyDescent="0.2">
      <c r="A441" t="s">
        <v>1909</v>
      </c>
      <c r="B441">
        <v>9005262100</v>
      </c>
      <c r="C441" t="s">
        <v>1910</v>
      </c>
      <c r="D441">
        <v>81919</v>
      </c>
      <c r="E441">
        <v>2.0299999999999998</v>
      </c>
      <c r="F441">
        <v>57495.866470000001</v>
      </c>
      <c r="G441">
        <v>57.496000000000002</v>
      </c>
      <c r="H441">
        <v>0.60799999999999998</v>
      </c>
      <c r="I441">
        <v>4</v>
      </c>
      <c r="J441">
        <v>1194</v>
      </c>
      <c r="K441">
        <v>0.24920052300000001</v>
      </c>
      <c r="L441">
        <v>1.2E-2</v>
      </c>
      <c r="M441">
        <v>1</v>
      </c>
      <c r="N441">
        <v>0.77400000000000002</v>
      </c>
      <c r="O441">
        <v>4</v>
      </c>
      <c r="P441">
        <v>3</v>
      </c>
      <c r="S441" s="114" t="s">
        <v>944</v>
      </c>
    </row>
    <row r="442" spans="1:19" x14ac:dyDescent="0.2">
      <c r="A442" t="s">
        <v>1911</v>
      </c>
      <c r="B442">
        <v>9005263200</v>
      </c>
      <c r="C442" t="s">
        <v>1912</v>
      </c>
      <c r="D442">
        <v>80000</v>
      </c>
      <c r="E442">
        <v>2.16</v>
      </c>
      <c r="F442">
        <v>54433.1054</v>
      </c>
      <c r="G442">
        <v>54.433</v>
      </c>
      <c r="H442">
        <v>0.55000000000000004</v>
      </c>
      <c r="I442">
        <v>3</v>
      </c>
      <c r="J442">
        <v>1448</v>
      </c>
      <c r="K442">
        <v>0.31921750300000001</v>
      </c>
      <c r="L442">
        <v>0.28299999999999997</v>
      </c>
      <c r="M442">
        <v>2</v>
      </c>
      <c r="N442">
        <v>0.52700000000000002</v>
      </c>
      <c r="O442">
        <v>3</v>
      </c>
      <c r="P442">
        <v>3</v>
      </c>
      <c r="S442" s="116" t="s">
        <v>944</v>
      </c>
    </row>
    <row r="443" spans="1:19" x14ac:dyDescent="0.2">
      <c r="A443" t="s">
        <v>1913</v>
      </c>
      <c r="B443">
        <v>9005265100</v>
      </c>
      <c r="C443" t="s">
        <v>1914</v>
      </c>
      <c r="D443">
        <v>104375</v>
      </c>
      <c r="E443">
        <v>2.4500000000000002</v>
      </c>
      <c r="F443">
        <v>66682.741469999994</v>
      </c>
      <c r="G443">
        <v>66.683000000000007</v>
      </c>
      <c r="H443">
        <v>0.76400000000000001</v>
      </c>
      <c r="I443">
        <v>4</v>
      </c>
      <c r="J443">
        <v>1948</v>
      </c>
      <c r="K443">
        <v>0.35055547300000001</v>
      </c>
      <c r="L443">
        <v>0.48099999999999998</v>
      </c>
      <c r="M443">
        <v>3</v>
      </c>
      <c r="N443">
        <v>0.187</v>
      </c>
      <c r="O443">
        <v>1</v>
      </c>
      <c r="P443">
        <v>2</v>
      </c>
      <c r="S443" s="114" t="s">
        <v>944</v>
      </c>
    </row>
    <row r="444" spans="1:19" x14ac:dyDescent="0.2">
      <c r="A444" t="s">
        <v>1915</v>
      </c>
      <c r="B444">
        <v>9005266100</v>
      </c>
      <c r="C444" t="s">
        <v>1916</v>
      </c>
      <c r="D444">
        <v>78125</v>
      </c>
      <c r="E444">
        <v>2.11</v>
      </c>
      <c r="F444">
        <v>53783.468030000004</v>
      </c>
      <c r="G444">
        <v>53.783000000000001</v>
      </c>
      <c r="H444">
        <v>0.53900000000000003</v>
      </c>
      <c r="I444">
        <v>3</v>
      </c>
      <c r="J444">
        <v>1549</v>
      </c>
      <c r="K444">
        <v>0.34560805900000002</v>
      </c>
      <c r="L444">
        <v>0.45700000000000002</v>
      </c>
      <c r="M444">
        <v>3</v>
      </c>
      <c r="N444">
        <v>0.43</v>
      </c>
      <c r="O444">
        <v>3</v>
      </c>
      <c r="P444">
        <v>3</v>
      </c>
      <c r="S444" s="116" t="s">
        <v>944</v>
      </c>
    </row>
    <row r="445" spans="1:19" x14ac:dyDescent="0.2">
      <c r="A445" t="s">
        <v>1917</v>
      </c>
      <c r="B445">
        <v>9005267100</v>
      </c>
      <c r="C445" t="s">
        <v>1918</v>
      </c>
      <c r="D445">
        <v>108250</v>
      </c>
      <c r="E445">
        <v>2.27</v>
      </c>
      <c r="F445">
        <v>71848.048479999998</v>
      </c>
      <c r="G445">
        <v>71.847999999999999</v>
      </c>
      <c r="H445">
        <v>0.82299999999999995</v>
      </c>
      <c r="I445">
        <v>5</v>
      </c>
      <c r="J445">
        <v>1915</v>
      </c>
      <c r="K445">
        <v>0.31984167299999999</v>
      </c>
      <c r="L445">
        <v>0.28699999999999998</v>
      </c>
      <c r="M445">
        <v>2</v>
      </c>
      <c r="N445">
        <v>0.20200000000000001</v>
      </c>
      <c r="O445">
        <v>2</v>
      </c>
      <c r="P445">
        <v>2</v>
      </c>
      <c r="S445" s="114" t="s">
        <v>944</v>
      </c>
    </row>
    <row r="446" spans="1:19" x14ac:dyDescent="0.2">
      <c r="A446" t="s">
        <v>1919</v>
      </c>
      <c r="B446">
        <v>9005268100</v>
      </c>
      <c r="C446" t="s">
        <v>1920</v>
      </c>
      <c r="D446">
        <v>118971</v>
      </c>
      <c r="E446">
        <v>2.36</v>
      </c>
      <c r="F446">
        <v>77443.524640000003</v>
      </c>
      <c r="G446">
        <v>77.444000000000003</v>
      </c>
      <c r="H446">
        <v>0.86099999999999999</v>
      </c>
      <c r="I446">
        <v>5</v>
      </c>
      <c r="J446">
        <v>2036</v>
      </c>
      <c r="K446">
        <v>0.31548150899999999</v>
      </c>
      <c r="L446">
        <v>0.25600000000000001</v>
      </c>
      <c r="M446">
        <v>2</v>
      </c>
      <c r="N446">
        <v>0.155</v>
      </c>
      <c r="O446">
        <v>1</v>
      </c>
      <c r="P446">
        <v>1</v>
      </c>
      <c r="S446" s="116" t="s">
        <v>944</v>
      </c>
    </row>
    <row r="447" spans="1:19" x14ac:dyDescent="0.2">
      <c r="A447" t="s">
        <v>1921</v>
      </c>
      <c r="B447">
        <v>9005290100</v>
      </c>
      <c r="C447" t="s">
        <v>1922</v>
      </c>
      <c r="D447">
        <v>109688</v>
      </c>
      <c r="E447">
        <v>2.72</v>
      </c>
      <c r="F447">
        <v>66508.119099999996</v>
      </c>
      <c r="G447">
        <v>66.507999999999996</v>
      </c>
      <c r="H447">
        <v>0.76</v>
      </c>
      <c r="I447">
        <v>4</v>
      </c>
      <c r="J447">
        <v>1739</v>
      </c>
      <c r="K447">
        <v>0.31376620300000002</v>
      </c>
      <c r="L447">
        <v>0.248</v>
      </c>
      <c r="M447">
        <v>2</v>
      </c>
      <c r="N447">
        <v>0.28899999999999998</v>
      </c>
      <c r="O447">
        <v>2</v>
      </c>
      <c r="P447">
        <v>2</v>
      </c>
      <c r="S447" s="114" t="s">
        <v>944</v>
      </c>
    </row>
    <row r="448" spans="1:19" x14ac:dyDescent="0.2">
      <c r="A448" t="s">
        <v>1923</v>
      </c>
      <c r="B448">
        <v>9005293100</v>
      </c>
      <c r="C448" t="s">
        <v>1924</v>
      </c>
      <c r="D448">
        <v>98250</v>
      </c>
      <c r="E448">
        <v>2.44</v>
      </c>
      <c r="F448">
        <v>62898.117270000002</v>
      </c>
      <c r="G448">
        <v>62.898000000000003</v>
      </c>
      <c r="H448">
        <v>0.70699999999999996</v>
      </c>
      <c r="I448">
        <v>4</v>
      </c>
      <c r="J448">
        <v>1570</v>
      </c>
      <c r="K448">
        <v>0.29953201800000001</v>
      </c>
      <c r="L448">
        <v>0.16600000000000001</v>
      </c>
      <c r="M448">
        <v>1</v>
      </c>
      <c r="N448">
        <v>0.41499999999999998</v>
      </c>
      <c r="O448">
        <v>3</v>
      </c>
      <c r="P448">
        <v>3</v>
      </c>
      <c r="S448" s="116" t="s">
        <v>944</v>
      </c>
    </row>
    <row r="449" spans="1:19" x14ac:dyDescent="0.2">
      <c r="A449" t="s">
        <v>1925</v>
      </c>
      <c r="B449">
        <v>9005296100</v>
      </c>
      <c r="C449" t="s">
        <v>1926</v>
      </c>
      <c r="D449">
        <v>109886</v>
      </c>
      <c r="E449">
        <v>2.62</v>
      </c>
      <c r="F449">
        <v>67887.797519999993</v>
      </c>
      <c r="G449">
        <v>67.888000000000005</v>
      </c>
      <c r="H449">
        <v>0.77600000000000002</v>
      </c>
      <c r="I449">
        <v>4</v>
      </c>
      <c r="J449">
        <v>1464</v>
      </c>
      <c r="K449">
        <v>0.25877993799999999</v>
      </c>
      <c r="L449">
        <v>2.5999999999999999E-2</v>
      </c>
      <c r="M449">
        <v>1</v>
      </c>
      <c r="N449">
        <v>0.50900000000000001</v>
      </c>
      <c r="O449">
        <v>3</v>
      </c>
      <c r="P449">
        <v>3</v>
      </c>
      <c r="S449" s="114" t="s">
        <v>944</v>
      </c>
    </row>
    <row r="450" spans="1:19" x14ac:dyDescent="0.2">
      <c r="A450" t="s">
        <v>1927</v>
      </c>
      <c r="B450">
        <v>9005298300</v>
      </c>
      <c r="C450" t="s">
        <v>1928</v>
      </c>
      <c r="D450">
        <v>105708</v>
      </c>
      <c r="E450">
        <v>2.66</v>
      </c>
      <c r="F450">
        <v>64813.7333</v>
      </c>
      <c r="G450">
        <v>64.813999999999993</v>
      </c>
      <c r="H450">
        <v>0.73299999999999998</v>
      </c>
      <c r="I450">
        <v>4</v>
      </c>
      <c r="J450">
        <v>1281</v>
      </c>
      <c r="K450">
        <v>0.23717195799999999</v>
      </c>
      <c r="L450">
        <v>3.0000000000000001E-3</v>
      </c>
      <c r="M450">
        <v>1</v>
      </c>
      <c r="N450">
        <v>0.67600000000000005</v>
      </c>
      <c r="O450">
        <v>4</v>
      </c>
      <c r="P450">
        <v>3</v>
      </c>
      <c r="S450" s="116" t="s">
        <v>944</v>
      </c>
    </row>
    <row r="451" spans="1:19" x14ac:dyDescent="0.2">
      <c r="A451" t="s">
        <v>1929</v>
      </c>
      <c r="B451">
        <v>9005298400</v>
      </c>
      <c r="C451" t="s">
        <v>1930</v>
      </c>
      <c r="D451">
        <v>136855</v>
      </c>
      <c r="E451">
        <v>2.93</v>
      </c>
      <c r="F451">
        <v>79951.544680000006</v>
      </c>
      <c r="G451">
        <v>79.951999999999998</v>
      </c>
      <c r="H451">
        <v>0.877</v>
      </c>
      <c r="I451">
        <v>5</v>
      </c>
      <c r="J451">
        <v>1528</v>
      </c>
      <c r="K451">
        <v>0.22933890900000001</v>
      </c>
      <c r="L451">
        <v>2E-3</v>
      </c>
      <c r="M451">
        <v>1</v>
      </c>
      <c r="N451">
        <v>0.44500000000000001</v>
      </c>
      <c r="O451">
        <v>3</v>
      </c>
      <c r="P451">
        <v>2</v>
      </c>
      <c r="S451" s="114" t="s">
        <v>944</v>
      </c>
    </row>
    <row r="452" spans="1:19" x14ac:dyDescent="0.2">
      <c r="A452" t="s">
        <v>1931</v>
      </c>
      <c r="B452">
        <v>9005300100</v>
      </c>
      <c r="C452" t="s">
        <v>1932</v>
      </c>
      <c r="D452">
        <v>95795</v>
      </c>
      <c r="E452">
        <v>2.13</v>
      </c>
      <c r="F452">
        <v>65637.652459999998</v>
      </c>
      <c r="G452">
        <v>65.638000000000005</v>
      </c>
      <c r="H452">
        <v>0.747</v>
      </c>
      <c r="I452">
        <v>4</v>
      </c>
      <c r="J452">
        <v>1421</v>
      </c>
      <c r="K452">
        <v>0.25978991299999998</v>
      </c>
      <c r="L452">
        <v>3.5000000000000003E-2</v>
      </c>
      <c r="M452">
        <v>1</v>
      </c>
      <c r="N452">
        <v>0.54900000000000004</v>
      </c>
      <c r="O452">
        <v>3</v>
      </c>
      <c r="P452">
        <v>3</v>
      </c>
      <c r="S452" s="116" t="s">
        <v>944</v>
      </c>
    </row>
    <row r="453" spans="1:19" x14ac:dyDescent="0.2">
      <c r="A453" t="s">
        <v>1933</v>
      </c>
      <c r="B453">
        <v>9005300400</v>
      </c>
      <c r="C453" t="s">
        <v>1934</v>
      </c>
      <c r="D453">
        <v>91591</v>
      </c>
      <c r="E453">
        <v>2.39</v>
      </c>
      <c r="F453">
        <v>59245.292809999999</v>
      </c>
      <c r="G453">
        <v>59.244999999999997</v>
      </c>
      <c r="H453">
        <v>0.63700000000000001</v>
      </c>
      <c r="I453">
        <v>4</v>
      </c>
      <c r="J453">
        <v>1429</v>
      </c>
      <c r="K453">
        <v>0.28944071599999999</v>
      </c>
      <c r="L453">
        <v>0.113</v>
      </c>
      <c r="M453">
        <v>1</v>
      </c>
      <c r="N453">
        <v>0.54300000000000004</v>
      </c>
      <c r="O453">
        <v>3</v>
      </c>
      <c r="P453">
        <v>3</v>
      </c>
      <c r="S453" s="114" t="s">
        <v>944</v>
      </c>
    </row>
    <row r="454" spans="1:19" x14ac:dyDescent="0.2">
      <c r="A454" t="s">
        <v>1935</v>
      </c>
      <c r="B454">
        <v>9005300500</v>
      </c>
      <c r="C454" t="s">
        <v>1936</v>
      </c>
      <c r="D454">
        <v>72667</v>
      </c>
      <c r="E454">
        <v>2.37</v>
      </c>
      <c r="F454">
        <v>47202.288840000001</v>
      </c>
      <c r="G454">
        <v>47.201999999999998</v>
      </c>
      <c r="H454">
        <v>0.40200000000000002</v>
      </c>
      <c r="I454">
        <v>3</v>
      </c>
      <c r="J454">
        <v>1446</v>
      </c>
      <c r="K454">
        <v>0.36760929199999998</v>
      </c>
      <c r="L454">
        <v>0.57699999999999996</v>
      </c>
      <c r="M454">
        <v>3</v>
      </c>
      <c r="N454">
        <v>0.53300000000000003</v>
      </c>
      <c r="O454">
        <v>3</v>
      </c>
      <c r="P454">
        <v>3</v>
      </c>
      <c r="S454" s="116" t="s">
        <v>944</v>
      </c>
    </row>
    <row r="455" spans="1:19" x14ac:dyDescent="0.2">
      <c r="A455" t="s">
        <v>1937</v>
      </c>
      <c r="B455">
        <v>9005303100</v>
      </c>
      <c r="C455" t="s">
        <v>1938</v>
      </c>
      <c r="D455">
        <v>87308</v>
      </c>
      <c r="E455">
        <v>2.58</v>
      </c>
      <c r="F455">
        <v>54355.586580000003</v>
      </c>
      <c r="G455">
        <v>54.356000000000002</v>
      </c>
      <c r="H455">
        <v>0.54600000000000004</v>
      </c>
      <c r="I455">
        <v>3</v>
      </c>
      <c r="J455">
        <v>1569</v>
      </c>
      <c r="K455">
        <v>0.34638573900000003</v>
      </c>
      <c r="L455">
        <v>0.45900000000000002</v>
      </c>
      <c r="M455">
        <v>3</v>
      </c>
      <c r="N455">
        <v>0.41699999999999998</v>
      </c>
      <c r="O455">
        <v>3</v>
      </c>
      <c r="P455">
        <v>3</v>
      </c>
      <c r="S455" s="114" t="s">
        <v>944</v>
      </c>
    </row>
    <row r="456" spans="1:19" x14ac:dyDescent="0.2">
      <c r="A456" t="s">
        <v>1939</v>
      </c>
      <c r="B456">
        <v>9005306100</v>
      </c>
      <c r="C456" t="s">
        <v>1940</v>
      </c>
      <c r="D456">
        <v>106765</v>
      </c>
      <c r="E456">
        <v>2.59</v>
      </c>
      <c r="F456">
        <v>66340.54307</v>
      </c>
      <c r="G456">
        <v>66.340999999999994</v>
      </c>
      <c r="H456">
        <v>0.75600000000000001</v>
      </c>
      <c r="I456">
        <v>4</v>
      </c>
      <c r="J456">
        <v>1649</v>
      </c>
      <c r="K456">
        <v>0.298279138</v>
      </c>
      <c r="L456">
        <v>0.158</v>
      </c>
      <c r="M456">
        <v>1</v>
      </c>
      <c r="N456">
        <v>0.35</v>
      </c>
      <c r="O456">
        <v>2</v>
      </c>
      <c r="P456">
        <v>2</v>
      </c>
      <c r="S456" s="116" t="s">
        <v>944</v>
      </c>
    </row>
    <row r="457" spans="1:19" x14ac:dyDescent="0.2">
      <c r="A457" t="s">
        <v>1941</v>
      </c>
      <c r="B457">
        <v>9005310100</v>
      </c>
      <c r="C457" t="s">
        <v>1942</v>
      </c>
      <c r="D457">
        <v>60694</v>
      </c>
      <c r="E457">
        <v>2.2200000000000002</v>
      </c>
      <c r="F457">
        <v>40735.145620000003</v>
      </c>
      <c r="G457">
        <v>40.734999999999999</v>
      </c>
      <c r="H457">
        <v>0.30199999999999999</v>
      </c>
      <c r="I457">
        <v>2</v>
      </c>
      <c r="J457">
        <v>1066</v>
      </c>
      <c r="K457">
        <v>0.314028582</v>
      </c>
      <c r="L457">
        <v>0.25</v>
      </c>
      <c r="M457">
        <v>2</v>
      </c>
      <c r="N457">
        <v>0.9</v>
      </c>
      <c r="O457">
        <v>5</v>
      </c>
      <c r="P457">
        <v>5</v>
      </c>
      <c r="S457" s="114" t="s">
        <v>944</v>
      </c>
    </row>
    <row r="458" spans="1:19" x14ac:dyDescent="0.2">
      <c r="A458" t="s">
        <v>1943</v>
      </c>
      <c r="B458">
        <v>9005310200</v>
      </c>
      <c r="C458" t="s">
        <v>1944</v>
      </c>
      <c r="D458">
        <v>40169</v>
      </c>
      <c r="E458">
        <v>2.2400000000000002</v>
      </c>
      <c r="F458">
        <v>26839.04207</v>
      </c>
      <c r="G458">
        <v>26.838999999999999</v>
      </c>
      <c r="H458">
        <v>0.13100000000000001</v>
      </c>
      <c r="I458">
        <v>1</v>
      </c>
      <c r="J458">
        <v>1058</v>
      </c>
      <c r="K458">
        <v>0.47304221800000001</v>
      </c>
      <c r="L458">
        <v>0.81499999999999995</v>
      </c>
      <c r="M458">
        <v>5</v>
      </c>
      <c r="N458">
        <v>0.90300000000000002</v>
      </c>
      <c r="O458">
        <v>5</v>
      </c>
      <c r="P458">
        <v>5</v>
      </c>
      <c r="S458" s="116" t="s">
        <v>936</v>
      </c>
    </row>
    <row r="459" spans="1:19" x14ac:dyDescent="0.2">
      <c r="A459" t="s">
        <v>1945</v>
      </c>
      <c r="B459">
        <v>9005310300</v>
      </c>
      <c r="C459" t="s">
        <v>1946</v>
      </c>
      <c r="D459">
        <v>42188</v>
      </c>
      <c r="E459">
        <v>2.14</v>
      </c>
      <c r="F459">
        <v>28839.123090000001</v>
      </c>
      <c r="G459">
        <v>28.838999999999999</v>
      </c>
      <c r="H459">
        <v>0.15</v>
      </c>
      <c r="I459">
        <v>1</v>
      </c>
      <c r="J459">
        <v>882</v>
      </c>
      <c r="K459">
        <v>0.36700145000000001</v>
      </c>
      <c r="L459">
        <v>0.57399999999999995</v>
      </c>
      <c r="M459">
        <v>3</v>
      </c>
      <c r="N459">
        <v>0.97699999999999998</v>
      </c>
      <c r="O459">
        <v>5</v>
      </c>
      <c r="P459">
        <v>5</v>
      </c>
      <c r="S459" s="114" t="s">
        <v>936</v>
      </c>
    </row>
    <row r="460" spans="1:19" x14ac:dyDescent="0.2">
      <c r="A460" t="s">
        <v>1947</v>
      </c>
      <c r="B460">
        <v>9005310400</v>
      </c>
      <c r="C460" t="s">
        <v>1948</v>
      </c>
      <c r="D460">
        <v>71159</v>
      </c>
      <c r="E460">
        <v>2.25</v>
      </c>
      <c r="F460">
        <v>47439.333330000001</v>
      </c>
      <c r="G460">
        <v>47.439</v>
      </c>
      <c r="H460">
        <v>0.40899999999999997</v>
      </c>
      <c r="I460">
        <v>3</v>
      </c>
      <c r="J460">
        <v>1151</v>
      </c>
      <c r="K460">
        <v>0.29115080300000001</v>
      </c>
      <c r="L460">
        <v>0.121</v>
      </c>
      <c r="M460">
        <v>1</v>
      </c>
      <c r="N460">
        <v>0.82</v>
      </c>
      <c r="O460">
        <v>5</v>
      </c>
      <c r="P460">
        <v>4</v>
      </c>
      <c r="S460" s="116" t="s">
        <v>944</v>
      </c>
    </row>
    <row r="461" spans="1:19" x14ac:dyDescent="0.2">
      <c r="A461" t="s">
        <v>1949</v>
      </c>
      <c r="B461">
        <v>9005310500</v>
      </c>
      <c r="C461" t="s">
        <v>1950</v>
      </c>
      <c r="D461">
        <v>53333</v>
      </c>
      <c r="E461">
        <v>2.2400000000000002</v>
      </c>
      <c r="F461">
        <v>35634.609539999998</v>
      </c>
      <c r="G461">
        <v>35.634999999999998</v>
      </c>
      <c r="H461">
        <v>0.24099999999999999</v>
      </c>
      <c r="I461">
        <v>2</v>
      </c>
      <c r="J461">
        <v>1127</v>
      </c>
      <c r="K461">
        <v>0.37951868100000002</v>
      </c>
      <c r="L461">
        <v>0.63100000000000001</v>
      </c>
      <c r="M461">
        <v>4</v>
      </c>
      <c r="N461">
        <v>0.84399999999999997</v>
      </c>
      <c r="O461">
        <v>5</v>
      </c>
      <c r="P461">
        <v>5</v>
      </c>
      <c r="S461" s="114" t="s">
        <v>944</v>
      </c>
    </row>
    <row r="462" spans="1:19" x14ac:dyDescent="0.2">
      <c r="A462" t="s">
        <v>1951</v>
      </c>
      <c r="B462">
        <v>9005310601</v>
      </c>
      <c r="C462" t="s">
        <v>1952</v>
      </c>
      <c r="D462">
        <v>87039</v>
      </c>
      <c r="E462">
        <v>2.72</v>
      </c>
      <c r="F462">
        <v>52775.145669999998</v>
      </c>
      <c r="G462">
        <v>52.774999999999999</v>
      </c>
      <c r="H462">
        <v>0.51800000000000002</v>
      </c>
      <c r="I462">
        <v>3</v>
      </c>
      <c r="J462">
        <v>1574</v>
      </c>
      <c r="K462">
        <v>0.35789574400000002</v>
      </c>
      <c r="L462">
        <v>0.52400000000000002</v>
      </c>
      <c r="M462">
        <v>3</v>
      </c>
      <c r="N462">
        <v>0.41</v>
      </c>
      <c r="O462">
        <v>3</v>
      </c>
      <c r="P462">
        <v>3</v>
      </c>
      <c r="S462" s="116" t="s">
        <v>944</v>
      </c>
    </row>
    <row r="463" spans="1:19" x14ac:dyDescent="0.2">
      <c r="A463" t="s">
        <v>1953</v>
      </c>
      <c r="B463">
        <v>9005310602</v>
      </c>
      <c r="C463" t="s">
        <v>1954</v>
      </c>
      <c r="D463">
        <v>80000</v>
      </c>
      <c r="E463">
        <v>2.27</v>
      </c>
      <c r="F463">
        <v>53097.864930000003</v>
      </c>
      <c r="G463">
        <v>53.097999999999999</v>
      </c>
      <c r="H463">
        <v>0.52300000000000002</v>
      </c>
      <c r="I463">
        <v>3</v>
      </c>
      <c r="J463">
        <v>1181</v>
      </c>
      <c r="K463">
        <v>0.26690338699999999</v>
      </c>
      <c r="L463">
        <v>5.7000000000000002E-2</v>
      </c>
      <c r="M463">
        <v>1</v>
      </c>
      <c r="N463">
        <v>0.79700000000000004</v>
      </c>
      <c r="O463">
        <v>4</v>
      </c>
      <c r="P463">
        <v>4</v>
      </c>
      <c r="S463" s="114" t="s">
        <v>944</v>
      </c>
    </row>
    <row r="464" spans="1:19" x14ac:dyDescent="0.2">
      <c r="A464" t="s">
        <v>1955</v>
      </c>
      <c r="B464">
        <v>9005310700</v>
      </c>
      <c r="C464" t="s">
        <v>1956</v>
      </c>
      <c r="D464">
        <v>64341</v>
      </c>
      <c r="E464">
        <v>1.99</v>
      </c>
      <c r="F464">
        <v>45610.125610000003</v>
      </c>
      <c r="G464">
        <v>45.61</v>
      </c>
      <c r="H464">
        <v>0.376</v>
      </c>
      <c r="I464">
        <v>2</v>
      </c>
      <c r="J464">
        <v>1169</v>
      </c>
      <c r="K464">
        <v>0.30756328399999999</v>
      </c>
      <c r="L464">
        <v>0.214</v>
      </c>
      <c r="M464">
        <v>2</v>
      </c>
      <c r="N464">
        <v>0.80500000000000005</v>
      </c>
      <c r="O464">
        <v>5</v>
      </c>
      <c r="P464">
        <v>5</v>
      </c>
      <c r="S464" s="116" t="s">
        <v>944</v>
      </c>
    </row>
    <row r="465" spans="1:19" x14ac:dyDescent="0.2">
      <c r="A465" t="s">
        <v>1957</v>
      </c>
      <c r="B465">
        <v>9005310801</v>
      </c>
      <c r="C465" t="s">
        <v>1958</v>
      </c>
      <c r="D465">
        <v>57917</v>
      </c>
      <c r="E465">
        <v>2.56</v>
      </c>
      <c r="F465">
        <v>36198.125</v>
      </c>
      <c r="G465">
        <v>36.198</v>
      </c>
      <c r="H465">
        <v>0.252</v>
      </c>
      <c r="I465">
        <v>2</v>
      </c>
      <c r="J465">
        <v>1032</v>
      </c>
      <c r="K465">
        <v>0.34211716800000003</v>
      </c>
      <c r="L465">
        <v>0.434</v>
      </c>
      <c r="M465">
        <v>3</v>
      </c>
      <c r="N465">
        <v>0.92100000000000004</v>
      </c>
      <c r="O465">
        <v>5</v>
      </c>
      <c r="P465">
        <v>5</v>
      </c>
      <c r="S465" s="114" t="s">
        <v>944</v>
      </c>
    </row>
    <row r="466" spans="1:19" x14ac:dyDescent="0.2">
      <c r="A466" t="s">
        <v>1959</v>
      </c>
      <c r="B466">
        <v>9005310803</v>
      </c>
      <c r="C466" t="s">
        <v>1960</v>
      </c>
      <c r="D466">
        <v>48981</v>
      </c>
      <c r="E466">
        <v>2.52</v>
      </c>
      <c r="F466">
        <v>30855.12975</v>
      </c>
      <c r="G466">
        <v>30.855</v>
      </c>
      <c r="H466">
        <v>0.183</v>
      </c>
      <c r="I466">
        <v>1</v>
      </c>
      <c r="J466">
        <v>1052</v>
      </c>
      <c r="K466">
        <v>0.40913780300000002</v>
      </c>
      <c r="L466">
        <v>0.70099999999999996</v>
      </c>
      <c r="M466">
        <v>4</v>
      </c>
      <c r="N466">
        <v>0.90700000000000003</v>
      </c>
      <c r="O466">
        <v>5</v>
      </c>
      <c r="P466">
        <v>5</v>
      </c>
      <c r="S466" s="116" t="s">
        <v>944</v>
      </c>
    </row>
    <row r="467" spans="1:19" x14ac:dyDescent="0.2">
      <c r="A467" t="s">
        <v>1961</v>
      </c>
      <c r="B467">
        <v>9005310804</v>
      </c>
      <c r="C467" t="s">
        <v>1962</v>
      </c>
      <c r="D467">
        <v>73594</v>
      </c>
      <c r="E467">
        <v>2.58</v>
      </c>
      <c r="F467">
        <v>45817.62311</v>
      </c>
      <c r="G467">
        <v>45.817999999999998</v>
      </c>
      <c r="H467">
        <v>0.379</v>
      </c>
      <c r="I467">
        <v>2</v>
      </c>
      <c r="J467">
        <v>1118</v>
      </c>
      <c r="K467">
        <v>0.292813094</v>
      </c>
      <c r="L467">
        <v>0.13500000000000001</v>
      </c>
      <c r="M467">
        <v>1</v>
      </c>
      <c r="N467">
        <v>0.85699999999999998</v>
      </c>
      <c r="O467">
        <v>5</v>
      </c>
      <c r="P467">
        <v>5</v>
      </c>
      <c r="S467" s="114" t="s">
        <v>944</v>
      </c>
    </row>
    <row r="468" spans="1:19" x14ac:dyDescent="0.2">
      <c r="A468" t="s">
        <v>1963</v>
      </c>
      <c r="B468">
        <v>9005320100</v>
      </c>
      <c r="C468" t="s">
        <v>1964</v>
      </c>
      <c r="D468">
        <v>60160</v>
      </c>
      <c r="E468">
        <v>2.34</v>
      </c>
      <c r="F468">
        <v>39327.8223</v>
      </c>
      <c r="G468">
        <v>39.328000000000003</v>
      </c>
      <c r="H468">
        <v>0.28499999999999998</v>
      </c>
      <c r="I468">
        <v>2</v>
      </c>
      <c r="J468">
        <v>1013</v>
      </c>
      <c r="K468">
        <v>0.30909415499999998</v>
      </c>
      <c r="L468">
        <v>0.222</v>
      </c>
      <c r="M468">
        <v>2</v>
      </c>
      <c r="N468">
        <v>0.93400000000000005</v>
      </c>
      <c r="O468">
        <v>5</v>
      </c>
      <c r="P468">
        <v>5</v>
      </c>
      <c r="S468" s="116" t="s">
        <v>944</v>
      </c>
    </row>
    <row r="469" spans="1:19" x14ac:dyDescent="0.2">
      <c r="A469" t="s">
        <v>1965</v>
      </c>
      <c r="B469">
        <v>9005320200</v>
      </c>
      <c r="C469" t="s">
        <v>1966</v>
      </c>
      <c r="D469">
        <v>74044</v>
      </c>
      <c r="E469">
        <v>2.35</v>
      </c>
      <c r="F469">
        <v>48300.97984</v>
      </c>
      <c r="G469">
        <v>48.301000000000002</v>
      </c>
      <c r="H469">
        <v>0.437</v>
      </c>
      <c r="I469">
        <v>3</v>
      </c>
      <c r="J469">
        <v>1302</v>
      </c>
      <c r="K469">
        <v>0.323471699</v>
      </c>
      <c r="L469">
        <v>0.32200000000000001</v>
      </c>
      <c r="M469">
        <v>2</v>
      </c>
      <c r="N469">
        <v>0.65600000000000003</v>
      </c>
      <c r="O469">
        <v>4</v>
      </c>
      <c r="P469">
        <v>4</v>
      </c>
      <c r="S469" s="114" t="s">
        <v>944</v>
      </c>
    </row>
    <row r="470" spans="1:19" x14ac:dyDescent="0.2">
      <c r="A470" t="s">
        <v>1967</v>
      </c>
      <c r="B470">
        <v>9005342100</v>
      </c>
      <c r="C470" t="s">
        <v>1968</v>
      </c>
      <c r="D470">
        <v>98409</v>
      </c>
      <c r="E470">
        <v>2.8</v>
      </c>
      <c r="F470">
        <v>58810.626109999997</v>
      </c>
      <c r="G470">
        <v>58.811</v>
      </c>
      <c r="H470">
        <v>0.63100000000000001</v>
      </c>
      <c r="I470">
        <v>4</v>
      </c>
      <c r="J470">
        <v>1623</v>
      </c>
      <c r="K470">
        <v>0.33116464299999998</v>
      </c>
      <c r="L470">
        <v>0.36799999999999999</v>
      </c>
      <c r="M470">
        <v>2</v>
      </c>
      <c r="N470">
        <v>0.36699999999999999</v>
      </c>
      <c r="O470">
        <v>2</v>
      </c>
      <c r="P470">
        <v>2</v>
      </c>
      <c r="S470" s="116" t="s">
        <v>944</v>
      </c>
    </row>
    <row r="471" spans="1:19" x14ac:dyDescent="0.2">
      <c r="A471" t="s">
        <v>1969</v>
      </c>
      <c r="B471">
        <v>9005349100</v>
      </c>
      <c r="C471" t="s">
        <v>1970</v>
      </c>
      <c r="D471">
        <v>82688</v>
      </c>
      <c r="E471">
        <v>2.5299999999999998</v>
      </c>
      <c r="F471">
        <v>51985.500200000002</v>
      </c>
      <c r="G471">
        <v>51.985999999999997</v>
      </c>
      <c r="H471">
        <v>0.499</v>
      </c>
      <c r="I471">
        <v>3</v>
      </c>
      <c r="J471">
        <v>1536</v>
      </c>
      <c r="K471">
        <v>0.35456040500000002</v>
      </c>
      <c r="L471">
        <v>0.504</v>
      </c>
      <c r="M471">
        <v>3</v>
      </c>
      <c r="N471">
        <v>0.437</v>
      </c>
      <c r="O471">
        <v>3</v>
      </c>
      <c r="P471">
        <v>3</v>
      </c>
      <c r="S471" s="114" t="s">
        <v>944</v>
      </c>
    </row>
    <row r="472" spans="1:19" x14ac:dyDescent="0.2">
      <c r="A472" t="s">
        <v>1971</v>
      </c>
      <c r="B472">
        <v>9005349200</v>
      </c>
      <c r="C472" t="s">
        <v>1972</v>
      </c>
      <c r="D472">
        <v>64550</v>
      </c>
      <c r="E472">
        <v>2.19</v>
      </c>
      <c r="F472">
        <v>43618.847779999996</v>
      </c>
      <c r="G472">
        <v>43.619</v>
      </c>
      <c r="H472">
        <v>0.34599999999999997</v>
      </c>
      <c r="I472">
        <v>2</v>
      </c>
      <c r="J472">
        <v>1181</v>
      </c>
      <c r="K472">
        <v>0.32490541899999997</v>
      </c>
      <c r="L472">
        <v>0.32900000000000001</v>
      </c>
      <c r="M472">
        <v>2</v>
      </c>
      <c r="N472">
        <v>0.79700000000000004</v>
      </c>
      <c r="O472">
        <v>4</v>
      </c>
      <c r="P472">
        <v>4</v>
      </c>
      <c r="S472" s="116" t="s">
        <v>944</v>
      </c>
    </row>
    <row r="473" spans="1:19" x14ac:dyDescent="0.2">
      <c r="A473" t="s">
        <v>1973</v>
      </c>
      <c r="B473">
        <v>9005360100</v>
      </c>
      <c r="C473" t="s">
        <v>1974</v>
      </c>
      <c r="D473">
        <v>69118</v>
      </c>
      <c r="E473">
        <v>2.3199999999999998</v>
      </c>
      <c r="F473">
        <v>45378.190130000003</v>
      </c>
      <c r="G473">
        <v>45.378</v>
      </c>
      <c r="H473">
        <v>0.371</v>
      </c>
      <c r="I473">
        <v>2</v>
      </c>
      <c r="J473">
        <v>1310</v>
      </c>
      <c r="K473">
        <v>0.34642192500000002</v>
      </c>
      <c r="L473">
        <v>0.46100000000000002</v>
      </c>
      <c r="M473">
        <v>3</v>
      </c>
      <c r="N473">
        <v>0.64600000000000002</v>
      </c>
      <c r="O473">
        <v>4</v>
      </c>
      <c r="P473">
        <v>4</v>
      </c>
      <c r="S473" s="114" t="s">
        <v>944</v>
      </c>
    </row>
    <row r="474" spans="1:19" x14ac:dyDescent="0.2">
      <c r="A474" t="s">
        <v>1975</v>
      </c>
      <c r="B474">
        <v>9005360200</v>
      </c>
      <c r="C474" t="s">
        <v>1976</v>
      </c>
      <c r="D474">
        <v>105701</v>
      </c>
      <c r="E474">
        <v>2.86</v>
      </c>
      <c r="F474">
        <v>62502.311569999998</v>
      </c>
      <c r="G474">
        <v>62.502000000000002</v>
      </c>
      <c r="H474">
        <v>0.69899999999999995</v>
      </c>
      <c r="I474">
        <v>4</v>
      </c>
      <c r="J474">
        <v>1769</v>
      </c>
      <c r="K474">
        <v>0.33963543899999998</v>
      </c>
      <c r="L474">
        <v>0.41699999999999998</v>
      </c>
      <c r="M474">
        <v>3</v>
      </c>
      <c r="N474">
        <v>0.26800000000000002</v>
      </c>
      <c r="O474">
        <v>2</v>
      </c>
      <c r="P474">
        <v>2</v>
      </c>
      <c r="S474" s="116" t="s">
        <v>944</v>
      </c>
    </row>
    <row r="475" spans="1:19" x14ac:dyDescent="0.2">
      <c r="A475" t="s">
        <v>1977</v>
      </c>
      <c r="B475">
        <v>9005360300</v>
      </c>
      <c r="C475" t="s">
        <v>1978</v>
      </c>
      <c r="D475">
        <v>74634</v>
      </c>
      <c r="E475">
        <v>2.42</v>
      </c>
      <c r="F475">
        <v>47976.552280000004</v>
      </c>
      <c r="G475">
        <v>47.976999999999997</v>
      </c>
      <c r="H475">
        <v>0.42799999999999999</v>
      </c>
      <c r="I475">
        <v>3</v>
      </c>
      <c r="J475">
        <v>1184</v>
      </c>
      <c r="K475">
        <v>0.29614466499999997</v>
      </c>
      <c r="L475">
        <v>0.14799999999999999</v>
      </c>
      <c r="M475">
        <v>1</v>
      </c>
      <c r="N475">
        <v>0.78900000000000003</v>
      </c>
      <c r="O475">
        <v>4</v>
      </c>
      <c r="P475">
        <v>4</v>
      </c>
      <c r="S475" s="114" t="s">
        <v>944</v>
      </c>
    </row>
    <row r="476" spans="1:19" x14ac:dyDescent="0.2">
      <c r="A476" t="s">
        <v>1979</v>
      </c>
      <c r="B476">
        <v>9005360400</v>
      </c>
      <c r="C476" t="s">
        <v>1980</v>
      </c>
      <c r="D476">
        <v>63667</v>
      </c>
      <c r="E476">
        <v>2.36</v>
      </c>
      <c r="F476">
        <v>41443.686979999999</v>
      </c>
      <c r="G476">
        <v>41.444000000000003</v>
      </c>
      <c r="H476">
        <v>0.307</v>
      </c>
      <c r="I476">
        <v>2</v>
      </c>
      <c r="J476">
        <v>1214</v>
      </c>
      <c r="K476">
        <v>0.35151312699999998</v>
      </c>
      <c r="L476">
        <v>0.48699999999999999</v>
      </c>
      <c r="M476">
        <v>3</v>
      </c>
      <c r="N476">
        <v>0.749</v>
      </c>
      <c r="O476">
        <v>4</v>
      </c>
      <c r="P476">
        <v>4</v>
      </c>
      <c r="S476" s="116" t="s">
        <v>944</v>
      </c>
    </row>
    <row r="477" spans="1:19" x14ac:dyDescent="0.2">
      <c r="A477" t="s">
        <v>1981</v>
      </c>
      <c r="B477">
        <v>9005362101</v>
      </c>
      <c r="C477" t="s">
        <v>1982</v>
      </c>
      <c r="D477">
        <v>74519</v>
      </c>
      <c r="E477">
        <v>2.11</v>
      </c>
      <c r="F477">
        <v>51300.995260000003</v>
      </c>
      <c r="G477">
        <v>51.301000000000002</v>
      </c>
      <c r="H477">
        <v>0.48799999999999999</v>
      </c>
      <c r="I477">
        <v>3</v>
      </c>
      <c r="J477">
        <v>1553</v>
      </c>
      <c r="K477">
        <v>0.36326780600000003</v>
      </c>
      <c r="L477">
        <v>0.55700000000000005</v>
      </c>
      <c r="M477">
        <v>3</v>
      </c>
      <c r="N477">
        <v>0.42099999999999999</v>
      </c>
      <c r="O477">
        <v>3</v>
      </c>
      <c r="P477">
        <v>3</v>
      </c>
      <c r="S477" s="114" t="s">
        <v>944</v>
      </c>
    </row>
    <row r="478" spans="1:19" x14ac:dyDescent="0.2">
      <c r="A478" t="s">
        <v>1983</v>
      </c>
      <c r="B478">
        <v>9005362102</v>
      </c>
      <c r="C478" t="s">
        <v>1984</v>
      </c>
      <c r="D478">
        <v>91383</v>
      </c>
      <c r="E478">
        <v>2.4900000000000002</v>
      </c>
      <c r="F478">
        <v>57911.623189999998</v>
      </c>
      <c r="G478">
        <v>57.911999999999999</v>
      </c>
      <c r="H478">
        <v>0.61399999999999999</v>
      </c>
      <c r="I478">
        <v>4</v>
      </c>
      <c r="J478">
        <v>1648</v>
      </c>
      <c r="K478">
        <v>0.34148585199999998</v>
      </c>
      <c r="L478">
        <v>0.42799999999999999</v>
      </c>
      <c r="M478">
        <v>3</v>
      </c>
      <c r="N478">
        <v>0.35199999999999998</v>
      </c>
      <c r="O478">
        <v>2</v>
      </c>
      <c r="P478">
        <v>2</v>
      </c>
      <c r="S478" s="116" t="s">
        <v>944</v>
      </c>
    </row>
    <row r="479" spans="1:19" x14ac:dyDescent="0.2">
      <c r="A479" t="s">
        <v>1985</v>
      </c>
      <c r="B479">
        <v>9005425300</v>
      </c>
      <c r="C479" t="s">
        <v>1986</v>
      </c>
      <c r="D479">
        <v>95240</v>
      </c>
      <c r="E479">
        <v>2.4</v>
      </c>
      <c r="F479">
        <v>61477.155650000001</v>
      </c>
      <c r="G479">
        <v>61.476999999999997</v>
      </c>
      <c r="H479">
        <v>0.68100000000000005</v>
      </c>
      <c r="I479">
        <v>4</v>
      </c>
      <c r="J479">
        <v>1358</v>
      </c>
      <c r="K479">
        <v>0.26507407199999999</v>
      </c>
      <c r="L479">
        <v>4.7E-2</v>
      </c>
      <c r="M479">
        <v>1</v>
      </c>
      <c r="N479">
        <v>0.60099999999999998</v>
      </c>
      <c r="O479">
        <v>4</v>
      </c>
      <c r="P479">
        <v>3</v>
      </c>
      <c r="S479" s="114" t="s">
        <v>944</v>
      </c>
    </row>
    <row r="480" spans="1:19" x14ac:dyDescent="0.2">
      <c r="A480" t="s">
        <v>1987</v>
      </c>
      <c r="B480">
        <v>9005425400</v>
      </c>
      <c r="C480" t="s">
        <v>1988</v>
      </c>
      <c r="D480">
        <v>84167</v>
      </c>
      <c r="E480">
        <v>2.63</v>
      </c>
      <c r="F480">
        <v>51899.595549999998</v>
      </c>
      <c r="G480">
        <v>51.9</v>
      </c>
      <c r="H480">
        <v>0.496</v>
      </c>
      <c r="I480">
        <v>3</v>
      </c>
      <c r="J480">
        <v>1524</v>
      </c>
      <c r="K480">
        <v>0.35237268799999999</v>
      </c>
      <c r="L480">
        <v>0.49299999999999999</v>
      </c>
      <c r="M480">
        <v>3</v>
      </c>
      <c r="N480">
        <v>0.44800000000000001</v>
      </c>
      <c r="O480">
        <v>3</v>
      </c>
      <c r="P480">
        <v>3</v>
      </c>
      <c r="S480" s="116" t="s">
        <v>944</v>
      </c>
    </row>
    <row r="481" spans="1:19" x14ac:dyDescent="0.2">
      <c r="A481" t="s">
        <v>1989</v>
      </c>
      <c r="B481">
        <v>9005425500</v>
      </c>
      <c r="C481" t="s">
        <v>1990</v>
      </c>
      <c r="D481">
        <v>68365</v>
      </c>
      <c r="E481">
        <v>2.1</v>
      </c>
      <c r="F481">
        <v>47176.331960000003</v>
      </c>
      <c r="G481">
        <v>47.176000000000002</v>
      </c>
      <c r="H481">
        <v>0.4</v>
      </c>
      <c r="I481">
        <v>2</v>
      </c>
      <c r="J481">
        <v>1113</v>
      </c>
      <c r="K481">
        <v>0.28310806399999999</v>
      </c>
      <c r="L481">
        <v>8.7999999999999995E-2</v>
      </c>
      <c r="M481">
        <v>1</v>
      </c>
      <c r="N481">
        <v>0.86199999999999999</v>
      </c>
      <c r="O481">
        <v>5</v>
      </c>
      <c r="P481">
        <v>4</v>
      </c>
      <c r="S481" s="114" t="s">
        <v>944</v>
      </c>
    </row>
    <row r="482" spans="1:19" x14ac:dyDescent="0.2">
      <c r="A482" t="s">
        <v>1991</v>
      </c>
      <c r="B482">
        <v>9005425600</v>
      </c>
      <c r="C482" t="s">
        <v>1992</v>
      </c>
      <c r="D482">
        <v>77083</v>
      </c>
      <c r="E482">
        <v>2.29</v>
      </c>
      <c r="F482">
        <v>50937.88018</v>
      </c>
      <c r="G482">
        <v>50.938000000000002</v>
      </c>
      <c r="H482">
        <v>0.48099999999999998</v>
      </c>
      <c r="I482">
        <v>3</v>
      </c>
      <c r="J482">
        <v>1328</v>
      </c>
      <c r="K482">
        <v>0.31285165300000001</v>
      </c>
      <c r="L482">
        <v>0.24199999999999999</v>
      </c>
      <c r="M482">
        <v>2</v>
      </c>
      <c r="N482">
        <v>0.627</v>
      </c>
      <c r="O482">
        <v>4</v>
      </c>
      <c r="P482">
        <v>4</v>
      </c>
      <c r="S482" s="116" t="s">
        <v>944</v>
      </c>
    </row>
    <row r="483" spans="1:19" x14ac:dyDescent="0.2">
      <c r="A483" t="s">
        <v>1993</v>
      </c>
      <c r="B483">
        <v>9007541100</v>
      </c>
      <c r="C483" t="s">
        <v>1994</v>
      </c>
      <c r="D483">
        <v>35234</v>
      </c>
      <c r="E483">
        <v>2.1800000000000002</v>
      </c>
      <c r="F483">
        <v>23863.47595</v>
      </c>
      <c r="G483">
        <v>23.863</v>
      </c>
      <c r="H483">
        <v>0.10299999999999999</v>
      </c>
      <c r="I483">
        <v>1</v>
      </c>
      <c r="J483">
        <v>1033</v>
      </c>
      <c r="K483">
        <v>0.51945492000000004</v>
      </c>
      <c r="L483">
        <v>0.86599999999999999</v>
      </c>
      <c r="M483">
        <v>5</v>
      </c>
      <c r="N483">
        <v>0.91900000000000004</v>
      </c>
      <c r="O483">
        <v>5</v>
      </c>
      <c r="P483">
        <v>5</v>
      </c>
      <c r="S483" s="114" t="s">
        <v>936</v>
      </c>
    </row>
    <row r="484" spans="1:19" x14ac:dyDescent="0.2">
      <c r="A484" t="s">
        <v>1995</v>
      </c>
      <c r="B484">
        <v>9007541200</v>
      </c>
      <c r="C484" t="s">
        <v>1996</v>
      </c>
      <c r="D484">
        <v>71825</v>
      </c>
      <c r="E484">
        <v>2.29</v>
      </c>
      <c r="F484">
        <v>47463.295980000003</v>
      </c>
      <c r="G484">
        <v>47.463000000000001</v>
      </c>
      <c r="H484">
        <v>0.41</v>
      </c>
      <c r="I484">
        <v>3</v>
      </c>
      <c r="J484">
        <v>1273</v>
      </c>
      <c r="K484">
        <v>0.32184869799999999</v>
      </c>
      <c r="L484">
        <v>0.313</v>
      </c>
      <c r="M484">
        <v>2</v>
      </c>
      <c r="N484">
        <v>0.68200000000000005</v>
      </c>
      <c r="O484">
        <v>4</v>
      </c>
      <c r="P484">
        <v>4</v>
      </c>
      <c r="S484" s="116" t="s">
        <v>944</v>
      </c>
    </row>
    <row r="485" spans="1:19" x14ac:dyDescent="0.2">
      <c r="A485" t="s">
        <v>1997</v>
      </c>
      <c r="B485">
        <v>9007541300</v>
      </c>
      <c r="C485" t="s">
        <v>1998</v>
      </c>
      <c r="D485">
        <v>65781</v>
      </c>
      <c r="E485">
        <v>1.82</v>
      </c>
      <c r="F485">
        <v>48760.121299999999</v>
      </c>
      <c r="G485">
        <v>48.76</v>
      </c>
      <c r="H485">
        <v>0.44500000000000001</v>
      </c>
      <c r="I485">
        <v>3</v>
      </c>
      <c r="J485">
        <v>1454</v>
      </c>
      <c r="K485">
        <v>0.35783340000000002</v>
      </c>
      <c r="L485">
        <v>0.52300000000000002</v>
      </c>
      <c r="M485">
        <v>3</v>
      </c>
      <c r="N485">
        <v>0.52400000000000002</v>
      </c>
      <c r="O485">
        <v>3</v>
      </c>
      <c r="P485">
        <v>3</v>
      </c>
      <c r="S485" s="114" t="s">
        <v>944</v>
      </c>
    </row>
    <row r="486" spans="1:19" x14ac:dyDescent="0.2">
      <c r="A486" t="s">
        <v>1999</v>
      </c>
      <c r="B486">
        <v>9007541401</v>
      </c>
      <c r="C486" t="s">
        <v>2000</v>
      </c>
      <c r="D486">
        <v>120893</v>
      </c>
      <c r="E486">
        <v>2.86</v>
      </c>
      <c r="F486">
        <v>71485.529490000001</v>
      </c>
      <c r="G486">
        <v>71.486000000000004</v>
      </c>
      <c r="H486">
        <v>0.82199999999999995</v>
      </c>
      <c r="I486">
        <v>5</v>
      </c>
      <c r="J486">
        <v>2028</v>
      </c>
      <c r="K486">
        <v>0.34043253499999998</v>
      </c>
      <c r="L486">
        <v>0.41799999999999998</v>
      </c>
      <c r="M486">
        <v>3</v>
      </c>
      <c r="N486">
        <v>0.159</v>
      </c>
      <c r="O486">
        <v>1</v>
      </c>
      <c r="P486">
        <v>1</v>
      </c>
      <c r="S486" s="116" t="s">
        <v>944</v>
      </c>
    </row>
    <row r="487" spans="1:19" x14ac:dyDescent="0.2">
      <c r="A487" t="s">
        <v>2001</v>
      </c>
      <c r="B487">
        <v>9007541402</v>
      </c>
      <c r="C487" t="s">
        <v>2002</v>
      </c>
      <c r="D487">
        <v>79611</v>
      </c>
      <c r="E487">
        <v>2.21</v>
      </c>
      <c r="F487">
        <v>53552.1538</v>
      </c>
      <c r="G487">
        <v>53.552</v>
      </c>
      <c r="H487">
        <v>0.53</v>
      </c>
      <c r="I487">
        <v>3</v>
      </c>
      <c r="J487">
        <v>1216</v>
      </c>
      <c r="K487">
        <v>0.27248203799999998</v>
      </c>
      <c r="L487">
        <v>6.8000000000000005E-2</v>
      </c>
      <c r="M487">
        <v>1</v>
      </c>
      <c r="N487">
        <v>0.745</v>
      </c>
      <c r="O487">
        <v>4</v>
      </c>
      <c r="P487">
        <v>4</v>
      </c>
      <c r="S487" s="114" t="s">
        <v>944</v>
      </c>
    </row>
    <row r="488" spans="1:19" x14ac:dyDescent="0.2">
      <c r="A488" t="s">
        <v>2003</v>
      </c>
      <c r="B488">
        <v>9007541500</v>
      </c>
      <c r="C488" t="s">
        <v>2004</v>
      </c>
      <c r="D488">
        <v>55565</v>
      </c>
      <c r="E488">
        <v>2.0299999999999998</v>
      </c>
      <c r="F488">
        <v>38998.98461</v>
      </c>
      <c r="G488">
        <v>38.999000000000002</v>
      </c>
      <c r="H488">
        <v>0.28000000000000003</v>
      </c>
      <c r="I488">
        <v>2</v>
      </c>
      <c r="J488">
        <v>1268</v>
      </c>
      <c r="K488">
        <v>0.39016400400000001</v>
      </c>
      <c r="L488">
        <v>0.66300000000000003</v>
      </c>
      <c r="M488">
        <v>4</v>
      </c>
      <c r="N488">
        <v>0.69499999999999995</v>
      </c>
      <c r="O488">
        <v>4</v>
      </c>
      <c r="P488">
        <v>4</v>
      </c>
      <c r="S488" s="116" t="s">
        <v>944</v>
      </c>
    </row>
    <row r="489" spans="1:19" x14ac:dyDescent="0.2">
      <c r="A489" t="s">
        <v>2005</v>
      </c>
      <c r="B489">
        <v>9007541600</v>
      </c>
      <c r="C489" t="s">
        <v>2006</v>
      </c>
      <c r="D489">
        <v>18304</v>
      </c>
      <c r="E489">
        <v>1.83</v>
      </c>
      <c r="F489">
        <v>13530.70614</v>
      </c>
      <c r="G489">
        <v>13.531000000000001</v>
      </c>
      <c r="H489">
        <v>8.9999999999999993E-3</v>
      </c>
      <c r="I489">
        <v>1</v>
      </c>
      <c r="J489">
        <v>783</v>
      </c>
      <c r="K489">
        <v>0.69442051999999999</v>
      </c>
      <c r="L489">
        <v>0.96199999999999997</v>
      </c>
      <c r="M489">
        <v>5</v>
      </c>
      <c r="N489">
        <v>0.99</v>
      </c>
      <c r="O489">
        <v>5</v>
      </c>
      <c r="P489">
        <v>5</v>
      </c>
      <c r="S489" s="114" t="s">
        <v>936</v>
      </c>
    </row>
    <row r="490" spans="1:19" x14ac:dyDescent="0.2">
      <c r="A490" t="s">
        <v>2007</v>
      </c>
      <c r="B490">
        <v>9007541700</v>
      </c>
      <c r="C490" t="s">
        <v>2008</v>
      </c>
      <c r="D490">
        <v>31618</v>
      </c>
      <c r="E490">
        <v>1.84</v>
      </c>
      <c r="F490">
        <v>23309.098849999998</v>
      </c>
      <c r="G490">
        <v>23.309000000000001</v>
      </c>
      <c r="H490">
        <v>9.5000000000000001E-2</v>
      </c>
      <c r="I490">
        <v>1</v>
      </c>
      <c r="J490">
        <v>927</v>
      </c>
      <c r="K490">
        <v>0.47723852700000002</v>
      </c>
      <c r="L490">
        <v>0.81899999999999995</v>
      </c>
      <c r="M490">
        <v>5</v>
      </c>
      <c r="N490">
        <v>0.96499999999999997</v>
      </c>
      <c r="O490">
        <v>5</v>
      </c>
      <c r="P490">
        <v>5</v>
      </c>
      <c r="S490" s="116" t="s">
        <v>936</v>
      </c>
    </row>
    <row r="491" spans="1:19" x14ac:dyDescent="0.2">
      <c r="A491" t="s">
        <v>2009</v>
      </c>
      <c r="B491">
        <v>9007542000</v>
      </c>
      <c r="C491" t="s">
        <v>2010</v>
      </c>
      <c r="D491">
        <v>70857</v>
      </c>
      <c r="E491">
        <v>2.2000000000000002</v>
      </c>
      <c r="F491">
        <v>47771.779649999997</v>
      </c>
      <c r="G491">
        <v>47.771999999999998</v>
      </c>
      <c r="H491">
        <v>0.42099999999999999</v>
      </c>
      <c r="I491">
        <v>3</v>
      </c>
      <c r="J491">
        <v>1195</v>
      </c>
      <c r="K491">
        <v>0.30017722000000002</v>
      </c>
      <c r="L491">
        <v>0.16900000000000001</v>
      </c>
      <c r="M491">
        <v>1</v>
      </c>
      <c r="N491">
        <v>0.77300000000000002</v>
      </c>
      <c r="O491">
        <v>4</v>
      </c>
      <c r="P491">
        <v>4</v>
      </c>
      <c r="S491" s="114" t="s">
        <v>944</v>
      </c>
    </row>
    <row r="492" spans="1:19" x14ac:dyDescent="0.2">
      <c r="A492" t="s">
        <v>2011</v>
      </c>
      <c r="B492">
        <v>9007542100</v>
      </c>
      <c r="C492" t="s">
        <v>2012</v>
      </c>
      <c r="D492">
        <v>63036</v>
      </c>
      <c r="E492">
        <v>2.2999999999999998</v>
      </c>
      <c r="F492">
        <v>41564.707520000004</v>
      </c>
      <c r="G492">
        <v>41.564999999999998</v>
      </c>
      <c r="H492">
        <v>0.312</v>
      </c>
      <c r="I492">
        <v>2</v>
      </c>
      <c r="J492">
        <v>1161</v>
      </c>
      <c r="K492">
        <v>0.33518821199999999</v>
      </c>
      <c r="L492">
        <v>0.39600000000000002</v>
      </c>
      <c r="M492">
        <v>2</v>
      </c>
      <c r="N492">
        <v>0.81599999999999995</v>
      </c>
      <c r="O492">
        <v>5</v>
      </c>
      <c r="P492">
        <v>5</v>
      </c>
      <c r="S492" s="116" t="s">
        <v>944</v>
      </c>
    </row>
    <row r="493" spans="1:19" x14ac:dyDescent="0.2">
      <c r="A493" t="s">
        <v>2013</v>
      </c>
      <c r="B493">
        <v>9007542200</v>
      </c>
      <c r="C493" t="s">
        <v>2014</v>
      </c>
      <c r="D493">
        <v>91375</v>
      </c>
      <c r="E493">
        <v>2.36</v>
      </c>
      <c r="F493">
        <v>59480.058700000001</v>
      </c>
      <c r="G493">
        <v>59.48</v>
      </c>
      <c r="H493">
        <v>0.64</v>
      </c>
      <c r="I493">
        <v>4</v>
      </c>
      <c r="J493">
        <v>1709</v>
      </c>
      <c r="K493">
        <v>0.34478782400000002</v>
      </c>
      <c r="L493">
        <v>0.45100000000000001</v>
      </c>
      <c r="M493">
        <v>3</v>
      </c>
      <c r="N493">
        <v>0.30599999999999999</v>
      </c>
      <c r="O493">
        <v>2</v>
      </c>
      <c r="P493">
        <v>2</v>
      </c>
      <c r="S493" s="114" t="s">
        <v>944</v>
      </c>
    </row>
    <row r="494" spans="1:19" x14ac:dyDescent="0.2">
      <c r="A494" t="s">
        <v>2015</v>
      </c>
      <c r="B494">
        <v>9007550100</v>
      </c>
      <c r="C494" t="s">
        <v>2016</v>
      </c>
      <c r="D494">
        <v>91836</v>
      </c>
      <c r="E494">
        <v>2.5</v>
      </c>
      <c r="F494">
        <v>58082.186240000003</v>
      </c>
      <c r="G494">
        <v>58.082000000000001</v>
      </c>
      <c r="H494">
        <v>0.61799999999999999</v>
      </c>
      <c r="I494">
        <v>4</v>
      </c>
      <c r="J494">
        <v>1586</v>
      </c>
      <c r="K494">
        <v>0.327673616</v>
      </c>
      <c r="L494">
        <v>0.34100000000000003</v>
      </c>
      <c r="M494">
        <v>2</v>
      </c>
      <c r="N494">
        <v>0.40100000000000002</v>
      </c>
      <c r="O494">
        <v>3</v>
      </c>
      <c r="P494">
        <v>3</v>
      </c>
      <c r="S494" s="116" t="s">
        <v>944</v>
      </c>
    </row>
    <row r="495" spans="1:19" x14ac:dyDescent="0.2">
      <c r="A495" t="s">
        <v>2017</v>
      </c>
      <c r="B495">
        <v>9007550201</v>
      </c>
      <c r="C495" t="s">
        <v>2018</v>
      </c>
      <c r="D495">
        <v>113466</v>
      </c>
      <c r="E495">
        <v>2.86</v>
      </c>
      <c r="F495">
        <v>67093.852320000005</v>
      </c>
      <c r="G495">
        <v>67.093999999999994</v>
      </c>
      <c r="H495">
        <v>0.76700000000000002</v>
      </c>
      <c r="I495">
        <v>4</v>
      </c>
      <c r="J495">
        <v>1955</v>
      </c>
      <c r="K495">
        <v>0.34965945700000001</v>
      </c>
      <c r="L495">
        <v>0.47399999999999998</v>
      </c>
      <c r="M495">
        <v>3</v>
      </c>
      <c r="N495">
        <v>0.183</v>
      </c>
      <c r="O495">
        <v>1</v>
      </c>
      <c r="P495">
        <v>2</v>
      </c>
      <c r="S495" s="114" t="s">
        <v>944</v>
      </c>
    </row>
    <row r="496" spans="1:19" x14ac:dyDescent="0.2">
      <c r="A496" t="s">
        <v>2019</v>
      </c>
      <c r="B496">
        <v>9007550202</v>
      </c>
      <c r="C496" t="s">
        <v>2020</v>
      </c>
      <c r="D496">
        <v>89141</v>
      </c>
      <c r="E496">
        <v>2.61</v>
      </c>
      <c r="F496">
        <v>55176.893799999998</v>
      </c>
      <c r="G496">
        <v>55.177</v>
      </c>
      <c r="H496">
        <v>0.56699999999999995</v>
      </c>
      <c r="I496">
        <v>3</v>
      </c>
      <c r="J496">
        <v>1506</v>
      </c>
      <c r="K496">
        <v>0.32752840500000002</v>
      </c>
      <c r="L496">
        <v>0.33900000000000002</v>
      </c>
      <c r="M496">
        <v>2</v>
      </c>
      <c r="N496">
        <v>0.46800000000000003</v>
      </c>
      <c r="O496">
        <v>3</v>
      </c>
      <c r="P496">
        <v>3</v>
      </c>
      <c r="S496" s="116" t="s">
        <v>944</v>
      </c>
    </row>
    <row r="497" spans="1:19" x14ac:dyDescent="0.2">
      <c r="A497" t="s">
        <v>2021</v>
      </c>
      <c r="B497">
        <v>9007560100</v>
      </c>
      <c r="C497" t="s">
        <v>2022</v>
      </c>
      <c r="D497">
        <v>117009</v>
      </c>
      <c r="E497">
        <v>2.6</v>
      </c>
      <c r="F497">
        <v>72565.901299999998</v>
      </c>
      <c r="G497">
        <v>72.566000000000003</v>
      </c>
      <c r="H497">
        <v>0.83099999999999996</v>
      </c>
      <c r="I497">
        <v>5</v>
      </c>
      <c r="J497">
        <v>1522</v>
      </c>
      <c r="K497">
        <v>0.25168846099999997</v>
      </c>
      <c r="L497">
        <v>1.7000000000000001E-2</v>
      </c>
      <c r="M497">
        <v>1</v>
      </c>
      <c r="N497">
        <v>0.45100000000000001</v>
      </c>
      <c r="O497">
        <v>3</v>
      </c>
      <c r="P497">
        <v>2</v>
      </c>
      <c r="S497" s="114" t="s">
        <v>944</v>
      </c>
    </row>
    <row r="498" spans="1:19" x14ac:dyDescent="0.2">
      <c r="A498" t="s">
        <v>2023</v>
      </c>
      <c r="B498">
        <v>9007560200</v>
      </c>
      <c r="C498" t="s">
        <v>2024</v>
      </c>
      <c r="D498">
        <v>74602</v>
      </c>
      <c r="E498">
        <v>2.2599999999999998</v>
      </c>
      <c r="F498">
        <v>49624.51223</v>
      </c>
      <c r="G498">
        <v>49.625</v>
      </c>
      <c r="H498">
        <v>0.46400000000000002</v>
      </c>
      <c r="I498">
        <v>3</v>
      </c>
      <c r="J498">
        <v>1325</v>
      </c>
      <c r="K498">
        <v>0.32040617199999999</v>
      </c>
      <c r="L498">
        <v>0.29099999999999998</v>
      </c>
      <c r="M498">
        <v>2</v>
      </c>
      <c r="N498">
        <v>0.628</v>
      </c>
      <c r="O498">
        <v>4</v>
      </c>
      <c r="P498">
        <v>4</v>
      </c>
      <c r="S498" s="116" t="s">
        <v>944</v>
      </c>
    </row>
    <row r="499" spans="1:19" x14ac:dyDescent="0.2">
      <c r="A499" t="s">
        <v>2025</v>
      </c>
      <c r="B499">
        <v>9007570100</v>
      </c>
      <c r="C499" t="s">
        <v>2026</v>
      </c>
      <c r="D499">
        <v>93945</v>
      </c>
      <c r="E499">
        <v>2.15</v>
      </c>
      <c r="F499">
        <v>64069.95822</v>
      </c>
      <c r="G499">
        <v>64.069999999999993</v>
      </c>
      <c r="H499">
        <v>0.72</v>
      </c>
      <c r="I499">
        <v>4</v>
      </c>
      <c r="J499">
        <v>1594</v>
      </c>
      <c r="K499">
        <v>0.298548657</v>
      </c>
      <c r="L499">
        <v>0.16300000000000001</v>
      </c>
      <c r="M499">
        <v>1</v>
      </c>
      <c r="N499">
        <v>0.38700000000000001</v>
      </c>
      <c r="O499">
        <v>2</v>
      </c>
      <c r="P499">
        <v>2</v>
      </c>
      <c r="S499" s="114" t="s">
        <v>944</v>
      </c>
    </row>
    <row r="500" spans="1:19" x14ac:dyDescent="0.2">
      <c r="A500" t="s">
        <v>2027</v>
      </c>
      <c r="B500">
        <v>9007570200</v>
      </c>
      <c r="C500" t="s">
        <v>2028</v>
      </c>
      <c r="D500">
        <v>109429</v>
      </c>
      <c r="E500">
        <v>2.56</v>
      </c>
      <c r="F500">
        <v>68393.125</v>
      </c>
      <c r="G500">
        <v>68.393000000000001</v>
      </c>
      <c r="H500">
        <v>0.78100000000000003</v>
      </c>
      <c r="I500">
        <v>4</v>
      </c>
      <c r="J500">
        <v>1826</v>
      </c>
      <c r="K500">
        <v>0.32038307900000002</v>
      </c>
      <c r="L500">
        <v>0.28999999999999998</v>
      </c>
      <c r="M500">
        <v>2</v>
      </c>
      <c r="N500">
        <v>0.245</v>
      </c>
      <c r="O500">
        <v>2</v>
      </c>
      <c r="P500">
        <v>2</v>
      </c>
      <c r="S500" s="116" t="s">
        <v>944</v>
      </c>
    </row>
    <row r="501" spans="1:19" x14ac:dyDescent="0.2">
      <c r="A501" t="s">
        <v>2029</v>
      </c>
      <c r="B501">
        <v>9007570300</v>
      </c>
      <c r="C501" t="s">
        <v>2030</v>
      </c>
      <c r="D501">
        <v>68125</v>
      </c>
      <c r="E501">
        <v>2.2400000000000002</v>
      </c>
      <c r="F501">
        <v>45517.930260000001</v>
      </c>
      <c r="G501">
        <v>45.518000000000001</v>
      </c>
      <c r="H501">
        <v>0.374</v>
      </c>
      <c r="I501">
        <v>2</v>
      </c>
      <c r="J501">
        <v>1408</v>
      </c>
      <c r="K501">
        <v>0.37119438199999999</v>
      </c>
      <c r="L501">
        <v>0.59899999999999998</v>
      </c>
      <c r="M501">
        <v>3</v>
      </c>
      <c r="N501">
        <v>0.56100000000000005</v>
      </c>
      <c r="O501">
        <v>3</v>
      </c>
      <c r="P501">
        <v>4</v>
      </c>
      <c r="S501" s="114" t="s">
        <v>944</v>
      </c>
    </row>
    <row r="502" spans="1:19" x14ac:dyDescent="0.2">
      <c r="A502" t="s">
        <v>2031</v>
      </c>
      <c r="B502">
        <v>9007580100</v>
      </c>
      <c r="C502" t="s">
        <v>2032</v>
      </c>
      <c r="D502">
        <v>96111</v>
      </c>
      <c r="E502">
        <v>2.48</v>
      </c>
      <c r="F502">
        <v>61030.546029999998</v>
      </c>
      <c r="G502">
        <v>61.030999999999999</v>
      </c>
      <c r="H502">
        <v>0.67100000000000004</v>
      </c>
      <c r="I502">
        <v>4</v>
      </c>
      <c r="J502">
        <v>1576</v>
      </c>
      <c r="K502">
        <v>0.30987761400000002</v>
      </c>
      <c r="L502">
        <v>0.22500000000000001</v>
      </c>
      <c r="M502">
        <v>2</v>
      </c>
      <c r="N502">
        <v>0.40699999999999997</v>
      </c>
      <c r="O502">
        <v>3</v>
      </c>
      <c r="P502">
        <v>3</v>
      </c>
      <c r="S502" s="116" t="s">
        <v>944</v>
      </c>
    </row>
    <row r="503" spans="1:19" x14ac:dyDescent="0.2">
      <c r="A503" t="s">
        <v>2033</v>
      </c>
      <c r="B503">
        <v>9007585100</v>
      </c>
      <c r="C503" t="s">
        <v>2034</v>
      </c>
      <c r="D503">
        <v>119905</v>
      </c>
      <c r="E503">
        <v>2.58</v>
      </c>
      <c r="F503">
        <v>74649.592350000006</v>
      </c>
      <c r="G503">
        <v>74.650000000000006</v>
      </c>
      <c r="H503">
        <v>0.84799999999999998</v>
      </c>
      <c r="I503">
        <v>5</v>
      </c>
      <c r="J503">
        <v>1897</v>
      </c>
      <c r="K503">
        <v>0.30494473300000002</v>
      </c>
      <c r="L503">
        <v>0.2</v>
      </c>
      <c r="M503">
        <v>1</v>
      </c>
      <c r="N503">
        <v>0.21199999999999999</v>
      </c>
      <c r="O503">
        <v>2</v>
      </c>
      <c r="P503">
        <v>2</v>
      </c>
      <c r="S503" s="114" t="s">
        <v>944</v>
      </c>
    </row>
    <row r="504" spans="1:19" x14ac:dyDescent="0.2">
      <c r="A504" t="s">
        <v>2035</v>
      </c>
      <c r="B504">
        <v>9007590100</v>
      </c>
      <c r="C504" t="s">
        <v>2036</v>
      </c>
      <c r="D504">
        <v>110497</v>
      </c>
      <c r="E504">
        <v>2.61</v>
      </c>
      <c r="F504">
        <v>68395.925940000001</v>
      </c>
      <c r="G504">
        <v>68.396000000000001</v>
      </c>
      <c r="H504">
        <v>0.78200000000000003</v>
      </c>
      <c r="I504">
        <v>4</v>
      </c>
      <c r="J504">
        <v>1867</v>
      </c>
      <c r="K504">
        <v>0.32756337000000002</v>
      </c>
      <c r="L504">
        <v>0.34</v>
      </c>
      <c r="M504">
        <v>2</v>
      </c>
      <c r="N504">
        <v>0.223</v>
      </c>
      <c r="O504">
        <v>2</v>
      </c>
      <c r="P504">
        <v>2</v>
      </c>
      <c r="S504" s="116" t="s">
        <v>944</v>
      </c>
    </row>
    <row r="505" spans="1:19" x14ac:dyDescent="0.2">
      <c r="A505" t="s">
        <v>2037</v>
      </c>
      <c r="B505">
        <v>9007595101</v>
      </c>
      <c r="C505" t="s">
        <v>2038</v>
      </c>
      <c r="D505">
        <v>105441</v>
      </c>
      <c r="E505">
        <v>2.67</v>
      </c>
      <c r="F505">
        <v>64528.844060000003</v>
      </c>
      <c r="G505">
        <v>64.528999999999996</v>
      </c>
      <c r="H505">
        <v>0.72699999999999998</v>
      </c>
      <c r="I505">
        <v>4</v>
      </c>
      <c r="J505">
        <v>1838</v>
      </c>
      <c r="K505">
        <v>0.34180063700000002</v>
      </c>
      <c r="L505">
        <v>0.43</v>
      </c>
      <c r="M505">
        <v>3</v>
      </c>
      <c r="N505">
        <v>0.23899999999999999</v>
      </c>
      <c r="O505">
        <v>2</v>
      </c>
      <c r="P505">
        <v>2</v>
      </c>
      <c r="S505" s="114" t="s">
        <v>944</v>
      </c>
    </row>
    <row r="506" spans="1:19" x14ac:dyDescent="0.2">
      <c r="A506" t="s">
        <v>2039</v>
      </c>
      <c r="B506">
        <v>9007595102</v>
      </c>
      <c r="C506" t="s">
        <v>2040</v>
      </c>
      <c r="D506">
        <v>93125</v>
      </c>
      <c r="E506">
        <v>2.2799999999999998</v>
      </c>
      <c r="F506">
        <v>61673.537880000003</v>
      </c>
      <c r="G506">
        <v>61.673999999999999</v>
      </c>
      <c r="H506">
        <v>0.68700000000000006</v>
      </c>
      <c r="I506">
        <v>4</v>
      </c>
      <c r="J506">
        <v>1552</v>
      </c>
      <c r="K506">
        <v>0.30197716299999999</v>
      </c>
      <c r="L506">
        <v>0.182</v>
      </c>
      <c r="M506">
        <v>1</v>
      </c>
      <c r="N506">
        <v>0.42499999999999999</v>
      </c>
      <c r="O506">
        <v>3</v>
      </c>
      <c r="P506">
        <v>3</v>
      </c>
      <c r="S506" s="116" t="s">
        <v>944</v>
      </c>
    </row>
    <row r="507" spans="1:19" x14ac:dyDescent="0.2">
      <c r="A507" t="s">
        <v>2041</v>
      </c>
      <c r="B507">
        <v>9007600100</v>
      </c>
      <c r="C507" t="s">
        <v>2042</v>
      </c>
      <c r="D507">
        <v>88167</v>
      </c>
      <c r="E507">
        <v>2.2999999999999998</v>
      </c>
      <c r="F507">
        <v>58135.5982</v>
      </c>
      <c r="G507">
        <v>58.136000000000003</v>
      </c>
      <c r="H507">
        <v>0.62</v>
      </c>
      <c r="I507">
        <v>4</v>
      </c>
      <c r="J507">
        <v>1657</v>
      </c>
      <c r="K507">
        <v>0.34202795899999999</v>
      </c>
      <c r="L507">
        <v>0.433</v>
      </c>
      <c r="M507">
        <v>3</v>
      </c>
      <c r="N507">
        <v>0.34200000000000003</v>
      </c>
      <c r="O507">
        <v>2</v>
      </c>
      <c r="P507">
        <v>2</v>
      </c>
      <c r="S507" s="114" t="s">
        <v>944</v>
      </c>
    </row>
    <row r="508" spans="1:19" x14ac:dyDescent="0.2">
      <c r="A508" t="s">
        <v>2043</v>
      </c>
      <c r="B508">
        <v>9007610100</v>
      </c>
      <c r="C508" t="s">
        <v>2044</v>
      </c>
      <c r="D508">
        <v>75938</v>
      </c>
      <c r="E508">
        <v>2.08</v>
      </c>
      <c r="F508">
        <v>52653.52938</v>
      </c>
      <c r="G508">
        <v>52.654000000000003</v>
      </c>
      <c r="H508">
        <v>0.51300000000000001</v>
      </c>
      <c r="I508">
        <v>3</v>
      </c>
      <c r="J508">
        <v>1408</v>
      </c>
      <c r="K508">
        <v>0.32089016999999997</v>
      </c>
      <c r="L508">
        <v>0.29899999999999999</v>
      </c>
      <c r="M508">
        <v>2</v>
      </c>
      <c r="N508">
        <v>0.56100000000000005</v>
      </c>
      <c r="O508">
        <v>3</v>
      </c>
      <c r="P508">
        <v>3</v>
      </c>
      <c r="S508" s="116" t="s">
        <v>944</v>
      </c>
    </row>
    <row r="509" spans="1:19" x14ac:dyDescent="0.2">
      <c r="A509" t="s">
        <v>2045</v>
      </c>
      <c r="B509">
        <v>9007610200</v>
      </c>
      <c r="C509" t="s">
        <v>2046</v>
      </c>
      <c r="D509">
        <v>64406</v>
      </c>
      <c r="E509">
        <v>2.14</v>
      </c>
      <c r="F509">
        <v>44027.035219999998</v>
      </c>
      <c r="G509">
        <v>44.027000000000001</v>
      </c>
      <c r="H509">
        <v>0.35199999999999998</v>
      </c>
      <c r="I509">
        <v>2</v>
      </c>
      <c r="J509">
        <v>1319</v>
      </c>
      <c r="K509">
        <v>0.35950637899999999</v>
      </c>
      <c r="L509">
        <v>0.53400000000000003</v>
      </c>
      <c r="M509">
        <v>3</v>
      </c>
      <c r="N509">
        <v>0.63800000000000001</v>
      </c>
      <c r="O509">
        <v>4</v>
      </c>
      <c r="P509">
        <v>4</v>
      </c>
      <c r="S509" s="114" t="s">
        <v>944</v>
      </c>
    </row>
    <row r="510" spans="1:19" x14ac:dyDescent="0.2">
      <c r="A510" t="s">
        <v>2047</v>
      </c>
      <c r="B510">
        <v>9007610300</v>
      </c>
      <c r="C510" t="s">
        <v>2048</v>
      </c>
      <c r="D510">
        <v>89545</v>
      </c>
      <c r="E510">
        <v>2.65</v>
      </c>
      <c r="F510">
        <v>55007.056239999998</v>
      </c>
      <c r="G510">
        <v>55.006999999999998</v>
      </c>
      <c r="H510">
        <v>0.56200000000000006</v>
      </c>
      <c r="I510">
        <v>3</v>
      </c>
      <c r="J510">
        <v>1634</v>
      </c>
      <c r="K510">
        <v>0.35646335800000001</v>
      </c>
      <c r="L510">
        <v>0.51700000000000002</v>
      </c>
      <c r="M510">
        <v>3</v>
      </c>
      <c r="N510">
        <v>0.35899999999999999</v>
      </c>
      <c r="O510">
        <v>2</v>
      </c>
      <c r="P510">
        <v>3</v>
      </c>
      <c r="S510" s="116" t="s">
        <v>944</v>
      </c>
    </row>
    <row r="511" spans="1:19" x14ac:dyDescent="0.2">
      <c r="A511" t="s">
        <v>2049</v>
      </c>
      <c r="B511">
        <v>9007610400</v>
      </c>
      <c r="C511" t="s">
        <v>2050</v>
      </c>
      <c r="D511">
        <v>95057</v>
      </c>
      <c r="E511">
        <v>2.63</v>
      </c>
      <c r="F511">
        <v>58614.657220000001</v>
      </c>
      <c r="G511">
        <v>58.615000000000002</v>
      </c>
      <c r="H511">
        <v>0.626</v>
      </c>
      <c r="I511">
        <v>4</v>
      </c>
      <c r="J511">
        <v>1694</v>
      </c>
      <c r="K511">
        <v>0.34680745299999999</v>
      </c>
      <c r="L511">
        <v>0.46200000000000002</v>
      </c>
      <c r="M511">
        <v>3</v>
      </c>
      <c r="N511">
        <v>0.316</v>
      </c>
      <c r="O511">
        <v>2</v>
      </c>
      <c r="P511">
        <v>2</v>
      </c>
      <c r="S511" s="114" t="s">
        <v>944</v>
      </c>
    </row>
    <row r="512" spans="1:19" x14ac:dyDescent="0.2">
      <c r="A512" t="s">
        <v>2051</v>
      </c>
      <c r="B512">
        <v>9007620100</v>
      </c>
      <c r="C512" t="s">
        <v>2052</v>
      </c>
      <c r="D512">
        <v>85960</v>
      </c>
      <c r="E512">
        <v>2.36</v>
      </c>
      <c r="F512">
        <v>55955.193939999997</v>
      </c>
      <c r="G512">
        <v>55.954999999999998</v>
      </c>
      <c r="H512">
        <v>0.57899999999999996</v>
      </c>
      <c r="I512">
        <v>3</v>
      </c>
      <c r="J512">
        <v>1509</v>
      </c>
      <c r="K512">
        <v>0.32361607100000001</v>
      </c>
      <c r="L512">
        <v>0.32400000000000001</v>
      </c>
      <c r="M512">
        <v>2</v>
      </c>
      <c r="N512">
        <v>0.46300000000000002</v>
      </c>
      <c r="O512">
        <v>3</v>
      </c>
      <c r="P512">
        <v>3</v>
      </c>
      <c r="S512" s="116" t="s">
        <v>944</v>
      </c>
    </row>
    <row r="513" spans="1:19" x14ac:dyDescent="0.2">
      <c r="A513" t="s">
        <v>2053</v>
      </c>
      <c r="B513">
        <v>9007630100</v>
      </c>
      <c r="C513" t="s">
        <v>2054</v>
      </c>
      <c r="D513">
        <v>89261</v>
      </c>
      <c r="E513">
        <v>2.13</v>
      </c>
      <c r="F513">
        <v>61160.629430000001</v>
      </c>
      <c r="G513">
        <v>61.161000000000001</v>
      </c>
      <c r="H513">
        <v>0.67500000000000004</v>
      </c>
      <c r="I513">
        <v>4</v>
      </c>
      <c r="J513">
        <v>1605</v>
      </c>
      <c r="K513">
        <v>0.314908466</v>
      </c>
      <c r="L513">
        <v>0.254</v>
      </c>
      <c r="M513">
        <v>2</v>
      </c>
      <c r="N513">
        <v>0.379</v>
      </c>
      <c r="O513">
        <v>2</v>
      </c>
      <c r="P513">
        <v>2</v>
      </c>
      <c r="S513" s="114" t="s">
        <v>944</v>
      </c>
    </row>
    <row r="514" spans="1:19" x14ac:dyDescent="0.2">
      <c r="A514" t="s">
        <v>2055</v>
      </c>
      <c r="B514">
        <v>9007640100</v>
      </c>
      <c r="C514" t="s">
        <v>2056</v>
      </c>
      <c r="D514">
        <v>110543</v>
      </c>
      <c r="E514">
        <v>2.77</v>
      </c>
      <c r="F514">
        <v>66418.851569999999</v>
      </c>
      <c r="G514">
        <v>66.418999999999997</v>
      </c>
      <c r="H514">
        <v>0.75800000000000001</v>
      </c>
      <c r="I514">
        <v>4</v>
      </c>
      <c r="J514">
        <v>1948</v>
      </c>
      <c r="K514">
        <v>0.35194827099999998</v>
      </c>
      <c r="L514">
        <v>0.48899999999999999</v>
      </c>
      <c r="M514">
        <v>3</v>
      </c>
      <c r="N514">
        <v>0.187</v>
      </c>
      <c r="O514">
        <v>1</v>
      </c>
      <c r="P514">
        <v>2</v>
      </c>
      <c r="S514" s="116" t="s">
        <v>944</v>
      </c>
    </row>
    <row r="515" spans="1:19" x14ac:dyDescent="0.2">
      <c r="A515" t="s">
        <v>2057</v>
      </c>
      <c r="B515">
        <v>9007670100</v>
      </c>
      <c r="C515" t="s">
        <v>2058</v>
      </c>
      <c r="D515">
        <v>99779</v>
      </c>
      <c r="E515">
        <v>2.44</v>
      </c>
      <c r="F515">
        <v>63876.959210000001</v>
      </c>
      <c r="G515">
        <v>63.877000000000002</v>
      </c>
      <c r="H515">
        <v>0.71499999999999997</v>
      </c>
      <c r="I515">
        <v>4</v>
      </c>
      <c r="J515">
        <v>1823</v>
      </c>
      <c r="K515">
        <v>0.34247090499999999</v>
      </c>
      <c r="L515">
        <v>0.435</v>
      </c>
      <c r="M515">
        <v>3</v>
      </c>
      <c r="N515">
        <v>0.247</v>
      </c>
      <c r="O515">
        <v>2</v>
      </c>
      <c r="P515">
        <v>2</v>
      </c>
      <c r="S515" s="114" t="s">
        <v>944</v>
      </c>
    </row>
    <row r="516" spans="1:19" x14ac:dyDescent="0.2">
      <c r="A516" t="s">
        <v>2059</v>
      </c>
      <c r="B516">
        <v>9007670200</v>
      </c>
      <c r="C516" t="s">
        <v>2060</v>
      </c>
      <c r="D516">
        <v>74202</v>
      </c>
      <c r="E516">
        <v>2.2000000000000002</v>
      </c>
      <c r="F516">
        <v>50026.978190000002</v>
      </c>
      <c r="G516">
        <v>50.027000000000001</v>
      </c>
      <c r="H516">
        <v>0.47099999999999997</v>
      </c>
      <c r="I516">
        <v>3</v>
      </c>
      <c r="J516">
        <v>1498</v>
      </c>
      <c r="K516">
        <v>0.359326121</v>
      </c>
      <c r="L516">
        <v>0.53100000000000003</v>
      </c>
      <c r="M516">
        <v>3</v>
      </c>
      <c r="N516">
        <v>0.47099999999999997</v>
      </c>
      <c r="O516">
        <v>3</v>
      </c>
      <c r="P516">
        <v>3</v>
      </c>
      <c r="S516" s="116" t="s">
        <v>944</v>
      </c>
    </row>
    <row r="517" spans="1:19" x14ac:dyDescent="0.2">
      <c r="A517" t="s">
        <v>2061</v>
      </c>
      <c r="B517">
        <v>9007680100</v>
      </c>
      <c r="C517" t="s">
        <v>2062</v>
      </c>
      <c r="D517">
        <v>79707</v>
      </c>
      <c r="E517">
        <v>2.15</v>
      </c>
      <c r="F517">
        <v>54359.722820000003</v>
      </c>
      <c r="G517">
        <v>54.36</v>
      </c>
      <c r="H517">
        <v>0.54700000000000004</v>
      </c>
      <c r="I517">
        <v>3</v>
      </c>
      <c r="J517">
        <v>1654</v>
      </c>
      <c r="K517">
        <v>0.36512327500000002</v>
      </c>
      <c r="L517">
        <v>0.56499999999999995</v>
      </c>
      <c r="M517">
        <v>3</v>
      </c>
      <c r="N517">
        <v>0.34399999999999997</v>
      </c>
      <c r="O517">
        <v>2</v>
      </c>
      <c r="P517">
        <v>3</v>
      </c>
      <c r="S517" s="114" t="s">
        <v>944</v>
      </c>
    </row>
    <row r="518" spans="1:19" x14ac:dyDescent="0.2">
      <c r="A518" t="s">
        <v>2063</v>
      </c>
      <c r="B518">
        <v>9007680200</v>
      </c>
      <c r="C518" t="s">
        <v>2064</v>
      </c>
      <c r="D518">
        <v>82790</v>
      </c>
      <c r="E518">
        <v>2.4300000000000002</v>
      </c>
      <c r="F518">
        <v>53109.809759999996</v>
      </c>
      <c r="G518">
        <v>53.11</v>
      </c>
      <c r="H518">
        <v>0.52400000000000002</v>
      </c>
      <c r="I518">
        <v>3</v>
      </c>
      <c r="J518">
        <v>1302</v>
      </c>
      <c r="K518">
        <v>0.29418294</v>
      </c>
      <c r="L518">
        <v>0.13900000000000001</v>
      </c>
      <c r="M518">
        <v>1</v>
      </c>
      <c r="N518">
        <v>0.65600000000000003</v>
      </c>
      <c r="O518">
        <v>4</v>
      </c>
      <c r="P518">
        <v>4</v>
      </c>
      <c r="S518" s="116" t="s">
        <v>944</v>
      </c>
    </row>
    <row r="519" spans="1:19" x14ac:dyDescent="0.2">
      <c r="A519" t="s">
        <v>2065</v>
      </c>
      <c r="B519">
        <v>9009120100</v>
      </c>
      <c r="C519" t="s">
        <v>2066</v>
      </c>
      <c r="D519">
        <v>65927</v>
      </c>
      <c r="E519">
        <v>2.38</v>
      </c>
      <c r="F519">
        <v>42734.126880000003</v>
      </c>
      <c r="G519">
        <v>42.734000000000002</v>
      </c>
      <c r="H519">
        <v>0.33500000000000002</v>
      </c>
      <c r="I519">
        <v>2</v>
      </c>
      <c r="J519">
        <v>1319</v>
      </c>
      <c r="K519">
        <v>0.370383138</v>
      </c>
      <c r="L519">
        <v>0.59299999999999997</v>
      </c>
      <c r="M519">
        <v>3</v>
      </c>
      <c r="N519">
        <v>0.63800000000000001</v>
      </c>
      <c r="O519">
        <v>4</v>
      </c>
      <c r="P519">
        <v>4</v>
      </c>
      <c r="S519" s="114" t="s">
        <v>944</v>
      </c>
    </row>
    <row r="520" spans="1:19" x14ac:dyDescent="0.2">
      <c r="A520" t="s">
        <v>2067</v>
      </c>
      <c r="B520">
        <v>9009120200</v>
      </c>
      <c r="C520" t="s">
        <v>2068</v>
      </c>
      <c r="D520">
        <v>44915</v>
      </c>
      <c r="E520">
        <v>2.38</v>
      </c>
      <c r="F520">
        <v>29114.070240000001</v>
      </c>
      <c r="G520">
        <v>29.114000000000001</v>
      </c>
      <c r="H520">
        <v>0.154</v>
      </c>
      <c r="I520">
        <v>1</v>
      </c>
      <c r="J520">
        <v>1226</v>
      </c>
      <c r="K520">
        <v>0.50532268000000002</v>
      </c>
      <c r="L520">
        <v>0.85199999999999998</v>
      </c>
      <c r="M520">
        <v>5</v>
      </c>
      <c r="N520">
        <v>0.74299999999999999</v>
      </c>
      <c r="O520">
        <v>4</v>
      </c>
      <c r="P520">
        <v>5</v>
      </c>
      <c r="S520" s="116" t="s">
        <v>936</v>
      </c>
    </row>
    <row r="521" spans="1:19" x14ac:dyDescent="0.2">
      <c r="A521" t="s">
        <v>2069</v>
      </c>
      <c r="B521">
        <v>9009125100</v>
      </c>
      <c r="C521" t="s">
        <v>2070</v>
      </c>
      <c r="D521">
        <v>90150</v>
      </c>
      <c r="E521">
        <v>2.69</v>
      </c>
      <c r="F521">
        <v>54965.425089999997</v>
      </c>
      <c r="G521">
        <v>54.965000000000003</v>
      </c>
      <c r="H521">
        <v>0.56000000000000005</v>
      </c>
      <c r="I521">
        <v>3</v>
      </c>
      <c r="J521">
        <v>1651</v>
      </c>
      <c r="K521">
        <v>0.36044477000000003</v>
      </c>
      <c r="L521">
        <v>0.54</v>
      </c>
      <c r="M521">
        <v>3</v>
      </c>
      <c r="N521">
        <v>0.34599999999999997</v>
      </c>
      <c r="O521">
        <v>2</v>
      </c>
      <c r="P521">
        <v>3</v>
      </c>
      <c r="S521" s="114" t="s">
        <v>944</v>
      </c>
    </row>
    <row r="522" spans="1:19" x14ac:dyDescent="0.2">
      <c r="A522" t="s">
        <v>2071</v>
      </c>
      <c r="B522">
        <v>9009125200</v>
      </c>
      <c r="C522" t="s">
        <v>2072</v>
      </c>
      <c r="D522">
        <v>46184</v>
      </c>
      <c r="E522">
        <v>2.2599999999999998</v>
      </c>
      <c r="F522">
        <v>30721.13982</v>
      </c>
      <c r="G522">
        <v>30.721</v>
      </c>
      <c r="H522">
        <v>0.17899999999999999</v>
      </c>
      <c r="I522">
        <v>1</v>
      </c>
      <c r="J522">
        <v>1164</v>
      </c>
      <c r="K522">
        <v>0.45467063000000002</v>
      </c>
      <c r="L522">
        <v>0.79</v>
      </c>
      <c r="M522">
        <v>4</v>
      </c>
      <c r="N522">
        <v>0.81299999999999994</v>
      </c>
      <c r="O522">
        <v>5</v>
      </c>
      <c r="P522">
        <v>5</v>
      </c>
      <c r="S522" s="116" t="s">
        <v>936</v>
      </c>
    </row>
    <row r="523" spans="1:19" x14ac:dyDescent="0.2">
      <c r="A523" t="s">
        <v>2073</v>
      </c>
      <c r="B523">
        <v>9009125300</v>
      </c>
      <c r="C523" t="s">
        <v>2074</v>
      </c>
      <c r="D523">
        <v>52586</v>
      </c>
      <c r="E523">
        <v>2.38</v>
      </c>
      <c r="F523">
        <v>34086.441010000002</v>
      </c>
      <c r="G523">
        <v>34.085999999999999</v>
      </c>
      <c r="H523">
        <v>0.223</v>
      </c>
      <c r="I523">
        <v>2</v>
      </c>
      <c r="J523">
        <v>1151</v>
      </c>
      <c r="K523">
        <v>0.40520510799999998</v>
      </c>
      <c r="L523">
        <v>0.68899999999999995</v>
      </c>
      <c r="M523">
        <v>4</v>
      </c>
      <c r="N523">
        <v>0.82</v>
      </c>
      <c r="O523">
        <v>5</v>
      </c>
      <c r="P523">
        <v>5</v>
      </c>
      <c r="S523" s="114" t="s">
        <v>944</v>
      </c>
    </row>
    <row r="524" spans="1:19" x14ac:dyDescent="0.2">
      <c r="A524" t="s">
        <v>2075</v>
      </c>
      <c r="B524">
        <v>9009125400</v>
      </c>
      <c r="C524" t="s">
        <v>2076</v>
      </c>
      <c r="D524">
        <v>39196</v>
      </c>
      <c r="E524">
        <v>2.35</v>
      </c>
      <c r="F524">
        <v>25568.651150000002</v>
      </c>
      <c r="G524">
        <v>25.568999999999999</v>
      </c>
      <c r="H524">
        <v>0.11700000000000001</v>
      </c>
      <c r="I524">
        <v>1</v>
      </c>
      <c r="J524">
        <v>1097</v>
      </c>
      <c r="K524">
        <v>0.514849216</v>
      </c>
      <c r="L524">
        <v>0.86099999999999999</v>
      </c>
      <c r="M524">
        <v>5</v>
      </c>
      <c r="N524">
        <v>0.879</v>
      </c>
      <c r="O524">
        <v>5</v>
      </c>
      <c r="P524">
        <v>5</v>
      </c>
      <c r="S524" s="116" t="s">
        <v>936</v>
      </c>
    </row>
    <row r="525" spans="1:19" x14ac:dyDescent="0.2">
      <c r="A525" t="s">
        <v>2077</v>
      </c>
      <c r="B525">
        <v>9009130101</v>
      </c>
      <c r="C525" t="s">
        <v>2078</v>
      </c>
      <c r="D525">
        <v>67262</v>
      </c>
      <c r="E525">
        <v>2.6</v>
      </c>
      <c r="F525">
        <v>41714.121590000002</v>
      </c>
      <c r="G525">
        <v>41.713999999999999</v>
      </c>
      <c r="H525">
        <v>0.314</v>
      </c>
      <c r="I525">
        <v>2</v>
      </c>
      <c r="J525">
        <v>1245</v>
      </c>
      <c r="K525">
        <v>0.35815209399999998</v>
      </c>
      <c r="L525">
        <v>0.52500000000000002</v>
      </c>
      <c r="M525">
        <v>3</v>
      </c>
      <c r="N525">
        <v>0.71799999999999997</v>
      </c>
      <c r="O525">
        <v>4</v>
      </c>
      <c r="P525">
        <v>4</v>
      </c>
      <c r="S525" s="114" t="s">
        <v>944</v>
      </c>
    </row>
    <row r="526" spans="1:19" x14ac:dyDescent="0.2">
      <c r="A526" t="s">
        <v>2079</v>
      </c>
      <c r="B526">
        <v>9009130102</v>
      </c>
      <c r="C526" t="s">
        <v>2080</v>
      </c>
      <c r="D526">
        <v>71734</v>
      </c>
      <c r="E526">
        <v>2.54</v>
      </c>
      <c r="F526">
        <v>45009.914729999997</v>
      </c>
      <c r="G526">
        <v>45.01</v>
      </c>
      <c r="H526">
        <v>0.36899999999999999</v>
      </c>
      <c r="I526">
        <v>2</v>
      </c>
      <c r="J526">
        <v>1409</v>
      </c>
      <c r="K526">
        <v>0.37565056699999999</v>
      </c>
      <c r="L526">
        <v>0.61599999999999999</v>
      </c>
      <c r="M526">
        <v>4</v>
      </c>
      <c r="N526">
        <v>0.55600000000000005</v>
      </c>
      <c r="O526">
        <v>3</v>
      </c>
      <c r="P526">
        <v>4</v>
      </c>
      <c r="S526" s="116" t="s">
        <v>944</v>
      </c>
    </row>
    <row r="527" spans="1:19" x14ac:dyDescent="0.2">
      <c r="A527" t="s">
        <v>2081</v>
      </c>
      <c r="B527">
        <v>9009130200</v>
      </c>
      <c r="C527" t="s">
        <v>2082</v>
      </c>
      <c r="D527">
        <v>84340</v>
      </c>
      <c r="E527">
        <v>2.69</v>
      </c>
      <c r="F527">
        <v>51423.005570000001</v>
      </c>
      <c r="G527">
        <v>51.423000000000002</v>
      </c>
      <c r="H527">
        <v>0.48899999999999999</v>
      </c>
      <c r="I527">
        <v>3</v>
      </c>
      <c r="J527">
        <v>1665</v>
      </c>
      <c r="K527">
        <v>0.38854205000000003</v>
      </c>
      <c r="L527">
        <v>0.65600000000000003</v>
      </c>
      <c r="M527">
        <v>4</v>
      </c>
      <c r="N527">
        <v>0.33100000000000002</v>
      </c>
      <c r="O527">
        <v>2</v>
      </c>
      <c r="P527">
        <v>3</v>
      </c>
      <c r="S527" s="114" t="s">
        <v>944</v>
      </c>
    </row>
    <row r="528" spans="1:19" x14ac:dyDescent="0.2">
      <c r="A528" t="s">
        <v>2083</v>
      </c>
      <c r="B528">
        <v>9009140100</v>
      </c>
      <c r="C528" t="s">
        <v>2084</v>
      </c>
      <c r="D528">
        <v>75881</v>
      </c>
      <c r="E528">
        <v>1.44</v>
      </c>
      <c r="F528">
        <v>63234.166669999999</v>
      </c>
      <c r="G528">
        <v>63.234000000000002</v>
      </c>
      <c r="H528">
        <v>0.71199999999999997</v>
      </c>
      <c r="I528">
        <v>4</v>
      </c>
      <c r="J528">
        <v>1690</v>
      </c>
      <c r="K528">
        <v>0.32071269499999999</v>
      </c>
      <c r="L528">
        <v>0.29799999999999999</v>
      </c>
      <c r="M528">
        <v>2</v>
      </c>
      <c r="N528">
        <v>0.318</v>
      </c>
      <c r="O528">
        <v>2</v>
      </c>
      <c r="P528">
        <v>2</v>
      </c>
      <c r="S528" s="116" t="s">
        <v>944</v>
      </c>
    </row>
    <row r="529" spans="1:19" x14ac:dyDescent="0.2">
      <c r="A529" t="s">
        <v>2085</v>
      </c>
      <c r="B529">
        <v>9009140200</v>
      </c>
      <c r="C529" t="s">
        <v>2086</v>
      </c>
      <c r="D529">
        <v>15000</v>
      </c>
      <c r="E529">
        <v>1.4</v>
      </c>
      <c r="F529">
        <v>12677.313819999999</v>
      </c>
      <c r="G529">
        <v>12.677</v>
      </c>
      <c r="H529">
        <v>4.0000000000000001E-3</v>
      </c>
      <c r="I529">
        <v>1</v>
      </c>
      <c r="J529">
        <v>440</v>
      </c>
      <c r="K529">
        <v>0.41649201699999999</v>
      </c>
      <c r="L529">
        <v>0.71399999999999997</v>
      </c>
      <c r="M529">
        <v>4</v>
      </c>
      <c r="N529">
        <v>0.999</v>
      </c>
      <c r="O529">
        <v>5</v>
      </c>
      <c r="P529">
        <v>5</v>
      </c>
      <c r="S529" s="114" t="s">
        <v>936</v>
      </c>
    </row>
    <row r="530" spans="1:19" x14ac:dyDescent="0.2">
      <c r="A530" t="s">
        <v>2087</v>
      </c>
      <c r="B530">
        <v>9009140300</v>
      </c>
      <c r="C530" t="s">
        <v>2088</v>
      </c>
      <c r="D530">
        <v>33942</v>
      </c>
      <c r="E530">
        <v>3.38</v>
      </c>
      <c r="F530">
        <v>18462.01413</v>
      </c>
      <c r="G530">
        <v>18.462</v>
      </c>
      <c r="H530">
        <v>4.2999999999999997E-2</v>
      </c>
      <c r="I530">
        <v>1</v>
      </c>
      <c r="J530">
        <v>1146</v>
      </c>
      <c r="K530">
        <v>0.74488080800000001</v>
      </c>
      <c r="L530">
        <v>0.97499999999999998</v>
      </c>
      <c r="M530">
        <v>5</v>
      </c>
      <c r="N530">
        <v>0.82299999999999995</v>
      </c>
      <c r="O530">
        <v>5</v>
      </c>
      <c r="P530">
        <v>5</v>
      </c>
      <c r="S530" s="116" t="s">
        <v>936</v>
      </c>
    </row>
    <row r="531" spans="1:19" x14ac:dyDescent="0.2">
      <c r="A531" t="s">
        <v>2089</v>
      </c>
      <c r="B531">
        <v>9009140400</v>
      </c>
      <c r="C531" t="s">
        <v>2090</v>
      </c>
      <c r="D531">
        <v>42826</v>
      </c>
      <c r="E531">
        <v>2.92</v>
      </c>
      <c r="F531">
        <v>25062.020850000001</v>
      </c>
      <c r="G531">
        <v>25.062000000000001</v>
      </c>
      <c r="H531">
        <v>0.113</v>
      </c>
      <c r="I531">
        <v>1</v>
      </c>
      <c r="J531">
        <v>1318</v>
      </c>
      <c r="K531">
        <v>0.631074409</v>
      </c>
      <c r="L531">
        <v>0.93899999999999995</v>
      </c>
      <c r="M531">
        <v>5</v>
      </c>
      <c r="N531">
        <v>0.63900000000000001</v>
      </c>
      <c r="O531">
        <v>4</v>
      </c>
      <c r="P531">
        <v>5</v>
      </c>
      <c r="S531" s="114" t="s">
        <v>936</v>
      </c>
    </row>
    <row r="532" spans="1:19" x14ac:dyDescent="0.2">
      <c r="A532" t="s">
        <v>2091</v>
      </c>
      <c r="B532">
        <v>9009140500</v>
      </c>
      <c r="C532" t="s">
        <v>2092</v>
      </c>
      <c r="D532">
        <v>29167</v>
      </c>
      <c r="E532">
        <v>3.25</v>
      </c>
      <c r="F532">
        <v>16178.940619999999</v>
      </c>
      <c r="G532">
        <v>16.178999999999998</v>
      </c>
      <c r="H532">
        <v>2.7E-2</v>
      </c>
      <c r="I532">
        <v>1</v>
      </c>
      <c r="J532">
        <v>1084</v>
      </c>
      <c r="K532">
        <v>0.80400814300000001</v>
      </c>
      <c r="L532">
        <v>0.98499999999999999</v>
      </c>
      <c r="M532">
        <v>5</v>
      </c>
      <c r="N532">
        <v>0.88600000000000001</v>
      </c>
      <c r="O532">
        <v>5</v>
      </c>
      <c r="P532">
        <v>5</v>
      </c>
      <c r="S532" s="116" t="s">
        <v>936</v>
      </c>
    </row>
    <row r="533" spans="1:19" x14ac:dyDescent="0.2">
      <c r="A533" t="s">
        <v>2093</v>
      </c>
      <c r="B533">
        <v>9009140600</v>
      </c>
      <c r="C533" t="s">
        <v>2094</v>
      </c>
      <c r="D533">
        <v>27964</v>
      </c>
      <c r="E533">
        <v>2.83</v>
      </c>
      <c r="F533">
        <v>16622.87257</v>
      </c>
      <c r="G533">
        <v>16.623000000000001</v>
      </c>
      <c r="H533">
        <v>2.9000000000000001E-2</v>
      </c>
      <c r="I533">
        <v>1</v>
      </c>
      <c r="J533">
        <v>1195</v>
      </c>
      <c r="K533">
        <v>0.86266678299999999</v>
      </c>
      <c r="L533">
        <v>0.99</v>
      </c>
      <c r="M533">
        <v>5</v>
      </c>
      <c r="N533">
        <v>0.77300000000000002</v>
      </c>
      <c r="O533">
        <v>4</v>
      </c>
      <c r="P533">
        <v>5</v>
      </c>
      <c r="S533" s="114" t="s">
        <v>936</v>
      </c>
    </row>
    <row r="534" spans="1:19" x14ac:dyDescent="0.2">
      <c r="A534" t="s">
        <v>2095</v>
      </c>
      <c r="B534">
        <v>9009140700</v>
      </c>
      <c r="C534" t="s">
        <v>2096</v>
      </c>
      <c r="D534">
        <v>30383</v>
      </c>
      <c r="E534">
        <v>2.0299999999999998</v>
      </c>
      <c r="F534">
        <v>21324.68549</v>
      </c>
      <c r="G534">
        <v>21.324999999999999</v>
      </c>
      <c r="H534">
        <v>7.6999999999999999E-2</v>
      </c>
      <c r="I534">
        <v>1</v>
      </c>
      <c r="J534">
        <v>1040</v>
      </c>
      <c r="K534">
        <v>0.58523723599999999</v>
      </c>
      <c r="L534">
        <v>0.91300000000000003</v>
      </c>
      <c r="M534">
        <v>5</v>
      </c>
      <c r="N534">
        <v>0.91400000000000003</v>
      </c>
      <c r="O534">
        <v>5</v>
      </c>
      <c r="P534">
        <v>5</v>
      </c>
      <c r="S534" s="116" t="s">
        <v>936</v>
      </c>
    </row>
    <row r="535" spans="1:19" x14ac:dyDescent="0.2">
      <c r="A535" t="s">
        <v>2097</v>
      </c>
      <c r="B535">
        <v>9009140800</v>
      </c>
      <c r="C535" t="s">
        <v>2098</v>
      </c>
      <c r="D535">
        <v>29281</v>
      </c>
      <c r="E535">
        <v>2.46</v>
      </c>
      <c r="F535">
        <v>18668.883740000001</v>
      </c>
      <c r="G535">
        <v>18.669</v>
      </c>
      <c r="H535">
        <v>4.5999999999999999E-2</v>
      </c>
      <c r="I535">
        <v>1</v>
      </c>
      <c r="J535">
        <v>1166</v>
      </c>
      <c r="K535">
        <v>0.74948241100000002</v>
      </c>
      <c r="L535">
        <v>0.97599999999999998</v>
      </c>
      <c r="M535">
        <v>5</v>
      </c>
      <c r="N535">
        <v>0.80800000000000005</v>
      </c>
      <c r="O535">
        <v>5</v>
      </c>
      <c r="P535">
        <v>5</v>
      </c>
      <c r="S535" s="114" t="s">
        <v>936</v>
      </c>
    </row>
    <row r="536" spans="1:19" x14ac:dyDescent="0.2">
      <c r="A536" t="s">
        <v>2099</v>
      </c>
      <c r="B536">
        <v>9009140900</v>
      </c>
      <c r="C536" t="s">
        <v>2100</v>
      </c>
      <c r="D536">
        <v>32444</v>
      </c>
      <c r="E536">
        <v>2.61</v>
      </c>
      <c r="F536">
        <v>20082.331839999999</v>
      </c>
      <c r="G536">
        <v>20.082000000000001</v>
      </c>
      <c r="H536">
        <v>5.8000000000000003E-2</v>
      </c>
      <c r="I536">
        <v>1</v>
      </c>
      <c r="J536">
        <v>1213</v>
      </c>
      <c r="K536">
        <v>0.72481622700000004</v>
      </c>
      <c r="L536">
        <v>0.97</v>
      </c>
      <c r="M536">
        <v>5</v>
      </c>
      <c r="N536">
        <v>0.751</v>
      </c>
      <c r="O536">
        <v>4</v>
      </c>
      <c r="P536">
        <v>5</v>
      </c>
      <c r="S536" s="116" t="s">
        <v>936</v>
      </c>
    </row>
    <row r="537" spans="1:19" x14ac:dyDescent="0.2">
      <c r="A537" t="s">
        <v>2101</v>
      </c>
      <c r="B537">
        <v>9009141000</v>
      </c>
      <c r="C537" t="s">
        <v>2102</v>
      </c>
      <c r="D537">
        <v>91932</v>
      </c>
      <c r="E537">
        <v>2.44</v>
      </c>
      <c r="F537">
        <v>58853.432229999999</v>
      </c>
      <c r="G537">
        <v>58.853000000000002</v>
      </c>
      <c r="H537">
        <v>0.63400000000000001</v>
      </c>
      <c r="I537">
        <v>4</v>
      </c>
      <c r="J537">
        <v>1596</v>
      </c>
      <c r="K537">
        <v>0.32541857400000002</v>
      </c>
      <c r="L537">
        <v>0.33300000000000002</v>
      </c>
      <c r="M537">
        <v>2</v>
      </c>
      <c r="N537">
        <v>0.38500000000000001</v>
      </c>
      <c r="O537">
        <v>2</v>
      </c>
      <c r="P537">
        <v>2</v>
      </c>
      <c r="S537" s="114" t="s">
        <v>944</v>
      </c>
    </row>
    <row r="538" spans="1:19" x14ac:dyDescent="0.2">
      <c r="A538" t="s">
        <v>2103</v>
      </c>
      <c r="B538">
        <v>9009141100</v>
      </c>
      <c r="C538" t="s">
        <v>2104</v>
      </c>
      <c r="D538">
        <v>91829</v>
      </c>
      <c r="E538">
        <v>2.5499999999999998</v>
      </c>
      <c r="F538">
        <v>57505.550430000003</v>
      </c>
      <c r="G538">
        <v>57.506</v>
      </c>
      <c r="H538">
        <v>0.60899999999999999</v>
      </c>
      <c r="I538">
        <v>4</v>
      </c>
      <c r="J538">
        <v>1762</v>
      </c>
      <c r="K538">
        <v>0.36768624700000002</v>
      </c>
      <c r="L538">
        <v>0.57899999999999996</v>
      </c>
      <c r="M538">
        <v>3</v>
      </c>
      <c r="N538">
        <v>0.27700000000000002</v>
      </c>
      <c r="O538">
        <v>2</v>
      </c>
      <c r="P538">
        <v>2</v>
      </c>
      <c r="S538" s="116" t="s">
        <v>944</v>
      </c>
    </row>
    <row r="539" spans="1:19" x14ac:dyDescent="0.2">
      <c r="A539" t="s">
        <v>2105</v>
      </c>
      <c r="B539">
        <v>9009141200</v>
      </c>
      <c r="C539" t="s">
        <v>2106</v>
      </c>
      <c r="D539">
        <v>40625</v>
      </c>
      <c r="E539">
        <v>2.71</v>
      </c>
      <c r="F539">
        <v>24677.93003</v>
      </c>
      <c r="G539">
        <v>24.678000000000001</v>
      </c>
      <c r="H539">
        <v>0.108</v>
      </c>
      <c r="I539">
        <v>1</v>
      </c>
      <c r="J539">
        <v>1226</v>
      </c>
      <c r="K539">
        <v>0.59616021200000002</v>
      </c>
      <c r="L539">
        <v>0.91900000000000004</v>
      </c>
      <c r="M539">
        <v>5</v>
      </c>
      <c r="N539">
        <v>0.74299999999999999</v>
      </c>
      <c r="O539">
        <v>4</v>
      </c>
      <c r="P539">
        <v>5</v>
      </c>
      <c r="S539" s="114" t="s">
        <v>936</v>
      </c>
    </row>
    <row r="540" spans="1:19" x14ac:dyDescent="0.2">
      <c r="A540" t="s">
        <v>2107</v>
      </c>
      <c r="B540">
        <v>9009141300</v>
      </c>
      <c r="C540" t="s">
        <v>2108</v>
      </c>
      <c r="D540">
        <v>36304</v>
      </c>
      <c r="E540">
        <v>2.2200000000000002</v>
      </c>
      <c r="F540">
        <v>24365.649430000001</v>
      </c>
      <c r="G540">
        <v>24.366</v>
      </c>
      <c r="H540">
        <v>0.105</v>
      </c>
      <c r="I540">
        <v>1</v>
      </c>
      <c r="J540">
        <v>1165</v>
      </c>
      <c r="K540">
        <v>0.57375856300000005</v>
      </c>
      <c r="L540">
        <v>0.90600000000000003</v>
      </c>
      <c r="M540">
        <v>5</v>
      </c>
      <c r="N540">
        <v>0.81100000000000005</v>
      </c>
      <c r="O540">
        <v>5</v>
      </c>
      <c r="P540">
        <v>5</v>
      </c>
      <c r="S540" s="116" t="s">
        <v>936</v>
      </c>
    </row>
    <row r="541" spans="1:19" x14ac:dyDescent="0.2">
      <c r="A541" t="s">
        <v>2109</v>
      </c>
      <c r="B541">
        <v>9009141400</v>
      </c>
      <c r="C541" t="s">
        <v>2110</v>
      </c>
      <c r="D541">
        <v>51489</v>
      </c>
      <c r="E541">
        <v>2.87</v>
      </c>
      <c r="F541">
        <v>30392.995709999999</v>
      </c>
      <c r="G541">
        <v>30.393000000000001</v>
      </c>
      <c r="H541">
        <v>0.17599999999999999</v>
      </c>
      <c r="I541">
        <v>1</v>
      </c>
      <c r="J541">
        <v>1400</v>
      </c>
      <c r="K541">
        <v>0.55275893700000001</v>
      </c>
      <c r="L541">
        <v>0.88800000000000001</v>
      </c>
      <c r="M541">
        <v>5</v>
      </c>
      <c r="N541">
        <v>0.56899999999999995</v>
      </c>
      <c r="O541">
        <v>3</v>
      </c>
      <c r="P541">
        <v>4</v>
      </c>
      <c r="S541" s="114" t="s">
        <v>944</v>
      </c>
    </row>
    <row r="542" spans="1:19" x14ac:dyDescent="0.2">
      <c r="A542" t="s">
        <v>2111</v>
      </c>
      <c r="B542">
        <v>9009141500</v>
      </c>
      <c r="C542" t="s">
        <v>2112</v>
      </c>
      <c r="D542">
        <v>26324</v>
      </c>
      <c r="E542">
        <v>2.89</v>
      </c>
      <c r="F542">
        <v>15484.70588</v>
      </c>
      <c r="G542">
        <v>15.484999999999999</v>
      </c>
      <c r="H542">
        <v>2.3E-2</v>
      </c>
      <c r="I542">
        <v>1</v>
      </c>
      <c r="J542">
        <v>1082</v>
      </c>
      <c r="K542">
        <v>0.83850478699999997</v>
      </c>
      <c r="L542">
        <v>0.98899999999999999</v>
      </c>
      <c r="M542">
        <v>5</v>
      </c>
      <c r="N542">
        <v>0.88700000000000001</v>
      </c>
      <c r="O542">
        <v>5</v>
      </c>
      <c r="P542">
        <v>5</v>
      </c>
      <c r="S542" s="116" t="s">
        <v>936</v>
      </c>
    </row>
    <row r="543" spans="1:19" x14ac:dyDescent="0.2">
      <c r="A543" t="s">
        <v>2113</v>
      </c>
      <c r="B543">
        <v>9009141600</v>
      </c>
      <c r="C543" t="s">
        <v>2114</v>
      </c>
      <c r="D543">
        <v>32110</v>
      </c>
      <c r="E543">
        <v>2.3199999999999998</v>
      </c>
      <c r="F543">
        <v>21081.247800000001</v>
      </c>
      <c r="G543">
        <v>21.081</v>
      </c>
      <c r="H543">
        <v>7.0000000000000007E-2</v>
      </c>
      <c r="I543">
        <v>1</v>
      </c>
      <c r="J543">
        <v>1067</v>
      </c>
      <c r="K543">
        <v>0.60736442700000004</v>
      </c>
      <c r="L543">
        <v>0.92500000000000004</v>
      </c>
      <c r="M543">
        <v>5</v>
      </c>
      <c r="N543">
        <v>0.89800000000000002</v>
      </c>
      <c r="O543">
        <v>5</v>
      </c>
      <c r="P543">
        <v>5</v>
      </c>
      <c r="S543" s="114" t="s">
        <v>936</v>
      </c>
    </row>
    <row r="544" spans="1:19" x14ac:dyDescent="0.2">
      <c r="A544" t="s">
        <v>2115</v>
      </c>
      <c r="B544">
        <v>9009141800</v>
      </c>
      <c r="C544" t="s">
        <v>2116</v>
      </c>
      <c r="D544">
        <v>54167</v>
      </c>
      <c r="E544">
        <v>2.56</v>
      </c>
      <c r="F544">
        <v>33854.375</v>
      </c>
      <c r="G544">
        <v>33.853999999999999</v>
      </c>
      <c r="H544">
        <v>0.221</v>
      </c>
      <c r="I544">
        <v>2</v>
      </c>
      <c r="J544">
        <v>1373</v>
      </c>
      <c r="K544">
        <v>0.48667269699999999</v>
      </c>
      <c r="L544">
        <v>0.82899999999999996</v>
      </c>
      <c r="M544">
        <v>5</v>
      </c>
      <c r="N544">
        <v>0.58699999999999997</v>
      </c>
      <c r="O544">
        <v>3</v>
      </c>
      <c r="P544">
        <v>4</v>
      </c>
      <c r="S544" s="116" t="s">
        <v>944</v>
      </c>
    </row>
    <row r="545" spans="1:19" x14ac:dyDescent="0.2">
      <c r="A545" t="s">
        <v>2117</v>
      </c>
      <c r="B545">
        <v>9009141900</v>
      </c>
      <c r="C545" t="s">
        <v>2118</v>
      </c>
      <c r="D545">
        <v>83925</v>
      </c>
      <c r="E545">
        <v>2.35</v>
      </c>
      <c r="F545">
        <v>54746.633529999999</v>
      </c>
      <c r="G545">
        <v>54.747</v>
      </c>
      <c r="H545">
        <v>0.55400000000000005</v>
      </c>
      <c r="I545">
        <v>3</v>
      </c>
      <c r="J545">
        <v>1703</v>
      </c>
      <c r="K545">
        <v>0.37328322600000002</v>
      </c>
      <c r="L545">
        <v>0.60699999999999998</v>
      </c>
      <c r="M545">
        <v>4</v>
      </c>
      <c r="N545">
        <v>0.31</v>
      </c>
      <c r="O545">
        <v>2</v>
      </c>
      <c r="P545">
        <v>3</v>
      </c>
      <c r="S545" s="114" t="s">
        <v>944</v>
      </c>
    </row>
    <row r="546" spans="1:19" x14ac:dyDescent="0.2">
      <c r="A546" t="s">
        <v>2119</v>
      </c>
      <c r="B546">
        <v>9009142000</v>
      </c>
      <c r="C546" t="s">
        <v>2120</v>
      </c>
      <c r="D546">
        <v>51138</v>
      </c>
      <c r="E546">
        <v>1.76</v>
      </c>
      <c r="F546">
        <v>38546.717850000001</v>
      </c>
      <c r="G546">
        <v>38.546999999999997</v>
      </c>
      <c r="H546">
        <v>0.27</v>
      </c>
      <c r="I546">
        <v>2</v>
      </c>
      <c r="J546">
        <v>1446</v>
      </c>
      <c r="K546">
        <v>0.450155058</v>
      </c>
      <c r="L546">
        <v>0.78300000000000003</v>
      </c>
      <c r="M546">
        <v>4</v>
      </c>
      <c r="N546">
        <v>0.53300000000000003</v>
      </c>
      <c r="O546">
        <v>3</v>
      </c>
      <c r="P546">
        <v>4</v>
      </c>
      <c r="S546" s="116" t="s">
        <v>944</v>
      </c>
    </row>
    <row r="547" spans="1:19" x14ac:dyDescent="0.2">
      <c r="A547" t="s">
        <v>2121</v>
      </c>
      <c r="B547">
        <v>9009142100</v>
      </c>
      <c r="C547" t="s">
        <v>2122</v>
      </c>
      <c r="D547">
        <v>44815</v>
      </c>
      <c r="E547">
        <v>2.38</v>
      </c>
      <c r="F547">
        <v>29049.24987</v>
      </c>
      <c r="G547">
        <v>29.048999999999999</v>
      </c>
      <c r="H547">
        <v>0.151</v>
      </c>
      <c r="I547">
        <v>1</v>
      </c>
      <c r="J547">
        <v>1308</v>
      </c>
      <c r="K547">
        <v>0.54032376299999996</v>
      </c>
      <c r="L547">
        <v>0.88</v>
      </c>
      <c r="M547">
        <v>5</v>
      </c>
      <c r="N547">
        <v>0.64800000000000002</v>
      </c>
      <c r="O547">
        <v>4</v>
      </c>
      <c r="P547">
        <v>5</v>
      </c>
      <c r="S547" s="114" t="s">
        <v>936</v>
      </c>
    </row>
    <row r="548" spans="1:19" x14ac:dyDescent="0.2">
      <c r="A548" t="s">
        <v>2123</v>
      </c>
      <c r="B548">
        <v>9009142200</v>
      </c>
      <c r="C548" t="s">
        <v>2124</v>
      </c>
      <c r="D548">
        <v>67917</v>
      </c>
      <c r="E548">
        <v>1.6</v>
      </c>
      <c r="F548">
        <v>53693.102959999997</v>
      </c>
      <c r="G548">
        <v>53.692999999999998</v>
      </c>
      <c r="H548">
        <v>0.53700000000000003</v>
      </c>
      <c r="I548">
        <v>3</v>
      </c>
      <c r="J548">
        <v>1487</v>
      </c>
      <c r="K548">
        <v>0.33233318699999997</v>
      </c>
      <c r="L548">
        <v>0.379</v>
      </c>
      <c r="M548">
        <v>2</v>
      </c>
      <c r="N548">
        <v>0.496</v>
      </c>
      <c r="O548">
        <v>3</v>
      </c>
      <c r="P548">
        <v>3</v>
      </c>
      <c r="S548" s="116" t="s">
        <v>944</v>
      </c>
    </row>
    <row r="549" spans="1:19" x14ac:dyDescent="0.2">
      <c r="A549" t="s">
        <v>2125</v>
      </c>
      <c r="B549">
        <v>9009142300</v>
      </c>
      <c r="C549" t="s">
        <v>2126</v>
      </c>
      <c r="D549">
        <v>37481</v>
      </c>
      <c r="E549">
        <v>2.76</v>
      </c>
      <c r="F549">
        <v>22560.910800000001</v>
      </c>
      <c r="G549">
        <v>22.561</v>
      </c>
      <c r="H549">
        <v>8.7999999999999995E-2</v>
      </c>
      <c r="I549">
        <v>1</v>
      </c>
      <c r="J549">
        <v>1269</v>
      </c>
      <c r="K549">
        <v>0.67497275000000001</v>
      </c>
      <c r="L549">
        <v>0.95399999999999996</v>
      </c>
      <c r="M549">
        <v>5</v>
      </c>
      <c r="N549">
        <v>0.68899999999999995</v>
      </c>
      <c r="O549">
        <v>4</v>
      </c>
      <c r="P549">
        <v>5</v>
      </c>
      <c r="S549" s="114" t="s">
        <v>936</v>
      </c>
    </row>
    <row r="550" spans="1:19" x14ac:dyDescent="0.2">
      <c r="A550" t="s">
        <v>2127</v>
      </c>
      <c r="B550">
        <v>9009142400</v>
      </c>
      <c r="C550" t="s">
        <v>2128</v>
      </c>
      <c r="D550">
        <v>36058</v>
      </c>
      <c r="E550">
        <v>3.28</v>
      </c>
      <c r="F550">
        <v>19909.699840000001</v>
      </c>
      <c r="G550">
        <v>19.91</v>
      </c>
      <c r="H550">
        <v>5.7000000000000002E-2</v>
      </c>
      <c r="I550">
        <v>1</v>
      </c>
      <c r="J550">
        <v>1247</v>
      </c>
      <c r="K550">
        <v>0.75159345</v>
      </c>
      <c r="L550">
        <v>0.97799999999999998</v>
      </c>
      <c r="M550">
        <v>5</v>
      </c>
      <c r="N550">
        <v>0.71699999999999997</v>
      </c>
      <c r="O550">
        <v>4</v>
      </c>
      <c r="P550">
        <v>5</v>
      </c>
      <c r="S550" s="116" t="s">
        <v>936</v>
      </c>
    </row>
    <row r="551" spans="1:19" x14ac:dyDescent="0.2">
      <c r="A551" t="s">
        <v>2129</v>
      </c>
      <c r="B551">
        <v>9009142500</v>
      </c>
      <c r="C551" t="s">
        <v>2130</v>
      </c>
      <c r="D551">
        <v>42095</v>
      </c>
      <c r="E551">
        <v>2.79</v>
      </c>
      <c r="F551">
        <v>25201.617300000002</v>
      </c>
      <c r="G551">
        <v>25.202000000000002</v>
      </c>
      <c r="H551">
        <v>0.114</v>
      </c>
      <c r="I551">
        <v>1</v>
      </c>
      <c r="J551">
        <v>1195</v>
      </c>
      <c r="K551">
        <v>0.56901110099999996</v>
      </c>
      <c r="L551">
        <v>0.90300000000000002</v>
      </c>
      <c r="M551">
        <v>5</v>
      </c>
      <c r="N551">
        <v>0.77300000000000002</v>
      </c>
      <c r="O551">
        <v>4</v>
      </c>
      <c r="P551">
        <v>5</v>
      </c>
      <c r="S551" s="114" t="s">
        <v>936</v>
      </c>
    </row>
    <row r="552" spans="1:19" x14ac:dyDescent="0.2">
      <c r="A552" t="s">
        <v>2131</v>
      </c>
      <c r="B552">
        <v>9009142601</v>
      </c>
      <c r="C552" t="s">
        <v>2132</v>
      </c>
      <c r="D552">
        <v>55399</v>
      </c>
      <c r="E552">
        <v>2.61</v>
      </c>
      <c r="F552">
        <v>34291.120130000003</v>
      </c>
      <c r="G552">
        <v>34.290999999999997</v>
      </c>
      <c r="H552">
        <v>0.23</v>
      </c>
      <c r="I552">
        <v>2</v>
      </c>
      <c r="J552">
        <v>1198</v>
      </c>
      <c r="K552">
        <v>0.41923389900000002</v>
      </c>
      <c r="L552">
        <v>0.71799999999999997</v>
      </c>
      <c r="M552">
        <v>4</v>
      </c>
      <c r="N552">
        <v>0.76700000000000002</v>
      </c>
      <c r="O552">
        <v>4</v>
      </c>
      <c r="P552">
        <v>4</v>
      </c>
      <c r="S552" s="116" t="s">
        <v>944</v>
      </c>
    </row>
    <row r="553" spans="1:19" x14ac:dyDescent="0.2">
      <c r="A553" t="s">
        <v>2133</v>
      </c>
      <c r="B553">
        <v>9009142603</v>
      </c>
      <c r="C553" t="s">
        <v>2134</v>
      </c>
      <c r="D553">
        <v>19593</v>
      </c>
      <c r="E553">
        <v>1.86</v>
      </c>
      <c r="F553">
        <v>14366.28462</v>
      </c>
      <c r="G553">
        <v>14.366</v>
      </c>
      <c r="H553">
        <v>1.4E-2</v>
      </c>
      <c r="I553">
        <v>1</v>
      </c>
      <c r="J553">
        <v>715</v>
      </c>
      <c r="K553">
        <v>0.59723165899999997</v>
      </c>
      <c r="L553">
        <v>0.92200000000000004</v>
      </c>
      <c r="M553">
        <v>5</v>
      </c>
      <c r="N553">
        <v>0.99199999999999999</v>
      </c>
      <c r="O553">
        <v>5</v>
      </c>
      <c r="P553">
        <v>5</v>
      </c>
      <c r="S553" s="114" t="s">
        <v>936</v>
      </c>
    </row>
    <row r="554" spans="1:19" x14ac:dyDescent="0.2">
      <c r="A554" t="s">
        <v>2135</v>
      </c>
      <c r="B554">
        <v>9009142604</v>
      </c>
      <c r="C554" t="s">
        <v>2136</v>
      </c>
      <c r="D554">
        <v>73411</v>
      </c>
      <c r="E554">
        <v>2.5499999999999998</v>
      </c>
      <c r="F554">
        <v>45971.751429999997</v>
      </c>
      <c r="G554">
        <v>45.972000000000001</v>
      </c>
      <c r="H554">
        <v>0.38200000000000001</v>
      </c>
      <c r="I554">
        <v>2</v>
      </c>
      <c r="J554">
        <v>1442</v>
      </c>
      <c r="K554">
        <v>0.37640506299999998</v>
      </c>
      <c r="L554">
        <v>0.62</v>
      </c>
      <c r="M554">
        <v>4</v>
      </c>
      <c r="N554">
        <v>0.53700000000000003</v>
      </c>
      <c r="O554">
        <v>3</v>
      </c>
      <c r="P554">
        <v>4</v>
      </c>
      <c r="S554" s="116" t="s">
        <v>944</v>
      </c>
    </row>
    <row r="555" spans="1:19" x14ac:dyDescent="0.2">
      <c r="A555" t="s">
        <v>2137</v>
      </c>
      <c r="B555">
        <v>9009142700</v>
      </c>
      <c r="C555" t="s">
        <v>2138</v>
      </c>
      <c r="D555">
        <v>41881</v>
      </c>
      <c r="E555">
        <v>3.12</v>
      </c>
      <c r="F555">
        <v>23710.447230000002</v>
      </c>
      <c r="G555">
        <v>23.71</v>
      </c>
      <c r="H555">
        <v>0.10199999999999999</v>
      </c>
      <c r="I555">
        <v>1</v>
      </c>
      <c r="J555">
        <v>1365</v>
      </c>
      <c r="K555">
        <v>0.69083471299999999</v>
      </c>
      <c r="L555">
        <v>0.95799999999999996</v>
      </c>
      <c r="M555">
        <v>5</v>
      </c>
      <c r="N555">
        <v>0.59399999999999997</v>
      </c>
      <c r="O555">
        <v>3</v>
      </c>
      <c r="P555">
        <v>4</v>
      </c>
      <c r="S555" s="114" t="s">
        <v>936</v>
      </c>
    </row>
    <row r="556" spans="1:19" x14ac:dyDescent="0.2">
      <c r="A556" t="s">
        <v>2139</v>
      </c>
      <c r="B556">
        <v>9009142800</v>
      </c>
      <c r="C556" t="s">
        <v>2140</v>
      </c>
      <c r="D556">
        <v>68832</v>
      </c>
      <c r="E556">
        <v>2.13</v>
      </c>
      <c r="F556">
        <v>47162.909269999996</v>
      </c>
      <c r="G556">
        <v>47.162999999999997</v>
      </c>
      <c r="H556">
        <v>0.39900000000000002</v>
      </c>
      <c r="I556">
        <v>2</v>
      </c>
      <c r="J556">
        <v>1506</v>
      </c>
      <c r="K556">
        <v>0.38318246900000003</v>
      </c>
      <c r="L556">
        <v>0.64200000000000002</v>
      </c>
      <c r="M556">
        <v>4</v>
      </c>
      <c r="N556">
        <v>0.46800000000000003</v>
      </c>
      <c r="O556">
        <v>3</v>
      </c>
      <c r="P556">
        <v>4</v>
      </c>
      <c r="S556" s="116" t="s">
        <v>944</v>
      </c>
    </row>
    <row r="557" spans="1:19" x14ac:dyDescent="0.2">
      <c r="A557" t="s">
        <v>2141</v>
      </c>
      <c r="B557">
        <v>9009150100</v>
      </c>
      <c r="C557" t="s">
        <v>2142</v>
      </c>
      <c r="D557">
        <v>100309</v>
      </c>
      <c r="E557">
        <v>2.0699999999999998</v>
      </c>
      <c r="F557">
        <v>69719.574529999998</v>
      </c>
      <c r="G557">
        <v>69.72</v>
      </c>
      <c r="H557">
        <v>0.79800000000000004</v>
      </c>
      <c r="I557">
        <v>4</v>
      </c>
      <c r="J557">
        <v>1797</v>
      </c>
      <c r="K557">
        <v>0.30929620800000002</v>
      </c>
      <c r="L557">
        <v>0.223</v>
      </c>
      <c r="M557">
        <v>2</v>
      </c>
      <c r="N557">
        <v>0.255</v>
      </c>
      <c r="O557">
        <v>2</v>
      </c>
      <c r="P557">
        <v>2</v>
      </c>
      <c r="S557" s="114" t="s">
        <v>944</v>
      </c>
    </row>
    <row r="558" spans="1:19" x14ac:dyDescent="0.2">
      <c r="A558" t="s">
        <v>2143</v>
      </c>
      <c r="B558">
        <v>9009150200</v>
      </c>
      <c r="C558" t="s">
        <v>2144</v>
      </c>
      <c r="D558">
        <v>71295</v>
      </c>
      <c r="E558">
        <v>2.23</v>
      </c>
      <c r="F558">
        <v>47742.663249999998</v>
      </c>
      <c r="G558">
        <v>47.743000000000002</v>
      </c>
      <c r="H558">
        <v>0.42</v>
      </c>
      <c r="I558">
        <v>3</v>
      </c>
      <c r="J558">
        <v>1571</v>
      </c>
      <c r="K558">
        <v>0.39486695399999999</v>
      </c>
      <c r="L558">
        <v>0.67200000000000004</v>
      </c>
      <c r="M558">
        <v>4</v>
      </c>
      <c r="N558">
        <v>0.41399999999999998</v>
      </c>
      <c r="O558">
        <v>3</v>
      </c>
      <c r="P558">
        <v>3</v>
      </c>
      <c r="S558" s="116" t="s">
        <v>944</v>
      </c>
    </row>
    <row r="559" spans="1:19" x14ac:dyDescent="0.2">
      <c r="A559" t="s">
        <v>2145</v>
      </c>
      <c r="B559">
        <v>9009150300</v>
      </c>
      <c r="C559" t="s">
        <v>2146</v>
      </c>
      <c r="D559">
        <v>88063</v>
      </c>
      <c r="E559">
        <v>2.35</v>
      </c>
      <c r="F559">
        <v>57445.967100000002</v>
      </c>
      <c r="G559">
        <v>57.445999999999998</v>
      </c>
      <c r="H559">
        <v>0.60599999999999998</v>
      </c>
      <c r="I559">
        <v>4</v>
      </c>
      <c r="J559">
        <v>1618</v>
      </c>
      <c r="K559">
        <v>0.33798717299999997</v>
      </c>
      <c r="L559">
        <v>0.40899999999999997</v>
      </c>
      <c r="M559">
        <v>3</v>
      </c>
      <c r="N559">
        <v>0.372</v>
      </c>
      <c r="O559">
        <v>2</v>
      </c>
      <c r="P559">
        <v>2</v>
      </c>
      <c r="S559" s="114" t="s">
        <v>944</v>
      </c>
    </row>
    <row r="560" spans="1:19" x14ac:dyDescent="0.2">
      <c r="A560" t="s">
        <v>2147</v>
      </c>
      <c r="B560">
        <v>9009150400</v>
      </c>
      <c r="C560" t="s">
        <v>2148</v>
      </c>
      <c r="D560">
        <v>65218</v>
      </c>
      <c r="E560">
        <v>2.13</v>
      </c>
      <c r="F560">
        <v>44686.637280000003</v>
      </c>
      <c r="G560">
        <v>44.686999999999998</v>
      </c>
      <c r="H560">
        <v>0.36299999999999999</v>
      </c>
      <c r="I560">
        <v>2</v>
      </c>
      <c r="J560">
        <v>1515</v>
      </c>
      <c r="K560">
        <v>0.40683302900000001</v>
      </c>
      <c r="L560">
        <v>0.69699999999999995</v>
      </c>
      <c r="M560">
        <v>4</v>
      </c>
      <c r="N560">
        <v>0.45800000000000002</v>
      </c>
      <c r="O560">
        <v>3</v>
      </c>
      <c r="P560">
        <v>4</v>
      </c>
      <c r="S560" s="116" t="s">
        <v>944</v>
      </c>
    </row>
    <row r="561" spans="1:19" x14ac:dyDescent="0.2">
      <c r="A561" t="s">
        <v>2149</v>
      </c>
      <c r="B561">
        <v>9009150500</v>
      </c>
      <c r="C561" t="s">
        <v>2150</v>
      </c>
      <c r="D561">
        <v>90000</v>
      </c>
      <c r="E561">
        <v>2.56</v>
      </c>
      <c r="F561">
        <v>56250</v>
      </c>
      <c r="G561">
        <v>56.25</v>
      </c>
      <c r="H561">
        <v>0.58399999999999996</v>
      </c>
      <c r="I561">
        <v>3</v>
      </c>
      <c r="J561">
        <v>1798</v>
      </c>
      <c r="K561">
        <v>0.38357333300000002</v>
      </c>
      <c r="L561">
        <v>0.64400000000000002</v>
      </c>
      <c r="M561">
        <v>4</v>
      </c>
      <c r="N561">
        <v>0.252</v>
      </c>
      <c r="O561">
        <v>2</v>
      </c>
      <c r="P561">
        <v>3</v>
      </c>
      <c r="S561" s="114" t="s">
        <v>944</v>
      </c>
    </row>
    <row r="562" spans="1:19" x14ac:dyDescent="0.2">
      <c r="A562" t="s">
        <v>2151</v>
      </c>
      <c r="B562">
        <v>9009150600</v>
      </c>
      <c r="C562" t="s">
        <v>2152</v>
      </c>
      <c r="D562">
        <v>103598</v>
      </c>
      <c r="E562">
        <v>2.69</v>
      </c>
      <c r="F562">
        <v>63164.815399999999</v>
      </c>
      <c r="G562">
        <v>63.164999999999999</v>
      </c>
      <c r="H562">
        <v>0.71</v>
      </c>
      <c r="I562">
        <v>4</v>
      </c>
      <c r="J562">
        <v>1613</v>
      </c>
      <c r="K562">
        <v>0.30643642199999999</v>
      </c>
      <c r="L562">
        <v>0.20799999999999999</v>
      </c>
      <c r="M562">
        <v>2</v>
      </c>
      <c r="N562">
        <v>0.376</v>
      </c>
      <c r="O562">
        <v>2</v>
      </c>
      <c r="P562">
        <v>2</v>
      </c>
      <c r="S562" s="116" t="s">
        <v>944</v>
      </c>
    </row>
    <row r="563" spans="1:19" x14ac:dyDescent="0.2">
      <c r="A563" t="s">
        <v>2153</v>
      </c>
      <c r="B563">
        <v>9009150700</v>
      </c>
      <c r="C563" t="s">
        <v>2154</v>
      </c>
      <c r="D563">
        <v>128750</v>
      </c>
      <c r="E563">
        <v>2.82</v>
      </c>
      <c r="F563">
        <v>76669.509279999998</v>
      </c>
      <c r="G563">
        <v>76.67</v>
      </c>
      <c r="H563">
        <v>0.85899999999999999</v>
      </c>
      <c r="I563">
        <v>5</v>
      </c>
      <c r="J563">
        <v>2032</v>
      </c>
      <c r="K563">
        <v>0.31804038200000001</v>
      </c>
      <c r="L563">
        <v>0.27300000000000002</v>
      </c>
      <c r="M563">
        <v>2</v>
      </c>
      <c r="N563">
        <v>0.157</v>
      </c>
      <c r="O563">
        <v>1</v>
      </c>
      <c r="P563">
        <v>1</v>
      </c>
      <c r="S563" s="114" t="s">
        <v>944</v>
      </c>
    </row>
    <row r="564" spans="1:19" x14ac:dyDescent="0.2">
      <c r="A564" t="s">
        <v>2155</v>
      </c>
      <c r="B564">
        <v>9009150800</v>
      </c>
      <c r="C564" t="s">
        <v>2156</v>
      </c>
      <c r="D564">
        <v>87647</v>
      </c>
      <c r="E564">
        <v>2.33</v>
      </c>
      <c r="F564">
        <v>57419.458830000003</v>
      </c>
      <c r="G564">
        <v>57.418999999999997</v>
      </c>
      <c r="H564">
        <v>0.60499999999999998</v>
      </c>
      <c r="I564">
        <v>4</v>
      </c>
      <c r="J564">
        <v>1661</v>
      </c>
      <c r="K564">
        <v>0.34712970799999998</v>
      </c>
      <c r="L564">
        <v>0.46400000000000002</v>
      </c>
      <c r="M564">
        <v>3</v>
      </c>
      <c r="N564">
        <v>0.33700000000000002</v>
      </c>
      <c r="O564">
        <v>2</v>
      </c>
      <c r="P564">
        <v>2</v>
      </c>
      <c r="S564" s="116" t="s">
        <v>944</v>
      </c>
    </row>
    <row r="565" spans="1:19" x14ac:dyDescent="0.2">
      <c r="A565" t="s">
        <v>2157</v>
      </c>
      <c r="B565">
        <v>9009150900</v>
      </c>
      <c r="C565" t="s">
        <v>2158</v>
      </c>
      <c r="D565">
        <v>117625</v>
      </c>
      <c r="E565">
        <v>2.6</v>
      </c>
      <c r="F565">
        <v>72947.928279999993</v>
      </c>
      <c r="G565">
        <v>72.947999999999993</v>
      </c>
      <c r="H565">
        <v>0.83399999999999996</v>
      </c>
      <c r="I565">
        <v>5</v>
      </c>
      <c r="J565">
        <v>1927</v>
      </c>
      <c r="K565">
        <v>0.31699323800000001</v>
      </c>
      <c r="L565">
        <v>0.26300000000000001</v>
      </c>
      <c r="M565">
        <v>2</v>
      </c>
      <c r="N565">
        <v>0.19500000000000001</v>
      </c>
      <c r="O565">
        <v>1</v>
      </c>
      <c r="P565">
        <v>1</v>
      </c>
      <c r="S565" s="114" t="s">
        <v>944</v>
      </c>
    </row>
    <row r="566" spans="1:19" x14ac:dyDescent="0.2">
      <c r="A566" t="s">
        <v>2159</v>
      </c>
      <c r="B566">
        <v>9009151000</v>
      </c>
      <c r="C566" t="s">
        <v>2160</v>
      </c>
      <c r="D566">
        <v>87227</v>
      </c>
      <c r="E566">
        <v>2.04</v>
      </c>
      <c r="F566">
        <v>61071.115440000001</v>
      </c>
      <c r="G566">
        <v>61.070999999999998</v>
      </c>
      <c r="H566">
        <v>0.67300000000000004</v>
      </c>
      <c r="I566">
        <v>4</v>
      </c>
      <c r="J566">
        <v>1786</v>
      </c>
      <c r="K566">
        <v>0.35093513300000001</v>
      </c>
      <c r="L566">
        <v>0.48499999999999999</v>
      </c>
      <c r="M566">
        <v>3</v>
      </c>
      <c r="N566">
        <v>0.26</v>
      </c>
      <c r="O566">
        <v>2</v>
      </c>
      <c r="P566">
        <v>2</v>
      </c>
      <c r="S566" s="116" t="s">
        <v>944</v>
      </c>
    </row>
    <row r="567" spans="1:19" x14ac:dyDescent="0.2">
      <c r="A567" t="s">
        <v>2161</v>
      </c>
      <c r="B567">
        <v>9009151100</v>
      </c>
      <c r="C567" t="s">
        <v>2162</v>
      </c>
      <c r="D567">
        <v>96916</v>
      </c>
      <c r="E567">
        <v>2.5299999999999998</v>
      </c>
      <c r="F567">
        <v>60930.567159999999</v>
      </c>
      <c r="G567">
        <v>60.930999999999997</v>
      </c>
      <c r="H567">
        <v>0.66900000000000004</v>
      </c>
      <c r="I567">
        <v>4</v>
      </c>
      <c r="J567">
        <v>1905</v>
      </c>
      <c r="K567">
        <v>0.37518114600000002</v>
      </c>
      <c r="L567">
        <v>0.61399999999999999</v>
      </c>
      <c r="M567">
        <v>4</v>
      </c>
      <c r="N567">
        <v>0.21</v>
      </c>
      <c r="O567">
        <v>2</v>
      </c>
      <c r="P567">
        <v>2</v>
      </c>
      <c r="S567" s="114" t="s">
        <v>944</v>
      </c>
    </row>
    <row r="568" spans="1:19" x14ac:dyDescent="0.2">
      <c r="A568" t="s">
        <v>2163</v>
      </c>
      <c r="B568">
        <v>9009151200</v>
      </c>
      <c r="C568" t="s">
        <v>2164</v>
      </c>
      <c r="D568">
        <v>84688</v>
      </c>
      <c r="E568">
        <v>2.4700000000000002</v>
      </c>
      <c r="F568">
        <v>53885.684009999997</v>
      </c>
      <c r="G568">
        <v>53.886000000000003</v>
      </c>
      <c r="H568">
        <v>0.54</v>
      </c>
      <c r="I568">
        <v>3</v>
      </c>
      <c r="J568">
        <v>1663</v>
      </c>
      <c r="K568">
        <v>0.37033955099999999</v>
      </c>
      <c r="L568">
        <v>0.59199999999999997</v>
      </c>
      <c r="M568">
        <v>3</v>
      </c>
      <c r="N568">
        <v>0.33400000000000002</v>
      </c>
      <c r="O568">
        <v>2</v>
      </c>
      <c r="P568">
        <v>3</v>
      </c>
      <c r="S568" s="116" t="s">
        <v>944</v>
      </c>
    </row>
    <row r="569" spans="1:19" x14ac:dyDescent="0.2">
      <c r="A569" t="s">
        <v>2165</v>
      </c>
      <c r="B569">
        <v>9009154100</v>
      </c>
      <c r="C569" t="s">
        <v>2166</v>
      </c>
      <c r="D569">
        <v>67314</v>
      </c>
      <c r="E569">
        <v>2.78</v>
      </c>
      <c r="F569">
        <v>40372.254330000003</v>
      </c>
      <c r="G569">
        <v>40.372</v>
      </c>
      <c r="H569">
        <v>0.30099999999999999</v>
      </c>
      <c r="I569">
        <v>2</v>
      </c>
      <c r="J569">
        <v>1320</v>
      </c>
      <c r="K569">
        <v>0.39234866299999999</v>
      </c>
      <c r="L569">
        <v>0.66900000000000004</v>
      </c>
      <c r="M569">
        <v>4</v>
      </c>
      <c r="N569">
        <v>0.63400000000000001</v>
      </c>
      <c r="O569">
        <v>4</v>
      </c>
      <c r="P569">
        <v>4</v>
      </c>
      <c r="S569" s="114" t="s">
        <v>944</v>
      </c>
    </row>
    <row r="570" spans="1:19" x14ac:dyDescent="0.2">
      <c r="A570" t="s">
        <v>2167</v>
      </c>
      <c r="B570">
        <v>9009154200</v>
      </c>
      <c r="C570" t="s">
        <v>2168</v>
      </c>
      <c r="D570">
        <v>56438</v>
      </c>
      <c r="E570">
        <v>2.48</v>
      </c>
      <c r="F570">
        <v>35838.165840000001</v>
      </c>
      <c r="G570">
        <v>35.838000000000001</v>
      </c>
      <c r="H570">
        <v>0.245</v>
      </c>
      <c r="I570">
        <v>2</v>
      </c>
      <c r="J570">
        <v>1270</v>
      </c>
      <c r="K570">
        <v>0.42524497700000002</v>
      </c>
      <c r="L570">
        <v>0.74199999999999999</v>
      </c>
      <c r="M570">
        <v>4</v>
      </c>
      <c r="N570">
        <v>0.68500000000000005</v>
      </c>
      <c r="O570">
        <v>4</v>
      </c>
      <c r="P570">
        <v>4</v>
      </c>
      <c r="S570" s="116" t="s">
        <v>944</v>
      </c>
    </row>
    <row r="571" spans="1:19" x14ac:dyDescent="0.2">
      <c r="A571" t="s">
        <v>2169</v>
      </c>
      <c r="B571">
        <v>9009154500</v>
      </c>
      <c r="C571" t="s">
        <v>2170</v>
      </c>
      <c r="D571">
        <v>45875</v>
      </c>
      <c r="E571">
        <v>2.46</v>
      </c>
      <c r="F571">
        <v>29248.831709999999</v>
      </c>
      <c r="G571">
        <v>29.248999999999999</v>
      </c>
      <c r="H571">
        <v>0.156</v>
      </c>
      <c r="I571">
        <v>1</v>
      </c>
      <c r="J571">
        <v>1230</v>
      </c>
      <c r="K571">
        <v>0.50463554099999997</v>
      </c>
      <c r="L571">
        <v>0.85099999999999998</v>
      </c>
      <c r="M571">
        <v>5</v>
      </c>
      <c r="N571">
        <v>0.73499999999999999</v>
      </c>
      <c r="O571">
        <v>4</v>
      </c>
      <c r="P571">
        <v>5</v>
      </c>
      <c r="S571" s="114" t="s">
        <v>936</v>
      </c>
    </row>
    <row r="572" spans="1:19" x14ac:dyDescent="0.2">
      <c r="A572" t="s">
        <v>2171</v>
      </c>
      <c r="B572">
        <v>9009154600</v>
      </c>
      <c r="C572" t="s">
        <v>2172</v>
      </c>
      <c r="D572">
        <v>47183</v>
      </c>
      <c r="E572">
        <v>2.52</v>
      </c>
      <c r="F572">
        <v>29722.496220000001</v>
      </c>
      <c r="G572">
        <v>29.722000000000001</v>
      </c>
      <c r="H572">
        <v>0.16500000000000001</v>
      </c>
      <c r="I572">
        <v>1</v>
      </c>
      <c r="J572">
        <v>1210</v>
      </c>
      <c r="K572">
        <v>0.48851886100000003</v>
      </c>
      <c r="L572">
        <v>0.83</v>
      </c>
      <c r="M572">
        <v>5</v>
      </c>
      <c r="N572">
        <v>0.755</v>
      </c>
      <c r="O572">
        <v>4</v>
      </c>
      <c r="P572">
        <v>5</v>
      </c>
      <c r="S572" s="116" t="s">
        <v>944</v>
      </c>
    </row>
    <row r="573" spans="1:19" x14ac:dyDescent="0.2">
      <c r="A573" t="s">
        <v>2173</v>
      </c>
      <c r="B573">
        <v>9009154700</v>
      </c>
      <c r="C573" t="s">
        <v>2174</v>
      </c>
      <c r="D573">
        <v>93632</v>
      </c>
      <c r="E573">
        <v>2.85</v>
      </c>
      <c r="F573">
        <v>55462.810120000002</v>
      </c>
      <c r="G573">
        <v>55.463000000000001</v>
      </c>
      <c r="H573">
        <v>0.57199999999999995</v>
      </c>
      <c r="I573">
        <v>3</v>
      </c>
      <c r="J573">
        <v>1699</v>
      </c>
      <c r="K573">
        <v>0.36759767399999999</v>
      </c>
      <c r="L573">
        <v>0.57599999999999996</v>
      </c>
      <c r="M573">
        <v>3</v>
      </c>
      <c r="N573">
        <v>0.311</v>
      </c>
      <c r="O573">
        <v>2</v>
      </c>
      <c r="P573">
        <v>3</v>
      </c>
      <c r="S573" s="114" t="s">
        <v>944</v>
      </c>
    </row>
    <row r="574" spans="1:19" x14ac:dyDescent="0.2">
      <c r="A574" t="s">
        <v>2175</v>
      </c>
      <c r="B574">
        <v>9009154800</v>
      </c>
      <c r="C574" t="s">
        <v>2176</v>
      </c>
      <c r="D574">
        <v>89167</v>
      </c>
      <c r="E574">
        <v>2.62</v>
      </c>
      <c r="F574">
        <v>55087.556570000001</v>
      </c>
      <c r="G574">
        <v>55.088000000000001</v>
      </c>
      <c r="H574">
        <v>0.56499999999999995</v>
      </c>
      <c r="I574">
        <v>3</v>
      </c>
      <c r="J574">
        <v>1730</v>
      </c>
      <c r="K574">
        <v>0.37685461599999998</v>
      </c>
      <c r="L574">
        <v>0.621</v>
      </c>
      <c r="M574">
        <v>4</v>
      </c>
      <c r="N574">
        <v>0.29099999999999998</v>
      </c>
      <c r="O574">
        <v>2</v>
      </c>
      <c r="P574">
        <v>3</v>
      </c>
      <c r="S574" s="116" t="s">
        <v>944</v>
      </c>
    </row>
    <row r="575" spans="1:19" x14ac:dyDescent="0.2">
      <c r="A575" t="s">
        <v>2177</v>
      </c>
      <c r="B575">
        <v>9009154900</v>
      </c>
      <c r="C575" t="s">
        <v>2178</v>
      </c>
      <c r="D575">
        <v>70350</v>
      </c>
      <c r="E575">
        <v>2.57</v>
      </c>
      <c r="F575">
        <v>43883.124309999999</v>
      </c>
      <c r="G575">
        <v>43.883000000000003</v>
      </c>
      <c r="H575">
        <v>0.34899999999999998</v>
      </c>
      <c r="I575">
        <v>2</v>
      </c>
      <c r="J575">
        <v>1296</v>
      </c>
      <c r="K575">
        <v>0.35439591500000001</v>
      </c>
      <c r="L575">
        <v>0.503</v>
      </c>
      <c r="M575">
        <v>3</v>
      </c>
      <c r="N575">
        <v>0.66</v>
      </c>
      <c r="O575">
        <v>4</v>
      </c>
      <c r="P575">
        <v>4</v>
      </c>
      <c r="S575" s="114" t="s">
        <v>944</v>
      </c>
    </row>
    <row r="576" spans="1:19" x14ac:dyDescent="0.2">
      <c r="A576" t="s">
        <v>2179</v>
      </c>
      <c r="B576">
        <v>9009155000</v>
      </c>
      <c r="C576" t="s">
        <v>2180</v>
      </c>
      <c r="D576">
        <v>63715</v>
      </c>
      <c r="E576">
        <v>2.61</v>
      </c>
      <c r="F576">
        <v>39438.59491</v>
      </c>
      <c r="G576">
        <v>39.439</v>
      </c>
      <c r="H576">
        <v>0.28599999999999998</v>
      </c>
      <c r="I576">
        <v>2</v>
      </c>
      <c r="J576">
        <v>1457</v>
      </c>
      <c r="K576">
        <v>0.44332208200000001</v>
      </c>
      <c r="L576">
        <v>0.77700000000000002</v>
      </c>
      <c r="M576">
        <v>4</v>
      </c>
      <c r="N576">
        <v>0.51900000000000002</v>
      </c>
      <c r="O576">
        <v>3</v>
      </c>
      <c r="P576">
        <v>4</v>
      </c>
      <c r="S576" s="116" t="s">
        <v>944</v>
      </c>
    </row>
    <row r="577" spans="1:19" x14ac:dyDescent="0.2">
      <c r="A577" t="s">
        <v>2181</v>
      </c>
      <c r="B577">
        <v>9009155100</v>
      </c>
      <c r="C577" t="s">
        <v>2182</v>
      </c>
      <c r="D577">
        <v>41477</v>
      </c>
      <c r="E577">
        <v>1.9</v>
      </c>
      <c r="F577">
        <v>30090.578430000001</v>
      </c>
      <c r="G577">
        <v>30.091000000000001</v>
      </c>
      <c r="H577">
        <v>0.17100000000000001</v>
      </c>
      <c r="I577">
        <v>1</v>
      </c>
      <c r="J577">
        <v>1263</v>
      </c>
      <c r="K577">
        <v>0.50367925099999999</v>
      </c>
      <c r="L577">
        <v>0.85</v>
      </c>
      <c r="M577">
        <v>5</v>
      </c>
      <c r="N577">
        <v>0.7</v>
      </c>
      <c r="O577">
        <v>4</v>
      </c>
      <c r="P577">
        <v>5</v>
      </c>
      <c r="S577" s="114" t="s">
        <v>936</v>
      </c>
    </row>
    <row r="578" spans="1:19" x14ac:dyDescent="0.2">
      <c r="A578" t="s">
        <v>2183</v>
      </c>
      <c r="B578">
        <v>9009157100</v>
      </c>
      <c r="C578" t="s">
        <v>2184</v>
      </c>
      <c r="D578">
        <v>67097</v>
      </c>
      <c r="E578">
        <v>2.44</v>
      </c>
      <c r="F578">
        <v>42954.452660000003</v>
      </c>
      <c r="G578">
        <v>42.954000000000001</v>
      </c>
      <c r="H578">
        <v>0.33900000000000002</v>
      </c>
      <c r="I578">
        <v>2</v>
      </c>
      <c r="J578">
        <v>1754</v>
      </c>
      <c r="K578">
        <v>0.49000740799999998</v>
      </c>
      <c r="L578">
        <v>0.83399999999999996</v>
      </c>
      <c r="M578">
        <v>5</v>
      </c>
      <c r="N578">
        <v>0.28299999999999997</v>
      </c>
      <c r="O578">
        <v>2</v>
      </c>
      <c r="P578">
        <v>3</v>
      </c>
      <c r="S578" s="116" t="s">
        <v>944</v>
      </c>
    </row>
    <row r="579" spans="1:19" x14ac:dyDescent="0.2">
      <c r="A579" t="s">
        <v>2185</v>
      </c>
      <c r="B579">
        <v>9009157200</v>
      </c>
      <c r="C579" t="s">
        <v>2186</v>
      </c>
      <c r="D579">
        <v>129559</v>
      </c>
      <c r="E579">
        <v>3.03</v>
      </c>
      <c r="F579">
        <v>74429.700769999996</v>
      </c>
      <c r="G579">
        <v>74.430000000000007</v>
      </c>
      <c r="H579">
        <v>0.84499999999999997</v>
      </c>
      <c r="I579">
        <v>5</v>
      </c>
      <c r="J579">
        <v>2329</v>
      </c>
      <c r="K579">
        <v>0.375495262</v>
      </c>
      <c r="L579">
        <v>0.61499999999999999</v>
      </c>
      <c r="M579">
        <v>4</v>
      </c>
      <c r="N579">
        <v>0.108</v>
      </c>
      <c r="O579">
        <v>1</v>
      </c>
      <c r="P579">
        <v>1</v>
      </c>
      <c r="S579" s="114" t="s">
        <v>944</v>
      </c>
    </row>
    <row r="580" spans="1:19" x14ac:dyDescent="0.2">
      <c r="A580" t="s">
        <v>2187</v>
      </c>
      <c r="B580">
        <v>9009157300</v>
      </c>
      <c r="C580" t="s">
        <v>2188</v>
      </c>
      <c r="D580">
        <v>130888</v>
      </c>
      <c r="E580">
        <v>2.67</v>
      </c>
      <c r="F580">
        <v>80102.155150000006</v>
      </c>
      <c r="G580">
        <v>80.102000000000004</v>
      </c>
      <c r="H580">
        <v>0.878</v>
      </c>
      <c r="I580">
        <v>5</v>
      </c>
      <c r="J580">
        <v>2202</v>
      </c>
      <c r="K580">
        <v>0.32987876500000002</v>
      </c>
      <c r="L580">
        <v>0.35599999999999998</v>
      </c>
      <c r="M580">
        <v>2</v>
      </c>
      <c r="N580">
        <v>0.126</v>
      </c>
      <c r="O580">
        <v>1</v>
      </c>
      <c r="P580">
        <v>1</v>
      </c>
      <c r="S580" s="116" t="s">
        <v>944</v>
      </c>
    </row>
    <row r="581" spans="1:19" x14ac:dyDescent="0.2">
      <c r="A581" t="s">
        <v>2189</v>
      </c>
      <c r="B581">
        <v>9009157400</v>
      </c>
      <c r="C581" t="s">
        <v>2190</v>
      </c>
      <c r="D581">
        <v>138169</v>
      </c>
      <c r="E581">
        <v>2.91</v>
      </c>
      <c r="F581">
        <v>80996.102239999993</v>
      </c>
      <c r="G581">
        <v>80.995999999999995</v>
      </c>
      <c r="H581">
        <v>0.88600000000000001</v>
      </c>
      <c r="I581">
        <v>5</v>
      </c>
      <c r="J581">
        <v>2364</v>
      </c>
      <c r="K581">
        <v>0.35023907599999998</v>
      </c>
      <c r="L581">
        <v>0.47899999999999998</v>
      </c>
      <c r="M581">
        <v>3</v>
      </c>
      <c r="N581">
        <v>9.7000000000000003E-2</v>
      </c>
      <c r="O581">
        <v>1</v>
      </c>
      <c r="P581">
        <v>1</v>
      </c>
      <c r="S581" s="114" t="s">
        <v>944</v>
      </c>
    </row>
    <row r="582" spans="1:19" x14ac:dyDescent="0.2">
      <c r="A582" t="s">
        <v>2191</v>
      </c>
      <c r="B582">
        <v>9009160100</v>
      </c>
      <c r="C582" t="s">
        <v>2192</v>
      </c>
      <c r="D582">
        <v>167400</v>
      </c>
      <c r="E582">
        <v>2.88</v>
      </c>
      <c r="F582">
        <v>98641.395980000001</v>
      </c>
      <c r="G582">
        <v>98.641000000000005</v>
      </c>
      <c r="H582">
        <v>0.94199999999999995</v>
      </c>
      <c r="I582">
        <v>5</v>
      </c>
      <c r="J582">
        <v>2642</v>
      </c>
      <c r="K582">
        <v>0.32140664400000002</v>
      </c>
      <c r="L582">
        <v>0.30499999999999999</v>
      </c>
      <c r="M582">
        <v>2</v>
      </c>
      <c r="N582">
        <v>6.4000000000000001E-2</v>
      </c>
      <c r="O582">
        <v>1</v>
      </c>
      <c r="P582">
        <v>1</v>
      </c>
      <c r="S582" s="116" t="s">
        <v>944</v>
      </c>
    </row>
    <row r="583" spans="1:19" x14ac:dyDescent="0.2">
      <c r="A583" t="s">
        <v>2193</v>
      </c>
      <c r="B583">
        <v>9009160200</v>
      </c>
      <c r="C583" t="s">
        <v>2194</v>
      </c>
      <c r="D583">
        <v>149107</v>
      </c>
      <c r="E583">
        <v>3.1</v>
      </c>
      <c r="F583">
        <v>84687.085219999994</v>
      </c>
      <c r="G583">
        <v>84.686999999999998</v>
      </c>
      <c r="H583">
        <v>0.90600000000000003</v>
      </c>
      <c r="I583">
        <v>5</v>
      </c>
      <c r="J583">
        <v>2238</v>
      </c>
      <c r="K583">
        <v>0.31712037199999998</v>
      </c>
      <c r="L583">
        <v>0.26500000000000001</v>
      </c>
      <c r="M583">
        <v>2</v>
      </c>
      <c r="N583">
        <v>0.125</v>
      </c>
      <c r="O583">
        <v>1</v>
      </c>
      <c r="P583">
        <v>1</v>
      </c>
      <c r="S583" s="114" t="s">
        <v>944</v>
      </c>
    </row>
    <row r="584" spans="1:19" x14ac:dyDescent="0.2">
      <c r="A584" t="s">
        <v>2195</v>
      </c>
      <c r="B584">
        <v>9009161100</v>
      </c>
      <c r="C584" t="s">
        <v>2196</v>
      </c>
      <c r="D584">
        <v>129133</v>
      </c>
      <c r="E584">
        <v>2.73</v>
      </c>
      <c r="F584">
        <v>78154.846980000002</v>
      </c>
      <c r="G584">
        <v>78.155000000000001</v>
      </c>
      <c r="H584">
        <v>0.86499999999999999</v>
      </c>
      <c r="I584">
        <v>5</v>
      </c>
      <c r="J584">
        <v>2240</v>
      </c>
      <c r="K584">
        <v>0.34393260399999998</v>
      </c>
      <c r="L584">
        <v>0.442</v>
      </c>
      <c r="M584">
        <v>3</v>
      </c>
      <c r="N584">
        <v>0.123</v>
      </c>
      <c r="O584">
        <v>1</v>
      </c>
      <c r="P584">
        <v>1</v>
      </c>
      <c r="S584" s="116" t="s">
        <v>944</v>
      </c>
    </row>
    <row r="585" spans="1:19" x14ac:dyDescent="0.2">
      <c r="A585" t="s">
        <v>2197</v>
      </c>
      <c r="B585">
        <v>9009165100</v>
      </c>
      <c r="C585" t="s">
        <v>2198</v>
      </c>
      <c r="D585">
        <v>78134</v>
      </c>
      <c r="E585">
        <v>2.67</v>
      </c>
      <c r="F585">
        <v>47817.231449999999</v>
      </c>
      <c r="G585">
        <v>47.817</v>
      </c>
      <c r="H585">
        <v>0.42199999999999999</v>
      </c>
      <c r="I585">
        <v>3</v>
      </c>
      <c r="J585">
        <v>1673</v>
      </c>
      <c r="K585">
        <v>0.41984864900000002</v>
      </c>
      <c r="L585">
        <v>0.72299999999999998</v>
      </c>
      <c r="M585">
        <v>4</v>
      </c>
      <c r="N585">
        <v>0.32500000000000001</v>
      </c>
      <c r="O585">
        <v>2</v>
      </c>
      <c r="P585">
        <v>3</v>
      </c>
      <c r="S585" s="114" t="s">
        <v>944</v>
      </c>
    </row>
    <row r="586" spans="1:19" x14ac:dyDescent="0.2">
      <c r="A586" t="s">
        <v>2199</v>
      </c>
      <c r="B586">
        <v>9009165200</v>
      </c>
      <c r="C586" t="s">
        <v>2200</v>
      </c>
      <c r="D586">
        <v>105833</v>
      </c>
      <c r="E586">
        <v>2.36</v>
      </c>
      <c r="F586">
        <v>68891.415080000006</v>
      </c>
      <c r="G586">
        <v>68.891000000000005</v>
      </c>
      <c r="H586">
        <v>0.78900000000000003</v>
      </c>
      <c r="I586">
        <v>4</v>
      </c>
      <c r="J586">
        <v>1727</v>
      </c>
      <c r="K586">
        <v>0.30082122700000002</v>
      </c>
      <c r="L586">
        <v>0.17599999999999999</v>
      </c>
      <c r="M586">
        <v>1</v>
      </c>
      <c r="N586">
        <v>0.29199999999999998</v>
      </c>
      <c r="O586">
        <v>2</v>
      </c>
      <c r="P586">
        <v>2</v>
      </c>
      <c r="S586" s="116" t="s">
        <v>944</v>
      </c>
    </row>
    <row r="587" spans="1:19" x14ac:dyDescent="0.2">
      <c r="A587" t="s">
        <v>2201</v>
      </c>
      <c r="B587">
        <v>9009165300</v>
      </c>
      <c r="C587" t="s">
        <v>2202</v>
      </c>
      <c r="D587">
        <v>105759</v>
      </c>
      <c r="E587">
        <v>2.36</v>
      </c>
      <c r="F587">
        <v>68843.245179999998</v>
      </c>
      <c r="G587">
        <v>68.843000000000004</v>
      </c>
      <c r="H587">
        <v>0.78700000000000003</v>
      </c>
      <c r="I587">
        <v>4</v>
      </c>
      <c r="J587">
        <v>1649</v>
      </c>
      <c r="K587">
        <v>0.28743560699999998</v>
      </c>
      <c r="L587">
        <v>0.105</v>
      </c>
      <c r="M587">
        <v>1</v>
      </c>
      <c r="N587">
        <v>0.35</v>
      </c>
      <c r="O587">
        <v>2</v>
      </c>
      <c r="P587">
        <v>2</v>
      </c>
      <c r="S587" s="114" t="s">
        <v>944</v>
      </c>
    </row>
    <row r="588" spans="1:19" x14ac:dyDescent="0.2">
      <c r="A588" t="s">
        <v>2203</v>
      </c>
      <c r="B588">
        <v>9009165400</v>
      </c>
      <c r="C588" t="s">
        <v>2204</v>
      </c>
      <c r="D588">
        <v>82364</v>
      </c>
      <c r="E588">
        <v>2.0099999999999998</v>
      </c>
      <c r="F588">
        <v>58095.086300000003</v>
      </c>
      <c r="G588">
        <v>58.094999999999999</v>
      </c>
      <c r="H588">
        <v>0.61899999999999999</v>
      </c>
      <c r="I588">
        <v>4</v>
      </c>
      <c r="J588">
        <v>1283</v>
      </c>
      <c r="K588">
        <v>0.26501380699999999</v>
      </c>
      <c r="L588">
        <v>4.5999999999999999E-2</v>
      </c>
      <c r="M588">
        <v>1</v>
      </c>
      <c r="N588">
        <v>0.67400000000000004</v>
      </c>
      <c r="O588">
        <v>4</v>
      </c>
      <c r="P588">
        <v>3</v>
      </c>
      <c r="S588" s="116" t="s">
        <v>944</v>
      </c>
    </row>
    <row r="589" spans="1:19" x14ac:dyDescent="0.2">
      <c r="A589" t="s">
        <v>2205</v>
      </c>
      <c r="B589">
        <v>9009165500</v>
      </c>
      <c r="C589" t="s">
        <v>2206</v>
      </c>
      <c r="D589">
        <v>48477</v>
      </c>
      <c r="E589">
        <v>2.69</v>
      </c>
      <c r="F589">
        <v>29556.948550000001</v>
      </c>
      <c r="G589">
        <v>29.556999999999999</v>
      </c>
      <c r="H589">
        <v>0.16400000000000001</v>
      </c>
      <c r="I589">
        <v>1</v>
      </c>
      <c r="J589">
        <v>1350</v>
      </c>
      <c r="K589">
        <v>0.54809446799999995</v>
      </c>
      <c r="L589">
        <v>0.88500000000000001</v>
      </c>
      <c r="M589">
        <v>5</v>
      </c>
      <c r="N589">
        <v>0.60499999999999998</v>
      </c>
      <c r="O589">
        <v>4</v>
      </c>
      <c r="P589">
        <v>5</v>
      </c>
      <c r="S589" s="114" t="s">
        <v>944</v>
      </c>
    </row>
    <row r="590" spans="1:19" x14ac:dyDescent="0.2">
      <c r="A590" t="s">
        <v>2207</v>
      </c>
      <c r="B590">
        <v>9009165600</v>
      </c>
      <c r="C590" t="s">
        <v>2208</v>
      </c>
      <c r="D590">
        <v>61196</v>
      </c>
      <c r="E590">
        <v>2.74</v>
      </c>
      <c r="F590">
        <v>36969.855620000002</v>
      </c>
      <c r="G590">
        <v>36.97</v>
      </c>
      <c r="H590">
        <v>0.25800000000000001</v>
      </c>
      <c r="I590">
        <v>2</v>
      </c>
      <c r="J590">
        <v>1454</v>
      </c>
      <c r="K590">
        <v>0.47195207300000003</v>
      </c>
      <c r="L590">
        <v>0.81299999999999994</v>
      </c>
      <c r="M590">
        <v>5</v>
      </c>
      <c r="N590">
        <v>0.52400000000000002</v>
      </c>
      <c r="O590">
        <v>3</v>
      </c>
      <c r="P590">
        <v>4</v>
      </c>
      <c r="S590" s="116" t="s">
        <v>944</v>
      </c>
    </row>
    <row r="591" spans="1:19" x14ac:dyDescent="0.2">
      <c r="A591" t="s">
        <v>2209</v>
      </c>
      <c r="B591">
        <v>9009165700</v>
      </c>
      <c r="C591" t="s">
        <v>2210</v>
      </c>
      <c r="D591">
        <v>74722</v>
      </c>
      <c r="E591">
        <v>2.83</v>
      </c>
      <c r="F591">
        <v>44417.618520000004</v>
      </c>
      <c r="G591">
        <v>44.417999999999999</v>
      </c>
      <c r="H591">
        <v>0.35799999999999998</v>
      </c>
      <c r="I591">
        <v>2</v>
      </c>
      <c r="J591">
        <v>1691</v>
      </c>
      <c r="K591">
        <v>0.456845744</v>
      </c>
      <c r="L591">
        <v>0.79400000000000004</v>
      </c>
      <c r="M591">
        <v>4</v>
      </c>
      <c r="N591">
        <v>0.317</v>
      </c>
      <c r="O591">
        <v>2</v>
      </c>
      <c r="P591">
        <v>3</v>
      </c>
      <c r="S591" s="114" t="s">
        <v>944</v>
      </c>
    </row>
    <row r="592" spans="1:19" x14ac:dyDescent="0.2">
      <c r="A592" t="s">
        <v>2211</v>
      </c>
      <c r="B592">
        <v>9009165801</v>
      </c>
      <c r="C592" t="s">
        <v>2212</v>
      </c>
      <c r="D592">
        <v>69390</v>
      </c>
      <c r="E592">
        <v>2.27</v>
      </c>
      <c r="F592">
        <v>46055.760589999998</v>
      </c>
      <c r="G592">
        <v>46.055999999999997</v>
      </c>
      <c r="H592">
        <v>0.38700000000000001</v>
      </c>
      <c r="I592">
        <v>2</v>
      </c>
      <c r="J592">
        <v>1430</v>
      </c>
      <c r="K592">
        <v>0.37259182699999999</v>
      </c>
      <c r="L592">
        <v>0.60399999999999998</v>
      </c>
      <c r="M592">
        <v>4</v>
      </c>
      <c r="N592">
        <v>0.54200000000000004</v>
      </c>
      <c r="O592">
        <v>3</v>
      </c>
      <c r="P592">
        <v>4</v>
      </c>
      <c r="S592" s="116" t="s">
        <v>944</v>
      </c>
    </row>
    <row r="593" spans="1:19" x14ac:dyDescent="0.2">
      <c r="A593" t="s">
        <v>2213</v>
      </c>
      <c r="B593">
        <v>9009165802</v>
      </c>
      <c r="C593" t="s">
        <v>2214</v>
      </c>
      <c r="D593">
        <v>106904</v>
      </c>
      <c r="E593">
        <v>2.98</v>
      </c>
      <c r="F593">
        <v>61927.82445</v>
      </c>
      <c r="G593">
        <v>61.927999999999997</v>
      </c>
      <c r="H593">
        <v>0.69299999999999995</v>
      </c>
      <c r="I593">
        <v>4</v>
      </c>
      <c r="J593">
        <v>2045</v>
      </c>
      <c r="K593">
        <v>0.39626775600000003</v>
      </c>
      <c r="L593">
        <v>0.67800000000000005</v>
      </c>
      <c r="M593">
        <v>4</v>
      </c>
      <c r="N593">
        <v>0.153</v>
      </c>
      <c r="O593">
        <v>1</v>
      </c>
      <c r="P593">
        <v>2</v>
      </c>
      <c r="S593" s="114" t="s">
        <v>944</v>
      </c>
    </row>
    <row r="594" spans="1:19" x14ac:dyDescent="0.2">
      <c r="A594" t="s">
        <v>2215</v>
      </c>
      <c r="B594">
        <v>9009165900</v>
      </c>
      <c r="C594" t="s">
        <v>2216</v>
      </c>
      <c r="D594">
        <v>113765</v>
      </c>
      <c r="E594">
        <v>2.68</v>
      </c>
      <c r="F594">
        <v>69493.034190000006</v>
      </c>
      <c r="G594">
        <v>69.492999999999995</v>
      </c>
      <c r="H594">
        <v>0.79400000000000004</v>
      </c>
      <c r="I594">
        <v>4</v>
      </c>
      <c r="J594">
        <v>2369</v>
      </c>
      <c r="K594">
        <v>0.40907697199999998</v>
      </c>
      <c r="L594">
        <v>0.7</v>
      </c>
      <c r="M594">
        <v>4</v>
      </c>
      <c r="N594">
        <v>9.5000000000000001E-2</v>
      </c>
      <c r="O594">
        <v>1</v>
      </c>
      <c r="P594">
        <v>2</v>
      </c>
      <c r="S594" s="116" t="s">
        <v>944</v>
      </c>
    </row>
    <row r="595" spans="1:19" x14ac:dyDescent="0.2">
      <c r="A595" t="s">
        <v>2217</v>
      </c>
      <c r="B595">
        <v>9009166001</v>
      </c>
      <c r="C595" t="s">
        <v>2218</v>
      </c>
      <c r="D595">
        <v>70787</v>
      </c>
      <c r="E595">
        <v>2.08</v>
      </c>
      <c r="F595">
        <v>49081.95349</v>
      </c>
      <c r="G595">
        <v>49.082000000000001</v>
      </c>
      <c r="H595">
        <v>0.45300000000000001</v>
      </c>
      <c r="I595">
        <v>3</v>
      </c>
      <c r="J595">
        <v>1616</v>
      </c>
      <c r="K595">
        <v>0.39509429899999998</v>
      </c>
      <c r="L595">
        <v>0.67300000000000004</v>
      </c>
      <c r="M595">
        <v>4</v>
      </c>
      <c r="N595">
        <v>0.374</v>
      </c>
      <c r="O595">
        <v>2</v>
      </c>
      <c r="P595">
        <v>3</v>
      </c>
      <c r="S595" s="114" t="s">
        <v>944</v>
      </c>
    </row>
    <row r="596" spans="1:19" x14ac:dyDescent="0.2">
      <c r="A596" t="s">
        <v>2219</v>
      </c>
      <c r="B596">
        <v>9009166002</v>
      </c>
      <c r="C596" t="s">
        <v>2220</v>
      </c>
      <c r="D596">
        <v>95125</v>
      </c>
      <c r="E596">
        <v>2.19</v>
      </c>
      <c r="F596">
        <v>64279.518120000001</v>
      </c>
      <c r="G596">
        <v>64.28</v>
      </c>
      <c r="H596">
        <v>0.72099999999999997</v>
      </c>
      <c r="I596">
        <v>4</v>
      </c>
      <c r="J596">
        <v>1710</v>
      </c>
      <c r="K596">
        <v>0.31923076900000003</v>
      </c>
      <c r="L596">
        <v>0.28399999999999997</v>
      </c>
      <c r="M596">
        <v>2</v>
      </c>
      <c r="N596">
        <v>0.30499999999999999</v>
      </c>
      <c r="O596">
        <v>2</v>
      </c>
      <c r="P596">
        <v>2</v>
      </c>
      <c r="S596" s="116" t="s">
        <v>944</v>
      </c>
    </row>
    <row r="597" spans="1:19" x14ac:dyDescent="0.2">
      <c r="A597" t="s">
        <v>2221</v>
      </c>
      <c r="B597">
        <v>9009167100</v>
      </c>
      <c r="C597" t="s">
        <v>2222</v>
      </c>
      <c r="D597">
        <v>107619</v>
      </c>
      <c r="E597">
        <v>2.5299999999999998</v>
      </c>
      <c r="F597">
        <v>67659.485610000003</v>
      </c>
      <c r="G597">
        <v>67.659000000000006</v>
      </c>
      <c r="H597">
        <v>0.77100000000000002</v>
      </c>
      <c r="I597">
        <v>4</v>
      </c>
      <c r="J597">
        <v>1824</v>
      </c>
      <c r="K597">
        <v>0.32350231200000001</v>
      </c>
      <c r="L597">
        <v>0.32300000000000001</v>
      </c>
      <c r="M597">
        <v>2</v>
      </c>
      <c r="N597">
        <v>0.246</v>
      </c>
      <c r="O597">
        <v>2</v>
      </c>
      <c r="P597">
        <v>2</v>
      </c>
      <c r="S597" s="114" t="s">
        <v>944</v>
      </c>
    </row>
    <row r="598" spans="1:19" x14ac:dyDescent="0.2">
      <c r="A598" t="s">
        <v>2223</v>
      </c>
      <c r="B598">
        <v>9009167201</v>
      </c>
      <c r="C598" t="s">
        <v>2224</v>
      </c>
      <c r="D598">
        <v>88750</v>
      </c>
      <c r="E598">
        <v>2.6</v>
      </c>
      <c r="F598">
        <v>55040.41347</v>
      </c>
      <c r="G598">
        <v>55.04</v>
      </c>
      <c r="H598">
        <v>0.56299999999999994</v>
      </c>
      <c r="I598">
        <v>3</v>
      </c>
      <c r="J598">
        <v>1741</v>
      </c>
      <c r="K598">
        <v>0.37957563700000002</v>
      </c>
      <c r="L598">
        <v>0.63200000000000001</v>
      </c>
      <c r="M598">
        <v>4</v>
      </c>
      <c r="N598">
        <v>0.28799999999999998</v>
      </c>
      <c r="O598">
        <v>2</v>
      </c>
      <c r="P598">
        <v>3</v>
      </c>
      <c r="S598" s="116" t="s">
        <v>944</v>
      </c>
    </row>
    <row r="599" spans="1:19" x14ac:dyDescent="0.2">
      <c r="A599" t="s">
        <v>2225</v>
      </c>
      <c r="B599">
        <v>9009167202</v>
      </c>
      <c r="C599" t="s">
        <v>2226</v>
      </c>
      <c r="D599">
        <v>85406</v>
      </c>
      <c r="E599">
        <v>2.63</v>
      </c>
      <c r="F599">
        <v>52663.595679999999</v>
      </c>
      <c r="G599">
        <v>52.664000000000001</v>
      </c>
      <c r="H599">
        <v>0.51500000000000001</v>
      </c>
      <c r="I599">
        <v>3</v>
      </c>
      <c r="J599">
        <v>1464</v>
      </c>
      <c r="K599">
        <v>0.33358907199999999</v>
      </c>
      <c r="L599">
        <v>0.38600000000000001</v>
      </c>
      <c r="M599">
        <v>2</v>
      </c>
      <c r="N599">
        <v>0.50900000000000001</v>
      </c>
      <c r="O599">
        <v>3</v>
      </c>
      <c r="P599">
        <v>3</v>
      </c>
      <c r="S599" s="114" t="s">
        <v>944</v>
      </c>
    </row>
    <row r="600" spans="1:19" x14ac:dyDescent="0.2">
      <c r="A600" t="s">
        <v>2227</v>
      </c>
      <c r="B600">
        <v>9009167300</v>
      </c>
      <c r="C600" t="s">
        <v>2228</v>
      </c>
      <c r="D600">
        <v>106250</v>
      </c>
      <c r="E600">
        <v>2.64</v>
      </c>
      <c r="F600">
        <v>65392.354579999999</v>
      </c>
      <c r="G600">
        <v>65.391999999999996</v>
      </c>
      <c r="H600">
        <v>0.74099999999999999</v>
      </c>
      <c r="I600">
        <v>4</v>
      </c>
      <c r="J600">
        <v>1724</v>
      </c>
      <c r="K600">
        <v>0.31636725900000001</v>
      </c>
      <c r="L600">
        <v>0.26</v>
      </c>
      <c r="M600">
        <v>2</v>
      </c>
      <c r="N600">
        <v>0.29599999999999999</v>
      </c>
      <c r="O600">
        <v>2</v>
      </c>
      <c r="P600">
        <v>2</v>
      </c>
      <c r="S600" s="116" t="s">
        <v>944</v>
      </c>
    </row>
    <row r="601" spans="1:19" x14ac:dyDescent="0.2">
      <c r="A601" t="s">
        <v>2229</v>
      </c>
      <c r="B601">
        <v>9009170100</v>
      </c>
      <c r="C601" t="s">
        <v>2230</v>
      </c>
      <c r="D601">
        <v>30417</v>
      </c>
      <c r="E601">
        <v>2.09</v>
      </c>
      <c r="F601">
        <v>21039.878850000001</v>
      </c>
      <c r="G601">
        <v>21.04</v>
      </c>
      <c r="H601">
        <v>6.9000000000000006E-2</v>
      </c>
      <c r="I601">
        <v>1</v>
      </c>
      <c r="J601">
        <v>874</v>
      </c>
      <c r="K601">
        <v>0.498481958</v>
      </c>
      <c r="L601">
        <v>0.84299999999999997</v>
      </c>
      <c r="M601">
        <v>5</v>
      </c>
      <c r="N601">
        <v>0.98</v>
      </c>
      <c r="O601">
        <v>5</v>
      </c>
      <c r="P601">
        <v>5</v>
      </c>
      <c r="S601" s="114" t="s">
        <v>936</v>
      </c>
    </row>
    <row r="602" spans="1:19" x14ac:dyDescent="0.2">
      <c r="A602" t="s">
        <v>2231</v>
      </c>
      <c r="B602">
        <v>9009170200</v>
      </c>
      <c r="C602" t="s">
        <v>2232</v>
      </c>
      <c r="D602">
        <v>43750</v>
      </c>
      <c r="E602">
        <v>1.9</v>
      </c>
      <c r="F602">
        <v>31739.585940000001</v>
      </c>
      <c r="G602">
        <v>31.74</v>
      </c>
      <c r="H602">
        <v>0.19600000000000001</v>
      </c>
      <c r="I602">
        <v>1</v>
      </c>
      <c r="J602">
        <v>958</v>
      </c>
      <c r="K602">
        <v>0.36219754199999998</v>
      </c>
      <c r="L602">
        <v>0.55100000000000005</v>
      </c>
      <c r="M602">
        <v>3</v>
      </c>
      <c r="N602">
        <v>0.95899999999999996</v>
      </c>
      <c r="O602">
        <v>5</v>
      </c>
      <c r="P602">
        <v>5</v>
      </c>
      <c r="S602" s="116" t="s">
        <v>936</v>
      </c>
    </row>
    <row r="603" spans="1:19" x14ac:dyDescent="0.2">
      <c r="A603" t="s">
        <v>2233</v>
      </c>
      <c r="B603">
        <v>9009170300</v>
      </c>
      <c r="C603" t="s">
        <v>2234</v>
      </c>
      <c r="D603">
        <v>42476</v>
      </c>
      <c r="E603">
        <v>2.5299999999999998</v>
      </c>
      <c r="F603">
        <v>26704.432400000002</v>
      </c>
      <c r="G603">
        <v>26.704000000000001</v>
      </c>
      <c r="H603">
        <v>0.13</v>
      </c>
      <c r="I603">
        <v>1</v>
      </c>
      <c r="J603">
        <v>1025</v>
      </c>
      <c r="K603">
        <v>0.46059769499999997</v>
      </c>
      <c r="L603">
        <v>0.8</v>
      </c>
      <c r="M603">
        <v>4</v>
      </c>
      <c r="N603">
        <v>0.92400000000000004</v>
      </c>
      <c r="O603">
        <v>5</v>
      </c>
      <c r="P603">
        <v>5</v>
      </c>
      <c r="S603" s="114" t="s">
        <v>936</v>
      </c>
    </row>
    <row r="604" spans="1:19" x14ac:dyDescent="0.2">
      <c r="A604" t="s">
        <v>2235</v>
      </c>
      <c r="B604">
        <v>9009170400</v>
      </c>
      <c r="C604" t="s">
        <v>2236</v>
      </c>
      <c r="D604">
        <v>58229</v>
      </c>
      <c r="E604">
        <v>2.54</v>
      </c>
      <c r="F604">
        <v>36536.124080000001</v>
      </c>
      <c r="G604">
        <v>36.536000000000001</v>
      </c>
      <c r="H604">
        <v>0.25700000000000001</v>
      </c>
      <c r="I604">
        <v>2</v>
      </c>
      <c r="J604">
        <v>1130</v>
      </c>
      <c r="K604">
        <v>0.37113953199999999</v>
      </c>
      <c r="L604">
        <v>0.59699999999999998</v>
      </c>
      <c r="M604">
        <v>3</v>
      </c>
      <c r="N604">
        <v>0.83699999999999997</v>
      </c>
      <c r="O604">
        <v>5</v>
      </c>
      <c r="P604">
        <v>5</v>
      </c>
      <c r="S604" s="116" t="s">
        <v>944</v>
      </c>
    </row>
    <row r="605" spans="1:19" x14ac:dyDescent="0.2">
      <c r="A605" t="s">
        <v>2237</v>
      </c>
      <c r="B605">
        <v>9009170500</v>
      </c>
      <c r="C605" t="s">
        <v>2238</v>
      </c>
      <c r="D605">
        <v>85406</v>
      </c>
      <c r="E605">
        <v>2.78</v>
      </c>
      <c r="F605">
        <v>51223.114849999998</v>
      </c>
      <c r="G605">
        <v>51.222999999999999</v>
      </c>
      <c r="H605">
        <v>0.48699999999999999</v>
      </c>
      <c r="I605">
        <v>3</v>
      </c>
      <c r="J605">
        <v>1408</v>
      </c>
      <c r="K605">
        <v>0.32985108499999999</v>
      </c>
      <c r="L605">
        <v>0.35499999999999998</v>
      </c>
      <c r="M605">
        <v>2</v>
      </c>
      <c r="N605">
        <v>0.56100000000000005</v>
      </c>
      <c r="O605">
        <v>3</v>
      </c>
      <c r="P605">
        <v>3</v>
      </c>
      <c r="S605" s="114" t="s">
        <v>944</v>
      </c>
    </row>
    <row r="606" spans="1:19" x14ac:dyDescent="0.2">
      <c r="A606" t="s">
        <v>2239</v>
      </c>
      <c r="B606">
        <v>9009170600</v>
      </c>
      <c r="C606" t="s">
        <v>2240</v>
      </c>
      <c r="D606">
        <v>57358</v>
      </c>
      <c r="E606">
        <v>2.2599999999999998</v>
      </c>
      <c r="F606">
        <v>38153.97406</v>
      </c>
      <c r="G606">
        <v>38.154000000000003</v>
      </c>
      <c r="H606">
        <v>0.26600000000000001</v>
      </c>
      <c r="I606">
        <v>2</v>
      </c>
      <c r="J606">
        <v>1120</v>
      </c>
      <c r="K606">
        <v>0.35225688399999999</v>
      </c>
      <c r="L606">
        <v>0.49099999999999999</v>
      </c>
      <c r="M606">
        <v>3</v>
      </c>
      <c r="N606">
        <v>0.85499999999999998</v>
      </c>
      <c r="O606">
        <v>5</v>
      </c>
      <c r="P606">
        <v>5</v>
      </c>
      <c r="S606" s="116" t="s">
        <v>944</v>
      </c>
    </row>
    <row r="607" spans="1:19" x14ac:dyDescent="0.2">
      <c r="A607" t="s">
        <v>2241</v>
      </c>
      <c r="B607">
        <v>9009170700</v>
      </c>
      <c r="C607" t="s">
        <v>2242</v>
      </c>
      <c r="D607">
        <v>66989</v>
      </c>
      <c r="E607">
        <v>2.2999999999999998</v>
      </c>
      <c r="F607">
        <v>44171.238530000002</v>
      </c>
      <c r="G607">
        <v>44.170999999999999</v>
      </c>
      <c r="H607">
        <v>0.35399999999999998</v>
      </c>
      <c r="I607">
        <v>2</v>
      </c>
      <c r="J607">
        <v>1190</v>
      </c>
      <c r="K607">
        <v>0.32328729</v>
      </c>
      <c r="L607">
        <v>0.32100000000000001</v>
      </c>
      <c r="M607">
        <v>2</v>
      </c>
      <c r="N607">
        <v>0.78200000000000003</v>
      </c>
      <c r="O607">
        <v>4</v>
      </c>
      <c r="P607">
        <v>4</v>
      </c>
      <c r="S607" s="114" t="s">
        <v>944</v>
      </c>
    </row>
    <row r="608" spans="1:19" x14ac:dyDescent="0.2">
      <c r="A608" t="s">
        <v>2243</v>
      </c>
      <c r="B608">
        <v>9009170800</v>
      </c>
      <c r="C608" t="s">
        <v>2244</v>
      </c>
      <c r="D608">
        <v>53857</v>
      </c>
      <c r="E608">
        <v>2.48</v>
      </c>
      <c r="F608">
        <v>34199.229200000002</v>
      </c>
      <c r="G608">
        <v>34.198999999999998</v>
      </c>
      <c r="H608">
        <v>0.22700000000000001</v>
      </c>
      <c r="I608">
        <v>2</v>
      </c>
      <c r="J608">
        <v>1156</v>
      </c>
      <c r="K608">
        <v>0.405623177</v>
      </c>
      <c r="L608">
        <v>0.69</v>
      </c>
      <c r="M608">
        <v>4</v>
      </c>
      <c r="N608">
        <v>0.81799999999999995</v>
      </c>
      <c r="O608">
        <v>5</v>
      </c>
      <c r="P608">
        <v>5</v>
      </c>
      <c r="S608" s="116" t="s">
        <v>944</v>
      </c>
    </row>
    <row r="609" spans="1:19" x14ac:dyDescent="0.2">
      <c r="A609" t="s">
        <v>2245</v>
      </c>
      <c r="B609">
        <v>9009170900</v>
      </c>
      <c r="C609" t="s">
        <v>2246</v>
      </c>
      <c r="D609">
        <v>28782</v>
      </c>
      <c r="E609">
        <v>1.94</v>
      </c>
      <c r="F609">
        <v>20664.271720000001</v>
      </c>
      <c r="G609">
        <v>20.664000000000001</v>
      </c>
      <c r="H609">
        <v>6.4000000000000001E-2</v>
      </c>
      <c r="I609">
        <v>1</v>
      </c>
      <c r="J609">
        <v>793</v>
      </c>
      <c r="K609">
        <v>0.46050497800000001</v>
      </c>
      <c r="L609">
        <v>0.79900000000000004</v>
      </c>
      <c r="M609">
        <v>4</v>
      </c>
      <c r="N609">
        <v>0.98799999999999999</v>
      </c>
      <c r="O609">
        <v>5</v>
      </c>
      <c r="P609">
        <v>5</v>
      </c>
      <c r="S609" s="114" t="s">
        <v>936</v>
      </c>
    </row>
    <row r="610" spans="1:19" x14ac:dyDescent="0.2">
      <c r="A610" t="s">
        <v>2247</v>
      </c>
      <c r="B610">
        <v>9009171000</v>
      </c>
      <c r="C610" t="s">
        <v>2248</v>
      </c>
      <c r="D610">
        <v>35460</v>
      </c>
      <c r="E610">
        <v>1.65</v>
      </c>
      <c r="F610">
        <v>27605.572560000001</v>
      </c>
      <c r="G610">
        <v>27.606000000000002</v>
      </c>
      <c r="H610">
        <v>0.13800000000000001</v>
      </c>
      <c r="I610">
        <v>1</v>
      </c>
      <c r="J610">
        <v>859</v>
      </c>
      <c r="K610">
        <v>0.37340286900000003</v>
      </c>
      <c r="L610">
        <v>0.60799999999999998</v>
      </c>
      <c r="M610">
        <v>4</v>
      </c>
      <c r="N610">
        <v>0.98299999999999998</v>
      </c>
      <c r="O610">
        <v>5</v>
      </c>
      <c r="P610">
        <v>5</v>
      </c>
      <c r="S610" s="116" t="s">
        <v>936</v>
      </c>
    </row>
    <row r="611" spans="1:19" x14ac:dyDescent="0.2">
      <c r="A611" t="s">
        <v>2249</v>
      </c>
      <c r="B611">
        <v>9009171100</v>
      </c>
      <c r="C611" t="s">
        <v>2250</v>
      </c>
      <c r="D611">
        <v>67108</v>
      </c>
      <c r="E611">
        <v>2.2799999999999998</v>
      </c>
      <c r="F611">
        <v>44443.35871</v>
      </c>
      <c r="G611">
        <v>44.442999999999998</v>
      </c>
      <c r="H611">
        <v>0.35899999999999999</v>
      </c>
      <c r="I611">
        <v>2</v>
      </c>
      <c r="J611">
        <v>1133</v>
      </c>
      <c r="K611">
        <v>0.305917473</v>
      </c>
      <c r="L611">
        <v>0.20599999999999999</v>
      </c>
      <c r="M611">
        <v>2</v>
      </c>
      <c r="N611">
        <v>0.83299999999999996</v>
      </c>
      <c r="O611">
        <v>5</v>
      </c>
      <c r="P611">
        <v>5</v>
      </c>
      <c r="S611" s="114" t="s">
        <v>944</v>
      </c>
    </row>
    <row r="612" spans="1:19" x14ac:dyDescent="0.2">
      <c r="A612" t="s">
        <v>2251</v>
      </c>
      <c r="B612">
        <v>9009171200</v>
      </c>
      <c r="C612" t="s">
        <v>2252</v>
      </c>
      <c r="D612">
        <v>86983</v>
      </c>
      <c r="E612">
        <v>2.2799999999999998</v>
      </c>
      <c r="F612">
        <v>57605.899010000001</v>
      </c>
      <c r="G612">
        <v>57.606000000000002</v>
      </c>
      <c r="H612">
        <v>0.61299999999999999</v>
      </c>
      <c r="I612">
        <v>4</v>
      </c>
      <c r="J612">
        <v>1426</v>
      </c>
      <c r="K612">
        <v>0.29705291099999998</v>
      </c>
      <c r="L612">
        <v>0.153</v>
      </c>
      <c r="M612">
        <v>1</v>
      </c>
      <c r="N612">
        <v>0.54600000000000004</v>
      </c>
      <c r="O612">
        <v>3</v>
      </c>
      <c r="P612">
        <v>3</v>
      </c>
      <c r="S612" s="116" t="s">
        <v>944</v>
      </c>
    </row>
    <row r="613" spans="1:19" x14ac:dyDescent="0.2">
      <c r="A613" t="s">
        <v>2253</v>
      </c>
      <c r="B613">
        <v>9009171300</v>
      </c>
      <c r="C613" t="s">
        <v>2254</v>
      </c>
      <c r="D613">
        <v>73828</v>
      </c>
      <c r="E613">
        <v>2.37</v>
      </c>
      <c r="F613">
        <v>47956.439380000003</v>
      </c>
      <c r="G613">
        <v>47.956000000000003</v>
      </c>
      <c r="H613">
        <v>0.42599999999999999</v>
      </c>
      <c r="I613">
        <v>3</v>
      </c>
      <c r="J613">
        <v>1045</v>
      </c>
      <c r="K613">
        <v>0.261487303</v>
      </c>
      <c r="L613">
        <v>0.04</v>
      </c>
      <c r="M613">
        <v>1</v>
      </c>
      <c r="N613">
        <v>0.91300000000000003</v>
      </c>
      <c r="O613">
        <v>5</v>
      </c>
      <c r="P613">
        <v>4</v>
      </c>
      <c r="S613" s="114" t="s">
        <v>944</v>
      </c>
    </row>
    <row r="614" spans="1:19" x14ac:dyDescent="0.2">
      <c r="A614" t="s">
        <v>2255</v>
      </c>
      <c r="B614">
        <v>9009171400</v>
      </c>
      <c r="C614" t="s">
        <v>2256</v>
      </c>
      <c r="D614">
        <v>47578</v>
      </c>
      <c r="E614">
        <v>2.08</v>
      </c>
      <c r="F614">
        <v>32989.407420000003</v>
      </c>
      <c r="G614">
        <v>32.988999999999997</v>
      </c>
      <c r="H614">
        <v>0.21299999999999999</v>
      </c>
      <c r="I614">
        <v>2</v>
      </c>
      <c r="J614">
        <v>992</v>
      </c>
      <c r="K614">
        <v>0.360843099</v>
      </c>
      <c r="L614">
        <v>0.54500000000000004</v>
      </c>
      <c r="M614">
        <v>3</v>
      </c>
      <c r="N614">
        <v>0.94699999999999995</v>
      </c>
      <c r="O614">
        <v>5</v>
      </c>
      <c r="P614">
        <v>5</v>
      </c>
      <c r="S614" s="116" t="s">
        <v>944</v>
      </c>
    </row>
    <row r="615" spans="1:19" x14ac:dyDescent="0.2">
      <c r="A615" t="s">
        <v>2257</v>
      </c>
      <c r="B615">
        <v>9009171500</v>
      </c>
      <c r="C615" t="s">
        <v>2258</v>
      </c>
      <c r="D615">
        <v>47036</v>
      </c>
      <c r="E615">
        <v>2.2599999999999998</v>
      </c>
      <c r="F615">
        <v>31287.881789999999</v>
      </c>
      <c r="G615">
        <v>31.288</v>
      </c>
      <c r="H615">
        <v>0.191</v>
      </c>
      <c r="I615">
        <v>1</v>
      </c>
      <c r="J615">
        <v>1102</v>
      </c>
      <c r="K615">
        <v>0.42265564999999999</v>
      </c>
      <c r="L615">
        <v>0.73699999999999999</v>
      </c>
      <c r="M615">
        <v>4</v>
      </c>
      <c r="N615">
        <v>0.874</v>
      </c>
      <c r="O615">
        <v>5</v>
      </c>
      <c r="P615">
        <v>5</v>
      </c>
      <c r="S615" s="114" t="s">
        <v>936</v>
      </c>
    </row>
    <row r="616" spans="1:19" x14ac:dyDescent="0.2">
      <c r="A616" t="s">
        <v>2259</v>
      </c>
      <c r="B616">
        <v>9009171600</v>
      </c>
      <c r="C616" t="s">
        <v>2260</v>
      </c>
      <c r="D616">
        <v>65521</v>
      </c>
      <c r="E616">
        <v>2.13</v>
      </c>
      <c r="F616">
        <v>44894.249459999999</v>
      </c>
      <c r="G616">
        <v>44.893999999999998</v>
      </c>
      <c r="H616">
        <v>0.36599999999999999</v>
      </c>
      <c r="I616">
        <v>2</v>
      </c>
      <c r="J616">
        <v>1183</v>
      </c>
      <c r="K616">
        <v>0.31620976299999998</v>
      </c>
      <c r="L616">
        <v>0.25900000000000001</v>
      </c>
      <c r="M616">
        <v>2</v>
      </c>
      <c r="N616">
        <v>0.79</v>
      </c>
      <c r="O616">
        <v>4</v>
      </c>
      <c r="P616">
        <v>4</v>
      </c>
      <c r="S616" s="116" t="s">
        <v>944</v>
      </c>
    </row>
    <row r="617" spans="1:19" x14ac:dyDescent="0.2">
      <c r="A617" t="s">
        <v>2261</v>
      </c>
      <c r="B617">
        <v>9009171700</v>
      </c>
      <c r="C617" t="s">
        <v>2262</v>
      </c>
      <c r="D617">
        <v>85536</v>
      </c>
      <c r="E617">
        <v>2.27</v>
      </c>
      <c r="F617">
        <v>56772.237179999996</v>
      </c>
      <c r="G617">
        <v>56.771999999999998</v>
      </c>
      <c r="H617">
        <v>0.59499999999999997</v>
      </c>
      <c r="I617">
        <v>3</v>
      </c>
      <c r="J617">
        <v>1238</v>
      </c>
      <c r="K617">
        <v>0.26167719900000003</v>
      </c>
      <c r="L617">
        <v>4.1000000000000002E-2</v>
      </c>
      <c r="M617">
        <v>1</v>
      </c>
      <c r="N617">
        <v>0.72399999999999998</v>
      </c>
      <c r="O617">
        <v>4</v>
      </c>
      <c r="P617">
        <v>4</v>
      </c>
      <c r="S617" s="114" t="s">
        <v>944</v>
      </c>
    </row>
    <row r="618" spans="1:19" x14ac:dyDescent="0.2">
      <c r="A618" t="s">
        <v>2263</v>
      </c>
      <c r="B618">
        <v>9009175100</v>
      </c>
      <c r="C618" t="s">
        <v>2264</v>
      </c>
      <c r="D618">
        <v>70396</v>
      </c>
      <c r="E618">
        <v>2.34</v>
      </c>
      <c r="F618">
        <v>46019.304830000001</v>
      </c>
      <c r="G618">
        <v>46.018999999999998</v>
      </c>
      <c r="H618">
        <v>0.38500000000000001</v>
      </c>
      <c r="I618">
        <v>2</v>
      </c>
      <c r="J618">
        <v>1233</v>
      </c>
      <c r="K618">
        <v>0.32151724300000001</v>
      </c>
      <c r="L618">
        <v>0.31</v>
      </c>
      <c r="M618">
        <v>2</v>
      </c>
      <c r="N618">
        <v>0.73</v>
      </c>
      <c r="O618">
        <v>4</v>
      </c>
      <c r="P618">
        <v>4</v>
      </c>
      <c r="S618" s="116" t="s">
        <v>944</v>
      </c>
    </row>
    <row r="619" spans="1:19" x14ac:dyDescent="0.2">
      <c r="A619" t="s">
        <v>2265</v>
      </c>
      <c r="B619">
        <v>9009175200</v>
      </c>
      <c r="C619" t="s">
        <v>2266</v>
      </c>
      <c r="D619">
        <v>61071</v>
      </c>
      <c r="E619">
        <v>2.2999999999999998</v>
      </c>
      <c r="F619">
        <v>40269.024890000001</v>
      </c>
      <c r="G619">
        <v>40.268999999999998</v>
      </c>
      <c r="H619">
        <v>0.29799999999999999</v>
      </c>
      <c r="I619">
        <v>2</v>
      </c>
      <c r="J619">
        <v>1124</v>
      </c>
      <c r="K619">
        <v>0.33494727099999999</v>
      </c>
      <c r="L619">
        <v>0.39400000000000002</v>
      </c>
      <c r="M619">
        <v>2</v>
      </c>
      <c r="N619">
        <v>0.84799999999999998</v>
      </c>
      <c r="O619">
        <v>5</v>
      </c>
      <c r="P619">
        <v>5</v>
      </c>
      <c r="S619" s="114" t="s">
        <v>944</v>
      </c>
    </row>
    <row r="620" spans="1:19" x14ac:dyDescent="0.2">
      <c r="A620" t="s">
        <v>2267</v>
      </c>
      <c r="B620">
        <v>9009175300</v>
      </c>
      <c r="C620" t="s">
        <v>2268</v>
      </c>
      <c r="D620">
        <v>75673</v>
      </c>
      <c r="E620">
        <v>2.2799999999999998</v>
      </c>
      <c r="F620">
        <v>50115.668530000003</v>
      </c>
      <c r="G620">
        <v>50.116</v>
      </c>
      <c r="H620">
        <v>0.47199999999999998</v>
      </c>
      <c r="I620">
        <v>3</v>
      </c>
      <c r="J620">
        <v>1305</v>
      </c>
      <c r="K620">
        <v>0.31247712500000002</v>
      </c>
      <c r="L620">
        <v>0.23899999999999999</v>
      </c>
      <c r="M620">
        <v>2</v>
      </c>
      <c r="N620">
        <v>0.65</v>
      </c>
      <c r="O620">
        <v>4</v>
      </c>
      <c r="P620">
        <v>4</v>
      </c>
      <c r="S620" s="116" t="s">
        <v>944</v>
      </c>
    </row>
    <row r="621" spans="1:19" x14ac:dyDescent="0.2">
      <c r="A621" t="s">
        <v>2269</v>
      </c>
      <c r="B621">
        <v>9009175400</v>
      </c>
      <c r="C621" t="s">
        <v>2270</v>
      </c>
      <c r="D621">
        <v>64405</v>
      </c>
      <c r="E621">
        <v>2.39</v>
      </c>
      <c r="F621">
        <v>41660.131269999998</v>
      </c>
      <c r="G621">
        <v>41.66</v>
      </c>
      <c r="H621">
        <v>0.313</v>
      </c>
      <c r="I621">
        <v>2</v>
      </c>
      <c r="J621">
        <v>1116</v>
      </c>
      <c r="K621">
        <v>0.32145842099999999</v>
      </c>
      <c r="L621">
        <v>0.30599999999999999</v>
      </c>
      <c r="M621">
        <v>2</v>
      </c>
      <c r="N621">
        <v>0.85899999999999999</v>
      </c>
      <c r="O621">
        <v>5</v>
      </c>
      <c r="P621">
        <v>5</v>
      </c>
      <c r="S621" s="114" t="s">
        <v>944</v>
      </c>
    </row>
    <row r="622" spans="1:19" x14ac:dyDescent="0.2">
      <c r="A622" t="s">
        <v>2271</v>
      </c>
      <c r="B622">
        <v>9009175500</v>
      </c>
      <c r="C622" t="s">
        <v>2272</v>
      </c>
      <c r="D622">
        <v>77903</v>
      </c>
      <c r="E622">
        <v>2.11</v>
      </c>
      <c r="F622">
        <v>53630.636930000001</v>
      </c>
      <c r="G622">
        <v>53.631</v>
      </c>
      <c r="H622">
        <v>0.53400000000000003</v>
      </c>
      <c r="I622">
        <v>3</v>
      </c>
      <c r="J622">
        <v>1295</v>
      </c>
      <c r="K622">
        <v>0.28975975100000001</v>
      </c>
      <c r="L622">
        <v>0.11600000000000001</v>
      </c>
      <c r="M622">
        <v>1</v>
      </c>
      <c r="N622">
        <v>0.66100000000000003</v>
      </c>
      <c r="O622">
        <v>4</v>
      </c>
      <c r="P622">
        <v>4</v>
      </c>
      <c r="S622" s="116" t="s">
        <v>944</v>
      </c>
    </row>
    <row r="623" spans="1:19" x14ac:dyDescent="0.2">
      <c r="A623" t="s">
        <v>2273</v>
      </c>
      <c r="B623">
        <v>9009175600</v>
      </c>
      <c r="C623" t="s">
        <v>2274</v>
      </c>
      <c r="D623">
        <v>88167</v>
      </c>
      <c r="E623">
        <v>2.38</v>
      </c>
      <c r="F623">
        <v>57150.177689999997</v>
      </c>
      <c r="G623">
        <v>57.15</v>
      </c>
      <c r="H623">
        <v>0.59699999999999998</v>
      </c>
      <c r="I623">
        <v>3</v>
      </c>
      <c r="J623">
        <v>1264</v>
      </c>
      <c r="K623">
        <v>0.265405999</v>
      </c>
      <c r="L623">
        <v>5.0999999999999997E-2</v>
      </c>
      <c r="M623">
        <v>1</v>
      </c>
      <c r="N623">
        <v>0.69899999999999995</v>
      </c>
      <c r="O623">
        <v>4</v>
      </c>
      <c r="P623">
        <v>4</v>
      </c>
      <c r="S623" s="114" t="s">
        <v>944</v>
      </c>
    </row>
    <row r="624" spans="1:19" x14ac:dyDescent="0.2">
      <c r="A624" t="s">
        <v>2275</v>
      </c>
      <c r="B624">
        <v>9009175700</v>
      </c>
      <c r="C624" t="s">
        <v>2276</v>
      </c>
      <c r="D624">
        <v>89063</v>
      </c>
      <c r="E624">
        <v>2.79</v>
      </c>
      <c r="F624">
        <v>53320.623379999997</v>
      </c>
      <c r="G624">
        <v>53.320999999999998</v>
      </c>
      <c r="H624">
        <v>0.52700000000000002</v>
      </c>
      <c r="I624">
        <v>3</v>
      </c>
      <c r="J624">
        <v>1371</v>
      </c>
      <c r="K624">
        <v>0.30854853100000001</v>
      </c>
      <c r="L624">
        <v>0.216</v>
      </c>
      <c r="M624">
        <v>2</v>
      </c>
      <c r="N624">
        <v>0.58799999999999997</v>
      </c>
      <c r="O624">
        <v>3</v>
      </c>
      <c r="P624">
        <v>3</v>
      </c>
      <c r="S624" s="116" t="s">
        <v>944</v>
      </c>
    </row>
    <row r="625" spans="1:19" x14ac:dyDescent="0.2">
      <c r="A625" t="s">
        <v>2277</v>
      </c>
      <c r="B625">
        <v>9009175800</v>
      </c>
      <c r="C625" t="s">
        <v>2278</v>
      </c>
      <c r="D625">
        <v>133984</v>
      </c>
      <c r="E625">
        <v>2.77</v>
      </c>
      <c r="F625">
        <v>80503.18346</v>
      </c>
      <c r="G625">
        <v>80.503</v>
      </c>
      <c r="H625">
        <v>0.88200000000000001</v>
      </c>
      <c r="I625">
        <v>5</v>
      </c>
      <c r="J625">
        <v>1768</v>
      </c>
      <c r="K625">
        <v>0.263542373</v>
      </c>
      <c r="L625">
        <v>4.2999999999999997E-2</v>
      </c>
      <c r="M625">
        <v>1</v>
      </c>
      <c r="N625">
        <v>0.27100000000000002</v>
      </c>
      <c r="O625">
        <v>2</v>
      </c>
      <c r="P625">
        <v>2</v>
      </c>
      <c r="S625" s="114" t="s">
        <v>944</v>
      </c>
    </row>
    <row r="626" spans="1:19" x14ac:dyDescent="0.2">
      <c r="A626" t="s">
        <v>2279</v>
      </c>
      <c r="B626">
        <v>9009175900</v>
      </c>
      <c r="C626" t="s">
        <v>2280</v>
      </c>
      <c r="D626">
        <v>71399</v>
      </c>
      <c r="E626">
        <v>2.12</v>
      </c>
      <c r="F626">
        <v>49037.034529999997</v>
      </c>
      <c r="G626">
        <v>49.036999999999999</v>
      </c>
      <c r="H626">
        <v>0.45</v>
      </c>
      <c r="I626">
        <v>3</v>
      </c>
      <c r="J626">
        <v>1212</v>
      </c>
      <c r="K626">
        <v>0.29659215999999999</v>
      </c>
      <c r="L626">
        <v>0.15</v>
      </c>
      <c r="M626">
        <v>1</v>
      </c>
      <c r="N626">
        <v>0.752</v>
      </c>
      <c r="O626">
        <v>4</v>
      </c>
      <c r="P626">
        <v>4</v>
      </c>
      <c r="S626" s="116" t="s">
        <v>944</v>
      </c>
    </row>
    <row r="627" spans="1:19" x14ac:dyDescent="0.2">
      <c r="A627" t="s">
        <v>2281</v>
      </c>
      <c r="B627">
        <v>9009176000</v>
      </c>
      <c r="C627" t="s">
        <v>2282</v>
      </c>
      <c r="D627">
        <v>99554</v>
      </c>
      <c r="E627">
        <v>2.34</v>
      </c>
      <c r="F627">
        <v>65080.48573</v>
      </c>
      <c r="G627">
        <v>65.08</v>
      </c>
      <c r="H627">
        <v>0.73799999999999999</v>
      </c>
      <c r="I627">
        <v>4</v>
      </c>
      <c r="J627">
        <v>1497</v>
      </c>
      <c r="K627">
        <v>0.27602744200000001</v>
      </c>
      <c r="L627">
        <v>7.4999999999999997E-2</v>
      </c>
      <c r="M627">
        <v>1</v>
      </c>
      <c r="N627">
        <v>0.47399999999999998</v>
      </c>
      <c r="O627">
        <v>3</v>
      </c>
      <c r="P627">
        <v>3</v>
      </c>
      <c r="S627" s="114" t="s">
        <v>944</v>
      </c>
    </row>
    <row r="628" spans="1:19" x14ac:dyDescent="0.2">
      <c r="A628" t="s">
        <v>2283</v>
      </c>
      <c r="B628">
        <v>9009180100</v>
      </c>
      <c r="C628" t="s">
        <v>2284</v>
      </c>
      <c r="D628">
        <v>68087</v>
      </c>
      <c r="E628">
        <v>2.5</v>
      </c>
      <c r="F628">
        <v>43061.999810000001</v>
      </c>
      <c r="G628">
        <v>43.061999999999998</v>
      </c>
      <c r="H628">
        <v>0.34100000000000003</v>
      </c>
      <c r="I628">
        <v>2</v>
      </c>
      <c r="J628">
        <v>1536</v>
      </c>
      <c r="K628">
        <v>0.428033999</v>
      </c>
      <c r="L628">
        <v>0.745</v>
      </c>
      <c r="M628">
        <v>4</v>
      </c>
      <c r="N628">
        <v>0.437</v>
      </c>
      <c r="O628">
        <v>3</v>
      </c>
      <c r="P628">
        <v>4</v>
      </c>
      <c r="S628" s="116" t="s">
        <v>944</v>
      </c>
    </row>
    <row r="629" spans="1:19" x14ac:dyDescent="0.2">
      <c r="A629" t="s">
        <v>2285</v>
      </c>
      <c r="B629">
        <v>9009180200</v>
      </c>
      <c r="C629" t="s">
        <v>2286</v>
      </c>
      <c r="D629">
        <v>62927</v>
      </c>
      <c r="E629">
        <v>2.66</v>
      </c>
      <c r="F629">
        <v>38583.019220000002</v>
      </c>
      <c r="G629">
        <v>38.582999999999998</v>
      </c>
      <c r="H629">
        <v>0.27200000000000002</v>
      </c>
      <c r="I629">
        <v>2</v>
      </c>
      <c r="J629">
        <v>1377</v>
      </c>
      <c r="K629">
        <v>0.42827130499999999</v>
      </c>
      <c r="L629">
        <v>0.748</v>
      </c>
      <c r="M629">
        <v>4</v>
      </c>
      <c r="N629">
        <v>0.58199999999999996</v>
      </c>
      <c r="O629">
        <v>3</v>
      </c>
      <c r="P629">
        <v>4</v>
      </c>
      <c r="S629" s="114" t="s">
        <v>944</v>
      </c>
    </row>
    <row r="630" spans="1:19" x14ac:dyDescent="0.2">
      <c r="A630" t="s">
        <v>2287</v>
      </c>
      <c r="B630">
        <v>9009180300</v>
      </c>
      <c r="C630" t="s">
        <v>2288</v>
      </c>
      <c r="D630">
        <v>48750</v>
      </c>
      <c r="E630">
        <v>2.1800000000000002</v>
      </c>
      <c r="F630">
        <v>33017.666250000002</v>
      </c>
      <c r="G630">
        <v>33.018000000000001</v>
      </c>
      <c r="H630">
        <v>0.215</v>
      </c>
      <c r="I630">
        <v>2</v>
      </c>
      <c r="J630">
        <v>1284</v>
      </c>
      <c r="K630">
        <v>0.46665926899999999</v>
      </c>
      <c r="L630">
        <v>0.80700000000000005</v>
      </c>
      <c r="M630">
        <v>5</v>
      </c>
      <c r="N630">
        <v>0.67100000000000004</v>
      </c>
      <c r="O630">
        <v>4</v>
      </c>
      <c r="P630">
        <v>4</v>
      </c>
      <c r="S630" s="116" t="s">
        <v>944</v>
      </c>
    </row>
    <row r="631" spans="1:19" x14ac:dyDescent="0.2">
      <c r="A631" t="s">
        <v>2289</v>
      </c>
      <c r="B631">
        <v>9009180400</v>
      </c>
      <c r="C631" t="s">
        <v>2290</v>
      </c>
      <c r="D631">
        <v>82000</v>
      </c>
      <c r="E631">
        <v>2.86</v>
      </c>
      <c r="F631">
        <v>48487.616470000001</v>
      </c>
      <c r="G631">
        <v>48.488</v>
      </c>
      <c r="H631">
        <v>0.441</v>
      </c>
      <c r="I631">
        <v>3</v>
      </c>
      <c r="J631">
        <v>1490</v>
      </c>
      <c r="K631">
        <v>0.368753948</v>
      </c>
      <c r="L631">
        <v>0.58799999999999997</v>
      </c>
      <c r="M631">
        <v>3</v>
      </c>
      <c r="N631">
        <v>0.48699999999999999</v>
      </c>
      <c r="O631">
        <v>3</v>
      </c>
      <c r="P631">
        <v>3</v>
      </c>
      <c r="S631" s="114" t="s">
        <v>944</v>
      </c>
    </row>
    <row r="632" spans="1:19" x14ac:dyDescent="0.2">
      <c r="A632" t="s">
        <v>2291</v>
      </c>
      <c r="B632">
        <v>9009180500</v>
      </c>
      <c r="C632" t="s">
        <v>2292</v>
      </c>
      <c r="D632">
        <v>81154</v>
      </c>
      <c r="E632">
        <v>2.65</v>
      </c>
      <c r="F632">
        <v>49852.50591</v>
      </c>
      <c r="G632">
        <v>49.853000000000002</v>
      </c>
      <c r="H632">
        <v>0.46899999999999997</v>
      </c>
      <c r="I632">
        <v>3</v>
      </c>
      <c r="J632">
        <v>1520</v>
      </c>
      <c r="K632">
        <v>0.36587930099999999</v>
      </c>
      <c r="L632">
        <v>0.56599999999999995</v>
      </c>
      <c r="M632">
        <v>3</v>
      </c>
      <c r="N632">
        <v>0.45200000000000001</v>
      </c>
      <c r="O632">
        <v>3</v>
      </c>
      <c r="P632">
        <v>3</v>
      </c>
      <c r="S632" s="116" t="s">
        <v>944</v>
      </c>
    </row>
    <row r="633" spans="1:19" x14ac:dyDescent="0.2">
      <c r="A633" t="s">
        <v>2293</v>
      </c>
      <c r="B633">
        <v>9009180601</v>
      </c>
      <c r="C633" t="s">
        <v>2294</v>
      </c>
      <c r="D633">
        <v>63536</v>
      </c>
      <c r="E633">
        <v>2.4300000000000002</v>
      </c>
      <c r="F633">
        <v>40758.362999999998</v>
      </c>
      <c r="G633">
        <v>40.758000000000003</v>
      </c>
      <c r="H633">
        <v>0.30299999999999999</v>
      </c>
      <c r="I633">
        <v>2</v>
      </c>
      <c r="J633">
        <v>1379</v>
      </c>
      <c r="K633">
        <v>0.40600256699999998</v>
      </c>
      <c r="L633">
        <v>0.69399999999999995</v>
      </c>
      <c r="M633">
        <v>4</v>
      </c>
      <c r="N633">
        <v>0.57999999999999996</v>
      </c>
      <c r="O633">
        <v>3</v>
      </c>
      <c r="P633">
        <v>4</v>
      </c>
      <c r="S633" s="114" t="s">
        <v>944</v>
      </c>
    </row>
    <row r="634" spans="1:19" x14ac:dyDescent="0.2">
      <c r="A634" t="s">
        <v>2295</v>
      </c>
      <c r="B634">
        <v>9009180602</v>
      </c>
      <c r="C634" t="s">
        <v>2296</v>
      </c>
      <c r="D634">
        <v>75991</v>
      </c>
      <c r="E634">
        <v>2.56</v>
      </c>
      <c r="F634">
        <v>47494.375</v>
      </c>
      <c r="G634">
        <v>47.494</v>
      </c>
      <c r="H634">
        <v>0.41299999999999998</v>
      </c>
      <c r="I634">
        <v>3</v>
      </c>
      <c r="J634">
        <v>1458</v>
      </c>
      <c r="K634">
        <v>0.36838046600000002</v>
      </c>
      <c r="L634">
        <v>0.58499999999999996</v>
      </c>
      <c r="M634">
        <v>3</v>
      </c>
      <c r="N634">
        <v>0.51600000000000001</v>
      </c>
      <c r="O634">
        <v>3</v>
      </c>
      <c r="P634">
        <v>3</v>
      </c>
      <c r="S634" s="116" t="s">
        <v>944</v>
      </c>
    </row>
    <row r="635" spans="1:19" x14ac:dyDescent="0.2">
      <c r="A635" t="s">
        <v>2297</v>
      </c>
      <c r="B635">
        <v>9009184100</v>
      </c>
      <c r="C635" t="s">
        <v>2298</v>
      </c>
      <c r="D635">
        <v>61755</v>
      </c>
      <c r="E635">
        <v>1.95</v>
      </c>
      <c r="F635">
        <v>44223.674050000001</v>
      </c>
      <c r="G635">
        <v>44.223999999999997</v>
      </c>
      <c r="H635">
        <v>0.35599999999999998</v>
      </c>
      <c r="I635">
        <v>2</v>
      </c>
      <c r="J635">
        <v>1320</v>
      </c>
      <c r="K635">
        <v>0.35817919599999998</v>
      </c>
      <c r="L635">
        <v>0.52600000000000002</v>
      </c>
      <c r="M635">
        <v>3</v>
      </c>
      <c r="N635">
        <v>0.63400000000000001</v>
      </c>
      <c r="O635">
        <v>4</v>
      </c>
      <c r="P635">
        <v>4</v>
      </c>
      <c r="S635" s="114" t="s">
        <v>944</v>
      </c>
    </row>
    <row r="636" spans="1:19" x14ac:dyDescent="0.2">
      <c r="A636" t="s">
        <v>2299</v>
      </c>
      <c r="B636">
        <v>9009184200</v>
      </c>
      <c r="C636" t="s">
        <v>2300</v>
      </c>
      <c r="D636">
        <v>64375</v>
      </c>
      <c r="E636">
        <v>2.37</v>
      </c>
      <c r="F636">
        <v>41816.05603</v>
      </c>
      <c r="G636">
        <v>41.816000000000003</v>
      </c>
      <c r="H636">
        <v>0.317</v>
      </c>
      <c r="I636">
        <v>2</v>
      </c>
      <c r="J636">
        <v>1592</v>
      </c>
      <c r="K636">
        <v>0.45685800700000001</v>
      </c>
      <c r="L636">
        <v>0.79500000000000004</v>
      </c>
      <c r="M636">
        <v>4</v>
      </c>
      <c r="N636">
        <v>0.38900000000000001</v>
      </c>
      <c r="O636">
        <v>2</v>
      </c>
      <c r="P636">
        <v>3</v>
      </c>
      <c r="S636" s="116" t="s">
        <v>944</v>
      </c>
    </row>
    <row r="637" spans="1:19" x14ac:dyDescent="0.2">
      <c r="A637" t="s">
        <v>2301</v>
      </c>
      <c r="B637">
        <v>9009184300</v>
      </c>
      <c r="C637" t="s">
        <v>2302</v>
      </c>
      <c r="D637">
        <v>89036</v>
      </c>
      <c r="E637">
        <v>2.1800000000000002</v>
      </c>
      <c r="F637">
        <v>60302.788350000003</v>
      </c>
      <c r="G637">
        <v>60.302999999999997</v>
      </c>
      <c r="H637">
        <v>0.65900000000000003</v>
      </c>
      <c r="I637">
        <v>4</v>
      </c>
      <c r="J637">
        <v>1489</v>
      </c>
      <c r="K637">
        <v>0.29630470599999997</v>
      </c>
      <c r="L637">
        <v>0.14899999999999999</v>
      </c>
      <c r="M637">
        <v>1</v>
      </c>
      <c r="N637">
        <v>0.49</v>
      </c>
      <c r="O637">
        <v>3</v>
      </c>
      <c r="P637">
        <v>3</v>
      </c>
      <c r="S637" s="114" t="s">
        <v>944</v>
      </c>
    </row>
    <row r="638" spans="1:19" x14ac:dyDescent="0.2">
      <c r="A638" t="s">
        <v>2303</v>
      </c>
      <c r="B638">
        <v>9009184400</v>
      </c>
      <c r="C638" t="s">
        <v>2304</v>
      </c>
      <c r="D638">
        <v>81316</v>
      </c>
      <c r="E638">
        <v>2.25</v>
      </c>
      <c r="F638">
        <v>54210.666669999999</v>
      </c>
      <c r="G638">
        <v>54.210999999999999</v>
      </c>
      <c r="H638">
        <v>0.54400000000000004</v>
      </c>
      <c r="I638">
        <v>3</v>
      </c>
      <c r="J638">
        <v>1846</v>
      </c>
      <c r="K638">
        <v>0.40862806800000001</v>
      </c>
      <c r="L638">
        <v>0.69899999999999995</v>
      </c>
      <c r="M638">
        <v>4</v>
      </c>
      <c r="N638">
        <v>0.23499999999999999</v>
      </c>
      <c r="O638">
        <v>2</v>
      </c>
      <c r="P638">
        <v>3</v>
      </c>
      <c r="S638" s="116" t="s">
        <v>944</v>
      </c>
    </row>
    <row r="639" spans="1:19" x14ac:dyDescent="0.2">
      <c r="A639" t="s">
        <v>2305</v>
      </c>
      <c r="B639">
        <v>9009184500</v>
      </c>
      <c r="C639" t="s">
        <v>2306</v>
      </c>
      <c r="D639">
        <v>77778</v>
      </c>
      <c r="E639">
        <v>2.4700000000000002</v>
      </c>
      <c r="F639">
        <v>49488.956290000002</v>
      </c>
      <c r="G639">
        <v>49.488999999999997</v>
      </c>
      <c r="H639">
        <v>0.46200000000000002</v>
      </c>
      <c r="I639">
        <v>3</v>
      </c>
      <c r="J639">
        <v>1704</v>
      </c>
      <c r="K639">
        <v>0.41318309199999997</v>
      </c>
      <c r="L639">
        <v>0.70799999999999996</v>
      </c>
      <c r="M639">
        <v>4</v>
      </c>
      <c r="N639">
        <v>0.308</v>
      </c>
      <c r="O639">
        <v>2</v>
      </c>
      <c r="P639">
        <v>3</v>
      </c>
      <c r="S639" s="114" t="s">
        <v>944</v>
      </c>
    </row>
    <row r="640" spans="1:19" x14ac:dyDescent="0.2">
      <c r="A640" t="s">
        <v>2307</v>
      </c>
      <c r="B640">
        <v>9009184600</v>
      </c>
      <c r="C640" t="s">
        <v>2308</v>
      </c>
      <c r="D640">
        <v>144250</v>
      </c>
      <c r="E640">
        <v>2.4500000000000002</v>
      </c>
      <c r="F640">
        <v>92157.944499999998</v>
      </c>
      <c r="G640">
        <v>92.158000000000001</v>
      </c>
      <c r="H640">
        <v>0.92900000000000005</v>
      </c>
      <c r="I640">
        <v>5</v>
      </c>
      <c r="J640">
        <v>2291</v>
      </c>
      <c r="K640">
        <v>0.29831394500000002</v>
      </c>
      <c r="L640">
        <v>0.159</v>
      </c>
      <c r="M640">
        <v>1</v>
      </c>
      <c r="N640">
        <v>0.114</v>
      </c>
      <c r="O640">
        <v>1</v>
      </c>
      <c r="P640">
        <v>1</v>
      </c>
      <c r="S640" s="116" t="s">
        <v>944</v>
      </c>
    </row>
    <row r="641" spans="1:19" x14ac:dyDescent="0.2">
      <c r="A641" t="s">
        <v>2309</v>
      </c>
      <c r="B641">
        <v>9009184700</v>
      </c>
      <c r="C641" t="s">
        <v>2310</v>
      </c>
      <c r="D641">
        <v>72455</v>
      </c>
      <c r="E641">
        <v>2.33</v>
      </c>
      <c r="F641">
        <v>47466.848720000002</v>
      </c>
      <c r="G641">
        <v>47.466999999999999</v>
      </c>
      <c r="H641">
        <v>0.41099999999999998</v>
      </c>
      <c r="I641">
        <v>3</v>
      </c>
      <c r="J641">
        <v>1365</v>
      </c>
      <c r="K641">
        <v>0.345082946</v>
      </c>
      <c r="L641">
        <v>0.45400000000000001</v>
      </c>
      <c r="M641">
        <v>3</v>
      </c>
      <c r="N641">
        <v>0.59399999999999997</v>
      </c>
      <c r="O641">
        <v>3</v>
      </c>
      <c r="P641">
        <v>3</v>
      </c>
      <c r="S641" s="114" t="s">
        <v>944</v>
      </c>
    </row>
    <row r="642" spans="1:19" x14ac:dyDescent="0.2">
      <c r="A642" t="s">
        <v>2311</v>
      </c>
      <c r="B642">
        <v>9009186100</v>
      </c>
      <c r="C642" t="s">
        <v>2312</v>
      </c>
      <c r="D642">
        <v>82281</v>
      </c>
      <c r="E642">
        <v>2.4500000000000002</v>
      </c>
      <c r="F642">
        <v>52567.40264</v>
      </c>
      <c r="G642">
        <v>52.567</v>
      </c>
      <c r="H642">
        <v>0.51100000000000001</v>
      </c>
      <c r="I642">
        <v>3</v>
      </c>
      <c r="J642">
        <v>1535</v>
      </c>
      <c r="K642">
        <v>0.35040726900000002</v>
      </c>
      <c r="L642">
        <v>0.48</v>
      </c>
      <c r="M642">
        <v>3</v>
      </c>
      <c r="N642">
        <v>0.438</v>
      </c>
      <c r="O642">
        <v>3</v>
      </c>
      <c r="P642">
        <v>3</v>
      </c>
      <c r="S642" s="116" t="s">
        <v>944</v>
      </c>
    </row>
    <row r="643" spans="1:19" x14ac:dyDescent="0.2">
      <c r="A643" t="s">
        <v>2313</v>
      </c>
      <c r="B643">
        <v>9009186200</v>
      </c>
      <c r="C643" t="s">
        <v>2314</v>
      </c>
      <c r="D643">
        <v>100286</v>
      </c>
      <c r="E643">
        <v>2.87</v>
      </c>
      <c r="F643">
        <v>59196.95407</v>
      </c>
      <c r="G643">
        <v>59.197000000000003</v>
      </c>
      <c r="H643">
        <v>0.63600000000000001</v>
      </c>
      <c r="I643">
        <v>4</v>
      </c>
      <c r="J643">
        <v>1782</v>
      </c>
      <c r="K643">
        <v>0.36123480200000002</v>
      </c>
      <c r="L643">
        <v>0.54600000000000004</v>
      </c>
      <c r="M643">
        <v>3</v>
      </c>
      <c r="N643">
        <v>0.26100000000000001</v>
      </c>
      <c r="O643">
        <v>2</v>
      </c>
      <c r="P643">
        <v>2</v>
      </c>
      <c r="S643" s="114" t="s">
        <v>944</v>
      </c>
    </row>
    <row r="644" spans="1:19" x14ac:dyDescent="0.2">
      <c r="A644" t="s">
        <v>2315</v>
      </c>
      <c r="B644">
        <v>9009190100</v>
      </c>
      <c r="C644" t="s">
        <v>2316</v>
      </c>
      <c r="D644">
        <v>89699</v>
      </c>
      <c r="E644">
        <v>2.1800000000000002</v>
      </c>
      <c r="F644">
        <v>60751.828609999997</v>
      </c>
      <c r="G644">
        <v>60.752000000000002</v>
      </c>
      <c r="H644">
        <v>0.66500000000000004</v>
      </c>
      <c r="I644">
        <v>4</v>
      </c>
      <c r="J644">
        <v>1530</v>
      </c>
      <c r="K644">
        <v>0.30221312500000003</v>
      </c>
      <c r="L644">
        <v>0.187</v>
      </c>
      <c r="M644">
        <v>1</v>
      </c>
      <c r="N644">
        <v>0.442</v>
      </c>
      <c r="O644">
        <v>3</v>
      </c>
      <c r="P644">
        <v>3</v>
      </c>
      <c r="S644" s="116" t="s">
        <v>944</v>
      </c>
    </row>
    <row r="645" spans="1:19" x14ac:dyDescent="0.2">
      <c r="A645" t="s">
        <v>2317</v>
      </c>
      <c r="B645">
        <v>9009190200</v>
      </c>
      <c r="C645" t="s">
        <v>2318</v>
      </c>
      <c r="D645">
        <v>111983</v>
      </c>
      <c r="E645">
        <v>2.42</v>
      </c>
      <c r="F645">
        <v>71985.398799999995</v>
      </c>
      <c r="G645">
        <v>71.984999999999999</v>
      </c>
      <c r="H645">
        <v>0.82499999999999996</v>
      </c>
      <c r="I645">
        <v>5</v>
      </c>
      <c r="J645">
        <v>2174</v>
      </c>
      <c r="K645">
        <v>0.36240682699999999</v>
      </c>
      <c r="L645">
        <v>0.55200000000000005</v>
      </c>
      <c r="M645">
        <v>3</v>
      </c>
      <c r="N645">
        <v>0.13300000000000001</v>
      </c>
      <c r="O645">
        <v>1</v>
      </c>
      <c r="P645">
        <v>1</v>
      </c>
      <c r="S645" s="114" t="s">
        <v>944</v>
      </c>
    </row>
    <row r="646" spans="1:19" x14ac:dyDescent="0.2">
      <c r="A646" t="s">
        <v>2319</v>
      </c>
      <c r="B646">
        <v>9009190301</v>
      </c>
      <c r="C646" t="s">
        <v>2320</v>
      </c>
      <c r="D646">
        <v>136103</v>
      </c>
      <c r="E646">
        <v>3.05</v>
      </c>
      <c r="F646">
        <v>77932.3511</v>
      </c>
      <c r="G646">
        <v>77.932000000000002</v>
      </c>
      <c r="H646">
        <v>0.86299999999999999</v>
      </c>
      <c r="I646">
        <v>5</v>
      </c>
      <c r="J646">
        <v>2080</v>
      </c>
      <c r="K646">
        <v>0.32027777499999999</v>
      </c>
      <c r="L646">
        <v>0.28899999999999998</v>
      </c>
      <c r="M646">
        <v>2</v>
      </c>
      <c r="N646">
        <v>0.14499999999999999</v>
      </c>
      <c r="O646">
        <v>1</v>
      </c>
      <c r="P646">
        <v>1</v>
      </c>
      <c r="S646" s="116" t="s">
        <v>944</v>
      </c>
    </row>
    <row r="647" spans="1:19" x14ac:dyDescent="0.2">
      <c r="A647" t="s">
        <v>2321</v>
      </c>
      <c r="B647">
        <v>9009190302</v>
      </c>
      <c r="C647" t="s">
        <v>2322</v>
      </c>
      <c r="D647">
        <v>105769</v>
      </c>
      <c r="E647">
        <v>2.5299999999999998</v>
      </c>
      <c r="F647">
        <v>66496.400569999998</v>
      </c>
      <c r="G647">
        <v>66.495999999999995</v>
      </c>
      <c r="H647">
        <v>0.75900000000000001</v>
      </c>
      <c r="I647">
        <v>4</v>
      </c>
      <c r="J647">
        <v>1827</v>
      </c>
      <c r="K647">
        <v>0.32970205600000002</v>
      </c>
      <c r="L647">
        <v>0.35099999999999998</v>
      </c>
      <c r="M647">
        <v>2</v>
      </c>
      <c r="N647">
        <v>0.24399999999999999</v>
      </c>
      <c r="O647">
        <v>2</v>
      </c>
      <c r="P647">
        <v>2</v>
      </c>
      <c r="S647" s="114" t="s">
        <v>944</v>
      </c>
    </row>
    <row r="648" spans="1:19" x14ac:dyDescent="0.2">
      <c r="A648" t="s">
        <v>2323</v>
      </c>
      <c r="B648">
        <v>9009190303</v>
      </c>
      <c r="C648" t="s">
        <v>2324</v>
      </c>
      <c r="D648">
        <v>106063</v>
      </c>
      <c r="E648">
        <v>2.72</v>
      </c>
      <c r="F648">
        <v>64310.14</v>
      </c>
      <c r="G648">
        <v>64.31</v>
      </c>
      <c r="H648">
        <v>0.72199999999999998</v>
      </c>
      <c r="I648">
        <v>4</v>
      </c>
      <c r="J648">
        <v>1906</v>
      </c>
      <c r="K648">
        <v>0.35565153500000002</v>
      </c>
      <c r="L648">
        <v>0.51300000000000001</v>
      </c>
      <c r="M648">
        <v>3</v>
      </c>
      <c r="N648">
        <v>0.20899999999999999</v>
      </c>
      <c r="O648">
        <v>2</v>
      </c>
      <c r="P648">
        <v>2</v>
      </c>
      <c r="S648" s="116" t="s">
        <v>944</v>
      </c>
    </row>
    <row r="649" spans="1:19" x14ac:dyDescent="0.2">
      <c r="A649" t="s">
        <v>2325</v>
      </c>
      <c r="B649">
        <v>9009194100</v>
      </c>
      <c r="C649" t="s">
        <v>2326</v>
      </c>
      <c r="D649">
        <v>80759</v>
      </c>
      <c r="E649">
        <v>2.14</v>
      </c>
      <c r="F649">
        <v>55205.715880000003</v>
      </c>
      <c r="G649">
        <v>55.206000000000003</v>
      </c>
      <c r="H649">
        <v>0.56799999999999995</v>
      </c>
      <c r="I649">
        <v>3</v>
      </c>
      <c r="J649">
        <v>1705</v>
      </c>
      <c r="K649">
        <v>0.37061379700000002</v>
      </c>
      <c r="L649">
        <v>0.59399999999999997</v>
      </c>
      <c r="M649">
        <v>3</v>
      </c>
      <c r="N649">
        <v>0.307</v>
      </c>
      <c r="O649">
        <v>2</v>
      </c>
      <c r="P649">
        <v>3</v>
      </c>
      <c r="S649" s="114" t="s">
        <v>944</v>
      </c>
    </row>
    <row r="650" spans="1:19" x14ac:dyDescent="0.2">
      <c r="A650" t="s">
        <v>2327</v>
      </c>
      <c r="B650">
        <v>9009194201</v>
      </c>
      <c r="C650" t="s">
        <v>2328</v>
      </c>
      <c r="D650">
        <v>122031</v>
      </c>
      <c r="E650">
        <v>2.76</v>
      </c>
      <c r="F650">
        <v>73454.030190000005</v>
      </c>
      <c r="G650">
        <v>73.453999999999994</v>
      </c>
      <c r="H650">
        <v>0.84</v>
      </c>
      <c r="I650">
        <v>5</v>
      </c>
      <c r="J650">
        <v>2272</v>
      </c>
      <c r="K650">
        <v>0.37117092000000002</v>
      </c>
      <c r="L650">
        <v>0.59799999999999998</v>
      </c>
      <c r="M650">
        <v>3</v>
      </c>
      <c r="N650">
        <v>0.12</v>
      </c>
      <c r="O650">
        <v>1</v>
      </c>
      <c r="P650">
        <v>1</v>
      </c>
      <c r="S650" s="116" t="s">
        <v>944</v>
      </c>
    </row>
    <row r="651" spans="1:19" x14ac:dyDescent="0.2">
      <c r="A651" t="s">
        <v>2329</v>
      </c>
      <c r="B651">
        <v>9009194202</v>
      </c>
      <c r="C651" t="s">
        <v>2330</v>
      </c>
      <c r="D651">
        <v>137361</v>
      </c>
      <c r="E651">
        <v>2.88</v>
      </c>
      <c r="F651">
        <v>80940.745479999998</v>
      </c>
      <c r="G651">
        <v>80.941000000000003</v>
      </c>
      <c r="H651">
        <v>0.88500000000000001</v>
      </c>
      <c r="I651">
        <v>5</v>
      </c>
      <c r="J651">
        <v>2262</v>
      </c>
      <c r="K651">
        <v>0.33535643700000001</v>
      </c>
      <c r="L651">
        <v>0.40100000000000002</v>
      </c>
      <c r="M651">
        <v>3</v>
      </c>
      <c r="N651">
        <v>0.121</v>
      </c>
      <c r="O651">
        <v>1</v>
      </c>
      <c r="P651">
        <v>1</v>
      </c>
      <c r="S651" s="114" t="s">
        <v>944</v>
      </c>
    </row>
    <row r="652" spans="1:19" x14ac:dyDescent="0.2">
      <c r="A652" t="s">
        <v>2331</v>
      </c>
      <c r="B652">
        <v>9009341100</v>
      </c>
      <c r="C652" t="s">
        <v>2332</v>
      </c>
      <c r="D652">
        <v>85024</v>
      </c>
      <c r="E652">
        <v>2.52</v>
      </c>
      <c r="F652">
        <v>53560.085590000002</v>
      </c>
      <c r="G652">
        <v>53.56</v>
      </c>
      <c r="H652">
        <v>0.53300000000000003</v>
      </c>
      <c r="I652">
        <v>3</v>
      </c>
      <c r="J652">
        <v>1689</v>
      </c>
      <c r="K652">
        <v>0.37841612400000002</v>
      </c>
      <c r="L652">
        <v>0.625</v>
      </c>
      <c r="M652">
        <v>4</v>
      </c>
      <c r="N652">
        <v>0.31900000000000001</v>
      </c>
      <c r="O652">
        <v>2</v>
      </c>
      <c r="P652">
        <v>3</v>
      </c>
      <c r="S652" s="116" t="s">
        <v>944</v>
      </c>
    </row>
    <row r="653" spans="1:19" x14ac:dyDescent="0.2">
      <c r="A653" t="s">
        <v>2333</v>
      </c>
      <c r="B653">
        <v>9009343101</v>
      </c>
      <c r="C653" t="s">
        <v>2334</v>
      </c>
      <c r="D653">
        <v>121889</v>
      </c>
      <c r="E653">
        <v>2.65</v>
      </c>
      <c r="F653">
        <v>74875.817500000005</v>
      </c>
      <c r="G653">
        <v>74.876000000000005</v>
      </c>
      <c r="H653">
        <v>0.84899999999999998</v>
      </c>
      <c r="I653">
        <v>5</v>
      </c>
      <c r="J653">
        <v>2003</v>
      </c>
      <c r="K653">
        <v>0.32101151999999999</v>
      </c>
      <c r="L653">
        <v>0.30099999999999999</v>
      </c>
      <c r="M653">
        <v>2</v>
      </c>
      <c r="N653">
        <v>0.16200000000000001</v>
      </c>
      <c r="O653">
        <v>1</v>
      </c>
      <c r="P653">
        <v>1</v>
      </c>
      <c r="S653" s="114" t="s">
        <v>944</v>
      </c>
    </row>
    <row r="654" spans="1:19" x14ac:dyDescent="0.2">
      <c r="A654" t="s">
        <v>2335</v>
      </c>
      <c r="B654">
        <v>9009343102</v>
      </c>
      <c r="C654" t="s">
        <v>2336</v>
      </c>
      <c r="D654">
        <v>108750</v>
      </c>
      <c r="E654">
        <v>2.4900000000000002</v>
      </c>
      <c r="F654">
        <v>68917.512239999996</v>
      </c>
      <c r="G654">
        <v>68.918000000000006</v>
      </c>
      <c r="H654">
        <v>0.79100000000000004</v>
      </c>
      <c r="I654">
        <v>4</v>
      </c>
      <c r="J654">
        <v>1577</v>
      </c>
      <c r="K654">
        <v>0.27458913400000001</v>
      </c>
      <c r="L654">
        <v>7.0000000000000007E-2</v>
      </c>
      <c r="M654">
        <v>1</v>
      </c>
      <c r="N654">
        <v>0.40400000000000003</v>
      </c>
      <c r="O654">
        <v>3</v>
      </c>
      <c r="P654">
        <v>3</v>
      </c>
      <c r="S654" s="116" t="s">
        <v>944</v>
      </c>
    </row>
    <row r="655" spans="1:19" x14ac:dyDescent="0.2">
      <c r="A655" t="s">
        <v>2337</v>
      </c>
      <c r="B655">
        <v>9009343200</v>
      </c>
      <c r="C655" t="s">
        <v>2338</v>
      </c>
      <c r="D655">
        <v>120745</v>
      </c>
      <c r="E655">
        <v>2.54</v>
      </c>
      <c r="F655">
        <v>75762.151190000004</v>
      </c>
      <c r="G655">
        <v>75.762</v>
      </c>
      <c r="H655">
        <v>0.85599999999999998</v>
      </c>
      <c r="I655">
        <v>5</v>
      </c>
      <c r="J655">
        <v>1590</v>
      </c>
      <c r="K655">
        <v>0.25184078999999998</v>
      </c>
      <c r="L655">
        <v>1.7999999999999999E-2</v>
      </c>
      <c r="M655">
        <v>1</v>
      </c>
      <c r="N655">
        <v>0.39200000000000002</v>
      </c>
      <c r="O655">
        <v>2</v>
      </c>
      <c r="P655">
        <v>2</v>
      </c>
      <c r="S655" s="114" t="s">
        <v>944</v>
      </c>
    </row>
    <row r="656" spans="1:19" x14ac:dyDescent="0.2">
      <c r="A656" t="s">
        <v>2339</v>
      </c>
      <c r="B656">
        <v>9009343300</v>
      </c>
      <c r="C656" t="s">
        <v>2340</v>
      </c>
      <c r="D656">
        <v>119861</v>
      </c>
      <c r="E656">
        <v>2.64</v>
      </c>
      <c r="F656">
        <v>73769.346000000005</v>
      </c>
      <c r="G656">
        <v>73.769000000000005</v>
      </c>
      <c r="H656">
        <v>0.84199999999999997</v>
      </c>
      <c r="I656">
        <v>5</v>
      </c>
      <c r="J656">
        <v>1552</v>
      </c>
      <c r="K656">
        <v>0.25246258799999999</v>
      </c>
      <c r="L656">
        <v>1.9E-2</v>
      </c>
      <c r="M656">
        <v>1</v>
      </c>
      <c r="N656">
        <v>0.42499999999999999</v>
      </c>
      <c r="O656">
        <v>3</v>
      </c>
      <c r="P656">
        <v>2</v>
      </c>
      <c r="S656" s="116" t="s">
        <v>944</v>
      </c>
    </row>
    <row r="657" spans="1:19" x14ac:dyDescent="0.2">
      <c r="A657" t="s">
        <v>2341</v>
      </c>
      <c r="B657">
        <v>9009343400</v>
      </c>
      <c r="C657" t="s">
        <v>2342</v>
      </c>
      <c r="D657">
        <v>120833</v>
      </c>
      <c r="E657">
        <v>2.74</v>
      </c>
      <c r="F657">
        <v>72997.884900000005</v>
      </c>
      <c r="G657">
        <v>72.998000000000005</v>
      </c>
      <c r="H657">
        <v>0.83499999999999996</v>
      </c>
      <c r="I657">
        <v>5</v>
      </c>
      <c r="J657">
        <v>1589</v>
      </c>
      <c r="K657">
        <v>0.261213048</v>
      </c>
      <c r="L657">
        <v>3.6999999999999998E-2</v>
      </c>
      <c r="M657">
        <v>1</v>
      </c>
      <c r="N657">
        <v>0.39600000000000002</v>
      </c>
      <c r="O657">
        <v>2</v>
      </c>
      <c r="P657">
        <v>2</v>
      </c>
      <c r="S657" s="114" t="s">
        <v>944</v>
      </c>
    </row>
    <row r="658" spans="1:19" x14ac:dyDescent="0.2">
      <c r="A658" t="s">
        <v>2343</v>
      </c>
      <c r="B658">
        <v>9009344100</v>
      </c>
      <c r="C658" t="s">
        <v>2344</v>
      </c>
      <c r="D658">
        <v>115625</v>
      </c>
      <c r="E658">
        <v>2.76</v>
      </c>
      <c r="F658">
        <v>69598.071320000003</v>
      </c>
      <c r="G658">
        <v>69.597999999999999</v>
      </c>
      <c r="H658">
        <v>0.79500000000000004</v>
      </c>
      <c r="I658">
        <v>4</v>
      </c>
      <c r="J658">
        <v>1667</v>
      </c>
      <c r="K658">
        <v>0.28742175800000003</v>
      </c>
      <c r="L658">
        <v>0.104</v>
      </c>
      <c r="M658">
        <v>1</v>
      </c>
      <c r="N658">
        <v>0.33</v>
      </c>
      <c r="O658">
        <v>2</v>
      </c>
      <c r="P658">
        <v>2</v>
      </c>
      <c r="S658" s="116" t="s">
        <v>944</v>
      </c>
    </row>
    <row r="659" spans="1:19" x14ac:dyDescent="0.2">
      <c r="A659" t="s">
        <v>2345</v>
      </c>
      <c r="B659">
        <v>9009344200</v>
      </c>
      <c r="C659" t="s">
        <v>2346</v>
      </c>
      <c r="D659">
        <v>135197</v>
      </c>
      <c r="E659">
        <v>2.78</v>
      </c>
      <c r="F659">
        <v>81085.77218</v>
      </c>
      <c r="G659">
        <v>81.085999999999999</v>
      </c>
      <c r="H659">
        <v>0.88900000000000001</v>
      </c>
      <c r="I659">
        <v>5</v>
      </c>
      <c r="J659">
        <v>2328</v>
      </c>
      <c r="K659">
        <v>0.34452406699999999</v>
      </c>
      <c r="L659">
        <v>0.44800000000000001</v>
      </c>
      <c r="M659">
        <v>3</v>
      </c>
      <c r="N659">
        <v>0.109</v>
      </c>
      <c r="O659">
        <v>1</v>
      </c>
      <c r="P659">
        <v>1</v>
      </c>
      <c r="S659" s="114" t="s">
        <v>944</v>
      </c>
    </row>
    <row r="660" spans="1:19" x14ac:dyDescent="0.2">
      <c r="A660" t="s">
        <v>2347</v>
      </c>
      <c r="B660">
        <v>9009345100</v>
      </c>
      <c r="C660" t="s">
        <v>2348</v>
      </c>
      <c r="D660">
        <v>64241</v>
      </c>
      <c r="E660">
        <v>2.72</v>
      </c>
      <c r="F660">
        <v>38951.827720000001</v>
      </c>
      <c r="G660">
        <v>38.951999999999998</v>
      </c>
      <c r="H660">
        <v>0.27900000000000003</v>
      </c>
      <c r="I660">
        <v>2</v>
      </c>
      <c r="J660">
        <v>1235</v>
      </c>
      <c r="K660">
        <v>0.38046995099999997</v>
      </c>
      <c r="L660">
        <v>0.63300000000000001</v>
      </c>
      <c r="M660">
        <v>4</v>
      </c>
      <c r="N660">
        <v>0.72599999999999998</v>
      </c>
      <c r="O660">
        <v>4</v>
      </c>
      <c r="P660">
        <v>4</v>
      </c>
      <c r="S660" s="116" t="s">
        <v>944</v>
      </c>
    </row>
    <row r="661" spans="1:19" x14ac:dyDescent="0.2">
      <c r="A661" t="s">
        <v>2349</v>
      </c>
      <c r="B661">
        <v>9009345201</v>
      </c>
      <c r="C661" t="s">
        <v>2350</v>
      </c>
      <c r="D661">
        <v>77434</v>
      </c>
      <c r="E661">
        <v>2.99</v>
      </c>
      <c r="F661">
        <v>44781.238440000001</v>
      </c>
      <c r="G661">
        <v>44.780999999999999</v>
      </c>
      <c r="H661">
        <v>0.36399999999999999</v>
      </c>
      <c r="I661">
        <v>2</v>
      </c>
      <c r="J661">
        <v>1574</v>
      </c>
      <c r="K661">
        <v>0.42178378</v>
      </c>
      <c r="L661">
        <v>0.73099999999999998</v>
      </c>
      <c r="M661">
        <v>4</v>
      </c>
      <c r="N661">
        <v>0.41</v>
      </c>
      <c r="O661">
        <v>3</v>
      </c>
      <c r="P661">
        <v>4</v>
      </c>
      <c r="S661" s="114" t="s">
        <v>944</v>
      </c>
    </row>
    <row r="662" spans="1:19" x14ac:dyDescent="0.2">
      <c r="A662" t="s">
        <v>2351</v>
      </c>
      <c r="B662">
        <v>9009345202</v>
      </c>
      <c r="C662" t="s">
        <v>2352</v>
      </c>
      <c r="D662">
        <v>102656</v>
      </c>
      <c r="E662">
        <v>2.82</v>
      </c>
      <c r="F662">
        <v>61130.758399999999</v>
      </c>
      <c r="G662">
        <v>61.131</v>
      </c>
      <c r="H662">
        <v>0.67400000000000004</v>
      </c>
      <c r="I662">
        <v>4</v>
      </c>
      <c r="J662">
        <v>1507</v>
      </c>
      <c r="K662">
        <v>0.29582489200000001</v>
      </c>
      <c r="L662">
        <v>0.14399999999999999</v>
      </c>
      <c r="M662">
        <v>1</v>
      </c>
      <c r="N662">
        <v>0.46400000000000002</v>
      </c>
      <c r="O662">
        <v>3</v>
      </c>
      <c r="P662">
        <v>3</v>
      </c>
      <c r="S662" s="116" t="s">
        <v>944</v>
      </c>
    </row>
    <row r="663" spans="1:19" x14ac:dyDescent="0.2">
      <c r="A663" t="s">
        <v>2353</v>
      </c>
      <c r="B663">
        <v>9009345300</v>
      </c>
      <c r="C663" t="s">
        <v>2354</v>
      </c>
      <c r="D663">
        <v>66964</v>
      </c>
      <c r="E663">
        <v>2.4900000000000002</v>
      </c>
      <c r="F663">
        <v>42436.710709999999</v>
      </c>
      <c r="G663">
        <v>42.436999999999998</v>
      </c>
      <c r="H663">
        <v>0.33</v>
      </c>
      <c r="I663">
        <v>2</v>
      </c>
      <c r="J663">
        <v>1172</v>
      </c>
      <c r="K663">
        <v>0.331411171</v>
      </c>
      <c r="L663">
        <v>0.36899999999999999</v>
      </c>
      <c r="M663">
        <v>2</v>
      </c>
      <c r="N663">
        <v>0.80100000000000005</v>
      </c>
      <c r="O663">
        <v>5</v>
      </c>
      <c r="P663">
        <v>5</v>
      </c>
      <c r="S663" s="114" t="s">
        <v>944</v>
      </c>
    </row>
    <row r="664" spans="1:19" x14ac:dyDescent="0.2">
      <c r="A664" t="s">
        <v>2355</v>
      </c>
      <c r="B664">
        <v>9009345400</v>
      </c>
      <c r="C664" t="s">
        <v>2356</v>
      </c>
      <c r="D664">
        <v>74735</v>
      </c>
      <c r="E664">
        <v>2.44</v>
      </c>
      <c r="F664">
        <v>47844.181109999998</v>
      </c>
      <c r="G664">
        <v>47.844000000000001</v>
      </c>
      <c r="H664">
        <v>0.42399999999999999</v>
      </c>
      <c r="I664">
        <v>3</v>
      </c>
      <c r="J664">
        <v>1228</v>
      </c>
      <c r="K664">
        <v>0.307999837</v>
      </c>
      <c r="L664">
        <v>0.215</v>
      </c>
      <c r="M664">
        <v>2</v>
      </c>
      <c r="N664">
        <v>0.73899999999999999</v>
      </c>
      <c r="O664">
        <v>4</v>
      </c>
      <c r="P664">
        <v>4</v>
      </c>
      <c r="S664" s="116" t="s">
        <v>944</v>
      </c>
    </row>
    <row r="665" spans="1:19" x14ac:dyDescent="0.2">
      <c r="A665" t="s">
        <v>2357</v>
      </c>
      <c r="B665">
        <v>9009346101</v>
      </c>
      <c r="C665" t="s">
        <v>2358</v>
      </c>
      <c r="D665">
        <v>107500</v>
      </c>
      <c r="E665">
        <v>2.61</v>
      </c>
      <c r="F665">
        <v>66540.829509999996</v>
      </c>
      <c r="G665">
        <v>66.540999999999997</v>
      </c>
      <c r="H665">
        <v>0.76100000000000001</v>
      </c>
      <c r="I665">
        <v>4</v>
      </c>
      <c r="J665">
        <v>1778</v>
      </c>
      <c r="K665">
        <v>0.320645236</v>
      </c>
      <c r="L665">
        <v>0.29399999999999998</v>
      </c>
      <c r="M665">
        <v>2</v>
      </c>
      <c r="N665">
        <v>0.26400000000000001</v>
      </c>
      <c r="O665">
        <v>2</v>
      </c>
      <c r="P665">
        <v>2</v>
      </c>
      <c r="S665" s="114" t="s">
        <v>944</v>
      </c>
    </row>
    <row r="666" spans="1:19" x14ac:dyDescent="0.2">
      <c r="A666" t="s">
        <v>2359</v>
      </c>
      <c r="B666">
        <v>9009346102</v>
      </c>
      <c r="C666" t="s">
        <v>2360</v>
      </c>
      <c r="D666">
        <v>113500</v>
      </c>
      <c r="E666">
        <v>3.01</v>
      </c>
      <c r="F666">
        <v>65420.312409999999</v>
      </c>
      <c r="G666">
        <v>65.42</v>
      </c>
      <c r="H666">
        <v>0.74199999999999999</v>
      </c>
      <c r="I666">
        <v>4</v>
      </c>
      <c r="J666">
        <v>1981</v>
      </c>
      <c r="K666">
        <v>0.363373379</v>
      </c>
      <c r="L666">
        <v>0.55800000000000005</v>
      </c>
      <c r="M666">
        <v>3</v>
      </c>
      <c r="N666">
        <v>0.16800000000000001</v>
      </c>
      <c r="O666">
        <v>1</v>
      </c>
      <c r="P666">
        <v>2</v>
      </c>
      <c r="S666" s="116" t="s">
        <v>944</v>
      </c>
    </row>
    <row r="667" spans="1:19" x14ac:dyDescent="0.2">
      <c r="A667" t="s">
        <v>2361</v>
      </c>
      <c r="B667">
        <v>9009347100</v>
      </c>
      <c r="C667" t="s">
        <v>2362</v>
      </c>
      <c r="D667">
        <v>101848</v>
      </c>
      <c r="E667">
        <v>2.81</v>
      </c>
      <c r="F667">
        <v>60757.423000000003</v>
      </c>
      <c r="G667">
        <v>60.756999999999998</v>
      </c>
      <c r="H667">
        <v>0.66700000000000004</v>
      </c>
      <c r="I667">
        <v>4</v>
      </c>
      <c r="J667">
        <v>1522</v>
      </c>
      <c r="K667">
        <v>0.30060524500000002</v>
      </c>
      <c r="L667">
        <v>0.17199999999999999</v>
      </c>
      <c r="M667">
        <v>1</v>
      </c>
      <c r="N667">
        <v>0.45100000000000001</v>
      </c>
      <c r="O667">
        <v>3</v>
      </c>
      <c r="P667">
        <v>3</v>
      </c>
      <c r="S667" s="114" t="s">
        <v>944</v>
      </c>
    </row>
    <row r="668" spans="1:19" x14ac:dyDescent="0.2">
      <c r="A668" t="s">
        <v>2363</v>
      </c>
      <c r="B668">
        <v>9009347200</v>
      </c>
      <c r="C668" t="s">
        <v>2364</v>
      </c>
      <c r="D668">
        <v>99391</v>
      </c>
      <c r="E668">
        <v>2.92</v>
      </c>
      <c r="F668">
        <v>58164.183299999997</v>
      </c>
      <c r="G668">
        <v>58.164000000000001</v>
      </c>
      <c r="H668">
        <v>0.622</v>
      </c>
      <c r="I668">
        <v>4</v>
      </c>
      <c r="J668">
        <v>1752</v>
      </c>
      <c r="K668">
        <v>0.36145955800000001</v>
      </c>
      <c r="L668">
        <v>0.54700000000000004</v>
      </c>
      <c r="M668">
        <v>3</v>
      </c>
      <c r="N668">
        <v>0.28399999999999997</v>
      </c>
      <c r="O668">
        <v>2</v>
      </c>
      <c r="P668">
        <v>2</v>
      </c>
      <c r="S668" s="116" t="s">
        <v>944</v>
      </c>
    </row>
    <row r="669" spans="1:19" x14ac:dyDescent="0.2">
      <c r="A669" t="s">
        <v>2365</v>
      </c>
      <c r="B669">
        <v>9009348111</v>
      </c>
      <c r="C669" t="s">
        <v>2366</v>
      </c>
      <c r="D669">
        <v>126534</v>
      </c>
      <c r="E669">
        <v>2.68</v>
      </c>
      <c r="F669">
        <v>77292.942360000001</v>
      </c>
      <c r="G669">
        <v>77.293000000000006</v>
      </c>
      <c r="H669">
        <v>0.86</v>
      </c>
      <c r="I669">
        <v>5</v>
      </c>
      <c r="J669">
        <v>1916</v>
      </c>
      <c r="K669">
        <v>0.29746570999999999</v>
      </c>
      <c r="L669">
        <v>0.154</v>
      </c>
      <c r="M669">
        <v>1</v>
      </c>
      <c r="N669">
        <v>0.20100000000000001</v>
      </c>
      <c r="O669">
        <v>2</v>
      </c>
      <c r="P669">
        <v>2</v>
      </c>
      <c r="S669" s="114" t="s">
        <v>944</v>
      </c>
    </row>
    <row r="670" spans="1:19" x14ac:dyDescent="0.2">
      <c r="A670" t="s">
        <v>2367</v>
      </c>
      <c r="B670">
        <v>9009348122</v>
      </c>
      <c r="C670" t="s">
        <v>2368</v>
      </c>
      <c r="D670">
        <v>136053</v>
      </c>
      <c r="E670">
        <v>2.94</v>
      </c>
      <c r="F670">
        <v>79347.720950000003</v>
      </c>
      <c r="G670">
        <v>79.347999999999999</v>
      </c>
      <c r="H670">
        <v>0.872</v>
      </c>
      <c r="I670">
        <v>5</v>
      </c>
      <c r="J670">
        <v>2168</v>
      </c>
      <c r="K670">
        <v>0.327873311</v>
      </c>
      <c r="L670">
        <v>0.34300000000000003</v>
      </c>
      <c r="M670">
        <v>2</v>
      </c>
      <c r="N670">
        <v>0.13600000000000001</v>
      </c>
      <c r="O670">
        <v>1</v>
      </c>
      <c r="P670">
        <v>1</v>
      </c>
      <c r="S670" s="116" t="s">
        <v>944</v>
      </c>
    </row>
    <row r="671" spans="1:19" x14ac:dyDescent="0.2">
      <c r="A671" t="s">
        <v>2369</v>
      </c>
      <c r="B671">
        <v>9009348123</v>
      </c>
      <c r="C671" t="s">
        <v>2370</v>
      </c>
      <c r="D671">
        <v>122431</v>
      </c>
      <c r="E671">
        <v>3.06</v>
      </c>
      <c r="F671">
        <v>69989.144260000001</v>
      </c>
      <c r="G671">
        <v>69.989000000000004</v>
      </c>
      <c r="H671">
        <v>0.80400000000000005</v>
      </c>
      <c r="I671">
        <v>5</v>
      </c>
      <c r="J671">
        <v>2046</v>
      </c>
      <c r="K671">
        <v>0.35079725899999997</v>
      </c>
      <c r="L671">
        <v>0.48199999999999998</v>
      </c>
      <c r="M671">
        <v>3</v>
      </c>
      <c r="N671">
        <v>0.151</v>
      </c>
      <c r="O671">
        <v>1</v>
      </c>
      <c r="P671">
        <v>1</v>
      </c>
      <c r="S671" s="114" t="s">
        <v>944</v>
      </c>
    </row>
    <row r="672" spans="1:19" x14ac:dyDescent="0.2">
      <c r="A672" t="s">
        <v>2371</v>
      </c>
      <c r="B672">
        <v>9009348124</v>
      </c>
      <c r="C672" t="s">
        <v>2372</v>
      </c>
      <c r="D672">
        <v>59266</v>
      </c>
      <c r="E672">
        <v>1.64</v>
      </c>
      <c r="F672">
        <v>46278.970860000001</v>
      </c>
      <c r="G672">
        <v>46.279000000000003</v>
      </c>
      <c r="H672">
        <v>0.39</v>
      </c>
      <c r="I672">
        <v>2</v>
      </c>
      <c r="J672">
        <v>1446</v>
      </c>
      <c r="K672">
        <v>0.374943515</v>
      </c>
      <c r="L672">
        <v>0.61099999999999999</v>
      </c>
      <c r="M672">
        <v>4</v>
      </c>
      <c r="N672">
        <v>0.53300000000000003</v>
      </c>
      <c r="O672">
        <v>3</v>
      </c>
      <c r="P672">
        <v>4</v>
      </c>
      <c r="S672" s="116" t="s">
        <v>944</v>
      </c>
    </row>
    <row r="673" spans="1:19" x14ac:dyDescent="0.2">
      <c r="A673" t="s">
        <v>2373</v>
      </c>
      <c r="B673">
        <v>9009348125</v>
      </c>
      <c r="C673" t="s">
        <v>2374</v>
      </c>
      <c r="D673">
        <v>65550</v>
      </c>
      <c r="E673">
        <v>1.9</v>
      </c>
      <c r="F673">
        <v>47554.96819</v>
      </c>
      <c r="G673">
        <v>47.555</v>
      </c>
      <c r="H673">
        <v>0.41499999999999998</v>
      </c>
      <c r="I673">
        <v>3</v>
      </c>
      <c r="J673">
        <v>1379</v>
      </c>
      <c r="K673">
        <v>0.34797626100000001</v>
      </c>
      <c r="L673">
        <v>0.47</v>
      </c>
      <c r="M673">
        <v>3</v>
      </c>
      <c r="N673">
        <v>0.57999999999999996</v>
      </c>
      <c r="O673">
        <v>3</v>
      </c>
      <c r="P673">
        <v>3</v>
      </c>
      <c r="S673" s="114" t="s">
        <v>944</v>
      </c>
    </row>
    <row r="674" spans="1:19" x14ac:dyDescent="0.2">
      <c r="A674" t="s">
        <v>2375</v>
      </c>
      <c r="B674">
        <v>9009350100</v>
      </c>
      <c r="C674" t="s">
        <v>2376</v>
      </c>
      <c r="D674">
        <v>13410</v>
      </c>
      <c r="E674">
        <v>1.47</v>
      </c>
      <c r="F674">
        <v>11060.381590000001</v>
      </c>
      <c r="G674">
        <v>11.06</v>
      </c>
      <c r="H674">
        <v>2E-3</v>
      </c>
      <c r="I674">
        <v>1</v>
      </c>
      <c r="J674">
        <v>461</v>
      </c>
      <c r="K674">
        <v>0.50016357499999997</v>
      </c>
      <c r="L674">
        <v>0.84499999999999997</v>
      </c>
      <c r="M674">
        <v>5</v>
      </c>
      <c r="N674">
        <v>0.998</v>
      </c>
      <c r="O674">
        <v>5</v>
      </c>
      <c r="P674">
        <v>5</v>
      </c>
      <c r="S674" s="116" t="s">
        <v>936</v>
      </c>
    </row>
    <row r="675" spans="1:19" x14ac:dyDescent="0.2">
      <c r="A675" t="s">
        <v>2377</v>
      </c>
      <c r="B675">
        <v>9009350200</v>
      </c>
      <c r="C675" t="s">
        <v>2378</v>
      </c>
      <c r="D675">
        <v>30995</v>
      </c>
      <c r="E675">
        <v>2.4900000000000002</v>
      </c>
      <c r="F675">
        <v>19642.283149999999</v>
      </c>
      <c r="G675">
        <v>19.641999999999999</v>
      </c>
      <c r="H675">
        <v>5.3999999999999999E-2</v>
      </c>
      <c r="I675">
        <v>1</v>
      </c>
      <c r="J675">
        <v>1050</v>
      </c>
      <c r="K675">
        <v>0.64147328999999997</v>
      </c>
      <c r="L675">
        <v>0.94399999999999995</v>
      </c>
      <c r="M675">
        <v>5</v>
      </c>
      <c r="N675">
        <v>0.90900000000000003</v>
      </c>
      <c r="O675">
        <v>5</v>
      </c>
      <c r="P675">
        <v>5</v>
      </c>
      <c r="S675" s="114" t="s">
        <v>936</v>
      </c>
    </row>
    <row r="676" spans="1:19" x14ac:dyDescent="0.2">
      <c r="A676" t="s">
        <v>2379</v>
      </c>
      <c r="B676">
        <v>9009350300</v>
      </c>
      <c r="C676" t="s">
        <v>2380</v>
      </c>
      <c r="D676">
        <v>26765</v>
      </c>
      <c r="E676">
        <v>2.74</v>
      </c>
      <c r="F676">
        <v>16169.32783</v>
      </c>
      <c r="G676">
        <v>16.169</v>
      </c>
      <c r="H676">
        <v>2.5999999999999999E-2</v>
      </c>
      <c r="I676">
        <v>1</v>
      </c>
      <c r="J676">
        <v>946</v>
      </c>
      <c r="K676">
        <v>0.70207000100000005</v>
      </c>
      <c r="L676">
        <v>0.96499999999999997</v>
      </c>
      <c r="M676">
        <v>5</v>
      </c>
      <c r="N676">
        <v>0.96299999999999997</v>
      </c>
      <c r="O676">
        <v>5</v>
      </c>
      <c r="P676">
        <v>5</v>
      </c>
      <c r="S676" s="116" t="s">
        <v>936</v>
      </c>
    </row>
    <row r="677" spans="1:19" x14ac:dyDescent="0.2">
      <c r="A677" t="s">
        <v>2381</v>
      </c>
      <c r="B677">
        <v>9009350400</v>
      </c>
      <c r="C677" t="s">
        <v>2382</v>
      </c>
      <c r="D677">
        <v>22778</v>
      </c>
      <c r="E677">
        <v>2.82</v>
      </c>
      <c r="F677">
        <v>13564.10161</v>
      </c>
      <c r="G677">
        <v>13.564</v>
      </c>
      <c r="H677">
        <v>0.01</v>
      </c>
      <c r="I677">
        <v>1</v>
      </c>
      <c r="J677">
        <v>924</v>
      </c>
      <c r="K677">
        <v>0.81745185300000001</v>
      </c>
      <c r="L677">
        <v>0.98699999999999999</v>
      </c>
      <c r="M677">
        <v>5</v>
      </c>
      <c r="N677">
        <v>0.96599999999999997</v>
      </c>
      <c r="O677">
        <v>5</v>
      </c>
      <c r="P677">
        <v>5</v>
      </c>
      <c r="S677" s="114" t="s">
        <v>936</v>
      </c>
    </row>
    <row r="678" spans="1:19" x14ac:dyDescent="0.2">
      <c r="A678" t="s">
        <v>2383</v>
      </c>
      <c r="B678">
        <v>9009350500</v>
      </c>
      <c r="C678" t="s">
        <v>2384</v>
      </c>
      <c r="D678">
        <v>25156</v>
      </c>
      <c r="E678">
        <v>2.64</v>
      </c>
      <c r="F678">
        <v>15482.44774</v>
      </c>
      <c r="G678">
        <v>15.481999999999999</v>
      </c>
      <c r="H678">
        <v>2.1000000000000001E-2</v>
      </c>
      <c r="I678">
        <v>1</v>
      </c>
      <c r="J678">
        <v>869</v>
      </c>
      <c r="K678">
        <v>0.67353690899999996</v>
      </c>
      <c r="L678">
        <v>0.95299999999999996</v>
      </c>
      <c r="M678">
        <v>5</v>
      </c>
      <c r="N678">
        <v>0.98099999999999998</v>
      </c>
      <c r="O678">
        <v>5</v>
      </c>
      <c r="P678">
        <v>5</v>
      </c>
      <c r="S678" s="116" t="s">
        <v>936</v>
      </c>
    </row>
    <row r="679" spans="1:19" x14ac:dyDescent="0.2">
      <c r="A679" t="s">
        <v>2385</v>
      </c>
      <c r="B679">
        <v>9009350800</v>
      </c>
      <c r="C679" t="s">
        <v>2386</v>
      </c>
      <c r="D679">
        <v>36540</v>
      </c>
      <c r="E679">
        <v>3.11</v>
      </c>
      <c r="F679">
        <v>20719.933079999999</v>
      </c>
      <c r="G679">
        <v>20.72</v>
      </c>
      <c r="H679">
        <v>6.5000000000000002E-2</v>
      </c>
      <c r="I679">
        <v>1</v>
      </c>
      <c r="J679">
        <v>1129</v>
      </c>
      <c r="K679">
        <v>0.65386311600000002</v>
      </c>
      <c r="L679">
        <v>0.94699999999999995</v>
      </c>
      <c r="M679">
        <v>5</v>
      </c>
      <c r="N679">
        <v>0.84</v>
      </c>
      <c r="O679">
        <v>5</v>
      </c>
      <c r="P679">
        <v>5</v>
      </c>
      <c r="S679" s="114" t="s">
        <v>936</v>
      </c>
    </row>
    <row r="680" spans="1:19" x14ac:dyDescent="0.2">
      <c r="A680" t="s">
        <v>2387</v>
      </c>
      <c r="B680">
        <v>9009350900</v>
      </c>
      <c r="C680" t="s">
        <v>2388</v>
      </c>
      <c r="D680">
        <v>71225</v>
      </c>
      <c r="E680">
        <v>3.45</v>
      </c>
      <c r="F680">
        <v>38346.250970000001</v>
      </c>
      <c r="G680">
        <v>38.345999999999997</v>
      </c>
      <c r="H680">
        <v>0.26800000000000002</v>
      </c>
      <c r="I680">
        <v>2</v>
      </c>
      <c r="J680">
        <v>1380</v>
      </c>
      <c r="K680">
        <v>0.43185447300000002</v>
      </c>
      <c r="L680">
        <v>0.754</v>
      </c>
      <c r="M680">
        <v>4</v>
      </c>
      <c r="N680">
        <v>0.57699999999999996</v>
      </c>
      <c r="O680">
        <v>3</v>
      </c>
      <c r="P680">
        <v>4</v>
      </c>
      <c r="S680" s="116" t="s">
        <v>944</v>
      </c>
    </row>
    <row r="681" spans="1:19" x14ac:dyDescent="0.2">
      <c r="A681" t="s">
        <v>2389</v>
      </c>
      <c r="B681">
        <v>9009351000</v>
      </c>
      <c r="C681" t="s">
        <v>2390</v>
      </c>
      <c r="D681">
        <v>54280</v>
      </c>
      <c r="E681">
        <v>2.9</v>
      </c>
      <c r="F681">
        <v>31874.31352</v>
      </c>
      <c r="G681">
        <v>31.873999999999999</v>
      </c>
      <c r="H681">
        <v>0.19900000000000001</v>
      </c>
      <c r="I681">
        <v>1</v>
      </c>
      <c r="J681">
        <v>1185</v>
      </c>
      <c r="K681">
        <v>0.446127255</v>
      </c>
      <c r="L681">
        <v>0.78100000000000003</v>
      </c>
      <c r="M681">
        <v>4</v>
      </c>
      <c r="N681">
        <v>0.78800000000000003</v>
      </c>
      <c r="O681">
        <v>4</v>
      </c>
      <c r="P681">
        <v>5</v>
      </c>
      <c r="S681" s="114" t="s">
        <v>944</v>
      </c>
    </row>
    <row r="682" spans="1:19" x14ac:dyDescent="0.2">
      <c r="A682" t="s">
        <v>2391</v>
      </c>
      <c r="B682">
        <v>9009351100</v>
      </c>
      <c r="C682" t="s">
        <v>2392</v>
      </c>
      <c r="D682">
        <v>34788</v>
      </c>
      <c r="E682">
        <v>2.2200000000000002</v>
      </c>
      <c r="F682">
        <v>23348.17685</v>
      </c>
      <c r="G682">
        <v>23.347999999999999</v>
      </c>
      <c r="H682">
        <v>9.8000000000000004E-2</v>
      </c>
      <c r="I682">
        <v>1</v>
      </c>
      <c r="J682">
        <v>1092</v>
      </c>
      <c r="K682">
        <v>0.56124296500000004</v>
      </c>
      <c r="L682">
        <v>0.9</v>
      </c>
      <c r="M682">
        <v>5</v>
      </c>
      <c r="N682">
        <v>0.88200000000000001</v>
      </c>
      <c r="O682">
        <v>5</v>
      </c>
      <c r="P682">
        <v>5</v>
      </c>
      <c r="S682" s="116" t="s">
        <v>936</v>
      </c>
    </row>
    <row r="683" spans="1:19" x14ac:dyDescent="0.2">
      <c r="A683" t="s">
        <v>2393</v>
      </c>
      <c r="B683">
        <v>9009351200</v>
      </c>
      <c r="C683" t="s">
        <v>2394</v>
      </c>
      <c r="D683">
        <v>37688</v>
      </c>
      <c r="E683">
        <v>3</v>
      </c>
      <c r="F683">
        <v>21759.176950000001</v>
      </c>
      <c r="G683">
        <v>21.759</v>
      </c>
      <c r="H683">
        <v>0.08</v>
      </c>
      <c r="I683">
        <v>1</v>
      </c>
      <c r="J683">
        <v>970</v>
      </c>
      <c r="K683">
        <v>0.534946704</v>
      </c>
      <c r="L683">
        <v>0.877</v>
      </c>
      <c r="M683">
        <v>5</v>
      </c>
      <c r="N683">
        <v>0.95299999999999996</v>
      </c>
      <c r="O683">
        <v>5</v>
      </c>
      <c r="P683">
        <v>5</v>
      </c>
      <c r="S683" s="114" t="s">
        <v>936</v>
      </c>
    </row>
    <row r="684" spans="1:19" x14ac:dyDescent="0.2">
      <c r="A684" t="s">
        <v>2395</v>
      </c>
      <c r="B684">
        <v>9009351300</v>
      </c>
      <c r="C684" t="s">
        <v>2396</v>
      </c>
      <c r="D684">
        <v>44473</v>
      </c>
      <c r="E684">
        <v>2.72</v>
      </c>
      <c r="F684">
        <v>26965.717130000001</v>
      </c>
      <c r="G684">
        <v>26.966000000000001</v>
      </c>
      <c r="H684">
        <v>0.13300000000000001</v>
      </c>
      <c r="I684">
        <v>1</v>
      </c>
      <c r="J684">
        <v>1045</v>
      </c>
      <c r="K684">
        <v>0.46503491600000002</v>
      </c>
      <c r="L684">
        <v>0.80600000000000005</v>
      </c>
      <c r="M684">
        <v>5</v>
      </c>
      <c r="N684">
        <v>0.91300000000000003</v>
      </c>
      <c r="O684">
        <v>5</v>
      </c>
      <c r="P684">
        <v>5</v>
      </c>
      <c r="S684" s="116" t="s">
        <v>936</v>
      </c>
    </row>
    <row r="685" spans="1:19" x14ac:dyDescent="0.2">
      <c r="A685" t="s">
        <v>2397</v>
      </c>
      <c r="B685">
        <v>9009351400</v>
      </c>
      <c r="C685" t="s">
        <v>2398</v>
      </c>
      <c r="D685">
        <v>34507</v>
      </c>
      <c r="E685">
        <v>2.77</v>
      </c>
      <c r="F685">
        <v>20733.246889999999</v>
      </c>
      <c r="G685">
        <v>20.733000000000001</v>
      </c>
      <c r="H685">
        <v>6.6000000000000003E-2</v>
      </c>
      <c r="I685">
        <v>1</v>
      </c>
      <c r="J685">
        <v>965</v>
      </c>
      <c r="K685">
        <v>0.55852322899999995</v>
      </c>
      <c r="L685">
        <v>0.89500000000000002</v>
      </c>
      <c r="M685">
        <v>5</v>
      </c>
      <c r="N685">
        <v>0.95499999999999996</v>
      </c>
      <c r="O685">
        <v>5</v>
      </c>
      <c r="P685">
        <v>5</v>
      </c>
      <c r="S685" s="114" t="s">
        <v>936</v>
      </c>
    </row>
    <row r="686" spans="1:19" x14ac:dyDescent="0.2">
      <c r="A686" t="s">
        <v>2399</v>
      </c>
      <c r="B686">
        <v>9009351500</v>
      </c>
      <c r="C686" t="s">
        <v>2400</v>
      </c>
      <c r="D686">
        <v>56292</v>
      </c>
      <c r="E686">
        <v>2.99</v>
      </c>
      <c r="F686">
        <v>32554.504150000001</v>
      </c>
      <c r="G686">
        <v>32.555</v>
      </c>
      <c r="H686">
        <v>0.20599999999999999</v>
      </c>
      <c r="I686">
        <v>2</v>
      </c>
      <c r="J686">
        <v>1185</v>
      </c>
      <c r="K686">
        <v>0.43680591600000002</v>
      </c>
      <c r="L686">
        <v>0.76200000000000001</v>
      </c>
      <c r="M686">
        <v>4</v>
      </c>
      <c r="N686">
        <v>0.78800000000000003</v>
      </c>
      <c r="O686">
        <v>4</v>
      </c>
      <c r="P686">
        <v>4</v>
      </c>
      <c r="S686" s="116" t="s">
        <v>944</v>
      </c>
    </row>
    <row r="687" spans="1:19" x14ac:dyDescent="0.2">
      <c r="A687" t="s">
        <v>2401</v>
      </c>
      <c r="B687">
        <v>9009351601</v>
      </c>
      <c r="C687" t="s">
        <v>2402</v>
      </c>
      <c r="D687">
        <v>49783</v>
      </c>
      <c r="E687">
        <v>2.2200000000000002</v>
      </c>
      <c r="F687">
        <v>33412.161899999999</v>
      </c>
      <c r="G687">
        <v>33.411999999999999</v>
      </c>
      <c r="H687">
        <v>0.217</v>
      </c>
      <c r="I687">
        <v>2</v>
      </c>
      <c r="J687">
        <v>999</v>
      </c>
      <c r="K687">
        <v>0.35879150900000001</v>
      </c>
      <c r="L687">
        <v>0.53</v>
      </c>
      <c r="M687">
        <v>3</v>
      </c>
      <c r="N687">
        <v>0.94099999999999995</v>
      </c>
      <c r="O687">
        <v>5</v>
      </c>
      <c r="P687">
        <v>5</v>
      </c>
      <c r="S687" s="114" t="s">
        <v>944</v>
      </c>
    </row>
    <row r="688" spans="1:19" x14ac:dyDescent="0.2">
      <c r="A688" t="s">
        <v>2403</v>
      </c>
      <c r="B688">
        <v>9009351602</v>
      </c>
      <c r="C688" t="s">
        <v>2404</v>
      </c>
      <c r="D688">
        <v>59771</v>
      </c>
      <c r="E688">
        <v>2.77</v>
      </c>
      <c r="F688">
        <v>35912.91332</v>
      </c>
      <c r="G688">
        <v>35.912999999999997</v>
      </c>
      <c r="H688">
        <v>0.247</v>
      </c>
      <c r="I688">
        <v>2</v>
      </c>
      <c r="J688">
        <v>1209</v>
      </c>
      <c r="K688">
        <v>0.40397725099999998</v>
      </c>
      <c r="L688">
        <v>0.68600000000000005</v>
      </c>
      <c r="M688">
        <v>4</v>
      </c>
      <c r="N688">
        <v>0.75600000000000001</v>
      </c>
      <c r="O688">
        <v>4</v>
      </c>
      <c r="P688">
        <v>4</v>
      </c>
      <c r="S688" s="116" t="s">
        <v>944</v>
      </c>
    </row>
    <row r="689" spans="1:19" x14ac:dyDescent="0.2">
      <c r="A689" t="s">
        <v>2405</v>
      </c>
      <c r="B689">
        <v>9009351700</v>
      </c>
      <c r="C689" t="s">
        <v>2406</v>
      </c>
      <c r="D689">
        <v>32052</v>
      </c>
      <c r="E689">
        <v>2.92</v>
      </c>
      <c r="F689">
        <v>18757.01425</v>
      </c>
      <c r="G689">
        <v>18.757000000000001</v>
      </c>
      <c r="H689">
        <v>4.7E-2</v>
      </c>
      <c r="I689">
        <v>1</v>
      </c>
      <c r="J689">
        <v>903</v>
      </c>
      <c r="K689">
        <v>0.57770388500000003</v>
      </c>
      <c r="L689">
        <v>0.90700000000000003</v>
      </c>
      <c r="M689">
        <v>5</v>
      </c>
      <c r="N689">
        <v>0.97099999999999997</v>
      </c>
      <c r="O689">
        <v>5</v>
      </c>
      <c r="P689">
        <v>5</v>
      </c>
      <c r="S689" s="114" t="s">
        <v>936</v>
      </c>
    </row>
    <row r="690" spans="1:19" x14ac:dyDescent="0.2">
      <c r="A690" t="s">
        <v>2407</v>
      </c>
      <c r="B690">
        <v>9009351800</v>
      </c>
      <c r="C690" t="s">
        <v>2408</v>
      </c>
      <c r="D690">
        <v>53147</v>
      </c>
      <c r="E690">
        <v>2.2000000000000002</v>
      </c>
      <c r="F690">
        <v>35831.700089999998</v>
      </c>
      <c r="G690">
        <v>35.832000000000001</v>
      </c>
      <c r="H690">
        <v>0.24399999999999999</v>
      </c>
      <c r="I690">
        <v>2</v>
      </c>
      <c r="J690">
        <v>1138</v>
      </c>
      <c r="K690">
        <v>0.38111504499999999</v>
      </c>
      <c r="L690">
        <v>0.63500000000000001</v>
      </c>
      <c r="M690">
        <v>4</v>
      </c>
      <c r="N690">
        <v>0.82799999999999996</v>
      </c>
      <c r="O690">
        <v>5</v>
      </c>
      <c r="P690">
        <v>5</v>
      </c>
      <c r="S690" s="116" t="s">
        <v>944</v>
      </c>
    </row>
    <row r="691" spans="1:19" x14ac:dyDescent="0.2">
      <c r="A691" t="s">
        <v>2409</v>
      </c>
      <c r="B691">
        <v>9009351900</v>
      </c>
      <c r="C691" t="s">
        <v>2410</v>
      </c>
      <c r="D691">
        <v>76739</v>
      </c>
      <c r="E691">
        <v>2.34</v>
      </c>
      <c r="F691">
        <v>50165.853649999997</v>
      </c>
      <c r="G691">
        <v>50.165999999999997</v>
      </c>
      <c r="H691">
        <v>0.47299999999999998</v>
      </c>
      <c r="I691">
        <v>3</v>
      </c>
      <c r="J691">
        <v>1447</v>
      </c>
      <c r="K691">
        <v>0.34613185499999999</v>
      </c>
      <c r="L691">
        <v>0.45800000000000002</v>
      </c>
      <c r="M691">
        <v>3</v>
      </c>
      <c r="N691">
        <v>0.53</v>
      </c>
      <c r="O691">
        <v>3</v>
      </c>
      <c r="P691">
        <v>3</v>
      </c>
      <c r="S691" s="114" t="s">
        <v>944</v>
      </c>
    </row>
    <row r="692" spans="1:19" x14ac:dyDescent="0.2">
      <c r="A692" t="s">
        <v>2411</v>
      </c>
      <c r="B692">
        <v>9009352000</v>
      </c>
      <c r="C692" t="s">
        <v>2412</v>
      </c>
      <c r="D692">
        <v>77939</v>
      </c>
      <c r="E692">
        <v>2.7</v>
      </c>
      <c r="F692">
        <v>47432.164900000003</v>
      </c>
      <c r="G692">
        <v>47.432000000000002</v>
      </c>
      <c r="H692">
        <v>0.40699999999999997</v>
      </c>
      <c r="I692">
        <v>3</v>
      </c>
      <c r="J692">
        <v>1424</v>
      </c>
      <c r="K692">
        <v>0.36026186100000002</v>
      </c>
      <c r="L692">
        <v>0.53800000000000003</v>
      </c>
      <c r="M692">
        <v>3</v>
      </c>
      <c r="N692">
        <v>0.54700000000000004</v>
      </c>
      <c r="O692">
        <v>3</v>
      </c>
      <c r="P692">
        <v>3</v>
      </c>
      <c r="S692" s="116" t="s">
        <v>944</v>
      </c>
    </row>
    <row r="693" spans="1:19" x14ac:dyDescent="0.2">
      <c r="A693" t="s">
        <v>2413</v>
      </c>
      <c r="B693">
        <v>9009352100</v>
      </c>
      <c r="C693" t="s">
        <v>2414</v>
      </c>
      <c r="D693">
        <v>57587</v>
      </c>
      <c r="E693">
        <v>2.62</v>
      </c>
      <c r="F693">
        <v>35577.367409999999</v>
      </c>
      <c r="G693">
        <v>35.576999999999998</v>
      </c>
      <c r="H693">
        <v>0.24</v>
      </c>
      <c r="I693">
        <v>2</v>
      </c>
      <c r="J693">
        <v>1181</v>
      </c>
      <c r="K693">
        <v>0.39834313300000002</v>
      </c>
      <c r="L693">
        <v>0.68100000000000005</v>
      </c>
      <c r="M693">
        <v>4</v>
      </c>
      <c r="N693">
        <v>0.79700000000000004</v>
      </c>
      <c r="O693">
        <v>4</v>
      </c>
      <c r="P693">
        <v>4</v>
      </c>
      <c r="S693" s="114" t="s">
        <v>944</v>
      </c>
    </row>
    <row r="694" spans="1:19" x14ac:dyDescent="0.2">
      <c r="A694" t="s">
        <v>2415</v>
      </c>
      <c r="B694">
        <v>9009352200</v>
      </c>
      <c r="C694" t="s">
        <v>2416</v>
      </c>
      <c r="D694">
        <v>30855</v>
      </c>
      <c r="E694">
        <v>3.03</v>
      </c>
      <c r="F694">
        <v>17725.734349999999</v>
      </c>
      <c r="G694">
        <v>17.725999999999999</v>
      </c>
      <c r="H694">
        <v>0.04</v>
      </c>
      <c r="I694">
        <v>1</v>
      </c>
      <c r="J694">
        <v>710</v>
      </c>
      <c r="K694">
        <v>0.48065709600000001</v>
      </c>
      <c r="L694">
        <v>0.82299999999999995</v>
      </c>
      <c r="M694">
        <v>5</v>
      </c>
      <c r="N694">
        <v>0.99399999999999999</v>
      </c>
      <c r="O694">
        <v>5</v>
      </c>
      <c r="P694">
        <v>5</v>
      </c>
      <c r="S694" s="116" t="s">
        <v>936</v>
      </c>
    </row>
    <row r="695" spans="1:19" x14ac:dyDescent="0.2">
      <c r="A695" t="s">
        <v>2417</v>
      </c>
      <c r="B695">
        <v>9009352300</v>
      </c>
      <c r="C695" t="s">
        <v>2418</v>
      </c>
      <c r="D695">
        <v>44352</v>
      </c>
      <c r="E695">
        <v>2.4</v>
      </c>
      <c r="F695">
        <v>28629.0929</v>
      </c>
      <c r="G695">
        <v>28.629000000000001</v>
      </c>
      <c r="H695">
        <v>0.14899999999999999</v>
      </c>
      <c r="I695">
        <v>1</v>
      </c>
      <c r="J695">
        <v>1015</v>
      </c>
      <c r="K695">
        <v>0.42544135199999999</v>
      </c>
      <c r="L695">
        <v>0.74299999999999999</v>
      </c>
      <c r="M695">
        <v>4</v>
      </c>
      <c r="N695">
        <v>0.93</v>
      </c>
      <c r="O695">
        <v>5</v>
      </c>
      <c r="P695">
        <v>5</v>
      </c>
      <c r="S695" s="114" t="s">
        <v>936</v>
      </c>
    </row>
    <row r="696" spans="1:19" x14ac:dyDescent="0.2">
      <c r="A696" t="s">
        <v>2419</v>
      </c>
      <c r="B696">
        <v>9009352400</v>
      </c>
      <c r="C696" t="s">
        <v>2420</v>
      </c>
      <c r="D696">
        <v>50583</v>
      </c>
      <c r="E696">
        <v>3.2</v>
      </c>
      <c r="F696">
        <v>28276.75663</v>
      </c>
      <c r="G696">
        <v>28.277000000000001</v>
      </c>
      <c r="H696">
        <v>0.14499999999999999</v>
      </c>
      <c r="I696">
        <v>1</v>
      </c>
      <c r="J696">
        <v>1038</v>
      </c>
      <c r="K696">
        <v>0.44050313699999999</v>
      </c>
      <c r="L696">
        <v>0.77</v>
      </c>
      <c r="M696">
        <v>4</v>
      </c>
      <c r="N696">
        <v>0.91500000000000004</v>
      </c>
      <c r="O696">
        <v>5</v>
      </c>
      <c r="P696">
        <v>5</v>
      </c>
      <c r="S696" s="116" t="s">
        <v>944</v>
      </c>
    </row>
    <row r="697" spans="1:19" x14ac:dyDescent="0.2">
      <c r="A697" t="s">
        <v>2421</v>
      </c>
      <c r="B697">
        <v>9009352500</v>
      </c>
      <c r="C697" t="s">
        <v>2422</v>
      </c>
      <c r="D697">
        <v>51094</v>
      </c>
      <c r="E697">
        <v>2.72</v>
      </c>
      <c r="F697">
        <v>30980.288059999999</v>
      </c>
      <c r="G697">
        <v>30.98</v>
      </c>
      <c r="H697">
        <v>0.188</v>
      </c>
      <c r="I697">
        <v>1</v>
      </c>
      <c r="J697">
        <v>1131</v>
      </c>
      <c r="K697">
        <v>0.43808501599999999</v>
      </c>
      <c r="L697">
        <v>0.76600000000000001</v>
      </c>
      <c r="M697">
        <v>4</v>
      </c>
      <c r="N697">
        <v>0.83499999999999996</v>
      </c>
      <c r="O697">
        <v>5</v>
      </c>
      <c r="P697">
        <v>5</v>
      </c>
      <c r="S697" s="114" t="s">
        <v>944</v>
      </c>
    </row>
    <row r="698" spans="1:19" x14ac:dyDescent="0.2">
      <c r="A698" t="s">
        <v>2423</v>
      </c>
      <c r="B698">
        <v>9009352600</v>
      </c>
      <c r="C698" t="s">
        <v>2424</v>
      </c>
      <c r="D698">
        <v>43175</v>
      </c>
      <c r="E698">
        <v>2.64</v>
      </c>
      <c r="F698">
        <v>26572.375619999999</v>
      </c>
      <c r="G698">
        <v>26.571999999999999</v>
      </c>
      <c r="H698">
        <v>0.128</v>
      </c>
      <c r="I698">
        <v>1</v>
      </c>
      <c r="J698">
        <v>1238</v>
      </c>
      <c r="K698">
        <v>0.55907684800000002</v>
      </c>
      <c r="L698">
        <v>0.89600000000000002</v>
      </c>
      <c r="M698">
        <v>5</v>
      </c>
      <c r="N698">
        <v>0.72399999999999998</v>
      </c>
      <c r="O698">
        <v>4</v>
      </c>
      <c r="P698">
        <v>5</v>
      </c>
      <c r="S698" s="116" t="s">
        <v>936</v>
      </c>
    </row>
    <row r="699" spans="1:19" x14ac:dyDescent="0.2">
      <c r="A699" t="s">
        <v>2425</v>
      </c>
      <c r="B699">
        <v>9009352701</v>
      </c>
      <c r="C699" t="s">
        <v>2426</v>
      </c>
      <c r="D699">
        <v>50561</v>
      </c>
      <c r="E699">
        <v>2</v>
      </c>
      <c r="F699">
        <v>35752.025959999999</v>
      </c>
      <c r="G699">
        <v>35.752000000000002</v>
      </c>
      <c r="H699">
        <v>0.24299999999999999</v>
      </c>
      <c r="I699">
        <v>2</v>
      </c>
      <c r="J699">
        <v>1058</v>
      </c>
      <c r="K699">
        <v>0.35511274300000001</v>
      </c>
      <c r="L699">
        <v>0.50800000000000001</v>
      </c>
      <c r="M699">
        <v>3</v>
      </c>
      <c r="N699">
        <v>0.90300000000000002</v>
      </c>
      <c r="O699">
        <v>5</v>
      </c>
      <c r="P699">
        <v>5</v>
      </c>
      <c r="S699" s="114" t="s">
        <v>944</v>
      </c>
    </row>
    <row r="700" spans="1:19" x14ac:dyDescent="0.2">
      <c r="A700" t="s">
        <v>2427</v>
      </c>
      <c r="B700">
        <v>9009352702</v>
      </c>
      <c r="C700" t="s">
        <v>2428</v>
      </c>
      <c r="D700">
        <v>68322</v>
      </c>
      <c r="E700">
        <v>2.52</v>
      </c>
      <c r="F700">
        <v>43038.814539999999</v>
      </c>
      <c r="G700">
        <v>43.039000000000001</v>
      </c>
      <c r="H700">
        <v>0.34</v>
      </c>
      <c r="I700">
        <v>2</v>
      </c>
      <c r="J700">
        <v>1254</v>
      </c>
      <c r="K700">
        <v>0.34963788299999998</v>
      </c>
      <c r="L700">
        <v>0.47299999999999998</v>
      </c>
      <c r="M700">
        <v>3</v>
      </c>
      <c r="N700">
        <v>0.71299999999999997</v>
      </c>
      <c r="O700">
        <v>4</v>
      </c>
      <c r="P700">
        <v>4</v>
      </c>
      <c r="S700" s="116" t="s">
        <v>944</v>
      </c>
    </row>
    <row r="701" spans="1:19" x14ac:dyDescent="0.2">
      <c r="A701" t="s">
        <v>2429</v>
      </c>
      <c r="B701">
        <v>9009352800</v>
      </c>
      <c r="C701" t="s">
        <v>2430</v>
      </c>
      <c r="D701">
        <v>53904</v>
      </c>
      <c r="E701">
        <v>2.48</v>
      </c>
      <c r="F701">
        <v>34229.074229999998</v>
      </c>
      <c r="G701">
        <v>34.228999999999999</v>
      </c>
      <c r="H701">
        <v>0.22900000000000001</v>
      </c>
      <c r="I701">
        <v>2</v>
      </c>
      <c r="J701">
        <v>1120</v>
      </c>
      <c r="K701">
        <v>0.39264865599999998</v>
      </c>
      <c r="L701">
        <v>0.67</v>
      </c>
      <c r="M701">
        <v>4</v>
      </c>
      <c r="N701">
        <v>0.85499999999999998</v>
      </c>
      <c r="O701">
        <v>5</v>
      </c>
      <c r="P701">
        <v>5</v>
      </c>
      <c r="S701" s="114" t="s">
        <v>944</v>
      </c>
    </row>
    <row r="702" spans="1:19" x14ac:dyDescent="0.2">
      <c r="A702" t="s">
        <v>2431</v>
      </c>
      <c r="B702">
        <v>9009361100</v>
      </c>
      <c r="C702" t="s">
        <v>2432</v>
      </c>
      <c r="D702">
        <v>94434</v>
      </c>
      <c r="E702">
        <v>2.73</v>
      </c>
      <c r="F702">
        <v>57154.056819999998</v>
      </c>
      <c r="G702">
        <v>57.154000000000003</v>
      </c>
      <c r="H702">
        <v>0.59899999999999998</v>
      </c>
      <c r="I702">
        <v>3</v>
      </c>
      <c r="J702">
        <v>1597</v>
      </c>
      <c r="K702">
        <v>0.33530428200000001</v>
      </c>
      <c r="L702">
        <v>0.39900000000000002</v>
      </c>
      <c r="M702">
        <v>2</v>
      </c>
      <c r="N702">
        <v>0.38100000000000001</v>
      </c>
      <c r="O702">
        <v>2</v>
      </c>
      <c r="P702">
        <v>3</v>
      </c>
      <c r="S702" s="116" t="s">
        <v>944</v>
      </c>
    </row>
    <row r="703" spans="1:19" x14ac:dyDescent="0.2">
      <c r="A703" t="s">
        <v>2433</v>
      </c>
      <c r="B703">
        <v>9009361200</v>
      </c>
      <c r="C703" t="s">
        <v>2434</v>
      </c>
      <c r="D703">
        <v>94576</v>
      </c>
      <c r="E703">
        <v>2.7</v>
      </c>
      <c r="F703">
        <v>57557.120669999997</v>
      </c>
      <c r="G703">
        <v>57.557000000000002</v>
      </c>
      <c r="H703">
        <v>0.61099999999999999</v>
      </c>
      <c r="I703">
        <v>4</v>
      </c>
      <c r="J703">
        <v>1475</v>
      </c>
      <c r="K703">
        <v>0.30752059500000001</v>
      </c>
      <c r="L703">
        <v>0.21199999999999999</v>
      </c>
      <c r="M703">
        <v>2</v>
      </c>
      <c r="N703">
        <v>0.5</v>
      </c>
      <c r="O703">
        <v>3</v>
      </c>
      <c r="P703">
        <v>3</v>
      </c>
      <c r="S703" s="114" t="s">
        <v>944</v>
      </c>
    </row>
    <row r="704" spans="1:19" x14ac:dyDescent="0.2">
      <c r="A704" t="s">
        <v>2435</v>
      </c>
      <c r="B704">
        <v>9009361300</v>
      </c>
      <c r="C704" t="s">
        <v>2436</v>
      </c>
      <c r="D704">
        <v>102697</v>
      </c>
      <c r="E704">
        <v>2.72</v>
      </c>
      <c r="F704">
        <v>62269.202709999998</v>
      </c>
      <c r="G704">
        <v>62.268999999999998</v>
      </c>
      <c r="H704">
        <v>0.69799999999999995</v>
      </c>
      <c r="I704">
        <v>4</v>
      </c>
      <c r="J704">
        <v>1664</v>
      </c>
      <c r="K704">
        <v>0.32067216399999998</v>
      </c>
      <c r="L704">
        <v>0.29499999999999998</v>
      </c>
      <c r="M704">
        <v>2</v>
      </c>
      <c r="N704">
        <v>0.33300000000000002</v>
      </c>
      <c r="O704">
        <v>2</v>
      </c>
      <c r="P704">
        <v>2</v>
      </c>
      <c r="S704" s="116" t="s">
        <v>944</v>
      </c>
    </row>
    <row r="705" spans="1:19" x14ac:dyDescent="0.2">
      <c r="A705" t="s">
        <v>2437</v>
      </c>
      <c r="B705">
        <v>9009361401</v>
      </c>
      <c r="C705" t="s">
        <v>2438</v>
      </c>
      <c r="D705">
        <v>31838</v>
      </c>
      <c r="E705">
        <v>1.55</v>
      </c>
      <c r="F705">
        <v>25572.896990000001</v>
      </c>
      <c r="G705">
        <v>25.573</v>
      </c>
      <c r="H705">
        <v>0.11899999999999999</v>
      </c>
      <c r="I705">
        <v>1</v>
      </c>
      <c r="J705">
        <v>1313</v>
      </c>
      <c r="K705">
        <v>0.61612104400000001</v>
      </c>
      <c r="L705">
        <v>0.93</v>
      </c>
      <c r="M705">
        <v>5</v>
      </c>
      <c r="N705">
        <v>0.64300000000000002</v>
      </c>
      <c r="O705">
        <v>4</v>
      </c>
      <c r="P705">
        <v>5</v>
      </c>
      <c r="S705" s="114" t="s">
        <v>936</v>
      </c>
    </row>
    <row r="706" spans="1:19" x14ac:dyDescent="0.2">
      <c r="A706" t="s">
        <v>2439</v>
      </c>
      <c r="B706">
        <v>9009361402</v>
      </c>
      <c r="C706" t="s">
        <v>2440</v>
      </c>
      <c r="D706">
        <v>49375</v>
      </c>
      <c r="E706">
        <v>1.97</v>
      </c>
      <c r="F706">
        <v>35178.230929999998</v>
      </c>
      <c r="G706">
        <v>35.177999999999997</v>
      </c>
      <c r="H706">
        <v>0.23599999999999999</v>
      </c>
      <c r="I706">
        <v>2</v>
      </c>
      <c r="J706">
        <v>1510</v>
      </c>
      <c r="K706">
        <v>0.51509128000000004</v>
      </c>
      <c r="L706">
        <v>0.86199999999999999</v>
      </c>
      <c r="M706">
        <v>5</v>
      </c>
      <c r="N706">
        <v>0.46</v>
      </c>
      <c r="O706">
        <v>3</v>
      </c>
      <c r="P706">
        <v>4</v>
      </c>
      <c r="S706" s="116" t="s">
        <v>944</v>
      </c>
    </row>
    <row r="707" spans="1:19" x14ac:dyDescent="0.2">
      <c r="A707" t="s">
        <v>2441</v>
      </c>
      <c r="B707">
        <v>9009361500</v>
      </c>
      <c r="C707" t="s">
        <v>2442</v>
      </c>
      <c r="D707">
        <v>57955</v>
      </c>
      <c r="E707">
        <v>2.87</v>
      </c>
      <c r="F707">
        <v>34209.754829999998</v>
      </c>
      <c r="G707">
        <v>34.21</v>
      </c>
      <c r="H707">
        <v>0.22800000000000001</v>
      </c>
      <c r="I707">
        <v>2</v>
      </c>
      <c r="J707">
        <v>1260</v>
      </c>
      <c r="K707">
        <v>0.44197919800000002</v>
      </c>
      <c r="L707">
        <v>0.77200000000000002</v>
      </c>
      <c r="M707">
        <v>4</v>
      </c>
      <c r="N707">
        <v>0.70199999999999996</v>
      </c>
      <c r="O707">
        <v>4</v>
      </c>
      <c r="P707">
        <v>4</v>
      </c>
      <c r="S707" s="114" t="s">
        <v>944</v>
      </c>
    </row>
    <row r="708" spans="1:19" x14ac:dyDescent="0.2">
      <c r="A708" t="s">
        <v>2443</v>
      </c>
      <c r="B708">
        <v>9011650100</v>
      </c>
      <c r="C708" t="s">
        <v>2444</v>
      </c>
      <c r="D708">
        <v>100435</v>
      </c>
      <c r="E708">
        <v>2.36</v>
      </c>
      <c r="F708">
        <v>65377.616370000003</v>
      </c>
      <c r="G708">
        <v>65.378</v>
      </c>
      <c r="H708">
        <v>0.73899999999999999</v>
      </c>
      <c r="I708">
        <v>4</v>
      </c>
      <c r="J708">
        <v>1779</v>
      </c>
      <c r="K708">
        <v>0.32653377700000003</v>
      </c>
      <c r="L708">
        <v>0.33500000000000002</v>
      </c>
      <c r="M708">
        <v>2</v>
      </c>
      <c r="N708">
        <v>0.26200000000000001</v>
      </c>
      <c r="O708">
        <v>2</v>
      </c>
      <c r="P708">
        <v>2</v>
      </c>
      <c r="S708" s="116" t="s">
        <v>944</v>
      </c>
    </row>
    <row r="709" spans="1:19" x14ac:dyDescent="0.2">
      <c r="A709" t="s">
        <v>2445</v>
      </c>
      <c r="B709">
        <v>9011660101</v>
      </c>
      <c r="C709" t="s">
        <v>2446</v>
      </c>
      <c r="D709">
        <v>95642</v>
      </c>
      <c r="E709">
        <v>2.23</v>
      </c>
      <c r="F709">
        <v>64046.620369999997</v>
      </c>
      <c r="G709">
        <v>64.046999999999997</v>
      </c>
      <c r="H709">
        <v>0.71899999999999997</v>
      </c>
      <c r="I709">
        <v>4</v>
      </c>
      <c r="J709">
        <v>1661</v>
      </c>
      <c r="K709">
        <v>0.31121080099999998</v>
      </c>
      <c r="L709">
        <v>0.23100000000000001</v>
      </c>
      <c r="M709">
        <v>2</v>
      </c>
      <c r="N709">
        <v>0.33700000000000002</v>
      </c>
      <c r="O709">
        <v>2</v>
      </c>
      <c r="P709">
        <v>2</v>
      </c>
      <c r="S709" s="114" t="s">
        <v>944</v>
      </c>
    </row>
    <row r="710" spans="1:19" x14ac:dyDescent="0.2">
      <c r="A710" t="s">
        <v>2447</v>
      </c>
      <c r="B710">
        <v>9011660102</v>
      </c>
      <c r="C710" t="s">
        <v>2448</v>
      </c>
      <c r="D710">
        <v>98000</v>
      </c>
      <c r="E710">
        <v>2.37</v>
      </c>
      <c r="F710">
        <v>63657.840640000002</v>
      </c>
      <c r="G710">
        <v>63.658000000000001</v>
      </c>
      <c r="H710">
        <v>0.71299999999999997</v>
      </c>
      <c r="I710">
        <v>4</v>
      </c>
      <c r="J710">
        <v>1396</v>
      </c>
      <c r="K710">
        <v>0.26315690000000003</v>
      </c>
      <c r="L710">
        <v>4.2000000000000003E-2</v>
      </c>
      <c r="M710">
        <v>1</v>
      </c>
      <c r="N710">
        <v>0.57299999999999995</v>
      </c>
      <c r="O710">
        <v>3</v>
      </c>
      <c r="P710">
        <v>3</v>
      </c>
      <c r="S710" s="116" t="s">
        <v>944</v>
      </c>
    </row>
    <row r="711" spans="1:19" x14ac:dyDescent="0.2">
      <c r="A711" t="s">
        <v>2449</v>
      </c>
      <c r="B711">
        <v>9011690300</v>
      </c>
      <c r="C711" t="s">
        <v>2450</v>
      </c>
      <c r="D711">
        <v>40913</v>
      </c>
      <c r="E711">
        <v>2.4</v>
      </c>
      <c r="F711">
        <v>26409.227940000001</v>
      </c>
      <c r="G711">
        <v>26.408999999999999</v>
      </c>
      <c r="H711">
        <v>0.126</v>
      </c>
      <c r="I711">
        <v>1</v>
      </c>
      <c r="J711">
        <v>1104</v>
      </c>
      <c r="K711">
        <v>0.50164283600000004</v>
      </c>
      <c r="L711">
        <v>0.84699999999999998</v>
      </c>
      <c r="M711">
        <v>5</v>
      </c>
      <c r="N711">
        <v>0.87</v>
      </c>
      <c r="O711">
        <v>5</v>
      </c>
      <c r="P711">
        <v>5</v>
      </c>
      <c r="S711" s="114" t="s">
        <v>936</v>
      </c>
    </row>
    <row r="712" spans="1:19" x14ac:dyDescent="0.2">
      <c r="A712" t="s">
        <v>2451</v>
      </c>
      <c r="B712">
        <v>9011690400</v>
      </c>
      <c r="C712" t="s">
        <v>2452</v>
      </c>
      <c r="D712">
        <v>50000</v>
      </c>
      <c r="E712">
        <v>2.61</v>
      </c>
      <c r="F712">
        <v>30949.223030000001</v>
      </c>
      <c r="G712">
        <v>30.949000000000002</v>
      </c>
      <c r="H712">
        <v>0.185</v>
      </c>
      <c r="I712">
        <v>1</v>
      </c>
      <c r="J712">
        <v>1248</v>
      </c>
      <c r="K712">
        <v>0.48388936900000001</v>
      </c>
      <c r="L712">
        <v>0.82699999999999996</v>
      </c>
      <c r="M712">
        <v>5</v>
      </c>
      <c r="N712">
        <v>0.71599999999999997</v>
      </c>
      <c r="O712">
        <v>4</v>
      </c>
      <c r="P712">
        <v>5</v>
      </c>
      <c r="S712" s="116" t="s">
        <v>944</v>
      </c>
    </row>
    <row r="713" spans="1:19" x14ac:dyDescent="0.2">
      <c r="A713" t="s">
        <v>2453</v>
      </c>
      <c r="B713">
        <v>9011690500</v>
      </c>
      <c r="C713" t="s">
        <v>2454</v>
      </c>
      <c r="D713">
        <v>28032</v>
      </c>
      <c r="E713">
        <v>1.59</v>
      </c>
      <c r="F713">
        <v>22230.822049999999</v>
      </c>
      <c r="G713">
        <v>22.231000000000002</v>
      </c>
      <c r="H713">
        <v>8.5000000000000006E-2</v>
      </c>
      <c r="I713">
        <v>1</v>
      </c>
      <c r="J713">
        <v>910</v>
      </c>
      <c r="K713">
        <v>0.49120990599999997</v>
      </c>
      <c r="L713">
        <v>0.83499999999999996</v>
      </c>
      <c r="M713">
        <v>5</v>
      </c>
      <c r="N713">
        <v>0.97</v>
      </c>
      <c r="O713">
        <v>5</v>
      </c>
      <c r="P713">
        <v>5</v>
      </c>
      <c r="S713" s="114" t="s">
        <v>936</v>
      </c>
    </row>
    <row r="714" spans="1:19" x14ac:dyDescent="0.2">
      <c r="A714" t="s">
        <v>2455</v>
      </c>
      <c r="B714">
        <v>9011690700</v>
      </c>
      <c r="C714" t="s">
        <v>2456</v>
      </c>
      <c r="D714">
        <v>49183</v>
      </c>
      <c r="E714">
        <v>2.37</v>
      </c>
      <c r="F714">
        <v>31947.791590000001</v>
      </c>
      <c r="G714">
        <v>31.948</v>
      </c>
      <c r="H714">
        <v>0.20100000000000001</v>
      </c>
      <c r="I714">
        <v>2</v>
      </c>
      <c r="J714">
        <v>1165</v>
      </c>
      <c r="K714">
        <v>0.43758893199999999</v>
      </c>
      <c r="L714">
        <v>0.76500000000000001</v>
      </c>
      <c r="M714">
        <v>4</v>
      </c>
      <c r="N714">
        <v>0.81100000000000005</v>
      </c>
      <c r="O714">
        <v>5</v>
      </c>
      <c r="P714">
        <v>5</v>
      </c>
      <c r="S714" s="116" t="s">
        <v>944</v>
      </c>
    </row>
    <row r="715" spans="1:19" x14ac:dyDescent="0.2">
      <c r="A715" t="s">
        <v>2457</v>
      </c>
      <c r="B715">
        <v>9011690800</v>
      </c>
      <c r="C715" t="s">
        <v>2458</v>
      </c>
      <c r="D715">
        <v>51426</v>
      </c>
      <c r="E715">
        <v>2.33</v>
      </c>
      <c r="F715">
        <v>33690.29277</v>
      </c>
      <c r="G715">
        <v>33.69</v>
      </c>
      <c r="H715">
        <v>0.218</v>
      </c>
      <c r="I715">
        <v>2</v>
      </c>
      <c r="J715">
        <v>1264</v>
      </c>
      <c r="K715">
        <v>0.45021870600000002</v>
      </c>
      <c r="L715">
        <v>0.78400000000000003</v>
      </c>
      <c r="M715">
        <v>4</v>
      </c>
      <c r="N715">
        <v>0.69899999999999995</v>
      </c>
      <c r="O715">
        <v>4</v>
      </c>
      <c r="P715">
        <v>4</v>
      </c>
      <c r="S715" s="114" t="s">
        <v>944</v>
      </c>
    </row>
    <row r="716" spans="1:19" x14ac:dyDescent="0.2">
      <c r="A716" t="s">
        <v>2459</v>
      </c>
      <c r="B716">
        <v>9011690900</v>
      </c>
      <c r="C716" t="s">
        <v>2460</v>
      </c>
      <c r="D716">
        <v>78209</v>
      </c>
      <c r="E716">
        <v>1.99</v>
      </c>
      <c r="F716">
        <v>55440.890160000003</v>
      </c>
      <c r="G716">
        <v>55.441000000000003</v>
      </c>
      <c r="H716">
        <v>0.57099999999999995</v>
      </c>
      <c r="I716">
        <v>3</v>
      </c>
      <c r="J716">
        <v>1197</v>
      </c>
      <c r="K716">
        <v>0.25908674900000001</v>
      </c>
      <c r="L716">
        <v>2.9000000000000001E-2</v>
      </c>
      <c r="M716">
        <v>1</v>
      </c>
      <c r="N716">
        <v>0.76800000000000002</v>
      </c>
      <c r="O716">
        <v>4</v>
      </c>
      <c r="P716">
        <v>4</v>
      </c>
      <c r="S716" s="116" t="s">
        <v>944</v>
      </c>
    </row>
    <row r="717" spans="1:19" x14ac:dyDescent="0.2">
      <c r="A717" t="s">
        <v>2461</v>
      </c>
      <c r="B717">
        <v>9011693300</v>
      </c>
      <c r="C717" t="s">
        <v>2462</v>
      </c>
      <c r="D717">
        <v>80753</v>
      </c>
      <c r="E717">
        <v>2.2799999999999998</v>
      </c>
      <c r="F717">
        <v>53479.98072</v>
      </c>
      <c r="G717">
        <v>53.48</v>
      </c>
      <c r="H717">
        <v>0.52800000000000002</v>
      </c>
      <c r="I717">
        <v>3</v>
      </c>
      <c r="J717">
        <v>1399</v>
      </c>
      <c r="K717">
        <v>0.31391185599999999</v>
      </c>
      <c r="L717">
        <v>0.249</v>
      </c>
      <c r="M717">
        <v>2</v>
      </c>
      <c r="N717">
        <v>0.56999999999999995</v>
      </c>
      <c r="O717">
        <v>3</v>
      </c>
      <c r="P717">
        <v>3</v>
      </c>
      <c r="S717" s="114" t="s">
        <v>944</v>
      </c>
    </row>
    <row r="718" spans="1:19" x14ac:dyDescent="0.2">
      <c r="A718" t="s">
        <v>2463</v>
      </c>
      <c r="B718">
        <v>9011693400</v>
      </c>
      <c r="C718" t="s">
        <v>2464</v>
      </c>
      <c r="D718">
        <v>63295</v>
      </c>
      <c r="E718">
        <v>2.1800000000000002</v>
      </c>
      <c r="F718">
        <v>42868.783280000003</v>
      </c>
      <c r="G718">
        <v>42.869</v>
      </c>
      <c r="H718">
        <v>0.33600000000000002</v>
      </c>
      <c r="I718">
        <v>2</v>
      </c>
      <c r="J718">
        <v>1187</v>
      </c>
      <c r="K718">
        <v>0.33226975199999997</v>
      </c>
      <c r="L718">
        <v>0.375</v>
      </c>
      <c r="M718">
        <v>2</v>
      </c>
      <c r="N718">
        <v>0.78400000000000003</v>
      </c>
      <c r="O718">
        <v>4</v>
      </c>
      <c r="P718">
        <v>4</v>
      </c>
      <c r="S718" s="116" t="s">
        <v>944</v>
      </c>
    </row>
    <row r="719" spans="1:19" x14ac:dyDescent="0.2">
      <c r="A719" t="s">
        <v>2465</v>
      </c>
      <c r="B719">
        <v>9011693500</v>
      </c>
      <c r="C719" t="s">
        <v>2466</v>
      </c>
      <c r="D719">
        <v>110625</v>
      </c>
      <c r="E719">
        <v>2.4700000000000002</v>
      </c>
      <c r="F719">
        <v>70389.001900000003</v>
      </c>
      <c r="G719">
        <v>70.388999999999996</v>
      </c>
      <c r="H719">
        <v>0.80800000000000005</v>
      </c>
      <c r="I719">
        <v>5</v>
      </c>
      <c r="J719">
        <v>1712</v>
      </c>
      <c r="K719">
        <v>0.29186377800000002</v>
      </c>
      <c r="L719">
        <v>0.125</v>
      </c>
      <c r="M719">
        <v>1</v>
      </c>
      <c r="N719">
        <v>0.30299999999999999</v>
      </c>
      <c r="O719">
        <v>2</v>
      </c>
      <c r="P719">
        <v>2</v>
      </c>
      <c r="S719" s="114" t="s">
        <v>944</v>
      </c>
    </row>
    <row r="720" spans="1:19" x14ac:dyDescent="0.2">
      <c r="A720" t="s">
        <v>2467</v>
      </c>
      <c r="B720">
        <v>9011693600</v>
      </c>
      <c r="C720" t="s">
        <v>2468</v>
      </c>
      <c r="D720">
        <v>97750</v>
      </c>
      <c r="E720">
        <v>2.61</v>
      </c>
      <c r="F720">
        <v>60505.731019999999</v>
      </c>
      <c r="G720">
        <v>60.506</v>
      </c>
      <c r="H720">
        <v>0.66200000000000003</v>
      </c>
      <c r="I720">
        <v>4</v>
      </c>
      <c r="J720">
        <v>1528</v>
      </c>
      <c r="K720">
        <v>0.30304567300000002</v>
      </c>
      <c r="L720">
        <v>0.192</v>
      </c>
      <c r="M720">
        <v>1</v>
      </c>
      <c r="N720">
        <v>0.44500000000000001</v>
      </c>
      <c r="O720">
        <v>3</v>
      </c>
      <c r="P720">
        <v>3</v>
      </c>
      <c r="S720" s="116" t="s">
        <v>944</v>
      </c>
    </row>
    <row r="721" spans="1:19" x14ac:dyDescent="0.2">
      <c r="A721" t="s">
        <v>2469</v>
      </c>
      <c r="B721">
        <v>9011693700</v>
      </c>
      <c r="C721" t="s">
        <v>2470</v>
      </c>
      <c r="D721">
        <v>111849</v>
      </c>
      <c r="E721">
        <v>2.64</v>
      </c>
      <c r="F721">
        <v>68838.300870000006</v>
      </c>
      <c r="G721">
        <v>68.837999999999994</v>
      </c>
      <c r="H721">
        <v>0.78600000000000003</v>
      </c>
      <c r="I721">
        <v>4</v>
      </c>
      <c r="J721">
        <v>1443</v>
      </c>
      <c r="K721">
        <v>0.25154601100000001</v>
      </c>
      <c r="L721">
        <v>1.4999999999999999E-2</v>
      </c>
      <c r="M721">
        <v>1</v>
      </c>
      <c r="N721">
        <v>0.53500000000000003</v>
      </c>
      <c r="O721">
        <v>3</v>
      </c>
      <c r="P721">
        <v>3</v>
      </c>
      <c r="S721" s="114" t="s">
        <v>944</v>
      </c>
    </row>
    <row r="722" spans="1:19" x14ac:dyDescent="0.2">
      <c r="A722" t="s">
        <v>2471</v>
      </c>
      <c r="B722">
        <v>9011695201</v>
      </c>
      <c r="C722" t="s">
        <v>2472</v>
      </c>
      <c r="D722">
        <v>74675</v>
      </c>
      <c r="E722">
        <v>2.48</v>
      </c>
      <c r="F722">
        <v>47418.672420000003</v>
      </c>
      <c r="G722">
        <v>47.418999999999997</v>
      </c>
      <c r="H722">
        <v>0.40500000000000003</v>
      </c>
      <c r="I722">
        <v>3</v>
      </c>
      <c r="J722">
        <v>1280</v>
      </c>
      <c r="K722">
        <v>0.32392302899999997</v>
      </c>
      <c r="L722">
        <v>0.32700000000000001</v>
      </c>
      <c r="M722">
        <v>2</v>
      </c>
      <c r="N722">
        <v>0.67900000000000005</v>
      </c>
      <c r="O722">
        <v>4</v>
      </c>
      <c r="P722">
        <v>4</v>
      </c>
      <c r="S722" s="116" t="s">
        <v>944</v>
      </c>
    </row>
    <row r="723" spans="1:19" x14ac:dyDescent="0.2">
      <c r="A723" t="s">
        <v>2473</v>
      </c>
      <c r="B723">
        <v>9011695202</v>
      </c>
      <c r="C723" t="s">
        <v>2474</v>
      </c>
      <c r="D723">
        <v>83039</v>
      </c>
      <c r="E723">
        <v>2.41</v>
      </c>
      <c r="F723">
        <v>53490.122100000001</v>
      </c>
      <c r="G723">
        <v>53.49</v>
      </c>
      <c r="H723">
        <v>0.52900000000000003</v>
      </c>
      <c r="I723">
        <v>3</v>
      </c>
      <c r="J723">
        <v>1304</v>
      </c>
      <c r="K723">
        <v>0.29253999400000003</v>
      </c>
      <c r="L723">
        <v>0.13200000000000001</v>
      </c>
      <c r="M723">
        <v>1</v>
      </c>
      <c r="N723">
        <v>0.65100000000000002</v>
      </c>
      <c r="O723">
        <v>4</v>
      </c>
      <c r="P723">
        <v>4</v>
      </c>
      <c r="S723" s="114" t="s">
        <v>944</v>
      </c>
    </row>
    <row r="724" spans="1:19" x14ac:dyDescent="0.2">
      <c r="A724" t="s">
        <v>2475</v>
      </c>
      <c r="B724">
        <v>9011696100</v>
      </c>
      <c r="C724" t="s">
        <v>2476</v>
      </c>
      <c r="D724">
        <v>43716</v>
      </c>
      <c r="E724">
        <v>2.1</v>
      </c>
      <c r="F724">
        <v>30166.905989999999</v>
      </c>
      <c r="G724">
        <v>30.167000000000002</v>
      </c>
      <c r="H724">
        <v>0.17199999999999999</v>
      </c>
      <c r="I724">
        <v>1</v>
      </c>
      <c r="J724">
        <v>977</v>
      </c>
      <c r="K724">
        <v>0.388637801</v>
      </c>
      <c r="L724">
        <v>0.65800000000000003</v>
      </c>
      <c r="M724">
        <v>4</v>
      </c>
      <c r="N724">
        <v>0.94899999999999995</v>
      </c>
      <c r="O724">
        <v>5</v>
      </c>
      <c r="P724">
        <v>5</v>
      </c>
      <c r="S724" s="116" t="s">
        <v>936</v>
      </c>
    </row>
    <row r="725" spans="1:19" x14ac:dyDescent="0.2">
      <c r="A725" t="s">
        <v>2477</v>
      </c>
      <c r="B725">
        <v>9011696200</v>
      </c>
      <c r="C725" t="s">
        <v>2478</v>
      </c>
      <c r="D725">
        <v>79082</v>
      </c>
      <c r="E725">
        <v>2.29</v>
      </c>
      <c r="F725">
        <v>52258.85656</v>
      </c>
      <c r="G725">
        <v>52.259</v>
      </c>
      <c r="H725">
        <v>0.505</v>
      </c>
      <c r="I725">
        <v>3</v>
      </c>
      <c r="J725">
        <v>1338</v>
      </c>
      <c r="K725">
        <v>0.30723978800000001</v>
      </c>
      <c r="L725">
        <v>0.21</v>
      </c>
      <c r="M725">
        <v>2</v>
      </c>
      <c r="N725">
        <v>0.61699999999999999</v>
      </c>
      <c r="O725">
        <v>4</v>
      </c>
      <c r="P725">
        <v>4</v>
      </c>
      <c r="S725" s="114" t="s">
        <v>944</v>
      </c>
    </row>
    <row r="726" spans="1:19" x14ac:dyDescent="0.2">
      <c r="A726" t="s">
        <v>2479</v>
      </c>
      <c r="B726">
        <v>9011696300</v>
      </c>
      <c r="C726" t="s">
        <v>2480</v>
      </c>
      <c r="D726">
        <v>100757</v>
      </c>
      <c r="E726">
        <v>2.81</v>
      </c>
      <c r="F726">
        <v>60106.586969999997</v>
      </c>
      <c r="G726">
        <v>60.106999999999999</v>
      </c>
      <c r="H726">
        <v>0.65700000000000003</v>
      </c>
      <c r="I726">
        <v>4</v>
      </c>
      <c r="J726">
        <v>1517</v>
      </c>
      <c r="K726">
        <v>0.302861981</v>
      </c>
      <c r="L726">
        <v>0.189</v>
      </c>
      <c r="M726">
        <v>1</v>
      </c>
      <c r="N726">
        <v>0.45400000000000001</v>
      </c>
      <c r="O726">
        <v>3</v>
      </c>
      <c r="P726">
        <v>3</v>
      </c>
      <c r="S726" s="116" t="s">
        <v>944</v>
      </c>
    </row>
    <row r="727" spans="1:19" x14ac:dyDescent="0.2">
      <c r="A727" t="s">
        <v>2481</v>
      </c>
      <c r="B727">
        <v>9011696400</v>
      </c>
      <c r="C727" t="s">
        <v>2482</v>
      </c>
      <c r="D727">
        <v>46326</v>
      </c>
      <c r="E727">
        <v>2.5</v>
      </c>
      <c r="F727">
        <v>29299.134979999999</v>
      </c>
      <c r="G727">
        <v>29.298999999999999</v>
      </c>
      <c r="H727">
        <v>0.16</v>
      </c>
      <c r="I727">
        <v>1</v>
      </c>
      <c r="J727">
        <v>1172</v>
      </c>
      <c r="K727">
        <v>0.48001417099999999</v>
      </c>
      <c r="L727">
        <v>0.82099999999999995</v>
      </c>
      <c r="M727">
        <v>5</v>
      </c>
      <c r="N727">
        <v>0.80100000000000005</v>
      </c>
      <c r="O727">
        <v>5</v>
      </c>
      <c r="P727">
        <v>5</v>
      </c>
      <c r="S727" s="114" t="s">
        <v>936</v>
      </c>
    </row>
    <row r="728" spans="1:19" x14ac:dyDescent="0.2">
      <c r="A728" t="s">
        <v>2483</v>
      </c>
      <c r="B728">
        <v>9011696500</v>
      </c>
      <c r="C728" t="s">
        <v>2484</v>
      </c>
      <c r="D728">
        <v>59402</v>
      </c>
      <c r="E728">
        <v>2.1800000000000002</v>
      </c>
      <c r="F728">
        <v>40232.110979999998</v>
      </c>
      <c r="G728">
        <v>40.231999999999999</v>
      </c>
      <c r="H728">
        <v>0.29699999999999999</v>
      </c>
      <c r="I728">
        <v>2</v>
      </c>
      <c r="J728">
        <v>1195</v>
      </c>
      <c r="K728">
        <v>0.35643170699999999</v>
      </c>
      <c r="L728">
        <v>0.51500000000000001</v>
      </c>
      <c r="M728">
        <v>3</v>
      </c>
      <c r="N728">
        <v>0.77300000000000002</v>
      </c>
      <c r="O728">
        <v>4</v>
      </c>
      <c r="P728">
        <v>4</v>
      </c>
      <c r="S728" s="116" t="s">
        <v>944</v>
      </c>
    </row>
    <row r="729" spans="1:19" x14ac:dyDescent="0.2">
      <c r="A729" t="s">
        <v>2485</v>
      </c>
      <c r="B729">
        <v>9011696600</v>
      </c>
      <c r="C729" t="s">
        <v>2486</v>
      </c>
      <c r="D729">
        <v>87604</v>
      </c>
      <c r="E729">
        <v>2.79</v>
      </c>
      <c r="F729">
        <v>52447.142930000002</v>
      </c>
      <c r="G729">
        <v>52.447000000000003</v>
      </c>
      <c r="H729">
        <v>0.50900000000000001</v>
      </c>
      <c r="I729">
        <v>3</v>
      </c>
      <c r="J729">
        <v>1297</v>
      </c>
      <c r="K729">
        <v>0.29675591699999998</v>
      </c>
      <c r="L729">
        <v>0.152</v>
      </c>
      <c r="M729">
        <v>1</v>
      </c>
      <c r="N729">
        <v>0.65900000000000003</v>
      </c>
      <c r="O729">
        <v>4</v>
      </c>
      <c r="P729">
        <v>4</v>
      </c>
      <c r="S729" s="114" t="s">
        <v>944</v>
      </c>
    </row>
    <row r="730" spans="1:19" x14ac:dyDescent="0.2">
      <c r="A730" t="s">
        <v>2487</v>
      </c>
      <c r="B730">
        <v>9011696700</v>
      </c>
      <c r="C730" t="s">
        <v>2488</v>
      </c>
      <c r="D730">
        <v>48519</v>
      </c>
      <c r="E730">
        <v>2.56</v>
      </c>
      <c r="F730">
        <v>30324.375</v>
      </c>
      <c r="G730">
        <v>30.324000000000002</v>
      </c>
      <c r="H730">
        <v>0.17299999999999999</v>
      </c>
      <c r="I730">
        <v>1</v>
      </c>
      <c r="J730">
        <v>1124</v>
      </c>
      <c r="K730">
        <v>0.44479070100000001</v>
      </c>
      <c r="L730">
        <v>0.77800000000000002</v>
      </c>
      <c r="M730">
        <v>4</v>
      </c>
      <c r="N730">
        <v>0.84799999999999998</v>
      </c>
      <c r="O730">
        <v>5</v>
      </c>
      <c r="P730">
        <v>5</v>
      </c>
      <c r="S730" s="116" t="s">
        <v>944</v>
      </c>
    </row>
    <row r="731" spans="1:19" x14ac:dyDescent="0.2">
      <c r="A731" t="s">
        <v>2489</v>
      </c>
      <c r="B731">
        <v>9011696800</v>
      </c>
      <c r="C731" t="s">
        <v>2490</v>
      </c>
      <c r="D731">
        <v>48022</v>
      </c>
      <c r="E731">
        <v>2.15</v>
      </c>
      <c r="F731">
        <v>32750.732169999999</v>
      </c>
      <c r="G731">
        <v>32.750999999999998</v>
      </c>
      <c r="H731">
        <v>0.20799999999999999</v>
      </c>
      <c r="I731">
        <v>2</v>
      </c>
      <c r="J731">
        <v>1005</v>
      </c>
      <c r="K731">
        <v>0.36823604199999999</v>
      </c>
      <c r="L731">
        <v>0.58299999999999996</v>
      </c>
      <c r="M731">
        <v>3</v>
      </c>
      <c r="N731">
        <v>0.93600000000000005</v>
      </c>
      <c r="O731">
        <v>5</v>
      </c>
      <c r="P731">
        <v>5</v>
      </c>
      <c r="S731" s="114" t="s">
        <v>944</v>
      </c>
    </row>
    <row r="732" spans="1:19" x14ac:dyDescent="0.2">
      <c r="A732" t="s">
        <v>2491</v>
      </c>
      <c r="B732">
        <v>9011697000</v>
      </c>
      <c r="C732" t="s">
        <v>2492</v>
      </c>
      <c r="D732">
        <v>46801</v>
      </c>
      <c r="E732">
        <v>2.4300000000000002</v>
      </c>
      <c r="F732">
        <v>30022.855500000001</v>
      </c>
      <c r="G732">
        <v>30.023</v>
      </c>
      <c r="H732">
        <v>0.17</v>
      </c>
      <c r="I732">
        <v>1</v>
      </c>
      <c r="J732">
        <v>1073</v>
      </c>
      <c r="K732">
        <v>0.428873263</v>
      </c>
      <c r="L732">
        <v>0.75</v>
      </c>
      <c r="M732">
        <v>4</v>
      </c>
      <c r="N732">
        <v>0.89300000000000002</v>
      </c>
      <c r="O732">
        <v>5</v>
      </c>
      <c r="P732">
        <v>5</v>
      </c>
      <c r="S732" s="116" t="s">
        <v>936</v>
      </c>
    </row>
    <row r="733" spans="1:19" x14ac:dyDescent="0.2">
      <c r="A733" t="s">
        <v>2493</v>
      </c>
      <c r="B733">
        <v>9011700100</v>
      </c>
      <c r="C733" t="s">
        <v>2494</v>
      </c>
      <c r="D733">
        <v>79444</v>
      </c>
      <c r="E733">
        <v>2.54</v>
      </c>
      <c r="F733">
        <v>49847.598980000002</v>
      </c>
      <c r="G733">
        <v>49.847999999999999</v>
      </c>
      <c r="H733">
        <v>0.46700000000000003</v>
      </c>
      <c r="I733">
        <v>3</v>
      </c>
      <c r="J733">
        <v>1427</v>
      </c>
      <c r="K733">
        <v>0.34352707799999999</v>
      </c>
      <c r="L733">
        <v>0.44</v>
      </c>
      <c r="M733">
        <v>3</v>
      </c>
      <c r="N733">
        <v>0.54400000000000004</v>
      </c>
      <c r="O733">
        <v>3</v>
      </c>
      <c r="P733">
        <v>3</v>
      </c>
      <c r="S733" s="114" t="s">
        <v>944</v>
      </c>
    </row>
    <row r="734" spans="1:19" x14ac:dyDescent="0.2">
      <c r="A734" t="s">
        <v>2495</v>
      </c>
      <c r="B734">
        <v>9011701100</v>
      </c>
      <c r="C734" t="s">
        <v>2496</v>
      </c>
      <c r="D734">
        <v>92283</v>
      </c>
      <c r="E734">
        <v>2.58</v>
      </c>
      <c r="F734">
        <v>57452.886290000002</v>
      </c>
      <c r="G734">
        <v>57.453000000000003</v>
      </c>
      <c r="H734">
        <v>0.60699999999999998</v>
      </c>
      <c r="I734">
        <v>4</v>
      </c>
      <c r="J734">
        <v>1493</v>
      </c>
      <c r="K734">
        <v>0.31183811900000002</v>
      </c>
      <c r="L734">
        <v>0.23599999999999999</v>
      </c>
      <c r="M734">
        <v>2</v>
      </c>
      <c r="N734">
        <v>0.48299999999999998</v>
      </c>
      <c r="O734">
        <v>3</v>
      </c>
      <c r="P734">
        <v>3</v>
      </c>
      <c r="S734" s="116" t="s">
        <v>944</v>
      </c>
    </row>
    <row r="735" spans="1:19" x14ac:dyDescent="0.2">
      <c r="A735" t="s">
        <v>2497</v>
      </c>
      <c r="B735">
        <v>9011701200</v>
      </c>
      <c r="C735" t="s">
        <v>2498</v>
      </c>
      <c r="D735">
        <v>96607</v>
      </c>
      <c r="E735">
        <v>2.52</v>
      </c>
      <c r="F735">
        <v>60856.689740000002</v>
      </c>
      <c r="G735">
        <v>60.856999999999999</v>
      </c>
      <c r="H735">
        <v>0.66800000000000004</v>
      </c>
      <c r="I735">
        <v>4</v>
      </c>
      <c r="J735">
        <v>1494</v>
      </c>
      <c r="K735">
        <v>0.29459374300000002</v>
      </c>
      <c r="L735">
        <v>0.14099999999999999</v>
      </c>
      <c r="M735">
        <v>1</v>
      </c>
      <c r="N735">
        <v>0.48099999999999998</v>
      </c>
      <c r="O735">
        <v>3</v>
      </c>
      <c r="P735">
        <v>3</v>
      </c>
      <c r="S735" s="114" t="s">
        <v>944</v>
      </c>
    </row>
    <row r="736" spans="1:19" x14ac:dyDescent="0.2">
      <c r="A736" t="s">
        <v>2499</v>
      </c>
      <c r="B736">
        <v>9011702100</v>
      </c>
      <c r="C736" t="s">
        <v>2500</v>
      </c>
      <c r="D736">
        <v>86384</v>
      </c>
      <c r="E736">
        <v>2.4300000000000002</v>
      </c>
      <c r="F736">
        <v>55415.361839999998</v>
      </c>
      <c r="G736">
        <v>55.414999999999999</v>
      </c>
      <c r="H736">
        <v>0.56899999999999995</v>
      </c>
      <c r="I736">
        <v>3</v>
      </c>
      <c r="J736">
        <v>1376</v>
      </c>
      <c r="K736">
        <v>0.297967918</v>
      </c>
      <c r="L736">
        <v>0.156</v>
      </c>
      <c r="M736">
        <v>1</v>
      </c>
      <c r="N736">
        <v>0.58299999999999996</v>
      </c>
      <c r="O736">
        <v>3</v>
      </c>
      <c r="P736">
        <v>3</v>
      </c>
      <c r="S736" s="116" t="s">
        <v>944</v>
      </c>
    </row>
    <row r="737" spans="1:19" x14ac:dyDescent="0.2">
      <c r="A737" t="s">
        <v>2501</v>
      </c>
      <c r="B737">
        <v>9011702300</v>
      </c>
      <c r="C737" t="s">
        <v>2502</v>
      </c>
      <c r="D737">
        <v>74444</v>
      </c>
      <c r="E737">
        <v>2.72</v>
      </c>
      <c r="F737">
        <v>45138.305180000003</v>
      </c>
      <c r="G737">
        <v>45.137999999999998</v>
      </c>
      <c r="H737">
        <v>0.37</v>
      </c>
      <c r="I737">
        <v>2</v>
      </c>
      <c r="J737">
        <v>1626</v>
      </c>
      <c r="K737">
        <v>0.43227143600000001</v>
      </c>
      <c r="L737">
        <v>0.755</v>
      </c>
      <c r="M737">
        <v>4</v>
      </c>
      <c r="N737">
        <v>0.36399999999999999</v>
      </c>
      <c r="O737">
        <v>2</v>
      </c>
      <c r="P737">
        <v>3</v>
      </c>
      <c r="S737" s="114" t="s">
        <v>944</v>
      </c>
    </row>
    <row r="738" spans="1:19" x14ac:dyDescent="0.2">
      <c r="A738" t="s">
        <v>2503</v>
      </c>
      <c r="B738">
        <v>9011702400</v>
      </c>
      <c r="C738" t="s">
        <v>2504</v>
      </c>
      <c r="D738">
        <v>74157</v>
      </c>
      <c r="E738">
        <v>2.0299999999999998</v>
      </c>
      <c r="F738">
        <v>52048.010470000001</v>
      </c>
      <c r="G738">
        <v>52.048000000000002</v>
      </c>
      <c r="H738">
        <v>0.501</v>
      </c>
      <c r="I738">
        <v>3</v>
      </c>
      <c r="J738">
        <v>1177</v>
      </c>
      <c r="K738">
        <v>0.27136483900000002</v>
      </c>
      <c r="L738">
        <v>6.5000000000000002E-2</v>
      </c>
      <c r="M738">
        <v>1</v>
      </c>
      <c r="N738">
        <v>0.79900000000000004</v>
      </c>
      <c r="O738">
        <v>4</v>
      </c>
      <c r="P738">
        <v>4</v>
      </c>
      <c r="S738" s="116" t="s">
        <v>944</v>
      </c>
    </row>
    <row r="739" spans="1:19" x14ac:dyDescent="0.2">
      <c r="A739" t="s">
        <v>2505</v>
      </c>
      <c r="B739">
        <v>9011702500</v>
      </c>
      <c r="C739" t="s">
        <v>2506</v>
      </c>
      <c r="D739">
        <v>40066</v>
      </c>
      <c r="E739">
        <v>2.04</v>
      </c>
      <c r="F739">
        <v>28051.81092</v>
      </c>
      <c r="G739">
        <v>28.052</v>
      </c>
      <c r="H739">
        <v>0.14199999999999999</v>
      </c>
      <c r="I739">
        <v>1</v>
      </c>
      <c r="J739">
        <v>1014</v>
      </c>
      <c r="K739">
        <v>0.43376878699999999</v>
      </c>
      <c r="L739">
        <v>0.75700000000000001</v>
      </c>
      <c r="M739">
        <v>4</v>
      </c>
      <c r="N739">
        <v>0.93200000000000005</v>
      </c>
      <c r="O739">
        <v>5</v>
      </c>
      <c r="P739">
        <v>5</v>
      </c>
      <c r="S739" s="114" t="s">
        <v>936</v>
      </c>
    </row>
    <row r="740" spans="1:19" x14ac:dyDescent="0.2">
      <c r="A740" t="s">
        <v>2507</v>
      </c>
      <c r="B740">
        <v>9011702600</v>
      </c>
      <c r="C740" t="s">
        <v>2508</v>
      </c>
      <c r="D740">
        <v>82841</v>
      </c>
      <c r="E740">
        <v>2.14</v>
      </c>
      <c r="F740">
        <v>56628.941780000001</v>
      </c>
      <c r="G740">
        <v>56.628999999999998</v>
      </c>
      <c r="H740">
        <v>0.59</v>
      </c>
      <c r="I740">
        <v>3</v>
      </c>
      <c r="J740">
        <v>1662</v>
      </c>
      <c r="K740">
        <v>0.35218740399999998</v>
      </c>
      <c r="L740">
        <v>0.49</v>
      </c>
      <c r="M740">
        <v>3</v>
      </c>
      <c r="N740">
        <v>0.33500000000000002</v>
      </c>
      <c r="O740">
        <v>2</v>
      </c>
      <c r="P740">
        <v>3</v>
      </c>
      <c r="S740" s="116" t="s">
        <v>944</v>
      </c>
    </row>
    <row r="741" spans="1:19" x14ac:dyDescent="0.2">
      <c r="A741" t="s">
        <v>2509</v>
      </c>
      <c r="B741">
        <v>9011702700</v>
      </c>
      <c r="C741" t="s">
        <v>2510</v>
      </c>
      <c r="D741">
        <v>56020</v>
      </c>
      <c r="E741">
        <v>1.79</v>
      </c>
      <c r="F741">
        <v>41871.313900000001</v>
      </c>
      <c r="G741">
        <v>41.871000000000002</v>
      </c>
      <c r="H741">
        <v>0.318</v>
      </c>
      <c r="I741">
        <v>2</v>
      </c>
      <c r="J741">
        <v>1254</v>
      </c>
      <c r="K741">
        <v>0.359386859</v>
      </c>
      <c r="L741">
        <v>0.53200000000000003</v>
      </c>
      <c r="M741">
        <v>3</v>
      </c>
      <c r="N741">
        <v>0.71299999999999997</v>
      </c>
      <c r="O741">
        <v>4</v>
      </c>
      <c r="P741">
        <v>4</v>
      </c>
      <c r="S741" s="114" t="s">
        <v>944</v>
      </c>
    </row>
    <row r="742" spans="1:19" x14ac:dyDescent="0.2">
      <c r="A742" t="s">
        <v>2511</v>
      </c>
      <c r="B742">
        <v>9011702800</v>
      </c>
      <c r="C742" t="s">
        <v>2512</v>
      </c>
      <c r="D742">
        <v>71683</v>
      </c>
      <c r="E742">
        <v>2.86</v>
      </c>
      <c r="F742">
        <v>42387.046479999997</v>
      </c>
      <c r="G742">
        <v>42.387</v>
      </c>
      <c r="H742">
        <v>0.32800000000000001</v>
      </c>
      <c r="I742">
        <v>2</v>
      </c>
      <c r="J742">
        <v>1286</v>
      </c>
      <c r="K742">
        <v>0.36407349100000003</v>
      </c>
      <c r="L742">
        <v>0.56200000000000006</v>
      </c>
      <c r="M742">
        <v>3</v>
      </c>
      <c r="N742">
        <v>0.66800000000000004</v>
      </c>
      <c r="O742">
        <v>4</v>
      </c>
      <c r="P742">
        <v>4</v>
      </c>
      <c r="S742" s="116" t="s">
        <v>944</v>
      </c>
    </row>
    <row r="743" spans="1:19" x14ac:dyDescent="0.2">
      <c r="A743" t="s">
        <v>2513</v>
      </c>
      <c r="B743">
        <v>9011702900</v>
      </c>
      <c r="C743" t="s">
        <v>2514</v>
      </c>
      <c r="D743">
        <v>119375</v>
      </c>
      <c r="E743">
        <v>2.09</v>
      </c>
      <c r="F743">
        <v>82573.414120000001</v>
      </c>
      <c r="G743">
        <v>82.572999999999993</v>
      </c>
      <c r="H743">
        <v>0.89500000000000002</v>
      </c>
      <c r="I743">
        <v>5</v>
      </c>
      <c r="J743">
        <v>1488</v>
      </c>
      <c r="K743">
        <v>0.216243935</v>
      </c>
      <c r="L743">
        <v>0</v>
      </c>
      <c r="M743">
        <v>0</v>
      </c>
      <c r="N743">
        <v>0.49099999999999999</v>
      </c>
      <c r="O743">
        <v>3</v>
      </c>
      <c r="P743">
        <v>2</v>
      </c>
      <c r="S743" s="114" t="s">
        <v>944</v>
      </c>
    </row>
    <row r="744" spans="1:19" x14ac:dyDescent="0.2">
      <c r="A744" t="s">
        <v>2515</v>
      </c>
      <c r="B744">
        <v>9011703000</v>
      </c>
      <c r="C744" t="s">
        <v>2516</v>
      </c>
      <c r="D744">
        <v>103558</v>
      </c>
      <c r="E744">
        <v>2.06</v>
      </c>
      <c r="F744">
        <v>72152.277489999993</v>
      </c>
      <c r="G744">
        <v>72.152000000000001</v>
      </c>
      <c r="H744">
        <v>0.82699999999999996</v>
      </c>
      <c r="I744">
        <v>5</v>
      </c>
      <c r="J744">
        <v>1763</v>
      </c>
      <c r="K744">
        <v>0.29321319800000001</v>
      </c>
      <c r="L744">
        <v>0.13700000000000001</v>
      </c>
      <c r="M744">
        <v>1</v>
      </c>
      <c r="N744">
        <v>0.27500000000000002</v>
      </c>
      <c r="O744">
        <v>2</v>
      </c>
      <c r="P744">
        <v>2</v>
      </c>
      <c r="S744" s="116" t="s">
        <v>944</v>
      </c>
    </row>
    <row r="745" spans="1:19" x14ac:dyDescent="0.2">
      <c r="A745" t="s">
        <v>2517</v>
      </c>
      <c r="B745">
        <v>9011705101</v>
      </c>
      <c r="C745" t="s">
        <v>2518</v>
      </c>
      <c r="D745">
        <v>72674</v>
      </c>
      <c r="E745">
        <v>2.39</v>
      </c>
      <c r="F745">
        <v>47008.902730000002</v>
      </c>
      <c r="G745">
        <v>47.009</v>
      </c>
      <c r="H745">
        <v>0.39800000000000002</v>
      </c>
      <c r="I745">
        <v>2</v>
      </c>
      <c r="J745">
        <v>1335</v>
      </c>
      <c r="K745">
        <v>0.34078651199999999</v>
      </c>
      <c r="L745">
        <v>0.42199999999999999</v>
      </c>
      <c r="M745">
        <v>3</v>
      </c>
      <c r="N745">
        <v>0.622</v>
      </c>
      <c r="O745">
        <v>4</v>
      </c>
      <c r="P745">
        <v>4</v>
      </c>
      <c r="S745" s="114" t="s">
        <v>944</v>
      </c>
    </row>
    <row r="746" spans="1:19" x14ac:dyDescent="0.2">
      <c r="A746" t="s">
        <v>2519</v>
      </c>
      <c r="B746">
        <v>9011705102</v>
      </c>
      <c r="C746" t="s">
        <v>2520</v>
      </c>
      <c r="D746">
        <v>57286</v>
      </c>
      <c r="E746">
        <v>2.17</v>
      </c>
      <c r="F746">
        <v>38888.270750000003</v>
      </c>
      <c r="G746">
        <v>38.887999999999998</v>
      </c>
      <c r="H746">
        <v>0.27700000000000002</v>
      </c>
      <c r="I746">
        <v>2</v>
      </c>
      <c r="J746">
        <v>1094</v>
      </c>
      <c r="K746">
        <v>0.33758250899999998</v>
      </c>
      <c r="L746">
        <v>0.40799999999999997</v>
      </c>
      <c r="M746">
        <v>3</v>
      </c>
      <c r="N746">
        <v>0.88100000000000001</v>
      </c>
      <c r="O746">
        <v>5</v>
      </c>
      <c r="P746">
        <v>5</v>
      </c>
      <c r="S746" s="116" t="s">
        <v>944</v>
      </c>
    </row>
    <row r="747" spans="1:19" x14ac:dyDescent="0.2">
      <c r="A747" t="s">
        <v>2521</v>
      </c>
      <c r="B747">
        <v>9011705200</v>
      </c>
      <c r="C747" t="s">
        <v>2522</v>
      </c>
      <c r="D747">
        <v>89079</v>
      </c>
      <c r="E747">
        <v>2.0699999999999998</v>
      </c>
      <c r="F747">
        <v>61914.184970000002</v>
      </c>
      <c r="G747">
        <v>61.914000000000001</v>
      </c>
      <c r="H747">
        <v>0.69199999999999995</v>
      </c>
      <c r="I747">
        <v>4</v>
      </c>
      <c r="J747">
        <v>1650</v>
      </c>
      <c r="K747">
        <v>0.319797475</v>
      </c>
      <c r="L747">
        <v>0.28499999999999998</v>
      </c>
      <c r="M747">
        <v>2</v>
      </c>
      <c r="N747">
        <v>0.34699999999999998</v>
      </c>
      <c r="O747">
        <v>2</v>
      </c>
      <c r="P747">
        <v>2</v>
      </c>
      <c r="S747" s="114" t="s">
        <v>944</v>
      </c>
    </row>
    <row r="748" spans="1:19" x14ac:dyDescent="0.2">
      <c r="A748" t="s">
        <v>2523</v>
      </c>
      <c r="B748">
        <v>9011705300</v>
      </c>
      <c r="C748" t="s">
        <v>2524</v>
      </c>
      <c r="D748">
        <v>94592</v>
      </c>
      <c r="E748">
        <v>2.14</v>
      </c>
      <c r="F748">
        <v>64661.760009999998</v>
      </c>
      <c r="G748">
        <v>64.662000000000006</v>
      </c>
      <c r="H748">
        <v>0.73099999999999998</v>
      </c>
      <c r="I748">
        <v>4</v>
      </c>
      <c r="J748">
        <v>1565</v>
      </c>
      <c r="K748">
        <v>0.29043440799999998</v>
      </c>
      <c r="L748">
        <v>0.11899999999999999</v>
      </c>
      <c r="M748">
        <v>1</v>
      </c>
      <c r="N748">
        <v>0.41799999999999998</v>
      </c>
      <c r="O748">
        <v>3</v>
      </c>
      <c r="P748">
        <v>3</v>
      </c>
      <c r="S748" s="116" t="s">
        <v>944</v>
      </c>
    </row>
    <row r="749" spans="1:19" x14ac:dyDescent="0.2">
      <c r="A749" t="s">
        <v>2525</v>
      </c>
      <c r="B749">
        <v>9011705400</v>
      </c>
      <c r="C749" t="s">
        <v>2526</v>
      </c>
      <c r="D749">
        <v>106111</v>
      </c>
      <c r="E749">
        <v>2.31</v>
      </c>
      <c r="F749">
        <v>69815.912299999996</v>
      </c>
      <c r="G749">
        <v>69.816000000000003</v>
      </c>
      <c r="H749">
        <v>0.8</v>
      </c>
      <c r="I749">
        <v>4</v>
      </c>
      <c r="J749">
        <v>1589</v>
      </c>
      <c r="K749">
        <v>0.27311825299999998</v>
      </c>
      <c r="L749">
        <v>6.9000000000000006E-2</v>
      </c>
      <c r="M749">
        <v>1</v>
      </c>
      <c r="N749">
        <v>0.39600000000000002</v>
      </c>
      <c r="O749">
        <v>2</v>
      </c>
      <c r="P749">
        <v>2</v>
      </c>
      <c r="S749" s="114" t="s">
        <v>944</v>
      </c>
    </row>
    <row r="750" spans="1:19" x14ac:dyDescent="0.2">
      <c r="A750" t="s">
        <v>2527</v>
      </c>
      <c r="B750">
        <v>9011707100</v>
      </c>
      <c r="C750" t="s">
        <v>2528</v>
      </c>
      <c r="D750">
        <v>75833</v>
      </c>
      <c r="E750">
        <v>2.63</v>
      </c>
      <c r="F750">
        <v>46760.631000000001</v>
      </c>
      <c r="G750">
        <v>46.761000000000003</v>
      </c>
      <c r="H750">
        <v>0.39400000000000002</v>
      </c>
      <c r="I750">
        <v>2</v>
      </c>
      <c r="J750">
        <v>1401</v>
      </c>
      <c r="K750">
        <v>0.35953321500000002</v>
      </c>
      <c r="L750">
        <v>0.53500000000000003</v>
      </c>
      <c r="M750">
        <v>3</v>
      </c>
      <c r="N750">
        <v>0.56499999999999995</v>
      </c>
      <c r="O750">
        <v>3</v>
      </c>
      <c r="P750">
        <v>4</v>
      </c>
      <c r="S750" s="116" t="s">
        <v>944</v>
      </c>
    </row>
    <row r="751" spans="1:19" x14ac:dyDescent="0.2">
      <c r="A751" t="s">
        <v>2529</v>
      </c>
      <c r="B751">
        <v>9011708100</v>
      </c>
      <c r="C751" t="s">
        <v>2530</v>
      </c>
      <c r="D751">
        <v>85052</v>
      </c>
      <c r="E751">
        <v>2.57</v>
      </c>
      <c r="F751">
        <v>53053.979939999997</v>
      </c>
      <c r="G751">
        <v>53.054000000000002</v>
      </c>
      <c r="H751">
        <v>0.52200000000000002</v>
      </c>
      <c r="I751">
        <v>3</v>
      </c>
      <c r="J751">
        <v>1432</v>
      </c>
      <c r="K751">
        <v>0.32389653000000002</v>
      </c>
      <c r="L751">
        <v>0.32600000000000001</v>
      </c>
      <c r="M751">
        <v>2</v>
      </c>
      <c r="N751">
        <v>0.53900000000000003</v>
      </c>
      <c r="O751">
        <v>3</v>
      </c>
      <c r="P751">
        <v>3</v>
      </c>
      <c r="S751" s="114" t="s">
        <v>944</v>
      </c>
    </row>
    <row r="752" spans="1:19" x14ac:dyDescent="0.2">
      <c r="A752" t="s">
        <v>2531</v>
      </c>
      <c r="B752">
        <v>9011709100</v>
      </c>
      <c r="C752" t="s">
        <v>2532</v>
      </c>
      <c r="D752">
        <v>84625</v>
      </c>
      <c r="E752">
        <v>2.37</v>
      </c>
      <c r="F752">
        <v>54969.844530000002</v>
      </c>
      <c r="G752">
        <v>54.97</v>
      </c>
      <c r="H752">
        <v>0.56100000000000005</v>
      </c>
      <c r="I752">
        <v>3</v>
      </c>
      <c r="J752">
        <v>1323</v>
      </c>
      <c r="K752">
        <v>0.28881289599999999</v>
      </c>
      <c r="L752">
        <v>0.109</v>
      </c>
      <c r="M752">
        <v>1</v>
      </c>
      <c r="N752">
        <v>0.63200000000000001</v>
      </c>
      <c r="O752">
        <v>4</v>
      </c>
      <c r="P752">
        <v>4</v>
      </c>
      <c r="S752" s="116" t="s">
        <v>944</v>
      </c>
    </row>
    <row r="753" spans="1:19" x14ac:dyDescent="0.2">
      <c r="A753" t="s">
        <v>2533</v>
      </c>
      <c r="B753">
        <v>9011709200</v>
      </c>
      <c r="C753" t="s">
        <v>2534</v>
      </c>
      <c r="D753">
        <v>52377</v>
      </c>
      <c r="E753">
        <v>2.36</v>
      </c>
      <c r="F753">
        <v>34094.522949999999</v>
      </c>
      <c r="G753">
        <v>34.094999999999999</v>
      </c>
      <c r="H753">
        <v>0.224</v>
      </c>
      <c r="I753">
        <v>2</v>
      </c>
      <c r="J753">
        <v>1109</v>
      </c>
      <c r="K753">
        <v>0.39032662299999998</v>
      </c>
      <c r="L753">
        <v>0.66400000000000003</v>
      </c>
      <c r="M753">
        <v>4</v>
      </c>
      <c r="N753">
        <v>0.86499999999999999</v>
      </c>
      <c r="O753">
        <v>5</v>
      </c>
      <c r="P753">
        <v>5</v>
      </c>
      <c r="S753" s="114" t="s">
        <v>944</v>
      </c>
    </row>
    <row r="754" spans="1:19" x14ac:dyDescent="0.2">
      <c r="A754" t="s">
        <v>2535</v>
      </c>
      <c r="B754">
        <v>9011710100</v>
      </c>
      <c r="C754" t="s">
        <v>2536</v>
      </c>
      <c r="D754">
        <v>91125</v>
      </c>
      <c r="E754">
        <v>2.4700000000000002</v>
      </c>
      <c r="F754">
        <v>57981.449030000003</v>
      </c>
      <c r="G754">
        <v>57.981000000000002</v>
      </c>
      <c r="H754">
        <v>0.61699999999999999</v>
      </c>
      <c r="I754">
        <v>4</v>
      </c>
      <c r="J754">
        <v>1374</v>
      </c>
      <c r="K754">
        <v>0.284366815</v>
      </c>
      <c r="L754">
        <v>9.7000000000000003E-2</v>
      </c>
      <c r="M754">
        <v>1</v>
      </c>
      <c r="N754">
        <v>0.58399999999999996</v>
      </c>
      <c r="O754">
        <v>3</v>
      </c>
      <c r="P754">
        <v>3</v>
      </c>
      <c r="S754" s="116" t="s">
        <v>944</v>
      </c>
    </row>
    <row r="755" spans="1:19" x14ac:dyDescent="0.2">
      <c r="A755" t="s">
        <v>2537</v>
      </c>
      <c r="B755">
        <v>9011711100</v>
      </c>
      <c r="C755" t="s">
        <v>2538</v>
      </c>
      <c r="D755">
        <v>68301</v>
      </c>
      <c r="E755">
        <v>2.5299999999999998</v>
      </c>
      <c r="F755">
        <v>42940.470789999999</v>
      </c>
      <c r="G755">
        <v>42.94</v>
      </c>
      <c r="H755">
        <v>0.33700000000000002</v>
      </c>
      <c r="I755">
        <v>2</v>
      </c>
      <c r="J755">
        <v>1214</v>
      </c>
      <c r="K755">
        <v>0.33926036999999998</v>
      </c>
      <c r="L755">
        <v>0.41599999999999998</v>
      </c>
      <c r="M755">
        <v>3</v>
      </c>
      <c r="N755">
        <v>0.749</v>
      </c>
      <c r="O755">
        <v>4</v>
      </c>
      <c r="P755">
        <v>4</v>
      </c>
      <c r="S755" s="114" t="s">
        <v>944</v>
      </c>
    </row>
    <row r="756" spans="1:19" x14ac:dyDescent="0.2">
      <c r="A756" t="s">
        <v>2539</v>
      </c>
      <c r="B756">
        <v>9011712100</v>
      </c>
      <c r="C756" t="s">
        <v>2540</v>
      </c>
      <c r="D756">
        <v>96719</v>
      </c>
      <c r="E756">
        <v>2.4500000000000002</v>
      </c>
      <c r="F756">
        <v>61791.502489999999</v>
      </c>
      <c r="G756">
        <v>61.792000000000002</v>
      </c>
      <c r="H756">
        <v>0.68799999999999994</v>
      </c>
      <c r="I756">
        <v>4</v>
      </c>
      <c r="J756">
        <v>1506</v>
      </c>
      <c r="K756">
        <v>0.29246739900000002</v>
      </c>
      <c r="L756">
        <v>0.13100000000000001</v>
      </c>
      <c r="M756">
        <v>1</v>
      </c>
      <c r="N756">
        <v>0.46800000000000003</v>
      </c>
      <c r="O756">
        <v>3</v>
      </c>
      <c r="P756">
        <v>3</v>
      </c>
      <c r="S756" s="116" t="s">
        <v>944</v>
      </c>
    </row>
    <row r="757" spans="1:19" x14ac:dyDescent="0.2">
      <c r="A757" t="s">
        <v>2541</v>
      </c>
      <c r="B757">
        <v>9011713100</v>
      </c>
      <c r="C757" t="s">
        <v>2542</v>
      </c>
      <c r="D757">
        <v>90156</v>
      </c>
      <c r="E757">
        <v>2.61</v>
      </c>
      <c r="F757">
        <v>55805.163030000003</v>
      </c>
      <c r="G757">
        <v>55.805</v>
      </c>
      <c r="H757">
        <v>0.57499999999999996</v>
      </c>
      <c r="I757">
        <v>3</v>
      </c>
      <c r="J757">
        <v>1138</v>
      </c>
      <c r="K757">
        <v>0.244708541</v>
      </c>
      <c r="L757">
        <v>7.0000000000000001E-3</v>
      </c>
      <c r="M757">
        <v>1</v>
      </c>
      <c r="N757">
        <v>0.82799999999999996</v>
      </c>
      <c r="O757">
        <v>5</v>
      </c>
      <c r="P757">
        <v>4</v>
      </c>
      <c r="S757" s="114" t="s">
        <v>944</v>
      </c>
    </row>
    <row r="758" spans="1:19" x14ac:dyDescent="0.2">
      <c r="A758" t="s">
        <v>2543</v>
      </c>
      <c r="B758">
        <v>9011714101</v>
      </c>
      <c r="C758" t="s">
        <v>2544</v>
      </c>
      <c r="D758">
        <v>67917</v>
      </c>
      <c r="E758">
        <v>2.15</v>
      </c>
      <c r="F758">
        <v>46319.009550000002</v>
      </c>
      <c r="G758">
        <v>46.319000000000003</v>
      </c>
      <c r="H758">
        <v>0.39100000000000001</v>
      </c>
      <c r="I758">
        <v>2</v>
      </c>
      <c r="J758">
        <v>1286</v>
      </c>
      <c r="K758">
        <v>0.33316774599999999</v>
      </c>
      <c r="L758">
        <v>0.38300000000000001</v>
      </c>
      <c r="M758">
        <v>2</v>
      </c>
      <c r="N758">
        <v>0.66800000000000004</v>
      </c>
      <c r="O758">
        <v>4</v>
      </c>
      <c r="P758">
        <v>4</v>
      </c>
      <c r="S758" s="116" t="s">
        <v>944</v>
      </c>
    </row>
    <row r="759" spans="1:19" x14ac:dyDescent="0.2">
      <c r="A759" t="s">
        <v>2545</v>
      </c>
      <c r="B759">
        <v>9011714103</v>
      </c>
      <c r="C759" t="s">
        <v>2546</v>
      </c>
      <c r="D759">
        <v>124141</v>
      </c>
      <c r="E759">
        <v>2.89</v>
      </c>
      <c r="F759">
        <v>73024.11765</v>
      </c>
      <c r="G759">
        <v>73.024000000000001</v>
      </c>
      <c r="H759">
        <v>0.83799999999999997</v>
      </c>
      <c r="I759">
        <v>5</v>
      </c>
      <c r="J759">
        <v>1763</v>
      </c>
      <c r="K759">
        <v>0.28971250399999998</v>
      </c>
      <c r="L759">
        <v>0.115</v>
      </c>
      <c r="M759">
        <v>1</v>
      </c>
      <c r="N759">
        <v>0.27500000000000002</v>
      </c>
      <c r="O759">
        <v>2</v>
      </c>
      <c r="P759">
        <v>2</v>
      </c>
      <c r="S759" s="114" t="s">
        <v>944</v>
      </c>
    </row>
    <row r="760" spans="1:19" x14ac:dyDescent="0.2">
      <c r="A760" t="s">
        <v>2547</v>
      </c>
      <c r="B760">
        <v>9011714104</v>
      </c>
      <c r="C760" t="s">
        <v>2548</v>
      </c>
      <c r="D760">
        <v>102610</v>
      </c>
      <c r="E760">
        <v>2.57</v>
      </c>
      <c r="F760">
        <v>64006.359420000001</v>
      </c>
      <c r="G760">
        <v>64.006</v>
      </c>
      <c r="H760">
        <v>0.71599999999999997</v>
      </c>
      <c r="I760">
        <v>4</v>
      </c>
      <c r="J760">
        <v>1720</v>
      </c>
      <c r="K760">
        <v>0.322467958</v>
      </c>
      <c r="L760">
        <v>0.316</v>
      </c>
      <c r="M760">
        <v>2</v>
      </c>
      <c r="N760">
        <v>0.29899999999999999</v>
      </c>
      <c r="O760">
        <v>2</v>
      </c>
      <c r="P760">
        <v>2</v>
      </c>
      <c r="S760" s="116" t="s">
        <v>944</v>
      </c>
    </row>
    <row r="761" spans="1:19" x14ac:dyDescent="0.2">
      <c r="A761" t="s">
        <v>2549</v>
      </c>
      <c r="B761">
        <v>9011715100</v>
      </c>
      <c r="C761" t="s">
        <v>2550</v>
      </c>
      <c r="D761">
        <v>109460</v>
      </c>
      <c r="E761">
        <v>2.46</v>
      </c>
      <c r="F761">
        <v>69789.147010000001</v>
      </c>
      <c r="G761">
        <v>69.789000000000001</v>
      </c>
      <c r="H761">
        <v>0.79900000000000004</v>
      </c>
      <c r="I761">
        <v>4</v>
      </c>
      <c r="J761">
        <v>1674</v>
      </c>
      <c r="K761">
        <v>0.287838451</v>
      </c>
      <c r="L761">
        <v>0.107</v>
      </c>
      <c r="M761">
        <v>1</v>
      </c>
      <c r="N761">
        <v>0.32400000000000001</v>
      </c>
      <c r="O761">
        <v>2</v>
      </c>
      <c r="P761">
        <v>2</v>
      </c>
      <c r="S761" s="114" t="s">
        <v>944</v>
      </c>
    </row>
    <row r="762" spans="1:19" x14ac:dyDescent="0.2">
      <c r="A762" t="s">
        <v>2551</v>
      </c>
      <c r="B762">
        <v>9011716101</v>
      </c>
      <c r="C762" t="s">
        <v>2552</v>
      </c>
      <c r="D762">
        <v>78239</v>
      </c>
      <c r="E762">
        <v>2.38</v>
      </c>
      <c r="F762">
        <v>50714.811130000002</v>
      </c>
      <c r="G762">
        <v>50.715000000000003</v>
      </c>
      <c r="H762">
        <v>0.47799999999999998</v>
      </c>
      <c r="I762">
        <v>3</v>
      </c>
      <c r="J762">
        <v>1470</v>
      </c>
      <c r="K762">
        <v>0.34782738200000002</v>
      </c>
      <c r="L762">
        <v>0.46500000000000002</v>
      </c>
      <c r="M762">
        <v>3</v>
      </c>
      <c r="N762">
        <v>0.503</v>
      </c>
      <c r="O762">
        <v>3</v>
      </c>
      <c r="P762">
        <v>3</v>
      </c>
      <c r="S762" s="116" t="s">
        <v>944</v>
      </c>
    </row>
    <row r="763" spans="1:19" x14ac:dyDescent="0.2">
      <c r="A763" t="s">
        <v>2553</v>
      </c>
      <c r="B763">
        <v>9011716102</v>
      </c>
      <c r="C763" t="s">
        <v>2554</v>
      </c>
      <c r="D763">
        <v>130885</v>
      </c>
      <c r="E763">
        <v>2.73</v>
      </c>
      <c r="F763">
        <v>79215.205610000005</v>
      </c>
      <c r="G763">
        <v>79.215000000000003</v>
      </c>
      <c r="H763">
        <v>0.871</v>
      </c>
      <c r="I763">
        <v>5</v>
      </c>
      <c r="J763">
        <v>1686</v>
      </c>
      <c r="K763">
        <v>0.25540551</v>
      </c>
      <c r="L763">
        <v>2.1000000000000001E-2</v>
      </c>
      <c r="M763">
        <v>1</v>
      </c>
      <c r="N763">
        <v>0.32200000000000001</v>
      </c>
      <c r="O763">
        <v>2</v>
      </c>
      <c r="P763">
        <v>2</v>
      </c>
      <c r="S763" s="114" t="s">
        <v>944</v>
      </c>
    </row>
    <row r="764" spans="1:19" x14ac:dyDescent="0.2">
      <c r="A764" t="s">
        <v>2555</v>
      </c>
      <c r="B764">
        <v>9011870100</v>
      </c>
      <c r="C764" t="s">
        <v>2556</v>
      </c>
      <c r="D764">
        <v>91684</v>
      </c>
      <c r="E764">
        <v>2.5499999999999998</v>
      </c>
      <c r="F764">
        <v>57414.747900000002</v>
      </c>
      <c r="G764">
        <v>57.414999999999999</v>
      </c>
      <c r="H764">
        <v>0.60299999999999998</v>
      </c>
      <c r="I764">
        <v>4</v>
      </c>
      <c r="J764">
        <v>1462</v>
      </c>
      <c r="K764">
        <v>0.30556609000000001</v>
      </c>
      <c r="L764">
        <v>0.20100000000000001</v>
      </c>
      <c r="M764">
        <v>2</v>
      </c>
      <c r="N764">
        <v>0.51100000000000001</v>
      </c>
      <c r="O764">
        <v>3</v>
      </c>
      <c r="P764">
        <v>3</v>
      </c>
      <c r="S764" s="116" t="s">
        <v>944</v>
      </c>
    </row>
    <row r="765" spans="1:19" x14ac:dyDescent="0.2">
      <c r="A765" t="s">
        <v>2557</v>
      </c>
      <c r="B765">
        <v>9011870200</v>
      </c>
      <c r="C765" t="s">
        <v>2558</v>
      </c>
      <c r="D765">
        <v>55982</v>
      </c>
      <c r="E765">
        <v>2.64</v>
      </c>
      <c r="F765">
        <v>34454.539239999998</v>
      </c>
      <c r="G765">
        <v>34.454999999999998</v>
      </c>
      <c r="H765">
        <v>0.23300000000000001</v>
      </c>
      <c r="I765">
        <v>2</v>
      </c>
      <c r="J765">
        <v>1617</v>
      </c>
      <c r="K765">
        <v>0.56317688300000002</v>
      </c>
      <c r="L765">
        <v>0.90100000000000002</v>
      </c>
      <c r="M765">
        <v>5</v>
      </c>
      <c r="N765">
        <v>0.373</v>
      </c>
      <c r="O765">
        <v>2</v>
      </c>
      <c r="P765">
        <v>3</v>
      </c>
      <c r="S765" s="114" t="s">
        <v>944</v>
      </c>
    </row>
    <row r="766" spans="1:19" x14ac:dyDescent="0.2">
      <c r="A766" t="s">
        <v>2559</v>
      </c>
      <c r="B766">
        <v>9011870300</v>
      </c>
      <c r="C766" t="s">
        <v>2560</v>
      </c>
      <c r="D766">
        <v>24805</v>
      </c>
      <c r="E766">
        <v>2.0499999999999998</v>
      </c>
      <c r="F766">
        <v>17324.56349</v>
      </c>
      <c r="G766">
        <v>17.324999999999999</v>
      </c>
      <c r="H766">
        <v>3.2000000000000001E-2</v>
      </c>
      <c r="I766">
        <v>1</v>
      </c>
      <c r="J766">
        <v>1001</v>
      </c>
      <c r="K766">
        <v>0.69335080299999996</v>
      </c>
      <c r="L766">
        <v>0.96099999999999997</v>
      </c>
      <c r="M766">
        <v>5</v>
      </c>
      <c r="N766">
        <v>0.93799999999999994</v>
      </c>
      <c r="O766">
        <v>5</v>
      </c>
      <c r="P766">
        <v>5</v>
      </c>
      <c r="S766" s="116" t="s">
        <v>936</v>
      </c>
    </row>
    <row r="767" spans="1:19" x14ac:dyDescent="0.2">
      <c r="A767" t="s">
        <v>2561</v>
      </c>
      <c r="B767">
        <v>9011870501</v>
      </c>
      <c r="C767" t="s">
        <v>2562</v>
      </c>
      <c r="D767">
        <v>69433</v>
      </c>
      <c r="E767">
        <v>2.56</v>
      </c>
      <c r="F767">
        <v>43395.625</v>
      </c>
      <c r="G767">
        <v>43.396000000000001</v>
      </c>
      <c r="H767">
        <v>0.34200000000000003</v>
      </c>
      <c r="I767">
        <v>2</v>
      </c>
      <c r="J767">
        <v>1211</v>
      </c>
      <c r="K767">
        <v>0.33487246700000001</v>
      </c>
      <c r="L767">
        <v>0.39200000000000002</v>
      </c>
      <c r="M767">
        <v>2</v>
      </c>
      <c r="N767">
        <v>0.754</v>
      </c>
      <c r="O767">
        <v>4</v>
      </c>
      <c r="P767">
        <v>4</v>
      </c>
      <c r="S767" s="114" t="s">
        <v>944</v>
      </c>
    </row>
    <row r="768" spans="1:19" x14ac:dyDescent="0.2">
      <c r="A768" t="s">
        <v>2563</v>
      </c>
      <c r="B768">
        <v>9011870502</v>
      </c>
      <c r="C768" t="s">
        <v>2564</v>
      </c>
      <c r="D768">
        <v>66615</v>
      </c>
      <c r="E768">
        <v>2.4700000000000002</v>
      </c>
      <c r="F768">
        <v>42386.109490000003</v>
      </c>
      <c r="G768">
        <v>42.386000000000003</v>
      </c>
      <c r="H768">
        <v>0.32600000000000001</v>
      </c>
      <c r="I768">
        <v>2</v>
      </c>
      <c r="J768">
        <v>1302</v>
      </c>
      <c r="K768">
        <v>0.36861132499999999</v>
      </c>
      <c r="L768">
        <v>0.58599999999999997</v>
      </c>
      <c r="M768">
        <v>3</v>
      </c>
      <c r="N768">
        <v>0.65600000000000003</v>
      </c>
      <c r="O768">
        <v>4</v>
      </c>
      <c r="P768">
        <v>4</v>
      </c>
      <c r="S768" s="116" t="s">
        <v>944</v>
      </c>
    </row>
    <row r="769" spans="1:19" x14ac:dyDescent="0.2">
      <c r="A769" t="s">
        <v>2565</v>
      </c>
      <c r="B769">
        <v>9011870701</v>
      </c>
      <c r="C769" t="s">
        <v>2566</v>
      </c>
      <c r="D769">
        <v>88438</v>
      </c>
      <c r="E769">
        <v>2.2599999999999998</v>
      </c>
      <c r="F769">
        <v>58828.08253</v>
      </c>
      <c r="G769">
        <v>58.828000000000003</v>
      </c>
      <c r="H769">
        <v>0.63300000000000001</v>
      </c>
      <c r="I769">
        <v>4</v>
      </c>
      <c r="J769">
        <v>1515</v>
      </c>
      <c r="K769">
        <v>0.30903607999999999</v>
      </c>
      <c r="L769">
        <v>0.218</v>
      </c>
      <c r="M769">
        <v>2</v>
      </c>
      <c r="N769">
        <v>0.45800000000000002</v>
      </c>
      <c r="O769">
        <v>3</v>
      </c>
      <c r="P769">
        <v>3</v>
      </c>
      <c r="S769" s="114" t="s">
        <v>944</v>
      </c>
    </row>
    <row r="770" spans="1:19" x14ac:dyDescent="0.2">
      <c r="A770" t="s">
        <v>2567</v>
      </c>
      <c r="B770">
        <v>9011870703</v>
      </c>
      <c r="C770" t="s">
        <v>2568</v>
      </c>
      <c r="D770">
        <v>84837</v>
      </c>
      <c r="E770">
        <v>2.0099999999999998</v>
      </c>
      <c r="F770">
        <v>59839.406009999999</v>
      </c>
      <c r="G770">
        <v>59.838999999999999</v>
      </c>
      <c r="H770">
        <v>0.65</v>
      </c>
      <c r="I770">
        <v>4</v>
      </c>
      <c r="J770">
        <v>1408</v>
      </c>
      <c r="K770">
        <v>0.28235574400000002</v>
      </c>
      <c r="L770">
        <v>8.3000000000000004E-2</v>
      </c>
      <c r="M770">
        <v>1</v>
      </c>
      <c r="N770">
        <v>0.56100000000000005</v>
      </c>
      <c r="O770">
        <v>3</v>
      </c>
      <c r="P770">
        <v>3</v>
      </c>
      <c r="S770" s="116" t="s">
        <v>944</v>
      </c>
    </row>
    <row r="771" spans="1:19" x14ac:dyDescent="0.2">
      <c r="A771" t="s">
        <v>2569</v>
      </c>
      <c r="B771">
        <v>9011870704</v>
      </c>
      <c r="C771" t="s">
        <v>2570</v>
      </c>
      <c r="D771">
        <v>85378</v>
      </c>
      <c r="E771">
        <v>1.96</v>
      </c>
      <c r="F771">
        <v>60984.285709999996</v>
      </c>
      <c r="G771">
        <v>60.984000000000002</v>
      </c>
      <c r="H771">
        <v>0.67</v>
      </c>
      <c r="I771">
        <v>4</v>
      </c>
      <c r="J771">
        <v>1363</v>
      </c>
      <c r="K771">
        <v>0.26820023900000001</v>
      </c>
      <c r="L771">
        <v>5.8000000000000003E-2</v>
      </c>
      <c r="M771">
        <v>1</v>
      </c>
      <c r="N771">
        <v>0.59499999999999997</v>
      </c>
      <c r="O771">
        <v>3</v>
      </c>
      <c r="P771">
        <v>3</v>
      </c>
      <c r="S771" s="114" t="s">
        <v>944</v>
      </c>
    </row>
    <row r="772" spans="1:19" x14ac:dyDescent="0.2">
      <c r="A772" t="s">
        <v>2571</v>
      </c>
      <c r="B772">
        <v>9013526101</v>
      </c>
      <c r="C772" t="s">
        <v>2572</v>
      </c>
      <c r="D772">
        <v>121250</v>
      </c>
      <c r="E772">
        <v>2.64</v>
      </c>
      <c r="F772">
        <v>74624.216409999994</v>
      </c>
      <c r="G772">
        <v>74.623999999999995</v>
      </c>
      <c r="H772">
        <v>0.84599999999999997</v>
      </c>
      <c r="I772">
        <v>5</v>
      </c>
      <c r="J772">
        <v>1878</v>
      </c>
      <c r="K772">
        <v>0.30199312099999998</v>
      </c>
      <c r="L772">
        <v>0.183</v>
      </c>
      <c r="M772">
        <v>1</v>
      </c>
      <c r="N772">
        <v>0.218</v>
      </c>
      <c r="O772">
        <v>2</v>
      </c>
      <c r="P772">
        <v>2</v>
      </c>
      <c r="S772" s="116" t="s">
        <v>944</v>
      </c>
    </row>
    <row r="773" spans="1:19" x14ac:dyDescent="0.2">
      <c r="A773" t="s">
        <v>2573</v>
      </c>
      <c r="B773">
        <v>9013526102</v>
      </c>
      <c r="C773" t="s">
        <v>2574</v>
      </c>
      <c r="D773">
        <v>119917</v>
      </c>
      <c r="E773">
        <v>2.73</v>
      </c>
      <c r="F773">
        <v>72577.070040000006</v>
      </c>
      <c r="G773">
        <v>72.576999999999998</v>
      </c>
      <c r="H773">
        <v>0.83199999999999996</v>
      </c>
      <c r="I773">
        <v>5</v>
      </c>
      <c r="J773">
        <v>1820</v>
      </c>
      <c r="K773">
        <v>0.30092148899999999</v>
      </c>
      <c r="L773">
        <v>0.17699999999999999</v>
      </c>
      <c r="M773">
        <v>1</v>
      </c>
      <c r="N773">
        <v>0.249</v>
      </c>
      <c r="O773">
        <v>2</v>
      </c>
      <c r="P773">
        <v>2</v>
      </c>
      <c r="S773" s="114" t="s">
        <v>944</v>
      </c>
    </row>
    <row r="774" spans="1:19" x14ac:dyDescent="0.2">
      <c r="A774" t="s">
        <v>2575</v>
      </c>
      <c r="B774">
        <v>9013528100</v>
      </c>
      <c r="C774" t="s">
        <v>2576</v>
      </c>
      <c r="D774">
        <v>105328</v>
      </c>
      <c r="E774">
        <v>2.63</v>
      </c>
      <c r="F774">
        <v>64948.027139999998</v>
      </c>
      <c r="G774">
        <v>64.947999999999993</v>
      </c>
      <c r="H774">
        <v>0.73599999999999999</v>
      </c>
      <c r="I774">
        <v>4</v>
      </c>
      <c r="J774">
        <v>1487</v>
      </c>
      <c r="K774">
        <v>0.27474275599999998</v>
      </c>
      <c r="L774">
        <v>7.0999999999999994E-2</v>
      </c>
      <c r="M774">
        <v>1</v>
      </c>
      <c r="N774">
        <v>0.496</v>
      </c>
      <c r="O774">
        <v>3</v>
      </c>
      <c r="P774">
        <v>3</v>
      </c>
      <c r="S774" s="116" t="s">
        <v>944</v>
      </c>
    </row>
    <row r="775" spans="1:19" x14ac:dyDescent="0.2">
      <c r="A775" t="s">
        <v>2577</v>
      </c>
      <c r="B775">
        <v>9013529100</v>
      </c>
      <c r="C775" t="s">
        <v>2578</v>
      </c>
      <c r="D775">
        <v>105772</v>
      </c>
      <c r="E775">
        <v>2.69</v>
      </c>
      <c r="F775">
        <v>64490.3266</v>
      </c>
      <c r="G775">
        <v>64.489999999999995</v>
      </c>
      <c r="H775">
        <v>0.72499999999999998</v>
      </c>
      <c r="I775">
        <v>4</v>
      </c>
      <c r="J775">
        <v>1778</v>
      </c>
      <c r="K775">
        <v>0.33084031600000002</v>
      </c>
      <c r="L775">
        <v>0.36699999999999999</v>
      </c>
      <c r="M775">
        <v>2</v>
      </c>
      <c r="N775">
        <v>0.26400000000000001</v>
      </c>
      <c r="O775">
        <v>2</v>
      </c>
      <c r="P775">
        <v>2</v>
      </c>
      <c r="S775" s="114" t="s">
        <v>944</v>
      </c>
    </row>
    <row r="776" spans="1:19" x14ac:dyDescent="0.2">
      <c r="A776" t="s">
        <v>2579</v>
      </c>
      <c r="B776">
        <v>9013530100</v>
      </c>
      <c r="C776" t="s">
        <v>2580</v>
      </c>
      <c r="D776">
        <v>61048</v>
      </c>
      <c r="E776">
        <v>2.06</v>
      </c>
      <c r="F776">
        <v>42534.157059999998</v>
      </c>
      <c r="G776">
        <v>42.533999999999999</v>
      </c>
      <c r="H776">
        <v>0.33200000000000002</v>
      </c>
      <c r="I776">
        <v>2</v>
      </c>
      <c r="J776">
        <v>1084</v>
      </c>
      <c r="K776">
        <v>0.30582479800000001</v>
      </c>
      <c r="L776">
        <v>0.20499999999999999</v>
      </c>
      <c r="M776">
        <v>2</v>
      </c>
      <c r="N776">
        <v>0.88600000000000001</v>
      </c>
      <c r="O776">
        <v>5</v>
      </c>
      <c r="P776">
        <v>5</v>
      </c>
      <c r="S776" s="116" t="s">
        <v>944</v>
      </c>
    </row>
    <row r="777" spans="1:19" x14ac:dyDescent="0.2">
      <c r="A777" t="s">
        <v>2581</v>
      </c>
      <c r="B777">
        <v>9013530200</v>
      </c>
      <c r="C777" t="s">
        <v>2582</v>
      </c>
      <c r="D777">
        <v>49074</v>
      </c>
      <c r="E777">
        <v>2.5099999999999998</v>
      </c>
      <c r="F777">
        <v>30975.23414</v>
      </c>
      <c r="G777">
        <v>30.975000000000001</v>
      </c>
      <c r="H777">
        <v>0.187</v>
      </c>
      <c r="I777">
        <v>1</v>
      </c>
      <c r="J777">
        <v>1170</v>
      </c>
      <c r="K777">
        <v>0.45326533899999999</v>
      </c>
      <c r="L777">
        <v>0.78700000000000003</v>
      </c>
      <c r="M777">
        <v>4</v>
      </c>
      <c r="N777">
        <v>0.80300000000000005</v>
      </c>
      <c r="O777">
        <v>5</v>
      </c>
      <c r="P777">
        <v>5</v>
      </c>
      <c r="S777" s="114" t="s">
        <v>944</v>
      </c>
    </row>
    <row r="778" spans="1:19" x14ac:dyDescent="0.2">
      <c r="A778" t="s">
        <v>2583</v>
      </c>
      <c r="B778">
        <v>9013530301</v>
      </c>
      <c r="C778" t="s">
        <v>2584</v>
      </c>
      <c r="D778">
        <v>53648</v>
      </c>
      <c r="E778">
        <v>1.88</v>
      </c>
      <c r="F778">
        <v>39126.825320000004</v>
      </c>
      <c r="G778">
        <v>39.127000000000002</v>
      </c>
      <c r="H778">
        <v>0.28299999999999997</v>
      </c>
      <c r="I778">
        <v>2</v>
      </c>
      <c r="J778">
        <v>1119</v>
      </c>
      <c r="K778">
        <v>0.34319165699999998</v>
      </c>
      <c r="L778">
        <v>0.436</v>
      </c>
      <c r="M778">
        <v>3</v>
      </c>
      <c r="N778">
        <v>0.85599999999999998</v>
      </c>
      <c r="O778">
        <v>5</v>
      </c>
      <c r="P778">
        <v>5</v>
      </c>
      <c r="S778" s="116" t="s">
        <v>944</v>
      </c>
    </row>
    <row r="779" spans="1:19" x14ac:dyDescent="0.2">
      <c r="A779" t="s">
        <v>2585</v>
      </c>
      <c r="B779">
        <v>9013530302</v>
      </c>
      <c r="C779" t="s">
        <v>2586</v>
      </c>
      <c r="D779">
        <v>86009</v>
      </c>
      <c r="E779">
        <v>2.25</v>
      </c>
      <c r="F779">
        <v>57339.333330000001</v>
      </c>
      <c r="G779">
        <v>57.338999999999999</v>
      </c>
      <c r="H779">
        <v>0.60099999999999998</v>
      </c>
      <c r="I779">
        <v>4</v>
      </c>
      <c r="J779">
        <v>1409</v>
      </c>
      <c r="K779">
        <v>0.29487611800000002</v>
      </c>
      <c r="L779">
        <v>0.14199999999999999</v>
      </c>
      <c r="M779">
        <v>1</v>
      </c>
      <c r="N779">
        <v>0.55600000000000005</v>
      </c>
      <c r="O779">
        <v>3</v>
      </c>
      <c r="P779">
        <v>3</v>
      </c>
      <c r="S779" s="114" t="s">
        <v>944</v>
      </c>
    </row>
    <row r="780" spans="1:19" x14ac:dyDescent="0.2">
      <c r="A780" t="s">
        <v>2587</v>
      </c>
      <c r="B780">
        <v>9013530400</v>
      </c>
      <c r="C780" t="s">
        <v>2588</v>
      </c>
      <c r="D780">
        <v>65470</v>
      </c>
      <c r="E780">
        <v>1.96</v>
      </c>
      <c r="F780">
        <v>46764.285709999996</v>
      </c>
      <c r="G780">
        <v>46.764000000000003</v>
      </c>
      <c r="H780">
        <v>0.39600000000000002</v>
      </c>
      <c r="I780">
        <v>2</v>
      </c>
      <c r="J780">
        <v>1242</v>
      </c>
      <c r="K780">
        <v>0.31870474999999998</v>
      </c>
      <c r="L780">
        <v>0.27900000000000003</v>
      </c>
      <c r="M780">
        <v>2</v>
      </c>
      <c r="N780">
        <v>0.72099999999999997</v>
      </c>
      <c r="O780">
        <v>4</v>
      </c>
      <c r="P780">
        <v>4</v>
      </c>
      <c r="S780" s="116" t="s">
        <v>944</v>
      </c>
    </row>
    <row r="781" spans="1:19" x14ac:dyDescent="0.2">
      <c r="A781" t="s">
        <v>2589</v>
      </c>
      <c r="B781">
        <v>9013530500</v>
      </c>
      <c r="C781" t="s">
        <v>2590</v>
      </c>
      <c r="D781">
        <v>72219</v>
      </c>
      <c r="E781">
        <v>2.46</v>
      </c>
      <c r="F781">
        <v>46045.15264</v>
      </c>
      <c r="G781">
        <v>46.045000000000002</v>
      </c>
      <c r="H781">
        <v>0.38600000000000001</v>
      </c>
      <c r="I781">
        <v>2</v>
      </c>
      <c r="J781">
        <v>1542</v>
      </c>
      <c r="K781">
        <v>0.40186640600000001</v>
      </c>
      <c r="L781">
        <v>0.68300000000000005</v>
      </c>
      <c r="M781">
        <v>4</v>
      </c>
      <c r="N781">
        <v>0.432</v>
      </c>
      <c r="O781">
        <v>3</v>
      </c>
      <c r="P781">
        <v>4</v>
      </c>
      <c r="S781" s="114" t="s">
        <v>944</v>
      </c>
    </row>
    <row r="782" spans="1:19" x14ac:dyDescent="0.2">
      <c r="A782" t="s">
        <v>2591</v>
      </c>
      <c r="B782">
        <v>9013530600</v>
      </c>
      <c r="C782" t="s">
        <v>2592</v>
      </c>
      <c r="D782">
        <v>102222</v>
      </c>
      <c r="E782">
        <v>2.5099999999999998</v>
      </c>
      <c r="F782">
        <v>64521.954270000002</v>
      </c>
      <c r="G782">
        <v>64.522000000000006</v>
      </c>
      <c r="H782">
        <v>0.72599999999999998</v>
      </c>
      <c r="I782">
        <v>4</v>
      </c>
      <c r="J782">
        <v>1797</v>
      </c>
      <c r="K782">
        <v>0.33421182399999999</v>
      </c>
      <c r="L782">
        <v>0.38900000000000001</v>
      </c>
      <c r="M782">
        <v>2</v>
      </c>
      <c r="N782">
        <v>0.255</v>
      </c>
      <c r="O782">
        <v>2</v>
      </c>
      <c r="P782">
        <v>2</v>
      </c>
      <c r="S782" s="116" t="s">
        <v>944</v>
      </c>
    </row>
    <row r="783" spans="1:19" x14ac:dyDescent="0.2">
      <c r="A783" t="s">
        <v>2593</v>
      </c>
      <c r="B783">
        <v>9013533101</v>
      </c>
      <c r="C783" t="s">
        <v>2594</v>
      </c>
      <c r="D783">
        <v>118388</v>
      </c>
      <c r="E783">
        <v>2.75</v>
      </c>
      <c r="F783">
        <v>71390.650120000006</v>
      </c>
      <c r="G783">
        <v>71.391000000000005</v>
      </c>
      <c r="H783">
        <v>0.82099999999999995</v>
      </c>
      <c r="I783">
        <v>5</v>
      </c>
      <c r="J783">
        <v>1660</v>
      </c>
      <c r="K783">
        <v>0.27902813599999998</v>
      </c>
      <c r="L783">
        <v>7.9000000000000001E-2</v>
      </c>
      <c r="M783">
        <v>1</v>
      </c>
      <c r="N783">
        <v>0.34100000000000003</v>
      </c>
      <c r="O783">
        <v>2</v>
      </c>
      <c r="P783">
        <v>2</v>
      </c>
      <c r="S783" s="114" t="s">
        <v>944</v>
      </c>
    </row>
    <row r="784" spans="1:19" x14ac:dyDescent="0.2">
      <c r="A784" t="s">
        <v>2595</v>
      </c>
      <c r="B784">
        <v>9013533102</v>
      </c>
      <c r="C784" t="s">
        <v>2596</v>
      </c>
      <c r="D784">
        <v>117635</v>
      </c>
      <c r="E784">
        <v>2.82</v>
      </c>
      <c r="F784">
        <v>70050.623099999997</v>
      </c>
      <c r="G784">
        <v>70.051000000000002</v>
      </c>
      <c r="H784">
        <v>0.80500000000000005</v>
      </c>
      <c r="I784">
        <v>5</v>
      </c>
      <c r="J784">
        <v>1688</v>
      </c>
      <c r="K784">
        <v>0.28916230999999998</v>
      </c>
      <c r="L784">
        <v>0.111</v>
      </c>
      <c r="M784">
        <v>1</v>
      </c>
      <c r="N784">
        <v>0.32</v>
      </c>
      <c r="O784">
        <v>2</v>
      </c>
      <c r="P784">
        <v>2</v>
      </c>
      <c r="S784" s="116" t="s">
        <v>944</v>
      </c>
    </row>
    <row r="785" spans="1:19" x14ac:dyDescent="0.2">
      <c r="A785" t="s">
        <v>2597</v>
      </c>
      <c r="B785">
        <v>9013535100</v>
      </c>
      <c r="C785" t="s">
        <v>2598</v>
      </c>
      <c r="D785">
        <v>82436</v>
      </c>
      <c r="E785">
        <v>2.16</v>
      </c>
      <c r="F785">
        <v>56090.59345</v>
      </c>
      <c r="G785">
        <v>56.091000000000001</v>
      </c>
      <c r="H785">
        <v>0.58299999999999996</v>
      </c>
      <c r="I785">
        <v>3</v>
      </c>
      <c r="J785">
        <v>1366</v>
      </c>
      <c r="K785">
        <v>0.29224151500000001</v>
      </c>
      <c r="L785">
        <v>0.128</v>
      </c>
      <c r="M785">
        <v>1</v>
      </c>
      <c r="N785">
        <v>0.59099999999999997</v>
      </c>
      <c r="O785">
        <v>3</v>
      </c>
      <c r="P785">
        <v>3</v>
      </c>
      <c r="S785" s="114" t="s">
        <v>944</v>
      </c>
    </row>
    <row r="786" spans="1:19" x14ac:dyDescent="0.2">
      <c r="A786" t="s">
        <v>2599</v>
      </c>
      <c r="B786">
        <v>9013535200</v>
      </c>
      <c r="C786" t="s">
        <v>2600</v>
      </c>
      <c r="D786">
        <v>100833</v>
      </c>
      <c r="E786">
        <v>2.56</v>
      </c>
      <c r="F786">
        <v>63020.625</v>
      </c>
      <c r="G786">
        <v>63.021000000000001</v>
      </c>
      <c r="H786">
        <v>0.70799999999999996</v>
      </c>
      <c r="I786">
        <v>4</v>
      </c>
      <c r="J786">
        <v>1587</v>
      </c>
      <c r="K786">
        <v>0.30218678399999999</v>
      </c>
      <c r="L786">
        <v>0.186</v>
      </c>
      <c r="M786">
        <v>1</v>
      </c>
      <c r="N786">
        <v>0.39700000000000002</v>
      </c>
      <c r="O786">
        <v>2</v>
      </c>
      <c r="P786">
        <v>2</v>
      </c>
      <c r="S786" s="116" t="s">
        <v>944</v>
      </c>
    </row>
    <row r="787" spans="1:19" x14ac:dyDescent="0.2">
      <c r="A787" t="s">
        <v>2601</v>
      </c>
      <c r="B787">
        <v>9013538201</v>
      </c>
      <c r="C787" t="s">
        <v>2602</v>
      </c>
      <c r="D787">
        <v>116000</v>
      </c>
      <c r="E787">
        <v>2.57</v>
      </c>
      <c r="F787">
        <v>72358.81194</v>
      </c>
      <c r="G787">
        <v>72.358999999999995</v>
      </c>
      <c r="H787">
        <v>0.82899999999999996</v>
      </c>
      <c r="I787">
        <v>5</v>
      </c>
      <c r="J787">
        <v>1628</v>
      </c>
      <c r="K787">
        <v>0.269987849</v>
      </c>
      <c r="L787">
        <v>6.3E-2</v>
      </c>
      <c r="M787">
        <v>1</v>
      </c>
      <c r="N787">
        <v>0.36199999999999999</v>
      </c>
      <c r="O787">
        <v>2</v>
      </c>
      <c r="P787">
        <v>2</v>
      </c>
      <c r="S787" s="114" t="s">
        <v>944</v>
      </c>
    </row>
    <row r="788" spans="1:19" x14ac:dyDescent="0.2">
      <c r="A788" t="s">
        <v>2603</v>
      </c>
      <c r="B788">
        <v>9013538202</v>
      </c>
      <c r="C788" t="s">
        <v>2604</v>
      </c>
      <c r="D788">
        <v>103631</v>
      </c>
      <c r="E788">
        <v>2.5499999999999998</v>
      </c>
      <c r="F788">
        <v>64896.249510000001</v>
      </c>
      <c r="G788">
        <v>64.896000000000001</v>
      </c>
      <c r="H788">
        <v>0.73499999999999999</v>
      </c>
      <c r="I788">
        <v>4</v>
      </c>
      <c r="J788">
        <v>1669</v>
      </c>
      <c r="K788">
        <v>0.30861567699999998</v>
      </c>
      <c r="L788">
        <v>0.217</v>
      </c>
      <c r="M788">
        <v>2</v>
      </c>
      <c r="N788">
        <v>0.32900000000000001</v>
      </c>
      <c r="O788">
        <v>2</v>
      </c>
      <c r="P788">
        <v>2</v>
      </c>
      <c r="S788" s="116" t="s">
        <v>944</v>
      </c>
    </row>
    <row r="789" spans="1:19" x14ac:dyDescent="0.2">
      <c r="A789" t="s">
        <v>2605</v>
      </c>
      <c r="B789">
        <v>9013840100</v>
      </c>
      <c r="C789" t="s">
        <v>2606</v>
      </c>
      <c r="D789">
        <v>76908</v>
      </c>
      <c r="E789">
        <v>2.27</v>
      </c>
      <c r="F789">
        <v>51045.632449999997</v>
      </c>
      <c r="G789">
        <v>51.045999999999999</v>
      </c>
      <c r="H789">
        <v>0.48399999999999999</v>
      </c>
      <c r="I789">
        <v>3</v>
      </c>
      <c r="J789">
        <v>1397</v>
      </c>
      <c r="K789">
        <v>0.32841203400000002</v>
      </c>
      <c r="L789">
        <v>0.34399999999999997</v>
      </c>
      <c r="M789">
        <v>2</v>
      </c>
      <c r="N789">
        <v>0.57199999999999995</v>
      </c>
      <c r="O789">
        <v>3</v>
      </c>
      <c r="P789">
        <v>3</v>
      </c>
      <c r="S789" s="114" t="s">
        <v>944</v>
      </c>
    </row>
    <row r="790" spans="1:19" x14ac:dyDescent="0.2">
      <c r="A790" t="s">
        <v>2607</v>
      </c>
      <c r="B790">
        <v>9013850100</v>
      </c>
      <c r="C790" t="s">
        <v>2608</v>
      </c>
      <c r="D790">
        <v>103348</v>
      </c>
      <c r="E790">
        <v>2.82</v>
      </c>
      <c r="F790">
        <v>61542.838400000001</v>
      </c>
      <c r="G790">
        <v>61.542999999999999</v>
      </c>
      <c r="H790">
        <v>0.68500000000000005</v>
      </c>
      <c r="I790">
        <v>4</v>
      </c>
      <c r="J790">
        <v>1618</v>
      </c>
      <c r="K790">
        <v>0.31548756100000003</v>
      </c>
      <c r="L790">
        <v>0.25700000000000001</v>
      </c>
      <c r="M790">
        <v>2</v>
      </c>
      <c r="N790">
        <v>0.372</v>
      </c>
      <c r="O790">
        <v>2</v>
      </c>
      <c r="P790">
        <v>2</v>
      </c>
      <c r="S790" s="116" t="s">
        <v>944</v>
      </c>
    </row>
    <row r="791" spans="1:19" x14ac:dyDescent="0.2">
      <c r="A791" t="s">
        <v>2609</v>
      </c>
      <c r="B791">
        <v>9013850200</v>
      </c>
      <c r="C791" t="s">
        <v>2610</v>
      </c>
      <c r="D791">
        <v>93839</v>
      </c>
      <c r="E791">
        <v>2.5499999999999998</v>
      </c>
      <c r="F791">
        <v>58764.261250000003</v>
      </c>
      <c r="G791">
        <v>58.764000000000003</v>
      </c>
      <c r="H791">
        <v>0.63</v>
      </c>
      <c r="I791">
        <v>4</v>
      </c>
      <c r="J791">
        <v>1487</v>
      </c>
      <c r="K791">
        <v>0.30365394899999998</v>
      </c>
      <c r="L791">
        <v>0.19400000000000001</v>
      </c>
      <c r="M791">
        <v>1</v>
      </c>
      <c r="N791">
        <v>0.496</v>
      </c>
      <c r="O791">
        <v>3</v>
      </c>
      <c r="P791">
        <v>3</v>
      </c>
      <c r="S791" s="114" t="s">
        <v>944</v>
      </c>
    </row>
    <row r="792" spans="1:19" x14ac:dyDescent="0.2">
      <c r="A792" t="s">
        <v>2611</v>
      </c>
      <c r="B792">
        <v>9013860100</v>
      </c>
      <c r="C792" t="s">
        <v>2612</v>
      </c>
      <c r="D792">
        <v>109962</v>
      </c>
      <c r="E792">
        <v>2.4900000000000002</v>
      </c>
      <c r="F792">
        <v>69685.586039999995</v>
      </c>
      <c r="G792">
        <v>69.686000000000007</v>
      </c>
      <c r="H792">
        <v>0.79700000000000004</v>
      </c>
      <c r="I792">
        <v>4</v>
      </c>
      <c r="J792">
        <v>1517</v>
      </c>
      <c r="K792">
        <v>0.26123049300000001</v>
      </c>
      <c r="L792">
        <v>3.7999999999999999E-2</v>
      </c>
      <c r="M792">
        <v>1</v>
      </c>
      <c r="N792">
        <v>0.45400000000000001</v>
      </c>
      <c r="O792">
        <v>3</v>
      </c>
      <c r="P792">
        <v>3</v>
      </c>
      <c r="S792" s="116" t="s">
        <v>944</v>
      </c>
    </row>
    <row r="793" spans="1:19" x14ac:dyDescent="0.2">
      <c r="A793" t="s">
        <v>2613</v>
      </c>
      <c r="B793">
        <v>9013881100</v>
      </c>
      <c r="C793" t="s">
        <v>2614</v>
      </c>
      <c r="D793">
        <v>81163</v>
      </c>
      <c r="E793">
        <v>2.4</v>
      </c>
      <c r="F793">
        <v>52390.491220000004</v>
      </c>
      <c r="G793">
        <v>52.39</v>
      </c>
      <c r="H793">
        <v>0.50700000000000001</v>
      </c>
      <c r="I793">
        <v>3</v>
      </c>
      <c r="J793">
        <v>1602</v>
      </c>
      <c r="K793">
        <v>0.36693681500000003</v>
      </c>
      <c r="L793">
        <v>0.57199999999999995</v>
      </c>
      <c r="M793">
        <v>3</v>
      </c>
      <c r="N793">
        <v>0.38</v>
      </c>
      <c r="O793">
        <v>2</v>
      </c>
      <c r="P793">
        <v>3</v>
      </c>
      <c r="S793" s="114" t="s">
        <v>944</v>
      </c>
    </row>
    <row r="794" spans="1:19" x14ac:dyDescent="0.2">
      <c r="A794" t="s">
        <v>2615</v>
      </c>
      <c r="B794">
        <v>9013881200</v>
      </c>
      <c r="C794" t="s">
        <v>2616</v>
      </c>
      <c r="D794">
        <v>30125</v>
      </c>
      <c r="E794">
        <v>2.4900000000000002</v>
      </c>
      <c r="F794">
        <v>19090.943050000002</v>
      </c>
      <c r="G794">
        <v>19.091000000000001</v>
      </c>
      <c r="H794">
        <v>5.0999999999999997E-2</v>
      </c>
      <c r="I794">
        <v>1</v>
      </c>
      <c r="J794">
        <v>1975</v>
      </c>
      <c r="K794">
        <v>1.241426363</v>
      </c>
      <c r="L794">
        <v>1</v>
      </c>
      <c r="M794">
        <v>5</v>
      </c>
      <c r="N794">
        <v>0.17199999999999999</v>
      </c>
      <c r="O794">
        <v>1</v>
      </c>
      <c r="P794">
        <v>3</v>
      </c>
      <c r="S794" s="116" t="s">
        <v>936</v>
      </c>
    </row>
    <row r="795" spans="1:19" x14ac:dyDescent="0.2">
      <c r="A795" t="s">
        <v>2617</v>
      </c>
      <c r="B795">
        <v>9013881300</v>
      </c>
      <c r="C795" t="s">
        <v>2618</v>
      </c>
      <c r="D795">
        <v>46429</v>
      </c>
      <c r="E795">
        <v>2.2200000000000002</v>
      </c>
      <c r="F795">
        <v>31161.104490000002</v>
      </c>
      <c r="G795">
        <v>31.161000000000001</v>
      </c>
      <c r="H795">
        <v>0.19</v>
      </c>
      <c r="I795">
        <v>1</v>
      </c>
      <c r="J795">
        <v>1233</v>
      </c>
      <c r="K795">
        <v>0.47482270700000001</v>
      </c>
      <c r="L795">
        <v>0.81699999999999995</v>
      </c>
      <c r="M795">
        <v>5</v>
      </c>
      <c r="N795">
        <v>0.73</v>
      </c>
      <c r="O795">
        <v>4</v>
      </c>
      <c r="P795">
        <v>5</v>
      </c>
      <c r="S795" s="114" t="s">
        <v>936</v>
      </c>
    </row>
    <row r="796" spans="1:19" x14ac:dyDescent="0.2">
      <c r="A796" t="s">
        <v>2619</v>
      </c>
      <c r="B796">
        <v>9013881500</v>
      </c>
      <c r="C796" t="s">
        <v>2620</v>
      </c>
      <c r="D796">
        <v>53162</v>
      </c>
      <c r="E796">
        <v>2.2999999999999998</v>
      </c>
      <c r="F796">
        <v>35053.984729999996</v>
      </c>
      <c r="G796">
        <v>35.054000000000002</v>
      </c>
      <c r="H796">
        <v>0.23499999999999999</v>
      </c>
      <c r="I796">
        <v>2</v>
      </c>
      <c r="J796">
        <v>1289</v>
      </c>
      <c r="K796">
        <v>0.441262245</v>
      </c>
      <c r="L796">
        <v>0.77100000000000002</v>
      </c>
      <c r="M796">
        <v>4</v>
      </c>
      <c r="N796">
        <v>0.66500000000000004</v>
      </c>
      <c r="O796">
        <v>4</v>
      </c>
      <c r="P796">
        <v>4</v>
      </c>
      <c r="S796" s="116" t="s">
        <v>944</v>
      </c>
    </row>
    <row r="797" spans="1:19" x14ac:dyDescent="0.2">
      <c r="A797" t="s">
        <v>2621</v>
      </c>
      <c r="B797">
        <v>9013890100</v>
      </c>
      <c r="C797" t="s">
        <v>2622</v>
      </c>
      <c r="D797">
        <v>62054</v>
      </c>
      <c r="E797">
        <v>2.4300000000000002</v>
      </c>
      <c r="F797">
        <v>39807.65956</v>
      </c>
      <c r="G797">
        <v>39.808</v>
      </c>
      <c r="H797">
        <v>0.29199999999999998</v>
      </c>
      <c r="I797">
        <v>2</v>
      </c>
      <c r="J797">
        <v>1097</v>
      </c>
      <c r="K797">
        <v>0.330690127</v>
      </c>
      <c r="L797">
        <v>0.36599999999999999</v>
      </c>
      <c r="M797">
        <v>2</v>
      </c>
      <c r="N797">
        <v>0.879</v>
      </c>
      <c r="O797">
        <v>5</v>
      </c>
      <c r="P797">
        <v>5</v>
      </c>
      <c r="S797" s="114" t="s">
        <v>944</v>
      </c>
    </row>
    <row r="798" spans="1:19" x14ac:dyDescent="0.2">
      <c r="A798" t="s">
        <v>2623</v>
      </c>
      <c r="B798">
        <v>9013890201</v>
      </c>
      <c r="C798" t="s">
        <v>2624</v>
      </c>
      <c r="D798">
        <v>89292</v>
      </c>
      <c r="E798">
        <v>2.4500000000000002</v>
      </c>
      <c r="F798">
        <v>57046.56624</v>
      </c>
      <c r="G798">
        <v>57.046999999999997</v>
      </c>
      <c r="H798">
        <v>0.59599999999999997</v>
      </c>
      <c r="I798">
        <v>3</v>
      </c>
      <c r="J798">
        <v>1193</v>
      </c>
      <c r="K798">
        <v>0.25095287799999999</v>
      </c>
      <c r="L798">
        <v>1.4E-2</v>
      </c>
      <c r="M798">
        <v>1</v>
      </c>
      <c r="N798">
        <v>0.77500000000000002</v>
      </c>
      <c r="O798">
        <v>4</v>
      </c>
      <c r="P798">
        <v>4</v>
      </c>
      <c r="S798" s="116" t="s">
        <v>944</v>
      </c>
    </row>
    <row r="799" spans="1:19" x14ac:dyDescent="0.2">
      <c r="A799" t="s">
        <v>2625</v>
      </c>
      <c r="B799">
        <v>9013890202</v>
      </c>
      <c r="C799" t="s">
        <v>2626</v>
      </c>
      <c r="D799">
        <v>89460</v>
      </c>
      <c r="E799">
        <v>2.5499999999999998</v>
      </c>
      <c r="F799">
        <v>56022.025079999999</v>
      </c>
      <c r="G799">
        <v>56.021999999999998</v>
      </c>
      <c r="H799">
        <v>0.57999999999999996</v>
      </c>
      <c r="I799">
        <v>3</v>
      </c>
      <c r="J799">
        <v>1382</v>
      </c>
      <c r="K799">
        <v>0.29602642800000001</v>
      </c>
      <c r="L799">
        <v>0.14699999999999999</v>
      </c>
      <c r="M799">
        <v>1</v>
      </c>
      <c r="N799">
        <v>0.57599999999999996</v>
      </c>
      <c r="O799">
        <v>3</v>
      </c>
      <c r="P799">
        <v>3</v>
      </c>
      <c r="S799" s="114" t="s">
        <v>944</v>
      </c>
    </row>
    <row r="800" spans="1:19" x14ac:dyDescent="0.2">
      <c r="A800" t="s">
        <v>2627</v>
      </c>
      <c r="B800">
        <v>9015800300</v>
      </c>
      <c r="C800" t="s">
        <v>2628</v>
      </c>
      <c r="D800">
        <v>26840</v>
      </c>
      <c r="E800">
        <v>2.38</v>
      </c>
      <c r="F800">
        <v>17397.787939999998</v>
      </c>
      <c r="G800">
        <v>17.398</v>
      </c>
      <c r="H800">
        <v>3.5000000000000003E-2</v>
      </c>
      <c r="I800">
        <v>1</v>
      </c>
      <c r="J800">
        <v>710</v>
      </c>
      <c r="K800">
        <v>0.48971743000000001</v>
      </c>
      <c r="L800">
        <v>0.83199999999999996</v>
      </c>
      <c r="M800">
        <v>5</v>
      </c>
      <c r="N800">
        <v>0.99399999999999999</v>
      </c>
      <c r="O800">
        <v>5</v>
      </c>
      <c r="P800">
        <v>5</v>
      </c>
      <c r="S800" s="116" t="s">
        <v>936</v>
      </c>
    </row>
    <row r="801" spans="1:19" x14ac:dyDescent="0.2">
      <c r="A801" t="s">
        <v>2629</v>
      </c>
      <c r="B801">
        <v>9015800400</v>
      </c>
      <c r="C801" t="s">
        <v>2630</v>
      </c>
      <c r="D801">
        <v>61675</v>
      </c>
      <c r="E801">
        <v>2.4900000000000002</v>
      </c>
      <c r="F801">
        <v>39084.943149999999</v>
      </c>
      <c r="G801">
        <v>39.085000000000001</v>
      </c>
      <c r="H801">
        <v>0.28100000000000003</v>
      </c>
      <c r="I801">
        <v>2</v>
      </c>
      <c r="J801">
        <v>1167</v>
      </c>
      <c r="K801">
        <v>0.35829654300000002</v>
      </c>
      <c r="L801">
        <v>0.52900000000000003</v>
      </c>
      <c r="M801">
        <v>3</v>
      </c>
      <c r="N801">
        <v>0.80600000000000005</v>
      </c>
      <c r="O801">
        <v>5</v>
      </c>
      <c r="P801">
        <v>5</v>
      </c>
      <c r="S801" s="114" t="s">
        <v>944</v>
      </c>
    </row>
    <row r="802" spans="1:19" x14ac:dyDescent="0.2">
      <c r="A802" t="s">
        <v>2631</v>
      </c>
      <c r="B802">
        <v>9015800500</v>
      </c>
      <c r="C802" t="s">
        <v>2632</v>
      </c>
      <c r="D802">
        <v>58278</v>
      </c>
      <c r="E802">
        <v>2.4300000000000002</v>
      </c>
      <c r="F802">
        <v>37385.354429999999</v>
      </c>
      <c r="G802">
        <v>37.384999999999998</v>
      </c>
      <c r="H802">
        <v>0.26200000000000001</v>
      </c>
      <c r="I802">
        <v>2</v>
      </c>
      <c r="J802">
        <v>1191</v>
      </c>
      <c r="K802">
        <v>0.38228873899999999</v>
      </c>
      <c r="L802">
        <v>0.63800000000000001</v>
      </c>
      <c r="M802">
        <v>4</v>
      </c>
      <c r="N802">
        <v>0.77900000000000003</v>
      </c>
      <c r="O802">
        <v>4</v>
      </c>
      <c r="P802">
        <v>4</v>
      </c>
      <c r="S802" s="116" t="s">
        <v>944</v>
      </c>
    </row>
    <row r="803" spans="1:19" x14ac:dyDescent="0.2">
      <c r="A803" t="s">
        <v>2633</v>
      </c>
      <c r="B803">
        <v>9015800600</v>
      </c>
      <c r="C803" t="s">
        <v>2634</v>
      </c>
      <c r="D803">
        <v>35799</v>
      </c>
      <c r="E803">
        <v>2.48</v>
      </c>
      <c r="F803">
        <v>22732.387729999999</v>
      </c>
      <c r="G803">
        <v>22.731999999999999</v>
      </c>
      <c r="H803">
        <v>9.1999999999999998E-2</v>
      </c>
      <c r="I803">
        <v>1</v>
      </c>
      <c r="J803">
        <v>963</v>
      </c>
      <c r="K803">
        <v>0.50834959099999999</v>
      </c>
      <c r="L803">
        <v>0.85599999999999998</v>
      </c>
      <c r="M803">
        <v>5</v>
      </c>
      <c r="N803">
        <v>0.95799999999999996</v>
      </c>
      <c r="O803">
        <v>5</v>
      </c>
      <c r="P803">
        <v>5</v>
      </c>
      <c r="S803" s="114" t="s">
        <v>936</v>
      </c>
    </row>
    <row r="804" spans="1:19" x14ac:dyDescent="0.2">
      <c r="A804" t="s">
        <v>2635</v>
      </c>
      <c r="B804">
        <v>9015800700</v>
      </c>
      <c r="C804" t="s">
        <v>2636</v>
      </c>
      <c r="D804">
        <v>46176</v>
      </c>
      <c r="E804">
        <v>2.4900000000000002</v>
      </c>
      <c r="F804">
        <v>29262.850989999999</v>
      </c>
      <c r="G804">
        <v>29.263000000000002</v>
      </c>
      <c r="H804">
        <v>0.157</v>
      </c>
      <c r="I804">
        <v>1</v>
      </c>
      <c r="J804">
        <v>1108</v>
      </c>
      <c r="K804">
        <v>0.45436447699999999</v>
      </c>
      <c r="L804">
        <v>0.78800000000000003</v>
      </c>
      <c r="M804">
        <v>4</v>
      </c>
      <c r="N804">
        <v>0.86699999999999999</v>
      </c>
      <c r="O804">
        <v>5</v>
      </c>
      <c r="P804">
        <v>5</v>
      </c>
      <c r="S804" s="116" t="s">
        <v>936</v>
      </c>
    </row>
    <row r="805" spans="1:19" x14ac:dyDescent="0.2">
      <c r="A805" t="s">
        <v>2637</v>
      </c>
      <c r="B805">
        <v>9015815000</v>
      </c>
      <c r="C805" t="s">
        <v>2638</v>
      </c>
      <c r="D805">
        <v>70500</v>
      </c>
      <c r="E805">
        <v>2.52</v>
      </c>
      <c r="F805">
        <v>44410.825579999997</v>
      </c>
      <c r="G805">
        <v>44.411000000000001</v>
      </c>
      <c r="H805">
        <v>0.35699999999999998</v>
      </c>
      <c r="I805">
        <v>2</v>
      </c>
      <c r="J805">
        <v>1272</v>
      </c>
      <c r="K805">
        <v>0.34369998299999999</v>
      </c>
      <c r="L805">
        <v>0.441</v>
      </c>
      <c r="M805">
        <v>3</v>
      </c>
      <c r="N805">
        <v>0.68300000000000005</v>
      </c>
      <c r="O805">
        <v>4</v>
      </c>
      <c r="P805">
        <v>4</v>
      </c>
      <c r="S805" s="114" t="s">
        <v>944</v>
      </c>
    </row>
    <row r="806" spans="1:19" x14ac:dyDescent="0.2">
      <c r="A806" t="s">
        <v>2639</v>
      </c>
      <c r="B806">
        <v>9015820000</v>
      </c>
      <c r="C806" t="s">
        <v>2640</v>
      </c>
      <c r="D806">
        <v>81016</v>
      </c>
      <c r="E806">
        <v>2.3199999999999998</v>
      </c>
      <c r="F806">
        <v>53189.609819999998</v>
      </c>
      <c r="G806">
        <v>53.19</v>
      </c>
      <c r="H806">
        <v>0.52600000000000002</v>
      </c>
      <c r="I806">
        <v>3</v>
      </c>
      <c r="J806">
        <v>1407</v>
      </c>
      <c r="K806">
        <v>0.31743041700000002</v>
      </c>
      <c r="L806">
        <v>0.26700000000000002</v>
      </c>
      <c r="M806">
        <v>2</v>
      </c>
      <c r="N806">
        <v>0.56399999999999995</v>
      </c>
      <c r="O806">
        <v>3</v>
      </c>
      <c r="P806">
        <v>3</v>
      </c>
      <c r="S806" s="116" t="s">
        <v>944</v>
      </c>
    </row>
    <row r="807" spans="1:19" x14ac:dyDescent="0.2">
      <c r="A807" t="s">
        <v>2641</v>
      </c>
      <c r="B807">
        <v>9015825000</v>
      </c>
      <c r="C807" t="s">
        <v>2642</v>
      </c>
      <c r="D807">
        <v>86053</v>
      </c>
      <c r="E807">
        <v>2.56</v>
      </c>
      <c r="F807">
        <v>53783.125</v>
      </c>
      <c r="G807">
        <v>53.783000000000001</v>
      </c>
      <c r="H807">
        <v>0.53800000000000003</v>
      </c>
      <c r="I807">
        <v>3</v>
      </c>
      <c r="J807">
        <v>1378</v>
      </c>
      <c r="K807">
        <v>0.30745703200000002</v>
      </c>
      <c r="L807">
        <v>0.21099999999999999</v>
      </c>
      <c r="M807">
        <v>2</v>
      </c>
      <c r="N807">
        <v>0.58099999999999996</v>
      </c>
      <c r="O807">
        <v>3</v>
      </c>
      <c r="P807">
        <v>3</v>
      </c>
      <c r="S807" s="114" t="s">
        <v>944</v>
      </c>
    </row>
    <row r="808" spans="1:19" x14ac:dyDescent="0.2">
      <c r="A808" t="s">
        <v>2643</v>
      </c>
      <c r="B808">
        <v>9015830100</v>
      </c>
      <c r="C808" t="s">
        <v>2644</v>
      </c>
      <c r="D808">
        <v>70952</v>
      </c>
      <c r="E808">
        <v>2.38</v>
      </c>
      <c r="F808">
        <v>45991.350590000002</v>
      </c>
      <c r="G808">
        <v>45.991</v>
      </c>
      <c r="H808">
        <v>0.38300000000000001</v>
      </c>
      <c r="I808">
        <v>2</v>
      </c>
      <c r="J808">
        <v>1191</v>
      </c>
      <c r="K808">
        <v>0.31075408300000001</v>
      </c>
      <c r="L808">
        <v>0.22700000000000001</v>
      </c>
      <c r="M808">
        <v>2</v>
      </c>
      <c r="N808">
        <v>0.77900000000000003</v>
      </c>
      <c r="O808">
        <v>4</v>
      </c>
      <c r="P808">
        <v>4</v>
      </c>
      <c r="S808" s="116" t="s">
        <v>944</v>
      </c>
    </row>
    <row r="809" spans="1:19" x14ac:dyDescent="0.2">
      <c r="A809" t="s">
        <v>2645</v>
      </c>
      <c r="B809">
        <v>9015900100</v>
      </c>
      <c r="C809" t="s">
        <v>2646</v>
      </c>
      <c r="D809">
        <v>85216</v>
      </c>
      <c r="E809">
        <v>2.72</v>
      </c>
      <c r="F809">
        <v>51669.789559999997</v>
      </c>
      <c r="G809">
        <v>51.67</v>
      </c>
      <c r="H809">
        <v>0.49299999999999999</v>
      </c>
      <c r="I809">
        <v>3</v>
      </c>
      <c r="J809">
        <v>1349</v>
      </c>
      <c r="K809">
        <v>0.313297192</v>
      </c>
      <c r="L809">
        <v>0.24299999999999999</v>
      </c>
      <c r="M809">
        <v>2</v>
      </c>
      <c r="N809">
        <v>0.60599999999999998</v>
      </c>
      <c r="O809">
        <v>4</v>
      </c>
      <c r="P809">
        <v>4</v>
      </c>
      <c r="S809" s="114" t="s">
        <v>944</v>
      </c>
    </row>
    <row r="810" spans="1:19" x14ac:dyDescent="0.2">
      <c r="A810" t="s">
        <v>2647</v>
      </c>
      <c r="B810">
        <v>9015900200</v>
      </c>
      <c r="C810" t="s">
        <v>2648</v>
      </c>
      <c r="D810">
        <v>75114</v>
      </c>
      <c r="E810">
        <v>2.4900000000000002</v>
      </c>
      <c r="F810">
        <v>47601.563349999997</v>
      </c>
      <c r="G810">
        <v>47.601999999999997</v>
      </c>
      <c r="H810">
        <v>0.41599999999999998</v>
      </c>
      <c r="I810">
        <v>3</v>
      </c>
      <c r="J810">
        <v>1054</v>
      </c>
      <c r="K810">
        <v>0.26570555899999998</v>
      </c>
      <c r="L810">
        <v>5.1999999999999998E-2</v>
      </c>
      <c r="M810">
        <v>1</v>
      </c>
      <c r="N810">
        <v>0.90600000000000003</v>
      </c>
      <c r="O810">
        <v>5</v>
      </c>
      <c r="P810">
        <v>4</v>
      </c>
      <c r="S810" s="116" t="s">
        <v>944</v>
      </c>
    </row>
    <row r="811" spans="1:19" x14ac:dyDescent="0.2">
      <c r="A811" t="s">
        <v>2649</v>
      </c>
      <c r="B811">
        <v>9015901100</v>
      </c>
      <c r="C811" t="s">
        <v>2650</v>
      </c>
      <c r="D811">
        <v>86821</v>
      </c>
      <c r="E811">
        <v>2.41</v>
      </c>
      <c r="F811">
        <v>55926.322460000003</v>
      </c>
      <c r="G811">
        <v>55.926000000000002</v>
      </c>
      <c r="H811">
        <v>0.57699999999999996</v>
      </c>
      <c r="I811">
        <v>3</v>
      </c>
      <c r="J811">
        <v>1307</v>
      </c>
      <c r="K811">
        <v>0.28044039599999998</v>
      </c>
      <c r="L811">
        <v>0.08</v>
      </c>
      <c r="M811">
        <v>1</v>
      </c>
      <c r="N811">
        <v>0.64900000000000002</v>
      </c>
      <c r="O811">
        <v>4</v>
      </c>
      <c r="P811">
        <v>4</v>
      </c>
      <c r="S811" s="114" t="s">
        <v>944</v>
      </c>
    </row>
    <row r="812" spans="1:19" x14ac:dyDescent="0.2">
      <c r="A812" t="s">
        <v>2651</v>
      </c>
      <c r="B812">
        <v>9015902200</v>
      </c>
      <c r="C812" t="s">
        <v>2652</v>
      </c>
      <c r="D812">
        <v>92813</v>
      </c>
      <c r="E812">
        <v>2.39</v>
      </c>
      <c r="F812">
        <v>60035.738899999997</v>
      </c>
      <c r="G812">
        <v>60.036000000000001</v>
      </c>
      <c r="H812">
        <v>0.65400000000000003</v>
      </c>
      <c r="I812">
        <v>4</v>
      </c>
      <c r="J812">
        <v>1280</v>
      </c>
      <c r="K812">
        <v>0.25584760499999998</v>
      </c>
      <c r="L812">
        <v>2.4E-2</v>
      </c>
      <c r="M812">
        <v>1</v>
      </c>
      <c r="N812">
        <v>0.67900000000000005</v>
      </c>
      <c r="O812">
        <v>4</v>
      </c>
      <c r="P812">
        <v>3</v>
      </c>
      <c r="S812" s="116" t="s">
        <v>944</v>
      </c>
    </row>
    <row r="813" spans="1:19" x14ac:dyDescent="0.2">
      <c r="A813" t="s">
        <v>2653</v>
      </c>
      <c r="B813">
        <v>9015902500</v>
      </c>
      <c r="C813" t="s">
        <v>2654</v>
      </c>
      <c r="D813">
        <v>93472</v>
      </c>
      <c r="E813">
        <v>2.4500000000000002</v>
      </c>
      <c r="F813">
        <v>59717.07028</v>
      </c>
      <c r="G813">
        <v>59.716999999999999</v>
      </c>
      <c r="H813">
        <v>0.64700000000000002</v>
      </c>
      <c r="I813">
        <v>4</v>
      </c>
      <c r="J813">
        <v>1240</v>
      </c>
      <c r="K813">
        <v>0.24917498299999999</v>
      </c>
      <c r="L813">
        <v>0.01</v>
      </c>
      <c r="M813">
        <v>1</v>
      </c>
      <c r="N813">
        <v>0.72199999999999998</v>
      </c>
      <c r="O813">
        <v>4</v>
      </c>
      <c r="P813">
        <v>3</v>
      </c>
      <c r="S813" s="114" t="s">
        <v>944</v>
      </c>
    </row>
    <row r="814" spans="1:19" x14ac:dyDescent="0.2">
      <c r="A814" t="s">
        <v>2655</v>
      </c>
      <c r="B814">
        <v>9015903100</v>
      </c>
      <c r="C814" t="s">
        <v>2656</v>
      </c>
      <c r="D814">
        <v>57218</v>
      </c>
      <c r="E814">
        <v>2.21</v>
      </c>
      <c r="F814">
        <v>38488.991929999997</v>
      </c>
      <c r="G814">
        <v>38.488999999999997</v>
      </c>
      <c r="H814">
        <v>0.26900000000000002</v>
      </c>
      <c r="I814">
        <v>2</v>
      </c>
      <c r="J814">
        <v>1035</v>
      </c>
      <c r="K814">
        <v>0.32268966700000001</v>
      </c>
      <c r="L814">
        <v>0.317</v>
      </c>
      <c r="M814">
        <v>2</v>
      </c>
      <c r="N814">
        <v>0.91700000000000004</v>
      </c>
      <c r="O814">
        <v>5</v>
      </c>
      <c r="P814">
        <v>5</v>
      </c>
      <c r="S814" s="116" t="s">
        <v>944</v>
      </c>
    </row>
    <row r="815" spans="1:19" x14ac:dyDescent="0.2">
      <c r="A815" t="s">
        <v>2657</v>
      </c>
      <c r="B815">
        <v>9015903200</v>
      </c>
      <c r="C815" t="s">
        <v>2658</v>
      </c>
      <c r="D815">
        <v>76602</v>
      </c>
      <c r="E815">
        <v>2.25</v>
      </c>
      <c r="F815">
        <v>51068</v>
      </c>
      <c r="G815">
        <v>51.067999999999998</v>
      </c>
      <c r="H815">
        <v>0.48599999999999999</v>
      </c>
      <c r="I815">
        <v>3</v>
      </c>
      <c r="J815">
        <v>1149</v>
      </c>
      <c r="K815">
        <v>0.26999295099999998</v>
      </c>
      <c r="L815">
        <v>6.4000000000000001E-2</v>
      </c>
      <c r="M815">
        <v>1</v>
      </c>
      <c r="N815">
        <v>0.82199999999999995</v>
      </c>
      <c r="O815">
        <v>5</v>
      </c>
      <c r="P815">
        <v>4</v>
      </c>
      <c r="S815" s="114" t="s">
        <v>944</v>
      </c>
    </row>
    <row r="816" spans="1:19" x14ac:dyDescent="0.2">
      <c r="A816" t="s">
        <v>2659</v>
      </c>
      <c r="B816">
        <v>9015904100</v>
      </c>
      <c r="C816" t="s">
        <v>2660</v>
      </c>
      <c r="D816">
        <v>70341</v>
      </c>
      <c r="E816">
        <v>2.4500000000000002</v>
      </c>
      <c r="F816">
        <v>44939.216460000003</v>
      </c>
      <c r="G816">
        <v>44.939</v>
      </c>
      <c r="H816">
        <v>0.36799999999999999</v>
      </c>
      <c r="I816">
        <v>2</v>
      </c>
      <c r="J816">
        <v>1234</v>
      </c>
      <c r="K816">
        <v>0.32951175300000002</v>
      </c>
      <c r="L816">
        <v>0.35</v>
      </c>
      <c r="M816">
        <v>2</v>
      </c>
      <c r="N816">
        <v>0.72799999999999998</v>
      </c>
      <c r="O816">
        <v>4</v>
      </c>
      <c r="P816">
        <v>4</v>
      </c>
      <c r="S816" s="116" t="s">
        <v>944</v>
      </c>
    </row>
    <row r="817" spans="1:19" x14ac:dyDescent="0.2">
      <c r="A817" t="s">
        <v>2661</v>
      </c>
      <c r="B817">
        <v>9015904400</v>
      </c>
      <c r="C817" t="s">
        <v>2662</v>
      </c>
      <c r="D817">
        <v>57917</v>
      </c>
      <c r="E817">
        <v>2.23</v>
      </c>
      <c r="F817">
        <v>38784.091840000001</v>
      </c>
      <c r="G817">
        <v>38.783999999999999</v>
      </c>
      <c r="H817">
        <v>0.27400000000000002</v>
      </c>
      <c r="I817">
        <v>2</v>
      </c>
      <c r="J817">
        <v>1077</v>
      </c>
      <c r="K817">
        <v>0.33322940899999998</v>
      </c>
      <c r="L817">
        <v>0.38400000000000001</v>
      </c>
      <c r="M817">
        <v>2</v>
      </c>
      <c r="N817">
        <v>0.89200000000000002</v>
      </c>
      <c r="O817">
        <v>5</v>
      </c>
      <c r="P817">
        <v>5</v>
      </c>
      <c r="S817" s="114" t="s">
        <v>944</v>
      </c>
    </row>
    <row r="818" spans="1:19" x14ac:dyDescent="0.2">
      <c r="A818" t="s">
        <v>2663</v>
      </c>
      <c r="B818">
        <v>9015904500</v>
      </c>
      <c r="C818" t="s">
        <v>2664</v>
      </c>
      <c r="D818">
        <v>53138</v>
      </c>
      <c r="E818">
        <v>2.4</v>
      </c>
      <c r="F818">
        <v>34300.431510000002</v>
      </c>
      <c r="G818">
        <v>34.299999999999997</v>
      </c>
      <c r="H818">
        <v>0.23200000000000001</v>
      </c>
      <c r="I818">
        <v>2</v>
      </c>
      <c r="J818">
        <v>1128</v>
      </c>
      <c r="K818">
        <v>0.394630604</v>
      </c>
      <c r="L818">
        <v>0.67100000000000004</v>
      </c>
      <c r="M818">
        <v>4</v>
      </c>
      <c r="N818">
        <v>0.84099999999999997</v>
      </c>
      <c r="O818">
        <v>5</v>
      </c>
      <c r="P818">
        <v>5</v>
      </c>
      <c r="S818" s="116" t="s">
        <v>944</v>
      </c>
    </row>
    <row r="819" spans="1:19" x14ac:dyDescent="0.2">
      <c r="A819" t="s">
        <v>2665</v>
      </c>
      <c r="B819">
        <v>9015905100</v>
      </c>
      <c r="C819" t="s">
        <v>2666</v>
      </c>
      <c r="D819">
        <v>76047</v>
      </c>
      <c r="E819">
        <v>2.62</v>
      </c>
      <c r="F819">
        <v>46981.993499999997</v>
      </c>
      <c r="G819">
        <v>46.981999999999999</v>
      </c>
      <c r="H819">
        <v>0.39700000000000002</v>
      </c>
      <c r="I819">
        <v>2</v>
      </c>
      <c r="J819">
        <v>1301</v>
      </c>
      <c r="K819">
        <v>0.33229752200000001</v>
      </c>
      <c r="L819">
        <v>0.378</v>
      </c>
      <c r="M819">
        <v>2</v>
      </c>
      <c r="N819">
        <v>0.65700000000000003</v>
      </c>
      <c r="O819">
        <v>4</v>
      </c>
      <c r="P819">
        <v>4</v>
      </c>
      <c r="S819" s="114" t="s">
        <v>944</v>
      </c>
    </row>
    <row r="820" spans="1:19" x14ac:dyDescent="0.2">
      <c r="A820" t="s">
        <v>2667</v>
      </c>
      <c r="B820">
        <v>9015906100</v>
      </c>
      <c r="C820" t="s">
        <v>2668</v>
      </c>
      <c r="D820">
        <v>91973</v>
      </c>
      <c r="E820">
        <v>2.65</v>
      </c>
      <c r="F820">
        <v>56498.564780000001</v>
      </c>
      <c r="G820">
        <v>56.499000000000002</v>
      </c>
      <c r="H820">
        <v>0.58799999999999997</v>
      </c>
      <c r="I820">
        <v>3</v>
      </c>
      <c r="J820">
        <v>1465</v>
      </c>
      <c r="K820">
        <v>0.311158347</v>
      </c>
      <c r="L820">
        <v>0.22800000000000001</v>
      </c>
      <c r="M820">
        <v>2</v>
      </c>
      <c r="N820">
        <v>0.50700000000000001</v>
      </c>
      <c r="O820">
        <v>3</v>
      </c>
      <c r="P820">
        <v>3</v>
      </c>
      <c r="S820" s="116" t="s">
        <v>944</v>
      </c>
    </row>
    <row r="821" spans="1:19" x14ac:dyDescent="0.2">
      <c r="A821" t="s">
        <v>2669</v>
      </c>
      <c r="B821">
        <v>9015907100</v>
      </c>
      <c r="C821" t="s">
        <v>2670</v>
      </c>
      <c r="D821">
        <v>72606</v>
      </c>
      <c r="E821">
        <v>2.72</v>
      </c>
      <c r="F821">
        <v>44023.85398</v>
      </c>
      <c r="G821">
        <v>44.024000000000001</v>
      </c>
      <c r="H821">
        <v>0.35099999999999998</v>
      </c>
      <c r="I821">
        <v>2</v>
      </c>
      <c r="J821">
        <v>1283</v>
      </c>
      <c r="K821">
        <v>0.34971949499999999</v>
      </c>
      <c r="L821">
        <v>0.47599999999999998</v>
      </c>
      <c r="M821">
        <v>3</v>
      </c>
      <c r="N821">
        <v>0.67400000000000004</v>
      </c>
      <c r="O821">
        <v>4</v>
      </c>
      <c r="P821">
        <v>4</v>
      </c>
      <c r="S821" s="114" t="s">
        <v>944</v>
      </c>
    </row>
    <row r="822" spans="1:19" x14ac:dyDescent="0.2">
      <c r="A822" t="s">
        <v>2671</v>
      </c>
      <c r="B822">
        <v>9015907200</v>
      </c>
      <c r="C822" t="s">
        <v>2672</v>
      </c>
      <c r="D822">
        <v>65192</v>
      </c>
      <c r="E822">
        <v>2.77</v>
      </c>
      <c r="F822">
        <v>39170.076549999998</v>
      </c>
      <c r="G822">
        <v>39.17</v>
      </c>
      <c r="H822">
        <v>0.28399999999999997</v>
      </c>
      <c r="I822">
        <v>2</v>
      </c>
      <c r="J822">
        <v>1124</v>
      </c>
      <c r="K822">
        <v>0.34434448899999998</v>
      </c>
      <c r="L822">
        <v>0.44500000000000001</v>
      </c>
      <c r="M822">
        <v>3</v>
      </c>
      <c r="N822">
        <v>0.84799999999999998</v>
      </c>
      <c r="O822">
        <v>5</v>
      </c>
      <c r="P822">
        <v>5</v>
      </c>
      <c r="S822" s="116" t="s">
        <v>944</v>
      </c>
    </row>
    <row r="823" spans="1:19" x14ac:dyDescent="0.2">
      <c r="A823" t="s">
        <v>2673</v>
      </c>
      <c r="B823">
        <v>9015907300</v>
      </c>
      <c r="C823" t="s">
        <v>2674</v>
      </c>
      <c r="D823">
        <v>69167</v>
      </c>
      <c r="E823">
        <v>2.5099999999999998</v>
      </c>
      <c r="F823">
        <v>43657.823279999997</v>
      </c>
      <c r="G823">
        <v>43.658000000000001</v>
      </c>
      <c r="H823">
        <v>0.34699999999999998</v>
      </c>
      <c r="I823">
        <v>2</v>
      </c>
      <c r="J823">
        <v>1138</v>
      </c>
      <c r="K823">
        <v>0.31279617199999998</v>
      </c>
      <c r="L823">
        <v>0.24</v>
      </c>
      <c r="M823">
        <v>2</v>
      </c>
      <c r="N823">
        <v>0.82799999999999996</v>
      </c>
      <c r="O823">
        <v>5</v>
      </c>
      <c r="P823">
        <v>5</v>
      </c>
      <c r="S823" s="117" t="s">
        <v>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296A-8BCF-4249-8631-96F14B644158}">
  <sheetPr>
    <tabColor theme="8" tint="0.59999389629810485"/>
  </sheetPr>
  <dimension ref="A1:W823"/>
  <sheetViews>
    <sheetView zoomScale="85" zoomScaleNormal="85" workbookViewId="0">
      <selection activeCell="K1" sqref="K1"/>
    </sheetView>
  </sheetViews>
  <sheetFormatPr baseColWidth="10" defaultColWidth="8.83203125" defaultRowHeight="15" x14ac:dyDescent="0.2"/>
  <cols>
    <col min="1" max="1" width="21.6640625" bestFit="1" customWidth="1"/>
    <col min="2" max="2" width="11" bestFit="1" customWidth="1"/>
    <col min="3" max="3" width="50.83203125" bestFit="1" customWidth="1"/>
    <col min="4" max="4" width="16.33203125" customWidth="1"/>
    <col min="5" max="5" width="18.6640625" customWidth="1"/>
    <col min="6" max="7" width="22.1640625" customWidth="1"/>
    <col min="8" max="8" width="12" customWidth="1"/>
    <col min="9" max="9" width="13.6640625" customWidth="1"/>
    <col min="10" max="10" width="18.5" customWidth="1"/>
    <col min="11" max="11" width="13.1640625" customWidth="1"/>
    <col min="14" max="14" width="16.5" customWidth="1"/>
    <col min="15" max="15" width="18.6640625" customWidth="1"/>
    <col min="16" max="16" width="22.1640625" customWidth="1"/>
    <col min="20" max="20" width="17.83203125" bestFit="1" customWidth="1"/>
    <col min="22" max="22" width="50.83203125" bestFit="1" customWidth="1"/>
    <col min="23" max="23" width="12" bestFit="1" customWidth="1"/>
  </cols>
  <sheetData>
    <row r="1" spans="1:23" ht="48" customHeight="1" x14ac:dyDescent="0.2">
      <c r="A1" s="106" t="s">
        <v>1011</v>
      </c>
      <c r="B1" s="106" t="s">
        <v>1012</v>
      </c>
      <c r="C1" s="106" t="s">
        <v>1013</v>
      </c>
      <c r="D1" s="108" t="s">
        <v>2675</v>
      </c>
      <c r="E1" s="108" t="s">
        <v>2676</v>
      </c>
      <c r="F1" s="108" t="s">
        <v>2677</v>
      </c>
      <c r="G1" s="108" t="s">
        <v>2678</v>
      </c>
      <c r="H1" s="109" t="s">
        <v>2679</v>
      </c>
      <c r="I1" s="109" t="s">
        <v>2680</v>
      </c>
      <c r="J1" s="109" t="s">
        <v>2681</v>
      </c>
      <c r="K1" s="109" t="s">
        <v>2682</v>
      </c>
      <c r="N1" s="112" t="s">
        <v>2683</v>
      </c>
      <c r="O1" s="113" t="s">
        <v>2684</v>
      </c>
      <c r="T1" s="1" t="s">
        <v>2685</v>
      </c>
      <c r="V1" s="106" t="s">
        <v>2686</v>
      </c>
      <c r="W1" s="1"/>
    </row>
    <row r="2" spans="1:23" x14ac:dyDescent="0.2">
      <c r="A2" t="s">
        <v>1030</v>
      </c>
      <c r="B2">
        <v>9001010101</v>
      </c>
      <c r="C2" t="s">
        <v>1031</v>
      </c>
      <c r="D2">
        <v>4476</v>
      </c>
      <c r="E2">
        <v>12.64385742</v>
      </c>
      <c r="F2">
        <v>354.00589000000002</v>
      </c>
      <c r="G2">
        <v>1</v>
      </c>
      <c r="H2">
        <v>281</v>
      </c>
      <c r="I2">
        <v>6.7629362210000004</v>
      </c>
      <c r="J2">
        <v>0.218</v>
      </c>
      <c r="K2">
        <f>IF(J2&lt;0.2,1,IF(J2&lt;0.4,2,IF(J2&lt;0.6,3,IF(J2&lt;0.8,4,5))))</f>
        <v>2</v>
      </c>
      <c r="N2">
        <v>1.5</v>
      </c>
      <c r="O2">
        <v>2</v>
      </c>
      <c r="V2" s="107" t="s">
        <v>2687</v>
      </c>
    </row>
    <row r="3" spans="1:23" x14ac:dyDescent="0.2">
      <c r="A3" t="s">
        <v>1033</v>
      </c>
      <c r="B3">
        <v>9001010102</v>
      </c>
      <c r="C3" t="s">
        <v>1034</v>
      </c>
      <c r="D3">
        <v>4330</v>
      </c>
      <c r="E3">
        <v>12.57991195</v>
      </c>
      <c r="F3">
        <v>344.19954739999997</v>
      </c>
      <c r="G3">
        <v>1</v>
      </c>
      <c r="H3">
        <v>523</v>
      </c>
      <c r="I3">
        <v>12.02022524</v>
      </c>
      <c r="J3">
        <v>0.48499999999999999</v>
      </c>
      <c r="K3">
        <f t="shared" ref="K3:K66" si="0">IF(J3&lt;0.2,1,IF(J3&lt;0.4,2,IF(J3&lt;0.6,3,IF(J3&lt;0.8,4,5))))</f>
        <v>3</v>
      </c>
      <c r="N3">
        <v>2</v>
      </c>
      <c r="O3">
        <v>2</v>
      </c>
      <c r="V3" t="s">
        <v>2688</v>
      </c>
    </row>
    <row r="4" spans="1:23" x14ac:dyDescent="0.2">
      <c r="A4" t="s">
        <v>1035</v>
      </c>
      <c r="B4">
        <v>9001010201</v>
      </c>
      <c r="C4" t="s">
        <v>1036</v>
      </c>
      <c r="D4">
        <v>3421</v>
      </c>
      <c r="E4">
        <v>4.3448548799999998</v>
      </c>
      <c r="F4">
        <v>787.36806979999994</v>
      </c>
      <c r="G4">
        <v>1</v>
      </c>
      <c r="H4">
        <v>364</v>
      </c>
      <c r="I4">
        <v>10.441767069999999</v>
      </c>
      <c r="J4">
        <v>0.40400000000000003</v>
      </c>
      <c r="K4">
        <f t="shared" si="0"/>
        <v>3</v>
      </c>
      <c r="N4">
        <v>2</v>
      </c>
      <c r="O4">
        <v>2</v>
      </c>
    </row>
    <row r="5" spans="1:23" x14ac:dyDescent="0.2">
      <c r="A5" t="s">
        <v>1037</v>
      </c>
      <c r="B5">
        <v>9001010202</v>
      </c>
      <c r="C5" t="s">
        <v>1038</v>
      </c>
      <c r="D5">
        <v>5359</v>
      </c>
      <c r="E5">
        <v>3.761120129</v>
      </c>
      <c r="F5">
        <v>1424.841488</v>
      </c>
      <c r="G5">
        <v>1</v>
      </c>
      <c r="H5">
        <v>1002</v>
      </c>
      <c r="I5">
        <v>18.771075310000001</v>
      </c>
      <c r="J5">
        <v>0.71199999999999997</v>
      </c>
      <c r="K5">
        <f t="shared" si="0"/>
        <v>4</v>
      </c>
      <c r="N5">
        <v>2.5</v>
      </c>
      <c r="O5">
        <v>3</v>
      </c>
    </row>
    <row r="6" spans="1:23" x14ac:dyDescent="0.2">
      <c r="A6" t="s">
        <v>1039</v>
      </c>
      <c r="B6">
        <v>9001010300</v>
      </c>
      <c r="C6" t="s">
        <v>1040</v>
      </c>
      <c r="D6">
        <v>4010</v>
      </c>
      <c r="E6">
        <v>3.7096654500000001</v>
      </c>
      <c r="F6">
        <v>1080.9600089999999</v>
      </c>
      <c r="G6">
        <v>1</v>
      </c>
      <c r="H6">
        <v>382</v>
      </c>
      <c r="I6">
        <v>10.10582011</v>
      </c>
      <c r="J6">
        <v>0.38700000000000001</v>
      </c>
      <c r="K6">
        <f t="shared" si="0"/>
        <v>2</v>
      </c>
      <c r="N6">
        <v>1.5</v>
      </c>
      <c r="O6">
        <v>2</v>
      </c>
    </row>
    <row r="7" spans="1:23" x14ac:dyDescent="0.2">
      <c r="A7" t="s">
        <v>1041</v>
      </c>
      <c r="B7">
        <v>9001010400</v>
      </c>
      <c r="C7" t="s">
        <v>1042</v>
      </c>
      <c r="D7">
        <v>5290</v>
      </c>
      <c r="E7">
        <v>1.0417399620000001</v>
      </c>
      <c r="F7">
        <v>5078.042692</v>
      </c>
      <c r="G7">
        <v>1</v>
      </c>
      <c r="H7">
        <v>622</v>
      </c>
      <c r="I7">
        <v>10.72598724</v>
      </c>
      <c r="J7">
        <v>0.41299999999999998</v>
      </c>
      <c r="K7">
        <f t="shared" si="0"/>
        <v>3</v>
      </c>
      <c r="N7">
        <v>2</v>
      </c>
      <c r="O7">
        <v>2</v>
      </c>
    </row>
    <row r="8" spans="1:23" x14ac:dyDescent="0.2">
      <c r="A8" t="s">
        <v>1043</v>
      </c>
      <c r="B8">
        <v>9001010500</v>
      </c>
      <c r="C8" t="s">
        <v>1044</v>
      </c>
      <c r="D8">
        <v>5494</v>
      </c>
      <c r="E8">
        <v>0.70141483299999996</v>
      </c>
      <c r="F8">
        <v>7832.7399750000004</v>
      </c>
      <c r="G8">
        <v>1</v>
      </c>
      <c r="H8">
        <v>876</v>
      </c>
      <c r="I8">
        <v>14.897959180000001</v>
      </c>
      <c r="J8">
        <v>0.59</v>
      </c>
      <c r="K8">
        <f t="shared" si="0"/>
        <v>3</v>
      </c>
      <c r="N8">
        <v>2.5</v>
      </c>
      <c r="O8">
        <v>3</v>
      </c>
    </row>
    <row r="9" spans="1:23" x14ac:dyDescent="0.2">
      <c r="A9" t="s">
        <v>1045</v>
      </c>
      <c r="B9">
        <v>9001010600</v>
      </c>
      <c r="C9" t="s">
        <v>1046</v>
      </c>
      <c r="D9">
        <v>1845</v>
      </c>
      <c r="E9">
        <v>0.34099849100000001</v>
      </c>
      <c r="F9">
        <v>5410.581126</v>
      </c>
      <c r="G9">
        <v>1</v>
      </c>
      <c r="H9">
        <v>284</v>
      </c>
      <c r="I9">
        <v>13.773035889999999</v>
      </c>
      <c r="J9">
        <v>0.56000000000000005</v>
      </c>
      <c r="K9">
        <f t="shared" si="0"/>
        <v>3</v>
      </c>
      <c r="N9">
        <v>2</v>
      </c>
      <c r="O9">
        <v>2</v>
      </c>
    </row>
    <row r="10" spans="1:23" x14ac:dyDescent="0.2">
      <c r="A10" t="s">
        <v>1047</v>
      </c>
      <c r="B10">
        <v>9001010700</v>
      </c>
      <c r="C10" t="s">
        <v>1048</v>
      </c>
      <c r="D10">
        <v>3579</v>
      </c>
      <c r="E10">
        <v>0.71631142699999995</v>
      </c>
      <c r="F10">
        <v>4996.4301359999999</v>
      </c>
      <c r="G10">
        <v>1</v>
      </c>
      <c r="H10">
        <v>526</v>
      </c>
      <c r="I10">
        <v>14.59084605</v>
      </c>
      <c r="J10">
        <v>0.58299999999999996</v>
      </c>
      <c r="K10">
        <f t="shared" si="0"/>
        <v>3</v>
      </c>
      <c r="N10">
        <v>3.5</v>
      </c>
      <c r="O10">
        <v>4</v>
      </c>
    </row>
    <row r="11" spans="1:23" x14ac:dyDescent="0.2">
      <c r="A11" t="s">
        <v>1049</v>
      </c>
      <c r="B11">
        <v>9001010800</v>
      </c>
      <c r="C11" t="s">
        <v>1050</v>
      </c>
      <c r="D11">
        <v>3388</v>
      </c>
      <c r="E11">
        <v>0.75104402000000003</v>
      </c>
      <c r="F11">
        <v>4511.0538239999996</v>
      </c>
      <c r="G11">
        <v>1</v>
      </c>
      <c r="H11">
        <v>421</v>
      </c>
      <c r="I11">
        <v>11.85581526</v>
      </c>
      <c r="J11">
        <v>0.47299999999999998</v>
      </c>
      <c r="K11">
        <f t="shared" si="0"/>
        <v>3</v>
      </c>
      <c r="N11">
        <v>2</v>
      </c>
      <c r="O11">
        <v>2</v>
      </c>
    </row>
    <row r="12" spans="1:23" x14ac:dyDescent="0.2">
      <c r="A12" t="s">
        <v>1051</v>
      </c>
      <c r="B12">
        <v>9001010900</v>
      </c>
      <c r="C12" t="s">
        <v>1052</v>
      </c>
      <c r="D12">
        <v>4870</v>
      </c>
      <c r="E12">
        <v>0.99412352500000001</v>
      </c>
      <c r="F12">
        <v>4898.7876029999998</v>
      </c>
      <c r="G12">
        <v>1</v>
      </c>
      <c r="H12">
        <v>1291</v>
      </c>
      <c r="I12">
        <v>24.42762535</v>
      </c>
      <c r="J12">
        <v>0.81499999999999995</v>
      </c>
      <c r="K12">
        <f>IF(J12&lt;0.2,1,IF(J12&lt;0.4,2,IF(J12&lt;0.6,3,IF(J12&lt;0.8,4,5))))</f>
        <v>5</v>
      </c>
      <c r="N12">
        <v>3</v>
      </c>
      <c r="O12">
        <v>3</v>
      </c>
    </row>
    <row r="13" spans="1:23" x14ac:dyDescent="0.2">
      <c r="A13" t="s">
        <v>1053</v>
      </c>
      <c r="B13">
        <v>9001011000</v>
      </c>
      <c r="C13" t="s">
        <v>1054</v>
      </c>
      <c r="D13">
        <v>5263</v>
      </c>
      <c r="E13">
        <v>1.7178944460000001</v>
      </c>
      <c r="F13">
        <v>3063.6340970000001</v>
      </c>
      <c r="G13">
        <v>1</v>
      </c>
      <c r="H13">
        <v>543</v>
      </c>
      <c r="I13">
        <v>9.776737486</v>
      </c>
      <c r="J13">
        <v>0.373</v>
      </c>
      <c r="K13">
        <f t="shared" si="0"/>
        <v>2</v>
      </c>
      <c r="N13">
        <v>1.5</v>
      </c>
      <c r="O13">
        <v>2</v>
      </c>
    </row>
    <row r="14" spans="1:23" x14ac:dyDescent="0.2">
      <c r="A14" t="s">
        <v>1055</v>
      </c>
      <c r="B14">
        <v>9001011100</v>
      </c>
      <c r="C14" t="s">
        <v>1056</v>
      </c>
      <c r="D14">
        <v>4894</v>
      </c>
      <c r="E14">
        <v>1.69091517</v>
      </c>
      <c r="F14">
        <v>2894.290669</v>
      </c>
      <c r="G14">
        <v>1</v>
      </c>
      <c r="H14">
        <v>514</v>
      </c>
      <c r="I14">
        <v>11.152093730000001</v>
      </c>
      <c r="J14">
        <v>0.433</v>
      </c>
      <c r="K14">
        <f t="shared" si="0"/>
        <v>3</v>
      </c>
      <c r="N14">
        <v>2</v>
      </c>
      <c r="O14">
        <v>2</v>
      </c>
    </row>
    <row r="15" spans="1:23" x14ac:dyDescent="0.2">
      <c r="A15" t="s">
        <v>1057</v>
      </c>
      <c r="B15">
        <v>9001011200</v>
      </c>
      <c r="C15" t="s">
        <v>1058</v>
      </c>
      <c r="D15">
        <v>1733</v>
      </c>
      <c r="E15">
        <v>1.885313368</v>
      </c>
      <c r="F15">
        <v>919.2105828</v>
      </c>
      <c r="G15">
        <v>1</v>
      </c>
      <c r="H15">
        <v>373</v>
      </c>
      <c r="I15">
        <v>21.73659674</v>
      </c>
      <c r="J15">
        <v>0.77800000000000002</v>
      </c>
      <c r="K15">
        <f t="shared" si="0"/>
        <v>4</v>
      </c>
      <c r="N15">
        <v>2.5</v>
      </c>
      <c r="O15">
        <v>3</v>
      </c>
    </row>
    <row r="16" spans="1:23" x14ac:dyDescent="0.2">
      <c r="A16" t="s">
        <v>1059</v>
      </c>
      <c r="B16">
        <v>9001011300</v>
      </c>
      <c r="C16" t="s">
        <v>1060</v>
      </c>
      <c r="D16">
        <v>3219</v>
      </c>
      <c r="E16">
        <v>0.74289340299999995</v>
      </c>
      <c r="F16">
        <v>4333.0577249999997</v>
      </c>
      <c r="G16">
        <v>1</v>
      </c>
      <c r="H16">
        <v>902</v>
      </c>
      <c r="I16">
        <v>26.405152220000002</v>
      </c>
      <c r="J16">
        <v>0.85099999999999998</v>
      </c>
      <c r="K16">
        <f t="shared" si="0"/>
        <v>5</v>
      </c>
      <c r="N16">
        <v>3.5</v>
      </c>
      <c r="O16">
        <v>4</v>
      </c>
    </row>
    <row r="17" spans="1:15" x14ac:dyDescent="0.2">
      <c r="A17" t="s">
        <v>1061</v>
      </c>
      <c r="B17">
        <v>9001020100</v>
      </c>
      <c r="C17" t="s">
        <v>1062</v>
      </c>
      <c r="D17">
        <v>3523</v>
      </c>
      <c r="E17">
        <v>0.36254222000000003</v>
      </c>
      <c r="F17">
        <v>9717.4888969999993</v>
      </c>
      <c r="G17">
        <v>1</v>
      </c>
      <c r="H17">
        <v>1141</v>
      </c>
      <c r="I17">
        <v>20.989698310000001</v>
      </c>
      <c r="J17">
        <v>0.76100000000000001</v>
      </c>
      <c r="K17">
        <f t="shared" si="0"/>
        <v>4</v>
      </c>
      <c r="N17">
        <v>3.5</v>
      </c>
      <c r="O17">
        <v>4</v>
      </c>
    </row>
    <row r="18" spans="1:15" x14ac:dyDescent="0.2">
      <c r="A18" t="s">
        <v>1063</v>
      </c>
      <c r="B18">
        <v>9001020200</v>
      </c>
      <c r="C18" t="s">
        <v>1064</v>
      </c>
      <c r="D18">
        <v>3687</v>
      </c>
      <c r="E18">
        <v>7.2670525890000004</v>
      </c>
      <c r="F18">
        <v>507.35837600000002</v>
      </c>
      <c r="G18">
        <v>1</v>
      </c>
      <c r="H18">
        <v>551</v>
      </c>
      <c r="I18">
        <v>15.54740406</v>
      </c>
      <c r="J18">
        <v>0.61199999999999999</v>
      </c>
      <c r="K18">
        <f t="shared" si="0"/>
        <v>4</v>
      </c>
      <c r="N18">
        <v>2.5</v>
      </c>
      <c r="O18">
        <v>3</v>
      </c>
    </row>
    <row r="19" spans="1:15" x14ac:dyDescent="0.2">
      <c r="A19" t="s">
        <v>1065</v>
      </c>
      <c r="B19">
        <v>9001020300</v>
      </c>
      <c r="C19" t="s">
        <v>1066</v>
      </c>
      <c r="D19">
        <v>7263</v>
      </c>
      <c r="E19">
        <v>7.601713213</v>
      </c>
      <c r="F19">
        <v>955.44251629999997</v>
      </c>
      <c r="G19">
        <v>1</v>
      </c>
      <c r="H19">
        <v>793</v>
      </c>
      <c r="I19">
        <v>11.344778249999999</v>
      </c>
      <c r="J19">
        <v>0.443</v>
      </c>
      <c r="K19">
        <f t="shared" si="0"/>
        <v>3</v>
      </c>
      <c r="N19">
        <v>2</v>
      </c>
      <c r="O19">
        <v>2</v>
      </c>
    </row>
    <row r="20" spans="1:15" x14ac:dyDescent="0.2">
      <c r="A20" t="s">
        <v>1067</v>
      </c>
      <c r="B20">
        <v>9001020400</v>
      </c>
      <c r="C20" t="s">
        <v>1068</v>
      </c>
      <c r="D20">
        <v>3586</v>
      </c>
      <c r="E20">
        <v>3.6117715600000002</v>
      </c>
      <c r="F20">
        <v>992.86456520000002</v>
      </c>
      <c r="G20">
        <v>1</v>
      </c>
      <c r="H20">
        <v>694</v>
      </c>
      <c r="I20">
        <v>19.527293190000002</v>
      </c>
      <c r="J20">
        <v>0.72599999999999998</v>
      </c>
      <c r="K20">
        <f t="shared" si="0"/>
        <v>4</v>
      </c>
      <c r="N20">
        <v>2.5</v>
      </c>
      <c r="O20">
        <v>3</v>
      </c>
    </row>
    <row r="21" spans="1:15" x14ac:dyDescent="0.2">
      <c r="A21" t="s">
        <v>1069</v>
      </c>
      <c r="B21">
        <v>9001020500</v>
      </c>
      <c r="C21" t="s">
        <v>1070</v>
      </c>
      <c r="D21">
        <v>4896</v>
      </c>
      <c r="E21">
        <v>3.782704013</v>
      </c>
      <c r="F21">
        <v>1294.3122129999999</v>
      </c>
      <c r="G21">
        <v>1</v>
      </c>
      <c r="H21">
        <v>561</v>
      </c>
      <c r="I21">
        <v>11.48178469</v>
      </c>
      <c r="J21">
        <v>0.45500000000000002</v>
      </c>
      <c r="K21">
        <f t="shared" si="0"/>
        <v>3</v>
      </c>
      <c r="N21">
        <v>2</v>
      </c>
      <c r="O21">
        <v>2</v>
      </c>
    </row>
    <row r="22" spans="1:15" x14ac:dyDescent="0.2">
      <c r="A22" t="s">
        <v>1071</v>
      </c>
      <c r="B22">
        <v>9001020600</v>
      </c>
      <c r="C22" t="s">
        <v>1072</v>
      </c>
      <c r="D22">
        <v>4952</v>
      </c>
      <c r="E22">
        <v>1.379936123</v>
      </c>
      <c r="F22">
        <v>3588.571903</v>
      </c>
      <c r="G22">
        <v>1</v>
      </c>
      <c r="H22">
        <v>1015</v>
      </c>
      <c r="I22">
        <v>19.52298519</v>
      </c>
      <c r="J22">
        <v>0.72599999999999998</v>
      </c>
      <c r="K22">
        <f t="shared" si="0"/>
        <v>4</v>
      </c>
      <c r="N22">
        <v>2.5</v>
      </c>
      <c r="O22">
        <v>3</v>
      </c>
    </row>
    <row r="23" spans="1:15" x14ac:dyDescent="0.2">
      <c r="A23" t="s">
        <v>1073</v>
      </c>
      <c r="B23">
        <v>9001020700</v>
      </c>
      <c r="C23" t="s">
        <v>1074</v>
      </c>
      <c r="D23">
        <v>4352</v>
      </c>
      <c r="E23">
        <v>2.2411497659999999</v>
      </c>
      <c r="F23">
        <v>1941.8604089999999</v>
      </c>
      <c r="G23">
        <v>1</v>
      </c>
      <c r="H23">
        <v>419</v>
      </c>
      <c r="I23">
        <v>10.272125519999999</v>
      </c>
      <c r="J23">
        <v>0.4</v>
      </c>
      <c r="K23">
        <f t="shared" si="0"/>
        <v>3</v>
      </c>
      <c r="N23">
        <v>1.5</v>
      </c>
      <c r="O23">
        <v>2</v>
      </c>
    </row>
    <row r="24" spans="1:15" x14ac:dyDescent="0.2">
      <c r="A24" t="s">
        <v>1075</v>
      </c>
      <c r="B24">
        <v>9001020800</v>
      </c>
      <c r="C24" t="s">
        <v>1076</v>
      </c>
      <c r="D24">
        <v>2939</v>
      </c>
      <c r="E24">
        <v>0.89402537800000004</v>
      </c>
      <c r="F24">
        <v>3287.3787179999999</v>
      </c>
      <c r="G24">
        <v>1</v>
      </c>
      <c r="H24">
        <v>438</v>
      </c>
      <c r="I24">
        <v>16.472358029999999</v>
      </c>
      <c r="J24">
        <v>0.64500000000000002</v>
      </c>
      <c r="K24">
        <f t="shared" si="0"/>
        <v>4</v>
      </c>
      <c r="N24">
        <v>2.5</v>
      </c>
      <c r="O24">
        <v>3</v>
      </c>
    </row>
    <row r="25" spans="1:15" x14ac:dyDescent="0.2">
      <c r="A25" t="s">
        <v>1077</v>
      </c>
      <c r="B25">
        <v>9001020900</v>
      </c>
      <c r="C25" t="s">
        <v>1078</v>
      </c>
      <c r="D25">
        <v>4906</v>
      </c>
      <c r="E25">
        <v>0.65956135699999996</v>
      </c>
      <c r="F25">
        <v>7438.2768910000004</v>
      </c>
      <c r="G25">
        <v>1</v>
      </c>
      <c r="H25">
        <v>963</v>
      </c>
      <c r="I25">
        <v>20.515551769999998</v>
      </c>
      <c r="J25">
        <v>0.753</v>
      </c>
      <c r="K25">
        <f t="shared" si="0"/>
        <v>4</v>
      </c>
      <c r="N25">
        <v>3.5</v>
      </c>
      <c r="O25">
        <v>4</v>
      </c>
    </row>
    <row r="26" spans="1:15" x14ac:dyDescent="0.2">
      <c r="A26" t="s">
        <v>1079</v>
      </c>
      <c r="B26">
        <v>9001021000</v>
      </c>
      <c r="C26" t="s">
        <v>1080</v>
      </c>
      <c r="D26">
        <v>3499</v>
      </c>
      <c r="E26">
        <v>0.73690341400000003</v>
      </c>
      <c r="F26">
        <v>4748.2477790000003</v>
      </c>
      <c r="G26">
        <v>1</v>
      </c>
      <c r="H26">
        <v>521</v>
      </c>
      <c r="I26">
        <v>15.65975353</v>
      </c>
      <c r="J26">
        <v>0.61599999999999999</v>
      </c>
      <c r="K26">
        <f t="shared" si="0"/>
        <v>4</v>
      </c>
      <c r="N26">
        <v>2.5</v>
      </c>
      <c r="O26">
        <v>3</v>
      </c>
    </row>
    <row r="27" spans="1:15" x14ac:dyDescent="0.2">
      <c r="A27" t="s">
        <v>1081</v>
      </c>
      <c r="B27">
        <v>9001021100</v>
      </c>
      <c r="C27" t="s">
        <v>1082</v>
      </c>
      <c r="D27">
        <v>5976</v>
      </c>
      <c r="E27">
        <v>0.71774579699999996</v>
      </c>
      <c r="F27">
        <v>8326.0675699999993</v>
      </c>
      <c r="G27">
        <v>1</v>
      </c>
      <c r="H27">
        <v>989</v>
      </c>
      <c r="I27">
        <v>15.17802333</v>
      </c>
      <c r="J27">
        <v>0.60399999999999998</v>
      </c>
      <c r="K27">
        <f t="shared" si="0"/>
        <v>4</v>
      </c>
      <c r="N27">
        <v>3</v>
      </c>
      <c r="O27">
        <v>3</v>
      </c>
    </row>
    <row r="28" spans="1:15" x14ac:dyDescent="0.2">
      <c r="A28" t="s">
        <v>1083</v>
      </c>
      <c r="B28">
        <v>9001021200</v>
      </c>
      <c r="C28" t="s">
        <v>1084</v>
      </c>
      <c r="D28">
        <v>4177</v>
      </c>
      <c r="E28">
        <v>0.923928219</v>
      </c>
      <c r="F28">
        <v>4520.9139779999996</v>
      </c>
      <c r="G28">
        <v>1</v>
      </c>
      <c r="H28">
        <v>732</v>
      </c>
      <c r="I28">
        <v>17.341862119999998</v>
      </c>
      <c r="J28">
        <v>0.66700000000000004</v>
      </c>
      <c r="K28">
        <f t="shared" si="0"/>
        <v>4</v>
      </c>
      <c r="N28">
        <v>2.5</v>
      </c>
      <c r="O28">
        <v>3</v>
      </c>
    </row>
    <row r="29" spans="1:15" x14ac:dyDescent="0.2">
      <c r="A29" t="s">
        <v>1085</v>
      </c>
      <c r="B29">
        <v>9001021300</v>
      </c>
      <c r="C29" t="s">
        <v>1086</v>
      </c>
      <c r="D29">
        <v>4422</v>
      </c>
      <c r="E29">
        <v>0.81323040899999999</v>
      </c>
      <c r="F29">
        <v>5437.5733520000003</v>
      </c>
      <c r="G29">
        <v>1</v>
      </c>
      <c r="H29">
        <v>812</v>
      </c>
      <c r="I29">
        <v>18.670958840000001</v>
      </c>
      <c r="J29">
        <v>0.71</v>
      </c>
      <c r="K29">
        <f t="shared" si="0"/>
        <v>4</v>
      </c>
      <c r="N29">
        <v>3</v>
      </c>
      <c r="O29">
        <v>3</v>
      </c>
    </row>
    <row r="30" spans="1:15" x14ac:dyDescent="0.2">
      <c r="A30" t="s">
        <v>1087</v>
      </c>
      <c r="B30">
        <v>9001021400</v>
      </c>
      <c r="C30" t="s">
        <v>1088</v>
      </c>
      <c r="D30">
        <v>6690</v>
      </c>
      <c r="E30">
        <v>0.63447745700000002</v>
      </c>
      <c r="F30">
        <v>10544.109839999999</v>
      </c>
      <c r="G30">
        <v>1</v>
      </c>
      <c r="H30">
        <v>1633</v>
      </c>
      <c r="I30">
        <v>22.4993111</v>
      </c>
      <c r="J30">
        <v>0.79200000000000004</v>
      </c>
      <c r="K30">
        <f t="shared" si="0"/>
        <v>4</v>
      </c>
      <c r="N30">
        <v>4</v>
      </c>
      <c r="O30">
        <v>4</v>
      </c>
    </row>
    <row r="31" spans="1:15" x14ac:dyDescent="0.2">
      <c r="A31" t="s">
        <v>1089</v>
      </c>
      <c r="B31">
        <v>9001021500</v>
      </c>
      <c r="C31" t="s">
        <v>1090</v>
      </c>
      <c r="D31">
        <v>6303</v>
      </c>
      <c r="E31">
        <v>0.29565851300000001</v>
      </c>
      <c r="F31">
        <v>21318.51352</v>
      </c>
      <c r="G31">
        <v>1</v>
      </c>
      <c r="H31">
        <v>2321</v>
      </c>
      <c r="I31">
        <v>35.873261210000003</v>
      </c>
      <c r="J31">
        <v>0.94099999999999995</v>
      </c>
      <c r="K31">
        <f t="shared" si="0"/>
        <v>5</v>
      </c>
      <c r="N31">
        <v>4.5</v>
      </c>
      <c r="O31">
        <v>5</v>
      </c>
    </row>
    <row r="32" spans="1:15" x14ac:dyDescent="0.2">
      <c r="A32" t="s">
        <v>1091</v>
      </c>
      <c r="B32">
        <v>9001021600</v>
      </c>
      <c r="C32" t="s">
        <v>1092</v>
      </c>
      <c r="D32">
        <v>7151</v>
      </c>
      <c r="E32">
        <v>0.31206708300000002</v>
      </c>
      <c r="F32">
        <v>22914.944869999999</v>
      </c>
      <c r="G32">
        <v>1</v>
      </c>
      <c r="H32">
        <v>3855</v>
      </c>
      <c r="I32">
        <v>50.683670790000001</v>
      </c>
      <c r="J32">
        <v>0.99199999999999999</v>
      </c>
      <c r="K32">
        <f t="shared" si="0"/>
        <v>5</v>
      </c>
      <c r="N32">
        <v>3.5</v>
      </c>
      <c r="O32">
        <v>4</v>
      </c>
    </row>
    <row r="33" spans="1:15" x14ac:dyDescent="0.2">
      <c r="A33" t="s">
        <v>1093</v>
      </c>
      <c r="B33">
        <v>9001021700</v>
      </c>
      <c r="C33" t="s">
        <v>1094</v>
      </c>
      <c r="D33">
        <v>7354</v>
      </c>
      <c r="E33">
        <v>0.297838832</v>
      </c>
      <c r="F33">
        <v>24691.206180000001</v>
      </c>
      <c r="G33">
        <v>1</v>
      </c>
      <c r="H33">
        <v>1989</v>
      </c>
      <c r="I33">
        <v>26.76985195</v>
      </c>
      <c r="J33">
        <v>0.85499999999999998</v>
      </c>
      <c r="K33">
        <f t="shared" si="0"/>
        <v>5</v>
      </c>
      <c r="N33">
        <v>3.5</v>
      </c>
      <c r="O33">
        <v>4</v>
      </c>
    </row>
    <row r="34" spans="1:15" x14ac:dyDescent="0.2">
      <c r="A34" t="s">
        <v>1095</v>
      </c>
      <c r="B34">
        <v>9001021801</v>
      </c>
      <c r="C34" t="s">
        <v>1096</v>
      </c>
      <c r="D34">
        <v>4334</v>
      </c>
      <c r="E34">
        <v>0.379816818</v>
      </c>
      <c r="F34">
        <v>11410.76382</v>
      </c>
      <c r="G34">
        <v>1</v>
      </c>
      <c r="H34">
        <v>1454</v>
      </c>
      <c r="I34">
        <v>31.608695650000001</v>
      </c>
      <c r="J34">
        <v>0.90600000000000003</v>
      </c>
      <c r="K34">
        <f t="shared" si="0"/>
        <v>5</v>
      </c>
      <c r="N34">
        <v>3.5</v>
      </c>
      <c r="O34">
        <v>4</v>
      </c>
    </row>
    <row r="35" spans="1:15" x14ac:dyDescent="0.2">
      <c r="A35" t="s">
        <v>1097</v>
      </c>
      <c r="B35">
        <v>9001021802</v>
      </c>
      <c r="C35" t="s">
        <v>1098</v>
      </c>
      <c r="D35">
        <v>5408</v>
      </c>
      <c r="E35">
        <v>0.55309136599999997</v>
      </c>
      <c r="F35">
        <v>9777.7697059999991</v>
      </c>
      <c r="G35">
        <v>1</v>
      </c>
      <c r="H35">
        <v>2075</v>
      </c>
      <c r="I35">
        <v>39.396240740000003</v>
      </c>
      <c r="J35">
        <v>0.96299999999999997</v>
      </c>
      <c r="K35">
        <f t="shared" si="0"/>
        <v>5</v>
      </c>
      <c r="N35">
        <v>4</v>
      </c>
      <c r="O35">
        <v>4</v>
      </c>
    </row>
    <row r="36" spans="1:15" x14ac:dyDescent="0.2">
      <c r="A36" t="s">
        <v>1099</v>
      </c>
      <c r="B36">
        <v>9001021900</v>
      </c>
      <c r="C36" t="s">
        <v>1100</v>
      </c>
      <c r="D36">
        <v>5713</v>
      </c>
      <c r="E36">
        <v>0.83050307599999995</v>
      </c>
      <c r="F36">
        <v>6878.9630850000003</v>
      </c>
      <c r="G36">
        <v>1</v>
      </c>
      <c r="H36">
        <v>1352</v>
      </c>
      <c r="I36">
        <v>21.859337109999998</v>
      </c>
      <c r="J36">
        <v>0.78600000000000003</v>
      </c>
      <c r="K36">
        <f t="shared" si="0"/>
        <v>4</v>
      </c>
      <c r="N36">
        <v>3.5</v>
      </c>
      <c r="O36">
        <v>4</v>
      </c>
    </row>
    <row r="37" spans="1:15" x14ac:dyDescent="0.2">
      <c r="A37" t="s">
        <v>1101</v>
      </c>
      <c r="B37">
        <v>9001022000</v>
      </c>
      <c r="C37" t="s">
        <v>1102</v>
      </c>
      <c r="D37">
        <v>2959</v>
      </c>
      <c r="E37">
        <v>0.28449398199999998</v>
      </c>
      <c r="F37">
        <v>10400.922989999999</v>
      </c>
      <c r="G37">
        <v>1</v>
      </c>
      <c r="H37">
        <v>560</v>
      </c>
      <c r="I37">
        <v>19.217570349999999</v>
      </c>
      <c r="J37">
        <v>0.72399999999999998</v>
      </c>
      <c r="K37">
        <f t="shared" si="0"/>
        <v>4</v>
      </c>
      <c r="N37">
        <v>3.5</v>
      </c>
      <c r="O37">
        <v>4</v>
      </c>
    </row>
    <row r="38" spans="1:15" x14ac:dyDescent="0.2">
      <c r="A38" t="s">
        <v>1103</v>
      </c>
      <c r="B38">
        <v>9001022100</v>
      </c>
      <c r="C38" t="s">
        <v>1104</v>
      </c>
      <c r="D38">
        <v>7213</v>
      </c>
      <c r="E38">
        <v>0.77745070599999999</v>
      </c>
      <c r="F38">
        <v>9277.7586300000003</v>
      </c>
      <c r="G38">
        <v>1</v>
      </c>
      <c r="H38">
        <v>2424</v>
      </c>
      <c r="I38">
        <v>29.745981100000002</v>
      </c>
      <c r="J38">
        <v>0.89100000000000001</v>
      </c>
      <c r="K38">
        <f t="shared" si="0"/>
        <v>5</v>
      </c>
      <c r="N38">
        <v>4</v>
      </c>
      <c r="O38">
        <v>4</v>
      </c>
    </row>
    <row r="39" spans="1:15" x14ac:dyDescent="0.2">
      <c r="A39" t="s">
        <v>1105</v>
      </c>
      <c r="B39">
        <v>9001022200</v>
      </c>
      <c r="C39" t="s">
        <v>1106</v>
      </c>
      <c r="D39">
        <v>3186</v>
      </c>
      <c r="E39">
        <v>0.55810142699999998</v>
      </c>
      <c r="F39">
        <v>5708.6397619999998</v>
      </c>
      <c r="G39">
        <v>1</v>
      </c>
      <c r="H39">
        <v>1696</v>
      </c>
      <c r="I39">
        <v>25.822168090000002</v>
      </c>
      <c r="J39">
        <v>0.84799999999999998</v>
      </c>
      <c r="K39">
        <f t="shared" si="0"/>
        <v>5</v>
      </c>
      <c r="N39">
        <v>3.5</v>
      </c>
      <c r="O39">
        <v>4</v>
      </c>
    </row>
    <row r="40" spans="1:15" x14ac:dyDescent="0.2">
      <c r="A40" t="s">
        <v>1107</v>
      </c>
      <c r="B40">
        <v>9001022300</v>
      </c>
      <c r="C40" t="s">
        <v>1108</v>
      </c>
      <c r="D40">
        <v>5763</v>
      </c>
      <c r="E40">
        <v>1.052924183</v>
      </c>
      <c r="F40">
        <v>5473.3285560000004</v>
      </c>
      <c r="G40">
        <v>1</v>
      </c>
      <c r="H40">
        <v>1350</v>
      </c>
      <c r="I40">
        <v>25.645896659999998</v>
      </c>
      <c r="J40">
        <v>0.84599999999999997</v>
      </c>
      <c r="K40">
        <f t="shared" si="0"/>
        <v>5</v>
      </c>
      <c r="N40">
        <v>3.5</v>
      </c>
      <c r="O40">
        <v>4</v>
      </c>
    </row>
    <row r="41" spans="1:15" x14ac:dyDescent="0.2">
      <c r="A41" t="s">
        <v>1109</v>
      </c>
      <c r="B41">
        <v>9001022400</v>
      </c>
      <c r="C41" t="s">
        <v>1110</v>
      </c>
      <c r="D41">
        <v>2391</v>
      </c>
      <c r="E41">
        <v>0.669854069</v>
      </c>
      <c r="F41">
        <v>3569.4341669999999</v>
      </c>
      <c r="G41">
        <v>1</v>
      </c>
      <c r="H41">
        <v>145</v>
      </c>
      <c r="I41">
        <v>6.7630597010000004</v>
      </c>
      <c r="J41">
        <v>0.22900000000000001</v>
      </c>
      <c r="K41">
        <f t="shared" si="0"/>
        <v>2</v>
      </c>
      <c r="N41">
        <v>1.5</v>
      </c>
      <c r="O41">
        <v>2</v>
      </c>
    </row>
    <row r="42" spans="1:15" x14ac:dyDescent="0.2">
      <c r="A42" t="s">
        <v>1111</v>
      </c>
      <c r="B42">
        <v>9001030100</v>
      </c>
      <c r="C42" t="s">
        <v>1112</v>
      </c>
      <c r="D42">
        <v>3502</v>
      </c>
      <c r="E42">
        <v>4.2567085249999996</v>
      </c>
      <c r="F42">
        <v>822.7013852</v>
      </c>
      <c r="G42">
        <v>1</v>
      </c>
      <c r="H42">
        <v>99</v>
      </c>
      <c r="I42">
        <v>2.7332965210000002</v>
      </c>
      <c r="J42">
        <v>3.3000000000000002E-2</v>
      </c>
      <c r="K42">
        <f t="shared" si="0"/>
        <v>1</v>
      </c>
      <c r="N42">
        <v>1</v>
      </c>
      <c r="O42">
        <v>1</v>
      </c>
    </row>
    <row r="43" spans="1:15" x14ac:dyDescent="0.2">
      <c r="A43" t="s">
        <v>1113</v>
      </c>
      <c r="B43">
        <v>9001030200</v>
      </c>
      <c r="C43" t="s">
        <v>1114</v>
      </c>
      <c r="D43">
        <v>3442</v>
      </c>
      <c r="E43">
        <v>1.7681356050000001</v>
      </c>
      <c r="F43">
        <v>1946.6832690000001</v>
      </c>
      <c r="G43">
        <v>1</v>
      </c>
      <c r="H43">
        <v>433</v>
      </c>
      <c r="I43">
        <v>12.047857540000001</v>
      </c>
      <c r="J43">
        <v>0.498</v>
      </c>
      <c r="K43">
        <f t="shared" si="0"/>
        <v>3</v>
      </c>
      <c r="N43">
        <v>2</v>
      </c>
      <c r="O43">
        <v>2</v>
      </c>
    </row>
    <row r="44" spans="1:15" x14ac:dyDescent="0.2">
      <c r="A44" t="s">
        <v>1115</v>
      </c>
      <c r="B44">
        <v>9001030300</v>
      </c>
      <c r="C44" t="s">
        <v>1116</v>
      </c>
      <c r="D44">
        <v>4156</v>
      </c>
      <c r="E44">
        <v>3.192658035</v>
      </c>
      <c r="F44">
        <v>1301.736658</v>
      </c>
      <c r="G44">
        <v>1</v>
      </c>
      <c r="H44">
        <v>262</v>
      </c>
      <c r="I44">
        <v>6.1072261069999998</v>
      </c>
      <c r="J44">
        <v>0.19400000000000001</v>
      </c>
      <c r="K44">
        <f t="shared" si="0"/>
        <v>1</v>
      </c>
      <c r="N44">
        <v>1</v>
      </c>
      <c r="O44">
        <v>1</v>
      </c>
    </row>
    <row r="45" spans="1:15" x14ac:dyDescent="0.2">
      <c r="A45" t="s">
        <v>1117</v>
      </c>
      <c r="B45">
        <v>9001030400</v>
      </c>
      <c r="C45" t="s">
        <v>1118</v>
      </c>
      <c r="D45">
        <v>3958</v>
      </c>
      <c r="E45">
        <v>1.3717754680000001</v>
      </c>
      <c r="F45">
        <v>2885.3118410000002</v>
      </c>
      <c r="G45">
        <v>1</v>
      </c>
      <c r="H45">
        <v>564</v>
      </c>
      <c r="I45">
        <v>13.233223840000001</v>
      </c>
      <c r="J45">
        <v>0.54300000000000004</v>
      </c>
      <c r="K45">
        <f t="shared" si="0"/>
        <v>3</v>
      </c>
      <c r="N45">
        <v>2</v>
      </c>
      <c r="O45">
        <v>2</v>
      </c>
    </row>
    <row r="46" spans="1:15" x14ac:dyDescent="0.2">
      <c r="A46" t="s">
        <v>1119</v>
      </c>
      <c r="B46">
        <v>9001030500</v>
      </c>
      <c r="C46" t="s">
        <v>1120</v>
      </c>
      <c r="D46">
        <v>5674</v>
      </c>
      <c r="E46">
        <v>2.0661180670000001</v>
      </c>
      <c r="F46">
        <v>2746.212857</v>
      </c>
      <c r="G46">
        <v>1</v>
      </c>
      <c r="H46">
        <v>847</v>
      </c>
      <c r="I46">
        <v>14.17810512</v>
      </c>
      <c r="J46">
        <v>0.58799999999999997</v>
      </c>
      <c r="K46">
        <f t="shared" si="0"/>
        <v>3</v>
      </c>
      <c r="N46">
        <v>2</v>
      </c>
      <c r="O46">
        <v>2</v>
      </c>
    </row>
    <row r="47" spans="1:15" x14ac:dyDescent="0.2">
      <c r="A47" t="s">
        <v>1121</v>
      </c>
      <c r="B47">
        <v>9001035100</v>
      </c>
      <c r="C47" t="s">
        <v>1122</v>
      </c>
      <c r="D47">
        <v>7406</v>
      </c>
      <c r="E47">
        <v>2.5365326019999999</v>
      </c>
      <c r="F47">
        <v>2919.7338110000001</v>
      </c>
      <c r="G47">
        <v>1</v>
      </c>
      <c r="H47">
        <v>698</v>
      </c>
      <c r="I47">
        <v>9.0672902050000008</v>
      </c>
      <c r="J47">
        <v>0.35199999999999998</v>
      </c>
      <c r="K47">
        <f t="shared" si="0"/>
        <v>2</v>
      </c>
      <c r="N47">
        <v>1.5</v>
      </c>
      <c r="O47">
        <v>2</v>
      </c>
    </row>
    <row r="48" spans="1:15" x14ac:dyDescent="0.2">
      <c r="A48" t="s">
        <v>1123</v>
      </c>
      <c r="B48">
        <v>9001035200</v>
      </c>
      <c r="C48" t="s">
        <v>1124</v>
      </c>
      <c r="D48">
        <v>3316</v>
      </c>
      <c r="E48">
        <v>6.7184581550000004</v>
      </c>
      <c r="F48">
        <v>493.56562530000002</v>
      </c>
      <c r="G48">
        <v>1</v>
      </c>
      <c r="H48">
        <v>232</v>
      </c>
      <c r="I48">
        <v>7.5324675320000001</v>
      </c>
      <c r="J48">
        <v>0.26300000000000001</v>
      </c>
      <c r="K48">
        <f t="shared" si="0"/>
        <v>2</v>
      </c>
      <c r="N48">
        <v>1.5</v>
      </c>
      <c r="O48">
        <v>2</v>
      </c>
    </row>
    <row r="49" spans="1:15" x14ac:dyDescent="0.2">
      <c r="A49" t="s">
        <v>1125</v>
      </c>
      <c r="B49">
        <v>9001035300</v>
      </c>
      <c r="C49" t="s">
        <v>1126</v>
      </c>
      <c r="D49">
        <v>3937</v>
      </c>
      <c r="E49">
        <v>5.1902715380000002</v>
      </c>
      <c r="F49">
        <v>758.53449499999999</v>
      </c>
      <c r="G49">
        <v>1</v>
      </c>
      <c r="H49">
        <v>496</v>
      </c>
      <c r="I49">
        <v>12.027158099999999</v>
      </c>
      <c r="J49">
        <v>0.496</v>
      </c>
      <c r="K49">
        <f t="shared" si="0"/>
        <v>3</v>
      </c>
      <c r="N49">
        <v>2</v>
      </c>
      <c r="O49">
        <v>2</v>
      </c>
    </row>
    <row r="50" spans="1:15" x14ac:dyDescent="0.2">
      <c r="A50" t="s">
        <v>1127</v>
      </c>
      <c r="B50">
        <v>9001035400</v>
      </c>
      <c r="C50" t="s">
        <v>1128</v>
      </c>
      <c r="D50">
        <v>5079</v>
      </c>
      <c r="E50">
        <v>7.74946409</v>
      </c>
      <c r="F50">
        <v>655.40015940000001</v>
      </c>
      <c r="G50">
        <v>1</v>
      </c>
      <c r="H50">
        <v>444</v>
      </c>
      <c r="I50">
        <v>8.2620022330000005</v>
      </c>
      <c r="J50">
        <v>0.30499999999999999</v>
      </c>
      <c r="K50">
        <f t="shared" si="0"/>
        <v>2</v>
      </c>
      <c r="N50">
        <v>1.5</v>
      </c>
      <c r="O50">
        <v>2</v>
      </c>
    </row>
    <row r="51" spans="1:15" x14ac:dyDescent="0.2">
      <c r="A51" t="s">
        <v>1129</v>
      </c>
      <c r="B51">
        <v>9001042500</v>
      </c>
      <c r="C51" t="s">
        <v>1130</v>
      </c>
      <c r="D51">
        <v>3719</v>
      </c>
      <c r="E51">
        <v>2.3958481659999999</v>
      </c>
      <c r="F51">
        <v>1552.2686510000001</v>
      </c>
      <c r="G51">
        <v>1</v>
      </c>
      <c r="H51">
        <v>209</v>
      </c>
      <c r="I51">
        <v>5.2433517309999997</v>
      </c>
      <c r="J51">
        <v>0.151</v>
      </c>
      <c r="K51">
        <f t="shared" si="0"/>
        <v>1</v>
      </c>
      <c r="N51">
        <v>1</v>
      </c>
      <c r="O51">
        <v>1</v>
      </c>
    </row>
    <row r="52" spans="1:15" x14ac:dyDescent="0.2">
      <c r="A52" t="s">
        <v>1131</v>
      </c>
      <c r="B52">
        <v>9001042600</v>
      </c>
      <c r="C52" t="s">
        <v>1132</v>
      </c>
      <c r="D52">
        <v>3911</v>
      </c>
      <c r="E52">
        <v>1.1352133680000001</v>
      </c>
      <c r="F52">
        <v>3445.167324</v>
      </c>
      <c r="G52">
        <v>1</v>
      </c>
      <c r="H52">
        <v>436</v>
      </c>
      <c r="I52">
        <v>10.84577114</v>
      </c>
      <c r="J52">
        <v>0.42699999999999999</v>
      </c>
      <c r="K52">
        <f t="shared" si="0"/>
        <v>3</v>
      </c>
      <c r="N52">
        <v>2</v>
      </c>
      <c r="O52">
        <v>2</v>
      </c>
    </row>
    <row r="53" spans="1:15" x14ac:dyDescent="0.2">
      <c r="A53" t="s">
        <v>1133</v>
      </c>
      <c r="B53">
        <v>9001042700</v>
      </c>
      <c r="C53" t="s">
        <v>1134</v>
      </c>
      <c r="D53">
        <v>4578</v>
      </c>
      <c r="E53">
        <v>1.631384393</v>
      </c>
      <c r="F53">
        <v>2806.2055890000001</v>
      </c>
      <c r="G53">
        <v>1</v>
      </c>
      <c r="H53">
        <v>787</v>
      </c>
      <c r="I53">
        <v>15.10556622</v>
      </c>
      <c r="J53">
        <v>0.60599999999999998</v>
      </c>
      <c r="K53">
        <f t="shared" si="0"/>
        <v>4</v>
      </c>
      <c r="N53">
        <v>3</v>
      </c>
      <c r="O53">
        <v>3</v>
      </c>
    </row>
    <row r="54" spans="1:15" x14ac:dyDescent="0.2">
      <c r="A54" t="s">
        <v>1135</v>
      </c>
      <c r="B54">
        <v>9001042800</v>
      </c>
      <c r="C54" t="s">
        <v>1136</v>
      </c>
      <c r="D54">
        <v>4606</v>
      </c>
      <c r="E54">
        <v>0.94225301400000006</v>
      </c>
      <c r="F54">
        <v>4888.2836459999999</v>
      </c>
      <c r="G54">
        <v>1</v>
      </c>
      <c r="H54">
        <v>500</v>
      </c>
      <c r="I54">
        <v>10.54629825</v>
      </c>
      <c r="J54">
        <v>0.42099999999999999</v>
      </c>
      <c r="K54">
        <f t="shared" si="0"/>
        <v>3</v>
      </c>
      <c r="N54">
        <v>2.5</v>
      </c>
      <c r="O54">
        <v>3</v>
      </c>
    </row>
    <row r="55" spans="1:15" x14ac:dyDescent="0.2">
      <c r="A55" t="s">
        <v>1137</v>
      </c>
      <c r="B55">
        <v>9001042900</v>
      </c>
      <c r="C55" t="s">
        <v>1138</v>
      </c>
      <c r="D55">
        <v>1651</v>
      </c>
      <c r="E55">
        <v>1.4757381119999999</v>
      </c>
      <c r="F55">
        <v>1118.762189</v>
      </c>
      <c r="G55">
        <v>1</v>
      </c>
      <c r="H55">
        <v>53</v>
      </c>
      <c r="I55">
        <v>3.417150226</v>
      </c>
      <c r="J55">
        <v>6.5000000000000002E-2</v>
      </c>
      <c r="K55">
        <f t="shared" si="0"/>
        <v>1</v>
      </c>
      <c r="N55">
        <v>1</v>
      </c>
      <c r="O55">
        <v>1</v>
      </c>
    </row>
    <row r="56" spans="1:15" x14ac:dyDescent="0.2">
      <c r="A56" t="s">
        <v>1139</v>
      </c>
      <c r="B56">
        <v>9001043000</v>
      </c>
      <c r="C56" t="s">
        <v>1140</v>
      </c>
      <c r="D56">
        <v>3090</v>
      </c>
      <c r="E56">
        <v>1.1605872310000001</v>
      </c>
      <c r="F56">
        <v>2662.4452849999998</v>
      </c>
      <c r="G56">
        <v>1</v>
      </c>
      <c r="H56">
        <v>339</v>
      </c>
      <c r="I56">
        <v>11.66953528</v>
      </c>
      <c r="J56">
        <v>0.46899999999999997</v>
      </c>
      <c r="K56">
        <f t="shared" si="0"/>
        <v>3</v>
      </c>
      <c r="N56">
        <v>2</v>
      </c>
      <c r="O56">
        <v>2</v>
      </c>
    </row>
    <row r="57" spans="1:15" x14ac:dyDescent="0.2">
      <c r="A57" t="s">
        <v>1141</v>
      </c>
      <c r="B57">
        <v>9001043100</v>
      </c>
      <c r="C57" t="s">
        <v>1142</v>
      </c>
      <c r="D57">
        <v>4341</v>
      </c>
      <c r="E57">
        <v>2.5629107160000002</v>
      </c>
      <c r="F57">
        <v>1693.7773030000001</v>
      </c>
      <c r="G57">
        <v>1</v>
      </c>
      <c r="H57">
        <v>1343</v>
      </c>
      <c r="I57">
        <v>29.069264069999999</v>
      </c>
      <c r="J57">
        <v>0.876</v>
      </c>
      <c r="K57">
        <f t="shared" si="0"/>
        <v>5</v>
      </c>
      <c r="N57">
        <v>3</v>
      </c>
      <c r="O57">
        <v>3</v>
      </c>
    </row>
    <row r="58" spans="1:15" x14ac:dyDescent="0.2">
      <c r="A58" t="s">
        <v>1143</v>
      </c>
      <c r="B58">
        <v>9001043200</v>
      </c>
      <c r="C58" t="s">
        <v>1144</v>
      </c>
      <c r="D58">
        <v>3074</v>
      </c>
      <c r="E58">
        <v>1.0673705819999999</v>
      </c>
      <c r="F58">
        <v>2879.9744439999999</v>
      </c>
      <c r="G58">
        <v>1</v>
      </c>
      <c r="H58">
        <v>406</v>
      </c>
      <c r="I58">
        <v>12.663755460000001</v>
      </c>
      <c r="J58">
        <v>0.52200000000000002</v>
      </c>
      <c r="K58">
        <f t="shared" si="0"/>
        <v>3</v>
      </c>
      <c r="N58">
        <v>3</v>
      </c>
      <c r="O58">
        <v>3</v>
      </c>
    </row>
    <row r="59" spans="1:15" x14ac:dyDescent="0.2">
      <c r="A59" t="s">
        <v>1145</v>
      </c>
      <c r="B59">
        <v>9001043300</v>
      </c>
      <c r="C59" t="s">
        <v>1146</v>
      </c>
      <c r="D59">
        <v>3196</v>
      </c>
      <c r="E59">
        <v>0.476063982</v>
      </c>
      <c r="F59">
        <v>6713.3833320000003</v>
      </c>
      <c r="G59">
        <v>1</v>
      </c>
      <c r="H59">
        <v>629</v>
      </c>
      <c r="I59">
        <v>21.387283239999999</v>
      </c>
      <c r="J59">
        <v>0.77100000000000002</v>
      </c>
      <c r="K59">
        <f t="shared" si="0"/>
        <v>4</v>
      </c>
      <c r="N59">
        <v>3</v>
      </c>
      <c r="O59">
        <v>3</v>
      </c>
    </row>
    <row r="60" spans="1:15" x14ac:dyDescent="0.2">
      <c r="A60" t="s">
        <v>1147</v>
      </c>
      <c r="B60">
        <v>9001043400</v>
      </c>
      <c r="C60" t="s">
        <v>1148</v>
      </c>
      <c r="D60">
        <v>4471</v>
      </c>
      <c r="E60">
        <v>0.52465571300000002</v>
      </c>
      <c r="F60">
        <v>8521.7789339999999</v>
      </c>
      <c r="G60">
        <v>1</v>
      </c>
      <c r="H60">
        <v>1003</v>
      </c>
      <c r="I60">
        <v>23.11592533</v>
      </c>
      <c r="J60">
        <v>0.80200000000000005</v>
      </c>
      <c r="K60">
        <f t="shared" si="0"/>
        <v>5</v>
      </c>
      <c r="N60">
        <v>4</v>
      </c>
      <c r="O60">
        <v>4</v>
      </c>
    </row>
    <row r="61" spans="1:15" x14ac:dyDescent="0.2">
      <c r="A61" t="s">
        <v>1149</v>
      </c>
      <c r="B61">
        <v>9001043500</v>
      </c>
      <c r="C61" t="s">
        <v>1150</v>
      </c>
      <c r="D61">
        <v>2604</v>
      </c>
      <c r="E61">
        <v>0.7078527</v>
      </c>
      <c r="F61">
        <v>3678.7314620000002</v>
      </c>
      <c r="G61">
        <v>1</v>
      </c>
      <c r="H61">
        <v>126</v>
      </c>
      <c r="I61">
        <v>5.1702913419999996</v>
      </c>
      <c r="J61">
        <v>0.14299999999999999</v>
      </c>
      <c r="K61">
        <f t="shared" si="0"/>
        <v>1</v>
      </c>
      <c r="N61">
        <v>1.5</v>
      </c>
      <c r="O61">
        <v>2</v>
      </c>
    </row>
    <row r="62" spans="1:15" x14ac:dyDescent="0.2">
      <c r="A62" t="s">
        <v>1151</v>
      </c>
      <c r="B62">
        <v>9001043600</v>
      </c>
      <c r="C62" t="s">
        <v>1152</v>
      </c>
      <c r="D62">
        <v>3080</v>
      </c>
      <c r="E62">
        <v>0.55776783500000005</v>
      </c>
      <c r="F62">
        <v>5522.0107820000003</v>
      </c>
      <c r="G62">
        <v>1</v>
      </c>
      <c r="H62">
        <v>543</v>
      </c>
      <c r="I62">
        <v>17.607003890000001</v>
      </c>
      <c r="J62">
        <v>0.68400000000000005</v>
      </c>
      <c r="K62">
        <f t="shared" si="0"/>
        <v>4</v>
      </c>
      <c r="N62">
        <v>3</v>
      </c>
      <c r="O62">
        <v>3</v>
      </c>
    </row>
    <row r="63" spans="1:15" x14ac:dyDescent="0.2">
      <c r="A63" t="s">
        <v>1153</v>
      </c>
      <c r="B63">
        <v>9001043700</v>
      </c>
      <c r="C63" t="s">
        <v>1154</v>
      </c>
      <c r="D63">
        <v>2039</v>
      </c>
      <c r="E63">
        <v>0.45569014200000002</v>
      </c>
      <c r="F63">
        <v>4474.5317290000003</v>
      </c>
      <c r="G63">
        <v>1</v>
      </c>
      <c r="H63">
        <v>468</v>
      </c>
      <c r="I63">
        <v>18.048592360000001</v>
      </c>
      <c r="J63">
        <v>0.69799999999999995</v>
      </c>
      <c r="K63">
        <f t="shared" si="0"/>
        <v>4</v>
      </c>
      <c r="N63">
        <v>3.5</v>
      </c>
      <c r="O63">
        <v>4</v>
      </c>
    </row>
    <row r="64" spans="1:15" x14ac:dyDescent="0.2">
      <c r="A64" t="s">
        <v>1155</v>
      </c>
      <c r="B64">
        <v>9001043800</v>
      </c>
      <c r="C64" t="s">
        <v>1156</v>
      </c>
      <c r="D64">
        <v>7650</v>
      </c>
      <c r="E64">
        <v>0.747887635</v>
      </c>
      <c r="F64">
        <v>10228.809310000001</v>
      </c>
      <c r="G64">
        <v>1</v>
      </c>
      <c r="H64">
        <v>1380</v>
      </c>
      <c r="I64">
        <v>19.714285709999999</v>
      </c>
      <c r="J64">
        <v>0.73799999999999999</v>
      </c>
      <c r="K64">
        <f t="shared" si="0"/>
        <v>4</v>
      </c>
      <c r="N64">
        <v>3.5</v>
      </c>
      <c r="O64">
        <v>4</v>
      </c>
    </row>
    <row r="65" spans="1:15" x14ac:dyDescent="0.2">
      <c r="A65" t="s">
        <v>1157</v>
      </c>
      <c r="B65">
        <v>9001043900</v>
      </c>
      <c r="C65" t="s">
        <v>1158</v>
      </c>
      <c r="D65">
        <v>5456</v>
      </c>
      <c r="E65">
        <v>1.337302335</v>
      </c>
      <c r="F65">
        <v>4079.855286</v>
      </c>
      <c r="G65">
        <v>1</v>
      </c>
      <c r="H65">
        <v>1584</v>
      </c>
      <c r="I65">
        <v>25.043478260000001</v>
      </c>
      <c r="J65">
        <v>0.82799999999999996</v>
      </c>
      <c r="K65">
        <f t="shared" si="0"/>
        <v>5</v>
      </c>
      <c r="N65">
        <v>3.5</v>
      </c>
      <c r="O65">
        <v>4</v>
      </c>
    </row>
    <row r="66" spans="1:15" x14ac:dyDescent="0.2">
      <c r="A66" t="s">
        <v>1159</v>
      </c>
      <c r="B66">
        <v>9001044000</v>
      </c>
      <c r="C66" t="s">
        <v>1160</v>
      </c>
      <c r="D66">
        <v>5974</v>
      </c>
      <c r="E66">
        <v>0.46937746400000002</v>
      </c>
      <c r="F66">
        <v>12727.496429999999</v>
      </c>
      <c r="G66">
        <v>1</v>
      </c>
      <c r="H66">
        <v>1067</v>
      </c>
      <c r="I66">
        <v>18.00236207</v>
      </c>
      <c r="J66">
        <v>0.69799999999999995</v>
      </c>
      <c r="K66">
        <f t="shared" si="0"/>
        <v>4</v>
      </c>
      <c r="N66">
        <v>4</v>
      </c>
      <c r="O66">
        <v>4</v>
      </c>
    </row>
    <row r="67" spans="1:15" x14ac:dyDescent="0.2">
      <c r="A67" t="s">
        <v>1161</v>
      </c>
      <c r="B67">
        <v>9001044100</v>
      </c>
      <c r="C67" t="s">
        <v>1162</v>
      </c>
      <c r="D67">
        <v>3509</v>
      </c>
      <c r="E67">
        <v>0.39489217700000001</v>
      </c>
      <c r="F67">
        <v>8885.9699010000004</v>
      </c>
      <c r="G67">
        <v>1</v>
      </c>
      <c r="H67">
        <v>487</v>
      </c>
      <c r="I67">
        <v>14.545997610000001</v>
      </c>
      <c r="J67">
        <v>0.59299999999999997</v>
      </c>
      <c r="K67">
        <f t="shared" ref="K67:K130" si="1">IF(J67&lt;0.2,1,IF(J67&lt;0.4,2,IF(J67&lt;0.6,3,IF(J67&lt;0.8,4,5))))</f>
        <v>3</v>
      </c>
      <c r="N67">
        <v>3</v>
      </c>
      <c r="O67">
        <v>3</v>
      </c>
    </row>
    <row r="68" spans="1:15" x14ac:dyDescent="0.2">
      <c r="A68" t="s">
        <v>1163</v>
      </c>
      <c r="B68">
        <v>9001044200</v>
      </c>
      <c r="C68" t="s">
        <v>1164</v>
      </c>
      <c r="D68">
        <v>3994</v>
      </c>
      <c r="E68">
        <v>0.55958985100000003</v>
      </c>
      <c r="F68">
        <v>7137.3703260000002</v>
      </c>
      <c r="G68">
        <v>1</v>
      </c>
      <c r="H68">
        <v>662</v>
      </c>
      <c r="I68">
        <v>16.225490199999999</v>
      </c>
      <c r="J68">
        <v>0.64200000000000002</v>
      </c>
      <c r="K68">
        <f t="shared" si="1"/>
        <v>4</v>
      </c>
      <c r="N68">
        <v>4</v>
      </c>
      <c r="O68">
        <v>4</v>
      </c>
    </row>
    <row r="69" spans="1:15" x14ac:dyDescent="0.2">
      <c r="A69" t="s">
        <v>1165</v>
      </c>
      <c r="B69">
        <v>9001044300</v>
      </c>
      <c r="C69" t="s">
        <v>1166</v>
      </c>
      <c r="D69">
        <v>3898</v>
      </c>
      <c r="E69">
        <v>1.5010664140000001</v>
      </c>
      <c r="F69">
        <v>2596.8204759999999</v>
      </c>
      <c r="G69">
        <v>1</v>
      </c>
      <c r="H69">
        <v>512</v>
      </c>
      <c r="I69">
        <v>11.479820630000001</v>
      </c>
      <c r="J69">
        <v>0.46700000000000003</v>
      </c>
      <c r="K69">
        <f t="shared" si="1"/>
        <v>3</v>
      </c>
      <c r="N69">
        <v>2.5</v>
      </c>
      <c r="O69">
        <v>3</v>
      </c>
    </row>
    <row r="70" spans="1:15" x14ac:dyDescent="0.2">
      <c r="A70" t="s">
        <v>1167</v>
      </c>
      <c r="B70">
        <v>9001044400</v>
      </c>
      <c r="C70" t="s">
        <v>1168</v>
      </c>
      <c r="D70">
        <v>3572</v>
      </c>
      <c r="E70">
        <v>1.0294344989999999</v>
      </c>
      <c r="F70">
        <v>3469.8662250000002</v>
      </c>
      <c r="G70">
        <v>1</v>
      </c>
      <c r="H70">
        <v>386</v>
      </c>
      <c r="I70">
        <v>9.6067695369999999</v>
      </c>
      <c r="J70">
        <v>0.38800000000000001</v>
      </c>
      <c r="K70">
        <f t="shared" si="1"/>
        <v>2</v>
      </c>
      <c r="N70">
        <v>2.5</v>
      </c>
      <c r="O70">
        <v>3</v>
      </c>
    </row>
    <row r="71" spans="1:15" x14ac:dyDescent="0.2">
      <c r="A71" t="s">
        <v>1169</v>
      </c>
      <c r="B71">
        <v>9001044500</v>
      </c>
      <c r="C71" t="s">
        <v>1170</v>
      </c>
      <c r="D71">
        <v>3641</v>
      </c>
      <c r="E71">
        <v>0.42296721100000001</v>
      </c>
      <c r="F71">
        <v>8608.2322889999996</v>
      </c>
      <c r="G71">
        <v>1</v>
      </c>
      <c r="H71">
        <v>407</v>
      </c>
      <c r="I71">
        <v>10.036991370000001</v>
      </c>
      <c r="J71">
        <v>0.40100000000000002</v>
      </c>
      <c r="K71">
        <f t="shared" si="1"/>
        <v>3</v>
      </c>
      <c r="N71">
        <v>4</v>
      </c>
      <c r="O71">
        <v>4</v>
      </c>
    </row>
    <row r="72" spans="1:15" x14ac:dyDescent="0.2">
      <c r="A72" t="s">
        <v>1171</v>
      </c>
      <c r="B72">
        <v>9001044600</v>
      </c>
      <c r="C72" t="s">
        <v>1172</v>
      </c>
      <c r="D72">
        <v>3549</v>
      </c>
      <c r="E72">
        <v>1.3041183970000001</v>
      </c>
      <c r="F72">
        <v>2721.378678</v>
      </c>
      <c r="G72">
        <v>1</v>
      </c>
      <c r="H72">
        <v>169</v>
      </c>
      <c r="I72">
        <v>4.5030642150000002</v>
      </c>
      <c r="J72">
        <v>0.113</v>
      </c>
      <c r="K72">
        <f t="shared" si="1"/>
        <v>1</v>
      </c>
      <c r="N72">
        <v>1</v>
      </c>
      <c r="O72">
        <v>1</v>
      </c>
    </row>
    <row r="73" spans="1:15" x14ac:dyDescent="0.2">
      <c r="A73" t="s">
        <v>1173</v>
      </c>
      <c r="B73">
        <v>9001045101</v>
      </c>
      <c r="C73" t="s">
        <v>1174</v>
      </c>
      <c r="D73">
        <v>4170</v>
      </c>
      <c r="E73">
        <v>7.5988753620000002</v>
      </c>
      <c r="F73">
        <v>548.76541610000004</v>
      </c>
      <c r="G73">
        <v>1</v>
      </c>
      <c r="H73">
        <v>464</v>
      </c>
      <c r="I73">
        <v>11.476626270000001</v>
      </c>
      <c r="J73">
        <v>0.46400000000000002</v>
      </c>
      <c r="K73">
        <f t="shared" si="1"/>
        <v>3</v>
      </c>
      <c r="N73">
        <v>2</v>
      </c>
      <c r="O73">
        <v>2</v>
      </c>
    </row>
    <row r="74" spans="1:15" x14ac:dyDescent="0.2">
      <c r="A74" t="s">
        <v>1175</v>
      </c>
      <c r="B74">
        <v>9001045102</v>
      </c>
      <c r="C74" t="s">
        <v>1176</v>
      </c>
      <c r="D74">
        <v>6034</v>
      </c>
      <c r="E74">
        <v>10.38438788</v>
      </c>
      <c r="F74">
        <v>581.06458169999996</v>
      </c>
      <c r="G74">
        <v>1</v>
      </c>
      <c r="H74">
        <v>650</v>
      </c>
      <c r="I74">
        <v>10.45856798</v>
      </c>
      <c r="J74">
        <v>0.42299999999999999</v>
      </c>
      <c r="K74">
        <f t="shared" si="1"/>
        <v>3</v>
      </c>
      <c r="N74">
        <v>2</v>
      </c>
      <c r="O74">
        <v>2</v>
      </c>
    </row>
    <row r="75" spans="1:15" x14ac:dyDescent="0.2">
      <c r="A75" t="s">
        <v>1177</v>
      </c>
      <c r="B75">
        <v>9001045200</v>
      </c>
      <c r="C75" t="s">
        <v>1178</v>
      </c>
      <c r="D75">
        <v>2367</v>
      </c>
      <c r="E75">
        <v>3.1288805200000001</v>
      </c>
      <c r="F75">
        <v>756.50060299999996</v>
      </c>
      <c r="G75">
        <v>1</v>
      </c>
      <c r="H75">
        <v>270</v>
      </c>
      <c r="I75">
        <v>10.88270859</v>
      </c>
      <c r="J75">
        <v>0.432</v>
      </c>
      <c r="K75">
        <f t="shared" si="1"/>
        <v>3</v>
      </c>
      <c r="N75">
        <v>2</v>
      </c>
      <c r="O75">
        <v>2</v>
      </c>
    </row>
    <row r="76" spans="1:15" x14ac:dyDescent="0.2">
      <c r="A76" t="s">
        <v>1179</v>
      </c>
      <c r="B76">
        <v>9001045300</v>
      </c>
      <c r="C76" t="s">
        <v>1180</v>
      </c>
      <c r="D76">
        <v>2461</v>
      </c>
      <c r="E76">
        <v>2.7043117570000001</v>
      </c>
      <c r="F76">
        <v>910.02821449999999</v>
      </c>
      <c r="G76">
        <v>1</v>
      </c>
      <c r="H76">
        <v>378</v>
      </c>
      <c r="I76">
        <v>15.01787843</v>
      </c>
      <c r="J76">
        <v>0.60399999999999998</v>
      </c>
      <c r="K76">
        <f t="shared" si="1"/>
        <v>4</v>
      </c>
      <c r="N76">
        <v>2.5</v>
      </c>
      <c r="O76">
        <v>3</v>
      </c>
    </row>
    <row r="77" spans="1:15" x14ac:dyDescent="0.2">
      <c r="A77" t="s">
        <v>1181</v>
      </c>
      <c r="B77">
        <v>9001045400</v>
      </c>
      <c r="C77" t="s">
        <v>1182</v>
      </c>
      <c r="D77">
        <v>3030</v>
      </c>
      <c r="E77">
        <v>2.988514232</v>
      </c>
      <c r="F77">
        <v>1013.881737</v>
      </c>
      <c r="G77">
        <v>1</v>
      </c>
      <c r="H77">
        <v>501</v>
      </c>
      <c r="I77">
        <v>15.62207671</v>
      </c>
      <c r="J77">
        <v>0.61899999999999999</v>
      </c>
      <c r="K77">
        <f t="shared" si="1"/>
        <v>4</v>
      </c>
      <c r="N77">
        <v>2.5</v>
      </c>
      <c r="O77">
        <v>3</v>
      </c>
    </row>
    <row r="78" spans="1:15" x14ac:dyDescent="0.2">
      <c r="A78" t="s">
        <v>1183</v>
      </c>
      <c r="B78">
        <v>9001050100</v>
      </c>
      <c r="C78" t="s">
        <v>1184</v>
      </c>
      <c r="D78">
        <v>3828</v>
      </c>
      <c r="E78">
        <v>3.3668835530000001</v>
      </c>
      <c r="F78">
        <v>1136.9564580000001</v>
      </c>
      <c r="G78">
        <v>1</v>
      </c>
      <c r="H78">
        <v>398</v>
      </c>
      <c r="I78">
        <v>8.8878963819999992</v>
      </c>
      <c r="J78">
        <v>0.34799999999999998</v>
      </c>
      <c r="K78">
        <f t="shared" si="1"/>
        <v>2</v>
      </c>
      <c r="N78">
        <v>1.5</v>
      </c>
      <c r="O78">
        <v>2</v>
      </c>
    </row>
    <row r="79" spans="1:15" x14ac:dyDescent="0.2">
      <c r="A79" t="s">
        <v>1185</v>
      </c>
      <c r="B79">
        <v>9001050200</v>
      </c>
      <c r="C79" t="s">
        <v>1186</v>
      </c>
      <c r="D79">
        <v>4008</v>
      </c>
      <c r="E79">
        <v>1.8709503670000001</v>
      </c>
      <c r="F79">
        <v>2142.2267900000002</v>
      </c>
      <c r="G79">
        <v>1</v>
      </c>
      <c r="H79">
        <v>631</v>
      </c>
      <c r="I79">
        <v>16.37684921</v>
      </c>
      <c r="J79">
        <v>0.64500000000000002</v>
      </c>
      <c r="K79">
        <f t="shared" si="1"/>
        <v>4</v>
      </c>
      <c r="N79">
        <v>2.5</v>
      </c>
      <c r="O79">
        <v>3</v>
      </c>
    </row>
    <row r="80" spans="1:15" x14ac:dyDescent="0.2">
      <c r="A80" t="s">
        <v>1187</v>
      </c>
      <c r="B80">
        <v>9001050300</v>
      </c>
      <c r="C80" t="s">
        <v>1188</v>
      </c>
      <c r="D80">
        <v>8122</v>
      </c>
      <c r="E80">
        <v>6.7994658660000002</v>
      </c>
      <c r="F80">
        <v>1194.505592</v>
      </c>
      <c r="G80">
        <v>1</v>
      </c>
      <c r="H80">
        <v>958</v>
      </c>
      <c r="I80">
        <v>10.84200996</v>
      </c>
      <c r="J80">
        <v>0.43099999999999999</v>
      </c>
      <c r="K80">
        <f t="shared" si="1"/>
        <v>3</v>
      </c>
      <c r="N80">
        <v>2</v>
      </c>
      <c r="O80">
        <v>2</v>
      </c>
    </row>
    <row r="81" spans="1:15" x14ac:dyDescent="0.2">
      <c r="A81" t="s">
        <v>1189</v>
      </c>
      <c r="B81">
        <v>9001050400</v>
      </c>
      <c r="C81" t="s">
        <v>1190</v>
      </c>
      <c r="D81">
        <v>2341</v>
      </c>
      <c r="E81">
        <v>1.3905149370000001</v>
      </c>
      <c r="F81">
        <v>1683.548978</v>
      </c>
      <c r="G81">
        <v>1</v>
      </c>
      <c r="H81">
        <v>260</v>
      </c>
      <c r="I81">
        <v>11.0685398</v>
      </c>
      <c r="J81">
        <v>0.441</v>
      </c>
      <c r="K81">
        <f t="shared" si="1"/>
        <v>3</v>
      </c>
      <c r="N81">
        <v>2</v>
      </c>
      <c r="O81">
        <v>2</v>
      </c>
    </row>
    <row r="82" spans="1:15" x14ac:dyDescent="0.2">
      <c r="A82" t="s">
        <v>1191</v>
      </c>
      <c r="B82">
        <v>9001050500</v>
      </c>
      <c r="C82" t="s">
        <v>1192</v>
      </c>
      <c r="D82">
        <v>4744</v>
      </c>
      <c r="E82">
        <v>2.6118121009999999</v>
      </c>
      <c r="F82">
        <v>1816.363435</v>
      </c>
      <c r="G82">
        <v>1</v>
      </c>
      <c r="H82">
        <v>311</v>
      </c>
      <c r="I82">
        <v>6.1040235530000002</v>
      </c>
      <c r="J82">
        <v>0.19800000000000001</v>
      </c>
      <c r="K82">
        <f t="shared" si="1"/>
        <v>1</v>
      </c>
      <c r="N82">
        <v>1</v>
      </c>
      <c r="O82">
        <v>1</v>
      </c>
    </row>
    <row r="83" spans="1:15" x14ac:dyDescent="0.2">
      <c r="A83" t="s">
        <v>1193</v>
      </c>
      <c r="B83">
        <v>9001050600</v>
      </c>
      <c r="C83" t="s">
        <v>1194</v>
      </c>
      <c r="D83">
        <v>3348</v>
      </c>
      <c r="E83">
        <v>3.9181231730000001</v>
      </c>
      <c r="F83">
        <v>854.49074780000001</v>
      </c>
      <c r="G83">
        <v>1</v>
      </c>
      <c r="H83">
        <v>462</v>
      </c>
      <c r="I83">
        <v>13.56828194</v>
      </c>
      <c r="J83">
        <v>0.55800000000000005</v>
      </c>
      <c r="K83">
        <f t="shared" si="1"/>
        <v>3</v>
      </c>
      <c r="N83">
        <v>2</v>
      </c>
      <c r="O83">
        <v>2</v>
      </c>
    </row>
    <row r="84" spans="1:15" x14ac:dyDescent="0.2">
      <c r="A84" t="s">
        <v>1195</v>
      </c>
      <c r="B84">
        <v>9001055100</v>
      </c>
      <c r="C84" t="s">
        <v>1196</v>
      </c>
      <c r="D84">
        <v>5807</v>
      </c>
      <c r="E84">
        <v>13.373285129999999</v>
      </c>
      <c r="F84">
        <v>434.22389820000001</v>
      </c>
      <c r="G84">
        <v>1</v>
      </c>
      <c r="H84">
        <v>942</v>
      </c>
      <c r="I84">
        <v>16.875671799999999</v>
      </c>
      <c r="J84">
        <v>0.65700000000000003</v>
      </c>
      <c r="K84">
        <f t="shared" si="1"/>
        <v>4</v>
      </c>
      <c r="N84">
        <v>2.5</v>
      </c>
      <c r="O84">
        <v>3</v>
      </c>
    </row>
    <row r="85" spans="1:15" x14ac:dyDescent="0.2">
      <c r="A85" t="s">
        <v>1197</v>
      </c>
      <c r="B85">
        <v>9001055200</v>
      </c>
      <c r="C85" t="s">
        <v>1198</v>
      </c>
      <c r="D85">
        <v>4372</v>
      </c>
      <c r="E85">
        <v>6.4253919320000001</v>
      </c>
      <c r="F85">
        <v>680.42541930000004</v>
      </c>
      <c r="G85">
        <v>1</v>
      </c>
      <c r="H85">
        <v>241</v>
      </c>
      <c r="I85">
        <v>5.1222104140000004</v>
      </c>
      <c r="J85">
        <v>0.14299999999999999</v>
      </c>
      <c r="K85">
        <f t="shared" si="1"/>
        <v>1</v>
      </c>
      <c r="N85">
        <v>1</v>
      </c>
      <c r="O85">
        <v>1</v>
      </c>
    </row>
    <row r="86" spans="1:15" x14ac:dyDescent="0.2">
      <c r="A86" t="s">
        <v>1199</v>
      </c>
      <c r="B86">
        <v>9001060100</v>
      </c>
      <c r="C86" t="s">
        <v>1200</v>
      </c>
      <c r="D86">
        <v>4152</v>
      </c>
      <c r="E86">
        <v>1.5389893699999999</v>
      </c>
      <c r="F86">
        <v>2697.8743850000001</v>
      </c>
      <c r="G86">
        <v>1</v>
      </c>
      <c r="H86">
        <v>333</v>
      </c>
      <c r="I86">
        <v>7.5441776169999999</v>
      </c>
      <c r="J86">
        <v>0.26900000000000002</v>
      </c>
      <c r="K86">
        <f t="shared" si="1"/>
        <v>2</v>
      </c>
      <c r="N86">
        <v>1.5</v>
      </c>
      <c r="O86">
        <v>2</v>
      </c>
    </row>
    <row r="87" spans="1:15" x14ac:dyDescent="0.2">
      <c r="A87" t="s">
        <v>1201</v>
      </c>
      <c r="B87">
        <v>9001060200</v>
      </c>
      <c r="C87" t="s">
        <v>1202</v>
      </c>
      <c r="D87">
        <v>4164</v>
      </c>
      <c r="E87">
        <v>1.5648427709999999</v>
      </c>
      <c r="F87">
        <v>2660.9702109999998</v>
      </c>
      <c r="G87">
        <v>1</v>
      </c>
      <c r="H87">
        <v>523</v>
      </c>
      <c r="I87">
        <v>11.992662230000001</v>
      </c>
      <c r="J87">
        <v>0.49099999999999999</v>
      </c>
      <c r="K87">
        <f t="shared" si="1"/>
        <v>3</v>
      </c>
      <c r="N87">
        <v>2</v>
      </c>
      <c r="O87">
        <v>2</v>
      </c>
    </row>
    <row r="88" spans="1:15" x14ac:dyDescent="0.2">
      <c r="A88" t="s">
        <v>1203</v>
      </c>
      <c r="B88">
        <v>9001060300</v>
      </c>
      <c r="C88" t="s">
        <v>1204</v>
      </c>
      <c r="D88">
        <v>4088</v>
      </c>
      <c r="E88">
        <v>4.510610088</v>
      </c>
      <c r="F88">
        <v>906.30755499999998</v>
      </c>
      <c r="G88">
        <v>1</v>
      </c>
      <c r="H88">
        <v>260</v>
      </c>
      <c r="I88">
        <v>6.5689742290000002</v>
      </c>
      <c r="J88">
        <v>0.221</v>
      </c>
      <c r="K88">
        <f t="shared" si="1"/>
        <v>2</v>
      </c>
      <c r="N88">
        <v>1.5</v>
      </c>
      <c r="O88">
        <v>2</v>
      </c>
    </row>
    <row r="89" spans="1:15" x14ac:dyDescent="0.2">
      <c r="A89" t="s">
        <v>1205</v>
      </c>
      <c r="B89">
        <v>9001060400</v>
      </c>
      <c r="C89" t="s">
        <v>1206</v>
      </c>
      <c r="D89">
        <v>4443</v>
      </c>
      <c r="E89">
        <v>8.6430863769999995</v>
      </c>
      <c r="F89">
        <v>514.0524815</v>
      </c>
      <c r="G89">
        <v>1</v>
      </c>
      <c r="H89">
        <v>233</v>
      </c>
      <c r="I89">
        <v>5.1548672570000003</v>
      </c>
      <c r="J89">
        <v>0.14399999999999999</v>
      </c>
      <c r="K89">
        <f t="shared" si="1"/>
        <v>1</v>
      </c>
      <c r="N89">
        <v>1</v>
      </c>
      <c r="O89">
        <v>1</v>
      </c>
    </row>
    <row r="90" spans="1:15" x14ac:dyDescent="0.2">
      <c r="A90" t="s">
        <v>1207</v>
      </c>
      <c r="B90">
        <v>9001060500</v>
      </c>
      <c r="C90" t="s">
        <v>1208</v>
      </c>
      <c r="D90">
        <v>2841</v>
      </c>
      <c r="E90">
        <v>2.110052633</v>
      </c>
      <c r="F90">
        <v>1346.411912</v>
      </c>
      <c r="G90">
        <v>1</v>
      </c>
      <c r="H90">
        <v>162</v>
      </c>
      <c r="I90">
        <v>5.8653149889999998</v>
      </c>
      <c r="J90">
        <v>0.182</v>
      </c>
      <c r="K90">
        <f t="shared" si="1"/>
        <v>1</v>
      </c>
      <c r="N90">
        <v>1</v>
      </c>
      <c r="O90">
        <v>1</v>
      </c>
    </row>
    <row r="91" spans="1:15" x14ac:dyDescent="0.2">
      <c r="A91" t="s">
        <v>1209</v>
      </c>
      <c r="B91">
        <v>9001060600</v>
      </c>
      <c r="C91" t="s">
        <v>1210</v>
      </c>
      <c r="D91">
        <v>2336</v>
      </c>
      <c r="E91">
        <v>1.191219805</v>
      </c>
      <c r="F91">
        <v>1961.015079</v>
      </c>
      <c r="G91">
        <v>1</v>
      </c>
      <c r="H91">
        <v>212</v>
      </c>
      <c r="I91">
        <v>9.1934085000000003</v>
      </c>
      <c r="J91">
        <v>0.36099999999999999</v>
      </c>
      <c r="K91">
        <f t="shared" si="1"/>
        <v>2</v>
      </c>
      <c r="N91">
        <v>1.5</v>
      </c>
      <c r="O91">
        <v>2</v>
      </c>
    </row>
    <row r="92" spans="1:15" x14ac:dyDescent="0.2">
      <c r="A92" t="s">
        <v>1211</v>
      </c>
      <c r="B92">
        <v>9001060700</v>
      </c>
      <c r="C92" t="s">
        <v>1212</v>
      </c>
      <c r="D92">
        <v>7675</v>
      </c>
      <c r="E92">
        <v>2.0484515760000002</v>
      </c>
      <c r="F92">
        <v>3746.732454</v>
      </c>
      <c r="G92">
        <v>1</v>
      </c>
      <c r="H92">
        <v>575</v>
      </c>
      <c r="I92">
        <v>7.2037083439999998</v>
      </c>
      <c r="J92">
        <v>0.251</v>
      </c>
      <c r="K92">
        <f t="shared" si="1"/>
        <v>2</v>
      </c>
      <c r="N92">
        <v>1.5</v>
      </c>
      <c r="O92">
        <v>2</v>
      </c>
    </row>
    <row r="93" spans="1:15" x14ac:dyDescent="0.2">
      <c r="A93" t="s">
        <v>1213</v>
      </c>
      <c r="B93">
        <v>9001060800</v>
      </c>
      <c r="C93" t="s">
        <v>1214</v>
      </c>
      <c r="D93">
        <v>2139</v>
      </c>
      <c r="E93">
        <v>0.549705636</v>
      </c>
      <c r="F93">
        <v>3891.1734959999999</v>
      </c>
      <c r="G93">
        <v>1</v>
      </c>
      <c r="H93">
        <v>154</v>
      </c>
      <c r="I93">
        <v>7.3020388809999996</v>
      </c>
      <c r="J93">
        <v>0.25600000000000001</v>
      </c>
      <c r="K93">
        <f t="shared" si="1"/>
        <v>2</v>
      </c>
      <c r="N93">
        <v>1.5</v>
      </c>
      <c r="O93">
        <v>2</v>
      </c>
    </row>
    <row r="94" spans="1:15" x14ac:dyDescent="0.2">
      <c r="A94" t="s">
        <v>1215</v>
      </c>
      <c r="B94">
        <v>9001060900</v>
      </c>
      <c r="C94" t="s">
        <v>1216</v>
      </c>
      <c r="D94">
        <v>2447</v>
      </c>
      <c r="E94">
        <v>0.57765634399999999</v>
      </c>
      <c r="F94">
        <v>4236.0826189999998</v>
      </c>
      <c r="G94">
        <v>1</v>
      </c>
      <c r="H94">
        <v>128</v>
      </c>
      <c r="I94">
        <v>4.8338368579999997</v>
      </c>
      <c r="J94">
        <v>0.13300000000000001</v>
      </c>
      <c r="K94">
        <f t="shared" si="1"/>
        <v>1</v>
      </c>
      <c r="N94">
        <v>1</v>
      </c>
      <c r="O94">
        <v>1</v>
      </c>
    </row>
    <row r="95" spans="1:15" x14ac:dyDescent="0.2">
      <c r="A95" t="s">
        <v>1217</v>
      </c>
      <c r="B95">
        <v>9001061000</v>
      </c>
      <c r="C95" t="s">
        <v>1218</v>
      </c>
      <c r="D95">
        <v>3816</v>
      </c>
      <c r="E95">
        <v>1.285617926</v>
      </c>
      <c r="F95">
        <v>2968.2224590000001</v>
      </c>
      <c r="G95">
        <v>1</v>
      </c>
      <c r="H95">
        <v>547</v>
      </c>
      <c r="I95">
        <v>14.06531242</v>
      </c>
      <c r="J95">
        <v>0.57199999999999995</v>
      </c>
      <c r="K95">
        <f t="shared" si="1"/>
        <v>3</v>
      </c>
      <c r="N95">
        <v>3</v>
      </c>
      <c r="O95">
        <v>3</v>
      </c>
    </row>
    <row r="96" spans="1:15" x14ac:dyDescent="0.2">
      <c r="A96" t="s">
        <v>1219</v>
      </c>
      <c r="B96">
        <v>9001061100</v>
      </c>
      <c r="C96" t="s">
        <v>1220</v>
      </c>
      <c r="D96">
        <v>3771</v>
      </c>
      <c r="E96">
        <v>1.045189785</v>
      </c>
      <c r="F96">
        <v>3607.957191</v>
      </c>
      <c r="G96">
        <v>1</v>
      </c>
      <c r="H96">
        <v>183</v>
      </c>
      <c r="I96">
        <v>4.7631441959999998</v>
      </c>
      <c r="J96">
        <v>0.126</v>
      </c>
      <c r="K96">
        <f t="shared" si="1"/>
        <v>1</v>
      </c>
      <c r="N96">
        <v>1</v>
      </c>
      <c r="O96">
        <v>1</v>
      </c>
    </row>
    <row r="97" spans="1:15" x14ac:dyDescent="0.2">
      <c r="A97" t="s">
        <v>1221</v>
      </c>
      <c r="B97">
        <v>9001061200</v>
      </c>
      <c r="C97" t="s">
        <v>1222</v>
      </c>
      <c r="D97">
        <v>2186</v>
      </c>
      <c r="E97">
        <v>0.30555701400000002</v>
      </c>
      <c r="F97">
        <v>7154.1476670000002</v>
      </c>
      <c r="G97">
        <v>1</v>
      </c>
      <c r="H97">
        <v>661</v>
      </c>
      <c r="I97">
        <v>26.397763579999999</v>
      </c>
      <c r="J97">
        <v>0.84399999999999997</v>
      </c>
      <c r="K97">
        <f t="shared" si="1"/>
        <v>5</v>
      </c>
      <c r="N97">
        <v>4</v>
      </c>
      <c r="O97">
        <v>4</v>
      </c>
    </row>
    <row r="98" spans="1:15" x14ac:dyDescent="0.2">
      <c r="A98" t="s">
        <v>1223</v>
      </c>
      <c r="B98">
        <v>9001061300</v>
      </c>
      <c r="C98" t="s">
        <v>1224</v>
      </c>
      <c r="D98">
        <v>2954</v>
      </c>
      <c r="E98">
        <v>0.482683317</v>
      </c>
      <c r="F98">
        <v>6119.9546229999996</v>
      </c>
      <c r="G98">
        <v>1</v>
      </c>
      <c r="H98">
        <v>571</v>
      </c>
      <c r="I98">
        <v>18.366034089999999</v>
      </c>
      <c r="J98">
        <v>0.69899999999999995</v>
      </c>
      <c r="K98">
        <f t="shared" si="1"/>
        <v>4</v>
      </c>
      <c r="N98">
        <v>3.5</v>
      </c>
      <c r="O98">
        <v>4</v>
      </c>
    </row>
    <row r="99" spans="1:15" x14ac:dyDescent="0.2">
      <c r="A99" t="s">
        <v>1225</v>
      </c>
      <c r="B99">
        <v>9001061400</v>
      </c>
      <c r="C99" t="s">
        <v>1226</v>
      </c>
      <c r="D99">
        <v>2736</v>
      </c>
      <c r="E99">
        <v>0.62377084400000005</v>
      </c>
      <c r="F99">
        <v>4386.2261719999997</v>
      </c>
      <c r="G99">
        <v>1</v>
      </c>
      <c r="H99">
        <v>858</v>
      </c>
      <c r="I99">
        <v>27.866190320000001</v>
      </c>
      <c r="J99">
        <v>0.86399999999999999</v>
      </c>
      <c r="K99">
        <f t="shared" si="1"/>
        <v>5</v>
      </c>
      <c r="N99">
        <v>4</v>
      </c>
      <c r="O99">
        <v>4</v>
      </c>
    </row>
    <row r="100" spans="1:15" x14ac:dyDescent="0.2">
      <c r="A100" t="s">
        <v>1227</v>
      </c>
      <c r="B100">
        <v>9001061500</v>
      </c>
      <c r="C100" t="s">
        <v>1228</v>
      </c>
      <c r="D100">
        <v>4692</v>
      </c>
      <c r="E100">
        <v>1.4069875999999999</v>
      </c>
      <c r="F100">
        <v>3334.7841870000002</v>
      </c>
      <c r="G100">
        <v>1</v>
      </c>
      <c r="H100">
        <v>854</v>
      </c>
      <c r="I100">
        <v>17.659222499999998</v>
      </c>
      <c r="J100">
        <v>0.68</v>
      </c>
      <c r="K100">
        <f t="shared" si="1"/>
        <v>4</v>
      </c>
      <c r="N100">
        <v>2.5</v>
      </c>
      <c r="O100">
        <v>3</v>
      </c>
    </row>
    <row r="101" spans="1:15" x14ac:dyDescent="0.2">
      <c r="A101" t="s">
        <v>1229</v>
      </c>
      <c r="B101">
        <v>9001061600</v>
      </c>
      <c r="C101" t="s">
        <v>1230</v>
      </c>
      <c r="D101">
        <v>4964</v>
      </c>
      <c r="E101">
        <v>2.0182838680000001</v>
      </c>
      <c r="F101">
        <v>2459.515273</v>
      </c>
      <c r="G101">
        <v>1</v>
      </c>
      <c r="H101">
        <v>323</v>
      </c>
      <c r="I101">
        <v>5.9583102749999997</v>
      </c>
      <c r="J101">
        <v>0.185</v>
      </c>
      <c r="K101">
        <f t="shared" si="1"/>
        <v>1</v>
      </c>
      <c r="N101">
        <v>1</v>
      </c>
      <c r="O101">
        <v>1</v>
      </c>
    </row>
    <row r="102" spans="1:15" x14ac:dyDescent="0.2">
      <c r="A102" t="s">
        <v>1231</v>
      </c>
      <c r="B102">
        <v>9001070100</v>
      </c>
      <c r="C102" t="s">
        <v>1232</v>
      </c>
      <c r="D102">
        <v>5021</v>
      </c>
      <c r="E102">
        <v>0.652231593</v>
      </c>
      <c r="F102">
        <v>7698.1858149999998</v>
      </c>
      <c r="G102">
        <v>1</v>
      </c>
      <c r="H102">
        <v>764</v>
      </c>
      <c r="I102">
        <v>15.38461538</v>
      </c>
      <c r="J102">
        <v>0.60899999999999999</v>
      </c>
      <c r="K102">
        <f t="shared" si="1"/>
        <v>4</v>
      </c>
      <c r="N102">
        <v>3.5</v>
      </c>
      <c r="O102">
        <v>4</v>
      </c>
    </row>
    <row r="103" spans="1:15" x14ac:dyDescent="0.2">
      <c r="A103" t="s">
        <v>1233</v>
      </c>
      <c r="B103">
        <v>9001070200</v>
      </c>
      <c r="C103" t="s">
        <v>1234</v>
      </c>
      <c r="D103">
        <v>4052</v>
      </c>
      <c r="E103">
        <v>0.32567255099999998</v>
      </c>
      <c r="F103">
        <v>12441.945089999999</v>
      </c>
      <c r="G103">
        <v>1</v>
      </c>
      <c r="H103">
        <v>665</v>
      </c>
      <c r="I103">
        <v>17.139175259999998</v>
      </c>
      <c r="J103">
        <v>0.66100000000000003</v>
      </c>
      <c r="K103">
        <f t="shared" si="1"/>
        <v>4</v>
      </c>
      <c r="N103">
        <v>4.5</v>
      </c>
      <c r="O103">
        <v>5</v>
      </c>
    </row>
    <row r="104" spans="1:15" x14ac:dyDescent="0.2">
      <c r="A104" t="s">
        <v>1235</v>
      </c>
      <c r="B104">
        <v>9001070300</v>
      </c>
      <c r="C104" t="s">
        <v>1236</v>
      </c>
      <c r="D104">
        <v>1297</v>
      </c>
      <c r="E104">
        <v>0.41493628500000002</v>
      </c>
      <c r="F104">
        <v>3125.7811029999998</v>
      </c>
      <c r="G104">
        <v>1</v>
      </c>
      <c r="H104">
        <v>282</v>
      </c>
      <c r="I104">
        <v>20.31700288</v>
      </c>
      <c r="J104">
        <v>0.74299999999999999</v>
      </c>
      <c r="K104">
        <f t="shared" si="1"/>
        <v>4</v>
      </c>
      <c r="N104">
        <v>4.5</v>
      </c>
      <c r="O104">
        <v>5</v>
      </c>
    </row>
    <row r="105" spans="1:15" x14ac:dyDescent="0.2">
      <c r="A105" t="s">
        <v>1237</v>
      </c>
      <c r="B105">
        <v>9001070400</v>
      </c>
      <c r="C105" t="s">
        <v>1238</v>
      </c>
      <c r="D105">
        <v>1693</v>
      </c>
      <c r="E105">
        <v>0.67282589699999995</v>
      </c>
      <c r="F105">
        <v>2516.2527289999998</v>
      </c>
      <c r="G105">
        <v>1</v>
      </c>
      <c r="H105">
        <v>429</v>
      </c>
      <c r="I105">
        <v>28.986486490000001</v>
      </c>
      <c r="J105">
        <v>0.86799999999999999</v>
      </c>
      <c r="K105">
        <f t="shared" si="1"/>
        <v>5</v>
      </c>
      <c r="N105">
        <v>5</v>
      </c>
      <c r="O105">
        <v>5</v>
      </c>
    </row>
    <row r="106" spans="1:15" x14ac:dyDescent="0.2">
      <c r="A106" t="s">
        <v>1239</v>
      </c>
      <c r="B106">
        <v>9001070500</v>
      </c>
      <c r="C106" t="s">
        <v>1240</v>
      </c>
      <c r="D106">
        <v>2801</v>
      </c>
      <c r="E106">
        <v>0.14780222900000001</v>
      </c>
      <c r="F106">
        <v>18950.999690000001</v>
      </c>
      <c r="G106">
        <v>1</v>
      </c>
      <c r="H106">
        <v>597</v>
      </c>
      <c r="I106">
        <v>32.183288410000003</v>
      </c>
      <c r="J106">
        <v>0.91</v>
      </c>
      <c r="K106">
        <f t="shared" si="1"/>
        <v>5</v>
      </c>
      <c r="N106">
        <v>5</v>
      </c>
      <c r="O106">
        <v>5</v>
      </c>
    </row>
    <row r="107" spans="1:15" x14ac:dyDescent="0.2">
      <c r="A107" t="s">
        <v>1241</v>
      </c>
      <c r="B107">
        <v>9001070600</v>
      </c>
      <c r="C107" t="s">
        <v>1242</v>
      </c>
      <c r="D107">
        <v>2445</v>
      </c>
      <c r="E107">
        <v>0.69035879700000002</v>
      </c>
      <c r="F107">
        <v>3541.6366250000001</v>
      </c>
      <c r="G107">
        <v>1</v>
      </c>
      <c r="H107">
        <v>525</v>
      </c>
      <c r="I107">
        <v>20.5399061</v>
      </c>
      <c r="J107">
        <v>0.753</v>
      </c>
      <c r="K107">
        <f t="shared" si="1"/>
        <v>4</v>
      </c>
      <c r="N107">
        <v>4.5</v>
      </c>
      <c r="O107">
        <v>5</v>
      </c>
    </row>
    <row r="108" spans="1:15" x14ac:dyDescent="0.2">
      <c r="A108" t="s">
        <v>1243</v>
      </c>
      <c r="B108">
        <v>9001070900</v>
      </c>
      <c r="C108" t="s">
        <v>1244</v>
      </c>
      <c r="D108">
        <v>2584</v>
      </c>
      <c r="E108">
        <v>0.170756776</v>
      </c>
      <c r="F108">
        <v>15132.63523</v>
      </c>
      <c r="G108">
        <v>1</v>
      </c>
      <c r="H108">
        <v>888</v>
      </c>
      <c r="I108">
        <v>30.76923077</v>
      </c>
      <c r="J108">
        <v>0.89400000000000002</v>
      </c>
      <c r="K108">
        <f t="shared" si="1"/>
        <v>5</v>
      </c>
      <c r="N108">
        <v>5</v>
      </c>
      <c r="O108">
        <v>5</v>
      </c>
    </row>
    <row r="109" spans="1:15" x14ac:dyDescent="0.2">
      <c r="A109" t="s">
        <v>1245</v>
      </c>
      <c r="B109">
        <v>9001071000</v>
      </c>
      <c r="C109" t="s">
        <v>1246</v>
      </c>
      <c r="D109">
        <v>3563</v>
      </c>
      <c r="E109">
        <v>0.44304143499999998</v>
      </c>
      <c r="F109">
        <v>8042.137189</v>
      </c>
      <c r="G109">
        <v>1</v>
      </c>
      <c r="H109">
        <v>1168</v>
      </c>
      <c r="I109">
        <v>33.894370279999997</v>
      </c>
      <c r="J109">
        <v>0.92500000000000004</v>
      </c>
      <c r="K109">
        <f t="shared" si="1"/>
        <v>5</v>
      </c>
      <c r="N109">
        <v>5</v>
      </c>
      <c r="O109">
        <v>5</v>
      </c>
    </row>
    <row r="110" spans="1:15" x14ac:dyDescent="0.2">
      <c r="A110" t="s">
        <v>1247</v>
      </c>
      <c r="B110">
        <v>9001071100</v>
      </c>
      <c r="C110" t="s">
        <v>1248</v>
      </c>
      <c r="D110">
        <v>4576</v>
      </c>
      <c r="E110">
        <v>0.255891533</v>
      </c>
      <c r="F110">
        <v>17882.576830000002</v>
      </c>
      <c r="G110">
        <v>1</v>
      </c>
      <c r="H110">
        <v>1300</v>
      </c>
      <c r="I110">
        <v>26.321117640000001</v>
      </c>
      <c r="J110">
        <v>0.84799999999999998</v>
      </c>
      <c r="K110">
        <f t="shared" si="1"/>
        <v>5</v>
      </c>
      <c r="N110">
        <v>5</v>
      </c>
      <c r="O110">
        <v>5</v>
      </c>
    </row>
    <row r="111" spans="1:15" x14ac:dyDescent="0.2">
      <c r="A111" t="s">
        <v>1249</v>
      </c>
      <c r="B111">
        <v>9001071200</v>
      </c>
      <c r="C111" t="s">
        <v>1250</v>
      </c>
      <c r="D111">
        <v>5205</v>
      </c>
      <c r="E111">
        <v>0.214841536</v>
      </c>
      <c r="F111">
        <v>24227.158759999998</v>
      </c>
      <c r="G111">
        <v>1</v>
      </c>
      <c r="H111">
        <v>1849</v>
      </c>
      <c r="I111">
        <v>33.569353669999998</v>
      </c>
      <c r="J111">
        <v>0.92</v>
      </c>
      <c r="K111">
        <f t="shared" si="1"/>
        <v>5</v>
      </c>
      <c r="N111">
        <v>5</v>
      </c>
      <c r="O111">
        <v>5</v>
      </c>
    </row>
    <row r="112" spans="1:15" x14ac:dyDescent="0.2">
      <c r="A112" t="s">
        <v>1251</v>
      </c>
      <c r="B112">
        <v>9001071300</v>
      </c>
      <c r="C112" t="s">
        <v>1252</v>
      </c>
      <c r="D112">
        <v>3030</v>
      </c>
      <c r="E112">
        <v>0.119666192</v>
      </c>
      <c r="F112">
        <v>25320.434799999999</v>
      </c>
      <c r="G112">
        <v>1</v>
      </c>
      <c r="H112">
        <v>664</v>
      </c>
      <c r="I112">
        <v>24.60170433</v>
      </c>
      <c r="J112">
        <v>0.81699999999999995</v>
      </c>
      <c r="K112">
        <f t="shared" si="1"/>
        <v>5</v>
      </c>
      <c r="N112">
        <v>5</v>
      </c>
      <c r="O112">
        <v>5</v>
      </c>
    </row>
    <row r="113" spans="1:15" x14ac:dyDescent="0.2">
      <c r="A113" t="s">
        <v>1253</v>
      </c>
      <c r="B113">
        <v>9001071400</v>
      </c>
      <c r="C113" t="s">
        <v>1254</v>
      </c>
      <c r="D113">
        <v>3861</v>
      </c>
      <c r="E113">
        <v>0.22587710799999999</v>
      </c>
      <c r="F113">
        <v>17093.36563</v>
      </c>
      <c r="G113">
        <v>1</v>
      </c>
      <c r="H113">
        <v>1007</v>
      </c>
      <c r="I113">
        <v>27.725770929999999</v>
      </c>
      <c r="J113">
        <v>0.86699999999999999</v>
      </c>
      <c r="K113">
        <f t="shared" si="1"/>
        <v>5</v>
      </c>
      <c r="N113">
        <v>5</v>
      </c>
      <c r="O113">
        <v>5</v>
      </c>
    </row>
    <row r="114" spans="1:15" x14ac:dyDescent="0.2">
      <c r="A114" t="s">
        <v>1255</v>
      </c>
      <c r="B114">
        <v>9001071600</v>
      </c>
      <c r="C114" t="s">
        <v>1256</v>
      </c>
      <c r="D114">
        <v>2448</v>
      </c>
      <c r="E114">
        <v>6.6529651999999995E-2</v>
      </c>
      <c r="F114">
        <v>36795.623169999999</v>
      </c>
      <c r="G114">
        <v>1</v>
      </c>
      <c r="H114">
        <v>565</v>
      </c>
      <c r="I114">
        <v>21.672420410000001</v>
      </c>
      <c r="J114">
        <v>0.78</v>
      </c>
      <c r="K114">
        <f t="shared" si="1"/>
        <v>4</v>
      </c>
      <c r="N114">
        <v>4.5</v>
      </c>
      <c r="O114">
        <v>5</v>
      </c>
    </row>
    <row r="115" spans="1:15" x14ac:dyDescent="0.2">
      <c r="A115" t="s">
        <v>1257</v>
      </c>
      <c r="B115">
        <v>9001071900</v>
      </c>
      <c r="C115" t="s">
        <v>1258</v>
      </c>
      <c r="D115">
        <v>4831</v>
      </c>
      <c r="E115">
        <v>0.19074374099999999</v>
      </c>
      <c r="F115">
        <v>25327.174449999999</v>
      </c>
      <c r="G115">
        <v>1</v>
      </c>
      <c r="H115">
        <v>1373</v>
      </c>
      <c r="I115">
        <v>27.74297838</v>
      </c>
      <c r="J115">
        <v>0.86799999999999999</v>
      </c>
      <c r="K115">
        <f t="shared" si="1"/>
        <v>5</v>
      </c>
      <c r="N115">
        <v>5</v>
      </c>
      <c r="O115">
        <v>5</v>
      </c>
    </row>
    <row r="116" spans="1:15" x14ac:dyDescent="0.2">
      <c r="A116" t="s">
        <v>1259</v>
      </c>
      <c r="B116">
        <v>9001072000</v>
      </c>
      <c r="C116" t="s">
        <v>1260</v>
      </c>
      <c r="D116">
        <v>3565</v>
      </c>
      <c r="E116">
        <v>0.26560316099999998</v>
      </c>
      <c r="F116">
        <v>13422.28001</v>
      </c>
      <c r="G116">
        <v>1</v>
      </c>
      <c r="H116">
        <v>818</v>
      </c>
      <c r="I116">
        <v>23.251847640000001</v>
      </c>
      <c r="J116">
        <v>0.80600000000000005</v>
      </c>
      <c r="K116">
        <f t="shared" si="1"/>
        <v>5</v>
      </c>
      <c r="N116">
        <v>4.5</v>
      </c>
      <c r="O116">
        <v>5</v>
      </c>
    </row>
    <row r="117" spans="1:15" x14ac:dyDescent="0.2">
      <c r="A117" t="s">
        <v>1261</v>
      </c>
      <c r="B117">
        <v>9001072100</v>
      </c>
      <c r="C117" t="s">
        <v>1262</v>
      </c>
      <c r="D117">
        <v>6094</v>
      </c>
      <c r="E117">
        <v>0.50058726099999995</v>
      </c>
      <c r="F117">
        <v>12173.701709999999</v>
      </c>
      <c r="G117">
        <v>1</v>
      </c>
      <c r="H117">
        <v>1196</v>
      </c>
      <c r="I117">
        <v>22.894333840000002</v>
      </c>
      <c r="J117">
        <v>0.80100000000000005</v>
      </c>
      <c r="K117">
        <f t="shared" si="1"/>
        <v>5</v>
      </c>
      <c r="N117">
        <v>4.5</v>
      </c>
      <c r="O117">
        <v>5</v>
      </c>
    </row>
    <row r="118" spans="1:15" x14ac:dyDescent="0.2">
      <c r="A118" t="s">
        <v>1263</v>
      </c>
      <c r="B118">
        <v>9001072200</v>
      </c>
      <c r="C118" t="s">
        <v>1264</v>
      </c>
      <c r="D118">
        <v>3828</v>
      </c>
      <c r="E118">
        <v>0.34812130400000002</v>
      </c>
      <c r="F118">
        <v>10996.167009999999</v>
      </c>
      <c r="G118">
        <v>1</v>
      </c>
      <c r="H118">
        <v>728</v>
      </c>
      <c r="I118">
        <v>18.743563340000001</v>
      </c>
      <c r="J118">
        <v>0.72099999999999997</v>
      </c>
      <c r="K118">
        <f t="shared" si="1"/>
        <v>4</v>
      </c>
      <c r="N118">
        <v>4</v>
      </c>
      <c r="O118">
        <v>4</v>
      </c>
    </row>
    <row r="119" spans="1:15" x14ac:dyDescent="0.2">
      <c r="A119" t="s">
        <v>1265</v>
      </c>
      <c r="B119">
        <v>9001072300</v>
      </c>
      <c r="C119" t="s">
        <v>1266</v>
      </c>
      <c r="D119">
        <v>5396</v>
      </c>
      <c r="E119">
        <v>0.354385426</v>
      </c>
      <c r="F119">
        <v>15226.3598</v>
      </c>
      <c r="G119">
        <v>1</v>
      </c>
      <c r="H119">
        <v>1363</v>
      </c>
      <c r="I119">
        <v>24.209591469999999</v>
      </c>
      <c r="J119">
        <v>0.81599999999999995</v>
      </c>
      <c r="K119">
        <f t="shared" si="1"/>
        <v>5</v>
      </c>
      <c r="N119">
        <v>4</v>
      </c>
      <c r="O119">
        <v>4</v>
      </c>
    </row>
    <row r="120" spans="1:15" x14ac:dyDescent="0.2">
      <c r="A120" t="s">
        <v>1267</v>
      </c>
      <c r="B120">
        <v>9001072400</v>
      </c>
      <c r="C120" t="s">
        <v>1268</v>
      </c>
      <c r="D120">
        <v>2836</v>
      </c>
      <c r="E120">
        <v>0.263953347</v>
      </c>
      <c r="F120">
        <v>10744.32296</v>
      </c>
      <c r="G120">
        <v>1</v>
      </c>
      <c r="H120">
        <v>928</v>
      </c>
      <c r="I120">
        <v>30.697982140000001</v>
      </c>
      <c r="J120">
        <v>0.89400000000000002</v>
      </c>
      <c r="K120">
        <f t="shared" si="1"/>
        <v>5</v>
      </c>
      <c r="N120">
        <v>4.5</v>
      </c>
      <c r="O120">
        <v>5</v>
      </c>
    </row>
    <row r="121" spans="1:15" x14ac:dyDescent="0.2">
      <c r="A121" t="s">
        <v>1269</v>
      </c>
      <c r="B121">
        <v>9001072500</v>
      </c>
      <c r="C121" t="s">
        <v>1270</v>
      </c>
      <c r="D121">
        <v>5726</v>
      </c>
      <c r="E121">
        <v>0.55808598300000001</v>
      </c>
      <c r="F121">
        <v>10260.06775</v>
      </c>
      <c r="G121">
        <v>1</v>
      </c>
      <c r="H121">
        <v>1147</v>
      </c>
      <c r="I121">
        <v>20.22570975</v>
      </c>
      <c r="J121">
        <v>0.754</v>
      </c>
      <c r="K121">
        <f t="shared" si="1"/>
        <v>4</v>
      </c>
      <c r="N121">
        <v>4</v>
      </c>
      <c r="O121">
        <v>4</v>
      </c>
    </row>
    <row r="122" spans="1:15" x14ac:dyDescent="0.2">
      <c r="A122" t="s">
        <v>1271</v>
      </c>
      <c r="B122">
        <v>9001072600</v>
      </c>
      <c r="C122" t="s">
        <v>1272</v>
      </c>
      <c r="D122">
        <v>7583</v>
      </c>
      <c r="E122">
        <v>1.1663131259999999</v>
      </c>
      <c r="F122">
        <v>6501.6845240000002</v>
      </c>
      <c r="G122">
        <v>1</v>
      </c>
      <c r="H122">
        <v>905</v>
      </c>
      <c r="I122">
        <v>12.338104980000001</v>
      </c>
      <c r="J122">
        <v>0.51600000000000001</v>
      </c>
      <c r="K122">
        <f t="shared" si="1"/>
        <v>3</v>
      </c>
      <c r="N122">
        <v>3.5</v>
      </c>
      <c r="O122">
        <v>4</v>
      </c>
    </row>
    <row r="123" spans="1:15" x14ac:dyDescent="0.2">
      <c r="A123" t="s">
        <v>1273</v>
      </c>
      <c r="B123">
        <v>9001072700</v>
      </c>
      <c r="C123" t="s">
        <v>1274</v>
      </c>
      <c r="D123">
        <v>3726</v>
      </c>
      <c r="E123">
        <v>0.69267232099999998</v>
      </c>
      <c r="F123">
        <v>5379.1668669999999</v>
      </c>
      <c r="G123">
        <v>1</v>
      </c>
      <c r="H123">
        <v>773</v>
      </c>
      <c r="I123">
        <v>19.907288179999998</v>
      </c>
      <c r="J123">
        <v>0.75</v>
      </c>
      <c r="K123">
        <f t="shared" si="1"/>
        <v>4</v>
      </c>
      <c r="N123">
        <v>3.5</v>
      </c>
      <c r="O123">
        <v>4</v>
      </c>
    </row>
    <row r="124" spans="1:15" x14ac:dyDescent="0.2">
      <c r="A124" t="s">
        <v>1275</v>
      </c>
      <c r="B124">
        <v>9001072800</v>
      </c>
      <c r="C124" t="s">
        <v>1276</v>
      </c>
      <c r="D124">
        <v>5469</v>
      </c>
      <c r="E124">
        <v>0.57813742800000001</v>
      </c>
      <c r="F124">
        <v>9459.6885419999999</v>
      </c>
      <c r="G124">
        <v>1</v>
      </c>
      <c r="H124">
        <v>1924</v>
      </c>
      <c r="I124">
        <v>34.308131240000002</v>
      </c>
      <c r="J124">
        <v>0.93</v>
      </c>
      <c r="K124">
        <f t="shared" si="1"/>
        <v>5</v>
      </c>
      <c r="N124">
        <v>5</v>
      </c>
      <c r="O124">
        <v>5</v>
      </c>
    </row>
    <row r="125" spans="1:15" x14ac:dyDescent="0.2">
      <c r="A125" t="s">
        <v>1277</v>
      </c>
      <c r="B125">
        <v>9001072900</v>
      </c>
      <c r="C125" t="s">
        <v>1278</v>
      </c>
      <c r="D125">
        <v>4594</v>
      </c>
      <c r="E125">
        <v>0.79469595999999998</v>
      </c>
      <c r="F125">
        <v>5780.8271729999997</v>
      </c>
      <c r="G125">
        <v>1</v>
      </c>
      <c r="H125">
        <v>979</v>
      </c>
      <c r="I125">
        <v>21.535415749999999</v>
      </c>
      <c r="J125">
        <v>0.78400000000000003</v>
      </c>
      <c r="K125">
        <f t="shared" si="1"/>
        <v>4</v>
      </c>
      <c r="N125">
        <v>3.5</v>
      </c>
      <c r="O125">
        <v>4</v>
      </c>
    </row>
    <row r="126" spans="1:15" x14ac:dyDescent="0.2">
      <c r="A126" t="s">
        <v>1279</v>
      </c>
      <c r="B126">
        <v>9001073000</v>
      </c>
      <c r="C126" t="s">
        <v>1280</v>
      </c>
      <c r="D126">
        <v>1899</v>
      </c>
      <c r="E126">
        <v>0.46758903899999998</v>
      </c>
      <c r="F126">
        <v>4061.2585869999998</v>
      </c>
      <c r="G126">
        <v>1</v>
      </c>
      <c r="H126">
        <v>432</v>
      </c>
      <c r="I126">
        <v>20.532319390000001</v>
      </c>
      <c r="J126">
        <v>0.76600000000000001</v>
      </c>
      <c r="K126">
        <f t="shared" si="1"/>
        <v>4</v>
      </c>
      <c r="N126">
        <v>3.5</v>
      </c>
      <c r="O126">
        <v>4</v>
      </c>
    </row>
    <row r="127" spans="1:15" x14ac:dyDescent="0.2">
      <c r="A127" t="s">
        <v>1281</v>
      </c>
      <c r="B127">
        <v>9001073100</v>
      </c>
      <c r="C127" t="s">
        <v>1282</v>
      </c>
      <c r="D127">
        <v>5853</v>
      </c>
      <c r="E127">
        <v>1.2706761579999999</v>
      </c>
      <c r="F127">
        <v>4606.2090369999996</v>
      </c>
      <c r="G127">
        <v>1</v>
      </c>
      <c r="H127">
        <v>1768</v>
      </c>
      <c r="I127">
        <v>29.107672040000001</v>
      </c>
      <c r="J127">
        <v>0.874</v>
      </c>
      <c r="K127">
        <f t="shared" si="1"/>
        <v>5</v>
      </c>
      <c r="N127">
        <v>5</v>
      </c>
      <c r="O127">
        <v>5</v>
      </c>
    </row>
    <row r="128" spans="1:15" x14ac:dyDescent="0.2">
      <c r="A128" t="s">
        <v>1283</v>
      </c>
      <c r="B128">
        <v>9001073200</v>
      </c>
      <c r="C128" t="s">
        <v>1284</v>
      </c>
      <c r="D128">
        <v>2460</v>
      </c>
      <c r="E128">
        <v>0.151589892</v>
      </c>
      <c r="F128">
        <v>16227.994989999999</v>
      </c>
      <c r="G128">
        <v>1</v>
      </c>
      <c r="H128">
        <v>677</v>
      </c>
      <c r="I128">
        <v>25.12059369</v>
      </c>
      <c r="J128">
        <v>0.83399999999999996</v>
      </c>
      <c r="K128">
        <f t="shared" si="1"/>
        <v>5</v>
      </c>
      <c r="N128">
        <v>5</v>
      </c>
      <c r="O128">
        <v>5</v>
      </c>
    </row>
    <row r="129" spans="1:15" x14ac:dyDescent="0.2">
      <c r="A129" t="s">
        <v>1285</v>
      </c>
      <c r="B129">
        <v>9001073300</v>
      </c>
      <c r="C129" t="s">
        <v>1286</v>
      </c>
      <c r="D129">
        <v>3351</v>
      </c>
      <c r="E129">
        <v>0.19406151699999999</v>
      </c>
      <c r="F129">
        <v>17267.72033</v>
      </c>
      <c r="G129">
        <v>1</v>
      </c>
      <c r="H129">
        <v>846</v>
      </c>
      <c r="I129">
        <v>23.710762330000001</v>
      </c>
      <c r="J129">
        <v>0.81499999999999995</v>
      </c>
      <c r="K129">
        <f t="shared" si="1"/>
        <v>5</v>
      </c>
      <c r="N129">
        <v>5</v>
      </c>
      <c r="O129">
        <v>5</v>
      </c>
    </row>
    <row r="130" spans="1:15" x14ac:dyDescent="0.2">
      <c r="A130" t="s">
        <v>1287</v>
      </c>
      <c r="B130">
        <v>9001073400</v>
      </c>
      <c r="C130" t="s">
        <v>1288</v>
      </c>
      <c r="D130">
        <v>4113</v>
      </c>
      <c r="E130">
        <v>0.51059155499999997</v>
      </c>
      <c r="F130">
        <v>8055.3623749999997</v>
      </c>
      <c r="G130">
        <v>1</v>
      </c>
      <c r="H130">
        <v>1482</v>
      </c>
      <c r="I130">
        <v>36.819875779999997</v>
      </c>
      <c r="J130">
        <v>0.94699999999999995</v>
      </c>
      <c r="K130">
        <f t="shared" si="1"/>
        <v>5</v>
      </c>
      <c r="N130">
        <v>4.5</v>
      </c>
      <c r="O130">
        <v>5</v>
      </c>
    </row>
    <row r="131" spans="1:15" x14ac:dyDescent="0.2">
      <c r="A131" t="s">
        <v>1289</v>
      </c>
      <c r="B131">
        <v>9001073500</v>
      </c>
      <c r="C131" t="s">
        <v>1290</v>
      </c>
      <c r="D131">
        <v>3456</v>
      </c>
      <c r="E131">
        <v>0.17150658599999999</v>
      </c>
      <c r="F131">
        <v>20150.82964</v>
      </c>
      <c r="G131">
        <v>1</v>
      </c>
      <c r="H131">
        <v>1398</v>
      </c>
      <c r="I131">
        <v>40.734265729999997</v>
      </c>
      <c r="J131">
        <v>0.96899999999999997</v>
      </c>
      <c r="K131">
        <f t="shared" ref="K131:K194" si="2">IF(J131&lt;0.2,1,IF(J131&lt;0.4,2,IF(J131&lt;0.6,3,IF(J131&lt;0.8,4,5))))</f>
        <v>5</v>
      </c>
      <c r="N131">
        <v>5</v>
      </c>
      <c r="O131">
        <v>5</v>
      </c>
    </row>
    <row r="132" spans="1:15" x14ac:dyDescent="0.2">
      <c r="A132" t="s">
        <v>1291</v>
      </c>
      <c r="B132">
        <v>9001073600</v>
      </c>
      <c r="C132" t="s">
        <v>1292</v>
      </c>
      <c r="D132">
        <v>2304</v>
      </c>
      <c r="E132">
        <v>0.10411129299999999</v>
      </c>
      <c r="F132">
        <v>22130.164069999999</v>
      </c>
      <c r="G132">
        <v>1</v>
      </c>
      <c r="H132">
        <v>1028</v>
      </c>
      <c r="I132">
        <v>42.426743709999997</v>
      </c>
      <c r="J132">
        <v>0.97499999999999998</v>
      </c>
      <c r="K132">
        <f t="shared" si="2"/>
        <v>5</v>
      </c>
      <c r="N132">
        <v>5</v>
      </c>
      <c r="O132">
        <v>5</v>
      </c>
    </row>
    <row r="133" spans="1:15" x14ac:dyDescent="0.2">
      <c r="A133" t="s">
        <v>1293</v>
      </c>
      <c r="B133">
        <v>9001073700</v>
      </c>
      <c r="C133" t="s">
        <v>1294</v>
      </c>
      <c r="D133">
        <v>4824</v>
      </c>
      <c r="E133">
        <v>0.34029887399999997</v>
      </c>
      <c r="F133">
        <v>14175.77421</v>
      </c>
      <c r="G133">
        <v>1</v>
      </c>
      <c r="H133">
        <v>1102</v>
      </c>
      <c r="I133">
        <v>25.096788889999999</v>
      </c>
      <c r="J133">
        <v>0.83699999999999997</v>
      </c>
      <c r="K133">
        <f t="shared" si="2"/>
        <v>5</v>
      </c>
      <c r="N133">
        <v>5</v>
      </c>
      <c r="O133">
        <v>5</v>
      </c>
    </row>
    <row r="134" spans="1:15" x14ac:dyDescent="0.2">
      <c r="A134" t="s">
        <v>1295</v>
      </c>
      <c r="B134">
        <v>9001073800</v>
      </c>
      <c r="C134" t="s">
        <v>1296</v>
      </c>
      <c r="D134">
        <v>2274</v>
      </c>
      <c r="E134">
        <v>0.20379013300000001</v>
      </c>
      <c r="F134">
        <v>11158.538259999999</v>
      </c>
      <c r="G134">
        <v>1</v>
      </c>
      <c r="H134">
        <v>982</v>
      </c>
      <c r="I134">
        <v>44.738041000000003</v>
      </c>
      <c r="J134">
        <v>0.98199999999999998</v>
      </c>
      <c r="K134">
        <f t="shared" si="2"/>
        <v>5</v>
      </c>
      <c r="N134">
        <v>5</v>
      </c>
      <c r="O134">
        <v>5</v>
      </c>
    </row>
    <row r="135" spans="1:15" x14ac:dyDescent="0.2">
      <c r="A135" t="s">
        <v>1297</v>
      </c>
      <c r="B135">
        <v>9001073900</v>
      </c>
      <c r="C135" t="s">
        <v>1298</v>
      </c>
      <c r="D135">
        <v>3395</v>
      </c>
      <c r="E135">
        <v>0.19696925200000001</v>
      </c>
      <c r="F135">
        <v>17236.192749999998</v>
      </c>
      <c r="G135">
        <v>1</v>
      </c>
      <c r="H135">
        <v>1475</v>
      </c>
      <c r="I135">
        <v>38.094008260000003</v>
      </c>
      <c r="J135">
        <v>0.95799999999999996</v>
      </c>
      <c r="K135">
        <f t="shared" si="2"/>
        <v>5</v>
      </c>
      <c r="N135">
        <v>5</v>
      </c>
      <c r="O135">
        <v>5</v>
      </c>
    </row>
    <row r="136" spans="1:15" x14ac:dyDescent="0.2">
      <c r="A136" t="s">
        <v>1299</v>
      </c>
      <c r="B136">
        <v>9001074000</v>
      </c>
      <c r="C136" t="s">
        <v>1300</v>
      </c>
      <c r="D136">
        <v>1919</v>
      </c>
      <c r="E136">
        <v>0.36570323900000001</v>
      </c>
      <c r="F136">
        <v>5247.4241309999998</v>
      </c>
      <c r="G136">
        <v>1</v>
      </c>
      <c r="H136">
        <v>824</v>
      </c>
      <c r="I136">
        <v>38.558727189999999</v>
      </c>
      <c r="J136">
        <v>0.96099999999999997</v>
      </c>
      <c r="K136">
        <f t="shared" si="2"/>
        <v>5</v>
      </c>
      <c r="N136">
        <v>5</v>
      </c>
      <c r="O136">
        <v>5</v>
      </c>
    </row>
    <row r="137" spans="1:15" x14ac:dyDescent="0.2">
      <c r="A137" t="s">
        <v>1301</v>
      </c>
      <c r="B137">
        <v>9001074300</v>
      </c>
      <c r="C137" t="s">
        <v>1302</v>
      </c>
      <c r="D137">
        <v>4267</v>
      </c>
      <c r="E137">
        <v>0.541787452</v>
      </c>
      <c r="F137">
        <v>7875.7822500000002</v>
      </c>
      <c r="G137">
        <v>1</v>
      </c>
      <c r="H137">
        <v>1825</v>
      </c>
      <c r="I137">
        <v>36.661309760000002</v>
      </c>
      <c r="J137">
        <v>0.95199999999999996</v>
      </c>
      <c r="K137">
        <f t="shared" si="2"/>
        <v>5</v>
      </c>
      <c r="N137">
        <v>5</v>
      </c>
      <c r="O137">
        <v>5</v>
      </c>
    </row>
    <row r="138" spans="1:15" x14ac:dyDescent="0.2">
      <c r="A138" t="s">
        <v>1303</v>
      </c>
      <c r="B138">
        <v>9001074400</v>
      </c>
      <c r="C138" t="s">
        <v>1304</v>
      </c>
      <c r="D138">
        <v>4168</v>
      </c>
      <c r="E138">
        <v>0.74169030899999999</v>
      </c>
      <c r="F138">
        <v>5619.5961429999998</v>
      </c>
      <c r="G138">
        <v>1</v>
      </c>
      <c r="H138">
        <v>1817</v>
      </c>
      <c r="I138">
        <v>40.057319219999997</v>
      </c>
      <c r="J138">
        <v>0.96899999999999997</v>
      </c>
      <c r="K138">
        <f t="shared" si="2"/>
        <v>5</v>
      </c>
      <c r="N138">
        <v>5</v>
      </c>
      <c r="O138">
        <v>5</v>
      </c>
    </row>
    <row r="139" spans="1:15" x14ac:dyDescent="0.2">
      <c r="A139" t="s">
        <v>1305</v>
      </c>
      <c r="B139">
        <v>9001080100</v>
      </c>
      <c r="C139" t="s">
        <v>1306</v>
      </c>
      <c r="D139">
        <v>4843</v>
      </c>
      <c r="E139">
        <v>0.46095001200000002</v>
      </c>
      <c r="F139">
        <v>10506.562260000001</v>
      </c>
      <c r="G139">
        <v>1</v>
      </c>
      <c r="H139">
        <v>1221</v>
      </c>
      <c r="I139">
        <v>23.507893719999998</v>
      </c>
      <c r="J139">
        <v>0.82399999999999995</v>
      </c>
      <c r="K139">
        <f t="shared" si="2"/>
        <v>5</v>
      </c>
      <c r="N139">
        <v>4.5</v>
      </c>
      <c r="O139">
        <v>5</v>
      </c>
    </row>
    <row r="140" spans="1:15" x14ac:dyDescent="0.2">
      <c r="A140" t="s">
        <v>1307</v>
      </c>
      <c r="B140">
        <v>9001080200</v>
      </c>
      <c r="C140" t="s">
        <v>1308</v>
      </c>
      <c r="D140">
        <v>4298</v>
      </c>
      <c r="E140">
        <v>0.51813830800000005</v>
      </c>
      <c r="F140">
        <v>8295.0824790000006</v>
      </c>
      <c r="G140">
        <v>1</v>
      </c>
      <c r="H140">
        <v>680</v>
      </c>
      <c r="I140">
        <v>15.95120807</v>
      </c>
      <c r="J140">
        <v>0.66100000000000003</v>
      </c>
      <c r="K140">
        <f t="shared" si="2"/>
        <v>4</v>
      </c>
      <c r="N140">
        <v>4</v>
      </c>
      <c r="O140">
        <v>4</v>
      </c>
    </row>
    <row r="141" spans="1:15" x14ac:dyDescent="0.2">
      <c r="A141" t="s">
        <v>1309</v>
      </c>
      <c r="B141">
        <v>9001080400</v>
      </c>
      <c r="C141" t="s">
        <v>1310</v>
      </c>
      <c r="D141">
        <v>5956</v>
      </c>
      <c r="E141">
        <v>1.407424668</v>
      </c>
      <c r="F141">
        <v>4231.8428379999996</v>
      </c>
      <c r="G141">
        <v>1</v>
      </c>
      <c r="H141">
        <v>866</v>
      </c>
      <c r="I141">
        <v>13.71772533</v>
      </c>
      <c r="J141">
        <v>0.59499999999999997</v>
      </c>
      <c r="K141">
        <f t="shared" si="2"/>
        <v>3</v>
      </c>
      <c r="N141">
        <v>3.5</v>
      </c>
      <c r="O141">
        <v>4</v>
      </c>
    </row>
    <row r="142" spans="1:15" x14ac:dyDescent="0.2">
      <c r="A142" t="s">
        <v>1311</v>
      </c>
      <c r="B142">
        <v>9001080500</v>
      </c>
      <c r="C142" t="s">
        <v>1312</v>
      </c>
      <c r="D142">
        <v>3189</v>
      </c>
      <c r="E142">
        <v>3.224243124</v>
      </c>
      <c r="F142">
        <v>989.06933419999996</v>
      </c>
      <c r="G142">
        <v>1</v>
      </c>
      <c r="H142">
        <v>138</v>
      </c>
      <c r="I142">
        <v>4.5559590620000003</v>
      </c>
      <c r="J142">
        <v>0.126</v>
      </c>
      <c r="K142">
        <f t="shared" si="2"/>
        <v>1</v>
      </c>
      <c r="N142">
        <v>1.5</v>
      </c>
      <c r="O142">
        <v>2</v>
      </c>
    </row>
    <row r="143" spans="1:15" x14ac:dyDescent="0.2">
      <c r="A143" t="s">
        <v>1313</v>
      </c>
      <c r="B143">
        <v>9001080600</v>
      </c>
      <c r="C143" t="s">
        <v>1314</v>
      </c>
      <c r="D143">
        <v>2580</v>
      </c>
      <c r="E143">
        <v>0.659164058</v>
      </c>
      <c r="F143">
        <v>3914.0483599999998</v>
      </c>
      <c r="G143">
        <v>1</v>
      </c>
      <c r="H143">
        <v>216</v>
      </c>
      <c r="I143">
        <v>8.1880212280000002</v>
      </c>
      <c r="J143">
        <v>0.316</v>
      </c>
      <c r="K143">
        <f t="shared" si="2"/>
        <v>2</v>
      </c>
      <c r="N143">
        <v>2.5</v>
      </c>
      <c r="O143">
        <v>3</v>
      </c>
    </row>
    <row r="144" spans="1:15" x14ac:dyDescent="0.2">
      <c r="A144" t="s">
        <v>1315</v>
      </c>
      <c r="B144">
        <v>9001080700</v>
      </c>
      <c r="C144" t="s">
        <v>1316</v>
      </c>
      <c r="D144">
        <v>1955</v>
      </c>
      <c r="E144">
        <v>0.67561548500000002</v>
      </c>
      <c r="F144">
        <v>2893.6577710000001</v>
      </c>
      <c r="G144">
        <v>1</v>
      </c>
      <c r="H144">
        <v>88</v>
      </c>
      <c r="I144">
        <v>4.4154540889999998</v>
      </c>
      <c r="J144">
        <v>0.11899999999999999</v>
      </c>
      <c r="K144">
        <f t="shared" si="2"/>
        <v>1</v>
      </c>
      <c r="N144">
        <v>2</v>
      </c>
      <c r="O144">
        <v>2</v>
      </c>
    </row>
    <row r="145" spans="1:15" x14ac:dyDescent="0.2">
      <c r="A145" t="s">
        <v>1317</v>
      </c>
      <c r="B145">
        <v>9001080800</v>
      </c>
      <c r="C145" t="s">
        <v>1318</v>
      </c>
      <c r="D145">
        <v>4800</v>
      </c>
      <c r="E145">
        <v>1.2633398300000001</v>
      </c>
      <c r="F145">
        <v>3799.452757</v>
      </c>
      <c r="G145">
        <v>1</v>
      </c>
      <c r="H145">
        <v>354</v>
      </c>
      <c r="I145">
        <v>7.7853529799999999</v>
      </c>
      <c r="J145">
        <v>0.29199999999999998</v>
      </c>
      <c r="K145">
        <f t="shared" si="2"/>
        <v>2</v>
      </c>
      <c r="N145">
        <v>2</v>
      </c>
      <c r="O145">
        <v>2</v>
      </c>
    </row>
    <row r="146" spans="1:15" x14ac:dyDescent="0.2">
      <c r="A146" t="s">
        <v>1319</v>
      </c>
      <c r="B146">
        <v>9001080900</v>
      </c>
      <c r="C146" t="s">
        <v>1320</v>
      </c>
      <c r="D146">
        <v>4726</v>
      </c>
      <c r="E146">
        <v>0.71378438799999999</v>
      </c>
      <c r="F146">
        <v>6621.0470249999998</v>
      </c>
      <c r="G146">
        <v>1</v>
      </c>
      <c r="H146">
        <v>727</v>
      </c>
      <c r="I146">
        <v>14.41602221</v>
      </c>
      <c r="J146">
        <v>0.61299999999999999</v>
      </c>
      <c r="K146">
        <f t="shared" si="2"/>
        <v>4</v>
      </c>
      <c r="N146">
        <v>3.5</v>
      </c>
      <c r="O146">
        <v>4</v>
      </c>
    </row>
    <row r="147" spans="1:15" x14ac:dyDescent="0.2">
      <c r="A147" t="s">
        <v>1321</v>
      </c>
      <c r="B147">
        <v>9001081000</v>
      </c>
      <c r="C147" t="s">
        <v>1322</v>
      </c>
      <c r="D147">
        <v>4376</v>
      </c>
      <c r="E147">
        <v>1.0793455409999999</v>
      </c>
      <c r="F147">
        <v>4054.3086830000002</v>
      </c>
      <c r="G147">
        <v>1</v>
      </c>
      <c r="H147">
        <v>383</v>
      </c>
      <c r="I147">
        <v>9.3346331950000003</v>
      </c>
      <c r="J147">
        <v>0.38400000000000001</v>
      </c>
      <c r="K147">
        <f t="shared" si="2"/>
        <v>2</v>
      </c>
      <c r="N147">
        <v>3</v>
      </c>
      <c r="O147">
        <v>3</v>
      </c>
    </row>
    <row r="148" spans="1:15" x14ac:dyDescent="0.2">
      <c r="A148" t="s">
        <v>1323</v>
      </c>
      <c r="B148">
        <v>9001081100</v>
      </c>
      <c r="C148" t="s">
        <v>1324</v>
      </c>
      <c r="D148">
        <v>4699</v>
      </c>
      <c r="E148">
        <v>1.3121983580000001</v>
      </c>
      <c r="F148">
        <v>3581.0134750000002</v>
      </c>
      <c r="G148">
        <v>1</v>
      </c>
      <c r="H148">
        <v>221</v>
      </c>
      <c r="I148">
        <v>4.5185033739999998</v>
      </c>
      <c r="J148">
        <v>0.124</v>
      </c>
      <c r="K148">
        <f t="shared" si="2"/>
        <v>1</v>
      </c>
      <c r="N148">
        <v>1.5</v>
      </c>
      <c r="O148">
        <v>2</v>
      </c>
    </row>
    <row r="149" spans="1:15" x14ac:dyDescent="0.2">
      <c r="A149" t="s">
        <v>1325</v>
      </c>
      <c r="B149">
        <v>9001081200</v>
      </c>
      <c r="C149" t="s">
        <v>1326</v>
      </c>
      <c r="D149">
        <v>5231</v>
      </c>
      <c r="E149">
        <v>2.3155705740000001</v>
      </c>
      <c r="F149">
        <v>2259.0544460000001</v>
      </c>
      <c r="G149">
        <v>1</v>
      </c>
      <c r="H149">
        <v>561</v>
      </c>
      <c r="I149">
        <v>11.3562753</v>
      </c>
      <c r="J149">
        <v>0.47199999999999998</v>
      </c>
      <c r="K149">
        <f t="shared" si="2"/>
        <v>3</v>
      </c>
      <c r="N149">
        <v>2.5</v>
      </c>
      <c r="O149">
        <v>3</v>
      </c>
    </row>
    <row r="150" spans="1:15" x14ac:dyDescent="0.2">
      <c r="A150" t="s">
        <v>1327</v>
      </c>
      <c r="B150">
        <v>9001081300</v>
      </c>
      <c r="C150" t="s">
        <v>1328</v>
      </c>
      <c r="D150">
        <v>4731</v>
      </c>
      <c r="E150">
        <v>3.8511078040000002</v>
      </c>
      <c r="F150">
        <v>1228.4776850000001</v>
      </c>
      <c r="G150">
        <v>1</v>
      </c>
      <c r="H150">
        <v>727</v>
      </c>
      <c r="I150">
        <v>14.072783579999999</v>
      </c>
      <c r="J150">
        <v>0.60299999999999998</v>
      </c>
      <c r="K150">
        <f t="shared" si="2"/>
        <v>4</v>
      </c>
      <c r="N150">
        <v>3.5</v>
      </c>
      <c r="O150">
        <v>4</v>
      </c>
    </row>
    <row r="151" spans="1:15" x14ac:dyDescent="0.2">
      <c r="A151" t="s">
        <v>1329</v>
      </c>
      <c r="B151">
        <v>9001090100</v>
      </c>
      <c r="C151" t="s">
        <v>1330</v>
      </c>
      <c r="D151">
        <v>3315</v>
      </c>
      <c r="E151">
        <v>3.3197362300000002</v>
      </c>
      <c r="F151">
        <v>998.57331120000003</v>
      </c>
      <c r="G151">
        <v>1</v>
      </c>
      <c r="H151">
        <v>192</v>
      </c>
      <c r="I151">
        <v>5.7125855400000001</v>
      </c>
      <c r="J151">
        <v>0.184</v>
      </c>
      <c r="K151">
        <f t="shared" si="2"/>
        <v>1</v>
      </c>
      <c r="N151">
        <v>1</v>
      </c>
      <c r="O151">
        <v>1</v>
      </c>
    </row>
    <row r="152" spans="1:15" x14ac:dyDescent="0.2">
      <c r="A152" t="s">
        <v>1331</v>
      </c>
      <c r="B152">
        <v>9001090200</v>
      </c>
      <c r="C152" t="s">
        <v>1332</v>
      </c>
      <c r="D152">
        <v>7831</v>
      </c>
      <c r="E152">
        <v>3.737377934</v>
      </c>
      <c r="F152">
        <v>2095.3192690000001</v>
      </c>
      <c r="G152">
        <v>1</v>
      </c>
      <c r="H152">
        <v>930</v>
      </c>
      <c r="I152">
        <v>11.583011580000001</v>
      </c>
      <c r="J152">
        <v>0.48399999999999999</v>
      </c>
      <c r="K152">
        <f t="shared" si="2"/>
        <v>3</v>
      </c>
      <c r="N152">
        <v>2.5</v>
      </c>
      <c r="O152">
        <v>3</v>
      </c>
    </row>
    <row r="153" spans="1:15" x14ac:dyDescent="0.2">
      <c r="A153" t="s">
        <v>1333</v>
      </c>
      <c r="B153">
        <v>9001090300</v>
      </c>
      <c r="C153" t="s">
        <v>1334</v>
      </c>
      <c r="D153">
        <v>4561</v>
      </c>
      <c r="E153">
        <v>1.8396154730000001</v>
      </c>
      <c r="F153">
        <v>2479.322482</v>
      </c>
      <c r="G153">
        <v>1</v>
      </c>
      <c r="H153">
        <v>439</v>
      </c>
      <c r="I153">
        <v>9.5207113420000002</v>
      </c>
      <c r="J153">
        <v>0.40200000000000002</v>
      </c>
      <c r="K153">
        <f t="shared" si="2"/>
        <v>3</v>
      </c>
      <c r="N153">
        <v>2.5</v>
      </c>
      <c r="O153">
        <v>3</v>
      </c>
    </row>
    <row r="154" spans="1:15" x14ac:dyDescent="0.2">
      <c r="A154" t="s">
        <v>1335</v>
      </c>
      <c r="B154">
        <v>9001090400</v>
      </c>
      <c r="C154" t="s">
        <v>1336</v>
      </c>
      <c r="D154">
        <v>6552</v>
      </c>
      <c r="E154">
        <v>2.9224428840000001</v>
      </c>
      <c r="F154">
        <v>2241.9599840000001</v>
      </c>
      <c r="G154">
        <v>1</v>
      </c>
      <c r="H154">
        <v>1266</v>
      </c>
      <c r="I154">
        <v>19.423135930000001</v>
      </c>
      <c r="J154">
        <v>0.746</v>
      </c>
      <c r="K154">
        <f t="shared" si="2"/>
        <v>4</v>
      </c>
      <c r="N154">
        <v>2.5</v>
      </c>
      <c r="O154">
        <v>3</v>
      </c>
    </row>
    <row r="155" spans="1:15" x14ac:dyDescent="0.2">
      <c r="A155" t="s">
        <v>1337</v>
      </c>
      <c r="B155">
        <v>9001090500</v>
      </c>
      <c r="C155" t="s">
        <v>1338</v>
      </c>
      <c r="D155">
        <v>4718</v>
      </c>
      <c r="E155">
        <v>3.3672592309999998</v>
      </c>
      <c r="F155">
        <v>1401.139525</v>
      </c>
      <c r="G155">
        <v>1</v>
      </c>
      <c r="H155">
        <v>627</v>
      </c>
      <c r="I155">
        <v>13.17226891</v>
      </c>
      <c r="J155">
        <v>0.56200000000000006</v>
      </c>
      <c r="K155">
        <f t="shared" si="2"/>
        <v>3</v>
      </c>
      <c r="N155">
        <v>2</v>
      </c>
      <c r="O155">
        <v>2</v>
      </c>
    </row>
    <row r="156" spans="1:15" x14ac:dyDescent="0.2">
      <c r="A156" t="s">
        <v>1339</v>
      </c>
      <c r="B156">
        <v>9001090600</v>
      </c>
      <c r="C156" t="s">
        <v>1340</v>
      </c>
      <c r="D156">
        <v>3494</v>
      </c>
      <c r="E156">
        <v>3.183600465</v>
      </c>
      <c r="F156">
        <v>1097.4995260000001</v>
      </c>
      <c r="G156">
        <v>1</v>
      </c>
      <c r="H156">
        <v>269</v>
      </c>
      <c r="I156">
        <v>8.2515337419999994</v>
      </c>
      <c r="J156">
        <v>0.32</v>
      </c>
      <c r="K156">
        <f t="shared" si="2"/>
        <v>2</v>
      </c>
      <c r="N156">
        <v>2</v>
      </c>
      <c r="O156">
        <v>2</v>
      </c>
    </row>
    <row r="157" spans="1:15" x14ac:dyDescent="0.2">
      <c r="A157" t="s">
        <v>1341</v>
      </c>
      <c r="B157">
        <v>9001090700</v>
      </c>
      <c r="C157" t="s">
        <v>1342</v>
      </c>
      <c r="D157">
        <v>5547</v>
      </c>
      <c r="E157">
        <v>4.9528511330000002</v>
      </c>
      <c r="F157">
        <v>1119.9609780000001</v>
      </c>
      <c r="G157">
        <v>1</v>
      </c>
      <c r="H157">
        <v>733</v>
      </c>
      <c r="I157">
        <v>13.481699470000001</v>
      </c>
      <c r="J157">
        <v>0.57699999999999996</v>
      </c>
      <c r="K157">
        <f t="shared" si="2"/>
        <v>3</v>
      </c>
      <c r="N157">
        <v>2</v>
      </c>
      <c r="O157">
        <v>2</v>
      </c>
    </row>
    <row r="158" spans="1:15" x14ac:dyDescent="0.2">
      <c r="A158" t="s">
        <v>1343</v>
      </c>
      <c r="B158">
        <v>9001100100</v>
      </c>
      <c r="C158" t="s">
        <v>1344</v>
      </c>
      <c r="D158">
        <v>5574</v>
      </c>
      <c r="E158">
        <v>7.9805365889999997</v>
      </c>
      <c r="F158">
        <v>698.44927559999996</v>
      </c>
      <c r="G158">
        <v>1</v>
      </c>
      <c r="H158">
        <v>648</v>
      </c>
      <c r="I158">
        <v>11.45685997</v>
      </c>
      <c r="J158">
        <v>0.47899999999999998</v>
      </c>
      <c r="K158">
        <f t="shared" si="2"/>
        <v>3</v>
      </c>
      <c r="N158">
        <v>2</v>
      </c>
      <c r="O158">
        <v>2</v>
      </c>
    </row>
    <row r="159" spans="1:15" x14ac:dyDescent="0.2">
      <c r="A159" t="s">
        <v>1345</v>
      </c>
      <c r="B159">
        <v>9001100200</v>
      </c>
      <c r="C159" t="s">
        <v>1346</v>
      </c>
      <c r="D159">
        <v>6979</v>
      </c>
      <c r="E159">
        <v>6.3212848859999999</v>
      </c>
      <c r="F159">
        <v>1104.0476940000001</v>
      </c>
      <c r="G159">
        <v>1</v>
      </c>
      <c r="H159">
        <v>1018</v>
      </c>
      <c r="I159">
        <v>14.07438131</v>
      </c>
      <c r="J159">
        <v>0.60099999999999998</v>
      </c>
      <c r="K159">
        <f t="shared" si="2"/>
        <v>4</v>
      </c>
      <c r="N159">
        <v>3</v>
      </c>
      <c r="O159">
        <v>3</v>
      </c>
    </row>
    <row r="160" spans="1:15" x14ac:dyDescent="0.2">
      <c r="A160" t="s">
        <v>1347</v>
      </c>
      <c r="B160">
        <v>9001100300</v>
      </c>
      <c r="C160" t="s">
        <v>1348</v>
      </c>
      <c r="D160">
        <v>6926</v>
      </c>
      <c r="E160">
        <v>11.770787739999999</v>
      </c>
      <c r="F160">
        <v>588.40581889999999</v>
      </c>
      <c r="G160">
        <v>1</v>
      </c>
      <c r="H160">
        <v>538</v>
      </c>
      <c r="I160">
        <v>8.0817184920000003</v>
      </c>
      <c r="J160">
        <v>0.309</v>
      </c>
      <c r="K160">
        <f t="shared" si="2"/>
        <v>2</v>
      </c>
      <c r="N160">
        <v>1.5</v>
      </c>
      <c r="O160">
        <v>2</v>
      </c>
    </row>
    <row r="161" spans="1:15" x14ac:dyDescent="0.2">
      <c r="A161" t="s">
        <v>1349</v>
      </c>
      <c r="B161">
        <v>9001105100</v>
      </c>
      <c r="C161" t="s">
        <v>1350</v>
      </c>
      <c r="D161">
        <v>4076</v>
      </c>
      <c r="E161">
        <v>12.292544210000001</v>
      </c>
      <c r="F161">
        <v>331.5831068</v>
      </c>
      <c r="G161">
        <v>1</v>
      </c>
      <c r="H161">
        <v>109</v>
      </c>
      <c r="I161">
        <v>2.7304609219999998</v>
      </c>
      <c r="J161">
        <v>3.6999999999999998E-2</v>
      </c>
      <c r="K161">
        <f t="shared" si="2"/>
        <v>1</v>
      </c>
      <c r="N161">
        <v>1</v>
      </c>
      <c r="O161">
        <v>1</v>
      </c>
    </row>
    <row r="162" spans="1:15" x14ac:dyDescent="0.2">
      <c r="A162" t="s">
        <v>1351</v>
      </c>
      <c r="B162">
        <v>9001105200</v>
      </c>
      <c r="C162" t="s">
        <v>1352</v>
      </c>
      <c r="D162">
        <v>3414</v>
      </c>
      <c r="E162">
        <v>15.12599904</v>
      </c>
      <c r="F162">
        <v>225.70410000000001</v>
      </c>
      <c r="G162">
        <v>2</v>
      </c>
      <c r="H162">
        <v>399</v>
      </c>
      <c r="I162">
        <v>11.23627147</v>
      </c>
      <c r="J162">
        <v>0.46700000000000003</v>
      </c>
      <c r="K162">
        <f t="shared" si="2"/>
        <v>3</v>
      </c>
      <c r="N162">
        <v>2</v>
      </c>
      <c r="O162">
        <v>2</v>
      </c>
    </row>
    <row r="163" spans="1:15" x14ac:dyDescent="0.2">
      <c r="A163" t="s">
        <v>1353</v>
      </c>
      <c r="B163">
        <v>9001110100</v>
      </c>
      <c r="C163" t="s">
        <v>1354</v>
      </c>
      <c r="D163">
        <v>2321</v>
      </c>
      <c r="E163">
        <v>0.30585122399999998</v>
      </c>
      <c r="F163">
        <v>7588.6568950000001</v>
      </c>
      <c r="G163">
        <v>1</v>
      </c>
      <c r="H163">
        <v>335</v>
      </c>
      <c r="I163">
        <v>11.42954623</v>
      </c>
      <c r="J163">
        <v>0.47499999999999998</v>
      </c>
      <c r="K163">
        <f t="shared" si="2"/>
        <v>3</v>
      </c>
      <c r="N163">
        <v>3.5</v>
      </c>
      <c r="O163">
        <v>4</v>
      </c>
    </row>
    <row r="164" spans="1:15" x14ac:dyDescent="0.2">
      <c r="A164" t="s">
        <v>1355</v>
      </c>
      <c r="B164">
        <v>9001110201</v>
      </c>
      <c r="C164" t="s">
        <v>1356</v>
      </c>
      <c r="D164">
        <v>4782</v>
      </c>
      <c r="E164">
        <v>1.2622811380000001</v>
      </c>
      <c r="F164">
        <v>3788.3795110000001</v>
      </c>
      <c r="G164">
        <v>1</v>
      </c>
      <c r="H164">
        <v>748</v>
      </c>
      <c r="I164">
        <v>15.42268041</v>
      </c>
      <c r="J164">
        <v>0.63300000000000001</v>
      </c>
      <c r="K164">
        <f t="shared" si="2"/>
        <v>4</v>
      </c>
      <c r="N164">
        <v>3.5</v>
      </c>
      <c r="O164">
        <v>4</v>
      </c>
    </row>
    <row r="165" spans="1:15" x14ac:dyDescent="0.2">
      <c r="A165" t="s">
        <v>1357</v>
      </c>
      <c r="B165">
        <v>9001110202</v>
      </c>
      <c r="C165" t="s">
        <v>1358</v>
      </c>
      <c r="D165">
        <v>4756</v>
      </c>
      <c r="E165">
        <v>3.9640372849999999</v>
      </c>
      <c r="F165">
        <v>1199.7868989999999</v>
      </c>
      <c r="G165">
        <v>1</v>
      </c>
      <c r="H165">
        <v>300</v>
      </c>
      <c r="I165">
        <v>6.3091482650000001</v>
      </c>
      <c r="J165">
        <v>0.218</v>
      </c>
      <c r="K165">
        <f t="shared" si="2"/>
        <v>2</v>
      </c>
      <c r="N165">
        <v>2.5</v>
      </c>
      <c r="O165">
        <v>3</v>
      </c>
    </row>
    <row r="166" spans="1:15" x14ac:dyDescent="0.2">
      <c r="A166" t="s">
        <v>1359</v>
      </c>
      <c r="B166">
        <v>9001110301</v>
      </c>
      <c r="C166" t="s">
        <v>1360</v>
      </c>
      <c r="D166">
        <v>6174</v>
      </c>
      <c r="E166">
        <v>3.986708819</v>
      </c>
      <c r="F166">
        <v>1548.645833</v>
      </c>
      <c r="G166">
        <v>1</v>
      </c>
      <c r="H166">
        <v>899</v>
      </c>
      <c r="I166">
        <v>13.65016702</v>
      </c>
      <c r="J166">
        <v>0.58599999999999997</v>
      </c>
      <c r="K166">
        <f t="shared" si="2"/>
        <v>3</v>
      </c>
      <c r="N166">
        <v>3</v>
      </c>
      <c r="O166">
        <v>3</v>
      </c>
    </row>
    <row r="167" spans="1:15" x14ac:dyDescent="0.2">
      <c r="A167" t="s">
        <v>1361</v>
      </c>
      <c r="B167">
        <v>9001110302</v>
      </c>
      <c r="C167" t="s">
        <v>1362</v>
      </c>
      <c r="D167">
        <v>2602</v>
      </c>
      <c r="E167">
        <v>3.0332314280000001</v>
      </c>
      <c r="F167">
        <v>857.83101680000004</v>
      </c>
      <c r="G167">
        <v>1</v>
      </c>
      <c r="H167">
        <v>470</v>
      </c>
      <c r="I167">
        <v>14.03823178</v>
      </c>
      <c r="J167">
        <v>0.59599999999999997</v>
      </c>
      <c r="K167">
        <f t="shared" si="2"/>
        <v>3</v>
      </c>
      <c r="N167">
        <v>2.5</v>
      </c>
      <c r="O167">
        <v>3</v>
      </c>
    </row>
    <row r="168" spans="1:15" x14ac:dyDescent="0.2">
      <c r="A168" t="s">
        <v>1363</v>
      </c>
      <c r="B168">
        <v>9001110400</v>
      </c>
      <c r="C168" t="s">
        <v>1364</v>
      </c>
      <c r="D168">
        <v>4911</v>
      </c>
      <c r="E168">
        <v>4.0339823969999999</v>
      </c>
      <c r="F168">
        <v>1217.407395</v>
      </c>
      <c r="G168">
        <v>1</v>
      </c>
      <c r="H168">
        <v>342</v>
      </c>
      <c r="I168">
        <v>7.0807453420000002</v>
      </c>
      <c r="J168">
        <v>0.26</v>
      </c>
      <c r="K168">
        <f t="shared" si="2"/>
        <v>2</v>
      </c>
      <c r="N168">
        <v>2</v>
      </c>
      <c r="O168">
        <v>2</v>
      </c>
    </row>
    <row r="169" spans="1:15" x14ac:dyDescent="0.2">
      <c r="A169" t="s">
        <v>1365</v>
      </c>
      <c r="B169">
        <v>9001110500</v>
      </c>
      <c r="C169" t="s">
        <v>1366</v>
      </c>
      <c r="D169">
        <v>5928</v>
      </c>
      <c r="E169">
        <v>5.2018163790000003</v>
      </c>
      <c r="F169">
        <v>1139.6019329999999</v>
      </c>
      <c r="G169">
        <v>1</v>
      </c>
      <c r="H169">
        <v>205</v>
      </c>
      <c r="I169">
        <v>3.7083936319999999</v>
      </c>
      <c r="J169">
        <v>0.09</v>
      </c>
      <c r="K169">
        <f t="shared" si="2"/>
        <v>1</v>
      </c>
      <c r="N169">
        <v>1.5</v>
      </c>
      <c r="O169">
        <v>2</v>
      </c>
    </row>
    <row r="170" spans="1:15" x14ac:dyDescent="0.2">
      <c r="A170" t="s">
        <v>1367</v>
      </c>
      <c r="B170">
        <v>9001110600</v>
      </c>
      <c r="C170" t="s">
        <v>1368</v>
      </c>
      <c r="D170">
        <v>8085</v>
      </c>
      <c r="E170">
        <v>8.8377764679999995</v>
      </c>
      <c r="F170">
        <v>914.82286620000002</v>
      </c>
      <c r="G170">
        <v>1</v>
      </c>
      <c r="H170">
        <v>777</v>
      </c>
      <c r="I170">
        <v>9.3468062070000002</v>
      </c>
      <c r="J170">
        <v>0.38600000000000001</v>
      </c>
      <c r="K170">
        <f t="shared" si="2"/>
        <v>2</v>
      </c>
      <c r="N170">
        <v>2</v>
      </c>
      <c r="O170">
        <v>2</v>
      </c>
    </row>
    <row r="171" spans="1:15" x14ac:dyDescent="0.2">
      <c r="A171" t="s">
        <v>1369</v>
      </c>
      <c r="B171">
        <v>9001200100</v>
      </c>
      <c r="C171" t="s">
        <v>1370</v>
      </c>
      <c r="D171">
        <v>3606</v>
      </c>
      <c r="E171">
        <v>1.9519789279999999</v>
      </c>
      <c r="F171">
        <v>1847.356008</v>
      </c>
      <c r="G171">
        <v>1</v>
      </c>
      <c r="H171">
        <v>652</v>
      </c>
      <c r="I171">
        <v>17.645466849999998</v>
      </c>
      <c r="J171">
        <v>0.7</v>
      </c>
      <c r="K171">
        <f t="shared" si="2"/>
        <v>4</v>
      </c>
      <c r="N171">
        <v>3.5</v>
      </c>
      <c r="O171">
        <v>4</v>
      </c>
    </row>
    <row r="172" spans="1:15" x14ac:dyDescent="0.2">
      <c r="A172" t="s">
        <v>1371</v>
      </c>
      <c r="B172">
        <v>9001200200</v>
      </c>
      <c r="C172" t="s">
        <v>1372</v>
      </c>
      <c r="D172">
        <v>4908</v>
      </c>
      <c r="E172">
        <v>2.17036411</v>
      </c>
      <c r="F172">
        <v>2261.3717109999998</v>
      </c>
      <c r="G172">
        <v>1</v>
      </c>
      <c r="H172">
        <v>913</v>
      </c>
      <c r="I172">
        <v>17.480375259999999</v>
      </c>
      <c r="J172">
        <v>0.69399999999999995</v>
      </c>
      <c r="K172">
        <f t="shared" si="2"/>
        <v>4</v>
      </c>
      <c r="N172">
        <v>4</v>
      </c>
      <c r="O172">
        <v>4</v>
      </c>
    </row>
    <row r="173" spans="1:15" x14ac:dyDescent="0.2">
      <c r="A173" t="s">
        <v>1373</v>
      </c>
      <c r="B173">
        <v>9001200301</v>
      </c>
      <c r="C173" t="s">
        <v>1374</v>
      </c>
      <c r="D173">
        <v>4852</v>
      </c>
      <c r="E173">
        <v>3.8112300129999999</v>
      </c>
      <c r="F173">
        <v>1273.0798150000001</v>
      </c>
      <c r="G173">
        <v>1</v>
      </c>
      <c r="H173">
        <v>826</v>
      </c>
      <c r="I173">
        <v>15.775401069999999</v>
      </c>
      <c r="J173">
        <v>0.64400000000000002</v>
      </c>
      <c r="K173">
        <f t="shared" si="2"/>
        <v>4</v>
      </c>
      <c r="N173">
        <v>2.5</v>
      </c>
      <c r="O173">
        <v>3</v>
      </c>
    </row>
    <row r="174" spans="1:15" x14ac:dyDescent="0.2">
      <c r="A174" t="s">
        <v>1375</v>
      </c>
      <c r="B174">
        <v>9001200302</v>
      </c>
      <c r="C174" t="s">
        <v>1376</v>
      </c>
      <c r="D174">
        <v>5218</v>
      </c>
      <c r="E174">
        <v>8.9549681309999993</v>
      </c>
      <c r="F174">
        <v>582.69330760000003</v>
      </c>
      <c r="G174">
        <v>1</v>
      </c>
      <c r="H174">
        <v>252</v>
      </c>
      <c r="I174">
        <v>4.5743329099999999</v>
      </c>
      <c r="J174">
        <v>0.126</v>
      </c>
      <c r="K174">
        <f t="shared" si="2"/>
        <v>1</v>
      </c>
      <c r="N174">
        <v>1.5</v>
      </c>
      <c r="O174">
        <v>2</v>
      </c>
    </row>
    <row r="175" spans="1:15" x14ac:dyDescent="0.2">
      <c r="A175" t="s">
        <v>1377</v>
      </c>
      <c r="B175">
        <v>9001205100</v>
      </c>
      <c r="C175" t="s">
        <v>1378</v>
      </c>
      <c r="D175">
        <v>4000</v>
      </c>
      <c r="E175">
        <v>3.689896633</v>
      </c>
      <c r="F175">
        <v>1084.041207</v>
      </c>
      <c r="G175">
        <v>1</v>
      </c>
      <c r="H175">
        <v>443</v>
      </c>
      <c r="I175">
        <v>10.29275093</v>
      </c>
      <c r="J175">
        <v>0.43099999999999999</v>
      </c>
      <c r="K175">
        <f t="shared" si="2"/>
        <v>3</v>
      </c>
      <c r="N175">
        <v>2</v>
      </c>
      <c r="O175">
        <v>2</v>
      </c>
    </row>
    <row r="176" spans="1:15" x14ac:dyDescent="0.2">
      <c r="A176" t="s">
        <v>1379</v>
      </c>
      <c r="B176">
        <v>9001205200</v>
      </c>
      <c r="C176" t="s">
        <v>1380</v>
      </c>
      <c r="D176">
        <v>7054</v>
      </c>
      <c r="E176">
        <v>9.6745923149999999</v>
      </c>
      <c r="F176">
        <v>729.12633119999998</v>
      </c>
      <c r="G176">
        <v>1</v>
      </c>
      <c r="H176">
        <v>418</v>
      </c>
      <c r="I176">
        <v>6.0221870050000001</v>
      </c>
      <c r="J176">
        <v>0.19900000000000001</v>
      </c>
      <c r="K176">
        <f t="shared" si="2"/>
        <v>1</v>
      </c>
      <c r="N176">
        <v>1</v>
      </c>
      <c r="O176">
        <v>1</v>
      </c>
    </row>
    <row r="177" spans="1:15" x14ac:dyDescent="0.2">
      <c r="A177" t="s">
        <v>1381</v>
      </c>
      <c r="B177">
        <v>9001205300</v>
      </c>
      <c r="C177" t="s">
        <v>1382</v>
      </c>
      <c r="D177">
        <v>5398</v>
      </c>
      <c r="E177">
        <v>6.4084397299999996</v>
      </c>
      <c r="F177">
        <v>842.32671719999996</v>
      </c>
      <c r="G177">
        <v>1</v>
      </c>
      <c r="H177">
        <v>956</v>
      </c>
      <c r="I177">
        <v>16.565586549999999</v>
      </c>
      <c r="J177">
        <v>0.66700000000000004</v>
      </c>
      <c r="K177">
        <f t="shared" si="2"/>
        <v>4</v>
      </c>
      <c r="N177">
        <v>3</v>
      </c>
      <c r="O177">
        <v>3</v>
      </c>
    </row>
    <row r="178" spans="1:15" x14ac:dyDescent="0.2">
      <c r="A178" t="s">
        <v>1383</v>
      </c>
      <c r="B178">
        <v>9001210100</v>
      </c>
      <c r="C178" t="s">
        <v>1384</v>
      </c>
      <c r="D178">
        <v>5986</v>
      </c>
      <c r="E178">
        <v>0.59647534999999996</v>
      </c>
      <c r="F178">
        <v>10035.620070000001</v>
      </c>
      <c r="G178">
        <v>1</v>
      </c>
      <c r="H178">
        <v>2413</v>
      </c>
      <c r="I178">
        <v>42.723087820000003</v>
      </c>
      <c r="J178">
        <v>0.97799999999999998</v>
      </c>
      <c r="K178">
        <f t="shared" si="2"/>
        <v>5</v>
      </c>
      <c r="N178">
        <v>5</v>
      </c>
      <c r="O178">
        <v>5</v>
      </c>
    </row>
    <row r="179" spans="1:15" x14ac:dyDescent="0.2">
      <c r="A179" t="s">
        <v>1385</v>
      </c>
      <c r="B179">
        <v>9001210200</v>
      </c>
      <c r="C179" t="s">
        <v>1386</v>
      </c>
      <c r="D179">
        <v>6578</v>
      </c>
      <c r="E179">
        <v>0.82963396</v>
      </c>
      <c r="F179">
        <v>7928.7979029999997</v>
      </c>
      <c r="G179">
        <v>1</v>
      </c>
      <c r="H179">
        <v>3094</v>
      </c>
      <c r="I179">
        <v>48.686073960000002</v>
      </c>
      <c r="J179">
        <v>0.99</v>
      </c>
      <c r="K179">
        <f t="shared" si="2"/>
        <v>5</v>
      </c>
      <c r="N179">
        <v>4.5</v>
      </c>
      <c r="O179">
        <v>5</v>
      </c>
    </row>
    <row r="180" spans="1:15" x14ac:dyDescent="0.2">
      <c r="A180" t="s">
        <v>1387</v>
      </c>
      <c r="B180">
        <v>9001210300</v>
      </c>
      <c r="C180" t="s">
        <v>1388</v>
      </c>
      <c r="D180">
        <v>5305</v>
      </c>
      <c r="E180">
        <v>1.0270700100000001</v>
      </c>
      <c r="F180">
        <v>5165.1785669999999</v>
      </c>
      <c r="G180">
        <v>1</v>
      </c>
      <c r="H180">
        <v>2525</v>
      </c>
      <c r="I180">
        <v>43.199315650000003</v>
      </c>
      <c r="J180">
        <v>0.98099999999999998</v>
      </c>
      <c r="K180">
        <f t="shared" si="2"/>
        <v>5</v>
      </c>
      <c r="N180">
        <v>4</v>
      </c>
      <c r="O180">
        <v>4</v>
      </c>
    </row>
    <row r="181" spans="1:15" x14ac:dyDescent="0.2">
      <c r="A181" t="s">
        <v>1389</v>
      </c>
      <c r="B181">
        <v>9001210400</v>
      </c>
      <c r="C181" t="s">
        <v>1390</v>
      </c>
      <c r="D181">
        <v>8419</v>
      </c>
      <c r="E181">
        <v>2.895560906</v>
      </c>
      <c r="F181">
        <v>2907.5541050000002</v>
      </c>
      <c r="G181">
        <v>1</v>
      </c>
      <c r="H181">
        <v>3696</v>
      </c>
      <c r="I181">
        <v>39.007915570000002</v>
      </c>
      <c r="J181">
        <v>0.96599999999999997</v>
      </c>
      <c r="K181">
        <f t="shared" si="2"/>
        <v>5</v>
      </c>
      <c r="N181">
        <v>4</v>
      </c>
      <c r="O181">
        <v>4</v>
      </c>
    </row>
    <row r="182" spans="1:15" x14ac:dyDescent="0.2">
      <c r="A182" t="s">
        <v>1391</v>
      </c>
      <c r="B182">
        <v>9001210500</v>
      </c>
      <c r="C182" t="s">
        <v>1392</v>
      </c>
      <c r="D182">
        <v>7033</v>
      </c>
      <c r="E182">
        <v>12.734800699999999</v>
      </c>
      <c r="F182">
        <v>552.26620070000001</v>
      </c>
      <c r="G182">
        <v>1</v>
      </c>
      <c r="H182">
        <v>1480</v>
      </c>
      <c r="I182">
        <v>17.31399158</v>
      </c>
      <c r="J182">
        <v>0.69</v>
      </c>
      <c r="K182">
        <f t="shared" si="2"/>
        <v>4</v>
      </c>
      <c r="N182">
        <v>3</v>
      </c>
      <c r="O182">
        <v>3</v>
      </c>
    </row>
    <row r="183" spans="1:15" x14ac:dyDescent="0.2">
      <c r="A183" t="s">
        <v>1393</v>
      </c>
      <c r="B183">
        <v>9001210600</v>
      </c>
      <c r="C183" t="s">
        <v>1394</v>
      </c>
      <c r="D183">
        <v>6173</v>
      </c>
      <c r="E183">
        <v>1.0419739400000001</v>
      </c>
      <c r="F183">
        <v>5924.3324279999997</v>
      </c>
      <c r="G183">
        <v>1</v>
      </c>
      <c r="H183">
        <v>2392</v>
      </c>
      <c r="I183">
        <v>39.939889800000003</v>
      </c>
      <c r="J183">
        <v>0.96899999999999997</v>
      </c>
      <c r="K183">
        <f t="shared" si="2"/>
        <v>5</v>
      </c>
      <c r="N183">
        <v>4.5</v>
      </c>
      <c r="O183">
        <v>5</v>
      </c>
    </row>
    <row r="184" spans="1:15" x14ac:dyDescent="0.2">
      <c r="A184" t="s">
        <v>1395</v>
      </c>
      <c r="B184">
        <v>9001210701</v>
      </c>
      <c r="C184" t="s">
        <v>1396</v>
      </c>
      <c r="D184">
        <v>5470</v>
      </c>
      <c r="E184">
        <v>0.48133427600000001</v>
      </c>
      <c r="F184">
        <v>11364.24366</v>
      </c>
      <c r="G184">
        <v>1</v>
      </c>
      <c r="H184">
        <v>1894</v>
      </c>
      <c r="I184">
        <v>32.431506849999998</v>
      </c>
      <c r="J184">
        <v>0.92800000000000005</v>
      </c>
      <c r="K184">
        <f t="shared" si="2"/>
        <v>5</v>
      </c>
      <c r="N184">
        <v>5</v>
      </c>
      <c r="O184">
        <v>5</v>
      </c>
    </row>
    <row r="185" spans="1:15" x14ac:dyDescent="0.2">
      <c r="A185" t="s">
        <v>1397</v>
      </c>
      <c r="B185">
        <v>9001210702</v>
      </c>
      <c r="C185" t="s">
        <v>1398</v>
      </c>
      <c r="D185">
        <v>4478</v>
      </c>
      <c r="E185">
        <v>0.60760899300000004</v>
      </c>
      <c r="F185">
        <v>7369.8711720000001</v>
      </c>
      <c r="G185">
        <v>1</v>
      </c>
      <c r="H185">
        <v>1749</v>
      </c>
      <c r="I185">
        <v>37.677725119999998</v>
      </c>
      <c r="J185">
        <v>0.96499999999999997</v>
      </c>
      <c r="K185">
        <f t="shared" si="2"/>
        <v>5</v>
      </c>
      <c r="N185">
        <v>4.5</v>
      </c>
      <c r="O185">
        <v>5</v>
      </c>
    </row>
    <row r="186" spans="1:15" x14ac:dyDescent="0.2">
      <c r="A186" t="s">
        <v>1399</v>
      </c>
      <c r="B186">
        <v>9001210800</v>
      </c>
      <c r="C186" t="s">
        <v>1400</v>
      </c>
      <c r="D186">
        <v>5623</v>
      </c>
      <c r="E186">
        <v>6.1896221139999996</v>
      </c>
      <c r="F186">
        <v>908.45610550000004</v>
      </c>
      <c r="G186">
        <v>1</v>
      </c>
      <c r="H186">
        <v>919</v>
      </c>
      <c r="I186">
        <v>16.358134570000001</v>
      </c>
      <c r="J186">
        <v>0.66700000000000004</v>
      </c>
      <c r="K186">
        <f t="shared" si="2"/>
        <v>4</v>
      </c>
      <c r="N186">
        <v>3</v>
      </c>
      <c r="O186">
        <v>3</v>
      </c>
    </row>
    <row r="187" spans="1:15" x14ac:dyDescent="0.2">
      <c r="A187" t="s">
        <v>1401</v>
      </c>
      <c r="B187">
        <v>9001210900</v>
      </c>
      <c r="C187" t="s">
        <v>1402</v>
      </c>
      <c r="D187">
        <v>5713</v>
      </c>
      <c r="E187">
        <v>4.9074007289999999</v>
      </c>
      <c r="F187">
        <v>1164.160075</v>
      </c>
      <c r="G187">
        <v>1</v>
      </c>
      <c r="H187">
        <v>1040</v>
      </c>
      <c r="I187">
        <v>19.60784314</v>
      </c>
      <c r="J187">
        <v>0.753</v>
      </c>
      <c r="K187">
        <f t="shared" si="2"/>
        <v>4</v>
      </c>
      <c r="N187">
        <v>3</v>
      </c>
      <c r="O187">
        <v>3</v>
      </c>
    </row>
    <row r="188" spans="1:15" x14ac:dyDescent="0.2">
      <c r="A188" t="s">
        <v>1403</v>
      </c>
      <c r="B188">
        <v>9001211000</v>
      </c>
      <c r="C188" t="s">
        <v>1404</v>
      </c>
      <c r="D188">
        <v>4034</v>
      </c>
      <c r="E188">
        <v>2.7578065999999999</v>
      </c>
      <c r="F188">
        <v>1462.7566710000001</v>
      </c>
      <c r="G188">
        <v>1</v>
      </c>
      <c r="H188">
        <v>1473</v>
      </c>
      <c r="I188">
        <v>31.738849389999999</v>
      </c>
      <c r="J188">
        <v>0.91800000000000004</v>
      </c>
      <c r="K188">
        <f t="shared" si="2"/>
        <v>5</v>
      </c>
      <c r="N188">
        <v>4</v>
      </c>
      <c r="O188">
        <v>4</v>
      </c>
    </row>
    <row r="189" spans="1:15" x14ac:dyDescent="0.2">
      <c r="A189" t="s">
        <v>1405</v>
      </c>
      <c r="B189">
        <v>9001211200</v>
      </c>
      <c r="C189" t="s">
        <v>1406</v>
      </c>
      <c r="D189">
        <v>6046</v>
      </c>
      <c r="E189">
        <v>2.5646037740000001</v>
      </c>
      <c r="F189">
        <v>2357.4791789999999</v>
      </c>
      <c r="G189">
        <v>1</v>
      </c>
      <c r="H189">
        <v>1698</v>
      </c>
      <c r="I189">
        <v>25.358422940000001</v>
      </c>
      <c r="J189">
        <v>0.85199999999999998</v>
      </c>
      <c r="K189">
        <f t="shared" si="2"/>
        <v>5</v>
      </c>
      <c r="N189">
        <v>4</v>
      </c>
      <c r="O189">
        <v>4</v>
      </c>
    </row>
    <row r="190" spans="1:15" x14ac:dyDescent="0.2">
      <c r="A190" t="s">
        <v>1407</v>
      </c>
      <c r="B190">
        <v>9001211300</v>
      </c>
      <c r="C190" t="s">
        <v>1408</v>
      </c>
      <c r="D190">
        <v>3635</v>
      </c>
      <c r="E190">
        <v>1.887665503</v>
      </c>
      <c r="F190">
        <v>1925.658966</v>
      </c>
      <c r="G190">
        <v>1</v>
      </c>
      <c r="H190">
        <v>487</v>
      </c>
      <c r="I190">
        <v>12.233107260000001</v>
      </c>
      <c r="J190">
        <v>0.53100000000000003</v>
      </c>
      <c r="K190">
        <f t="shared" si="2"/>
        <v>3</v>
      </c>
      <c r="N190">
        <v>2.5</v>
      </c>
      <c r="O190">
        <v>3</v>
      </c>
    </row>
    <row r="191" spans="1:15" x14ac:dyDescent="0.2">
      <c r="A191" t="s">
        <v>1409</v>
      </c>
      <c r="B191">
        <v>9001211400</v>
      </c>
      <c r="C191" t="s">
        <v>1410</v>
      </c>
      <c r="D191">
        <v>5025</v>
      </c>
      <c r="E191">
        <v>2.8037010210000002</v>
      </c>
      <c r="F191">
        <v>1792.2738420000001</v>
      </c>
      <c r="G191">
        <v>1</v>
      </c>
      <c r="H191">
        <v>714</v>
      </c>
      <c r="I191">
        <v>14.071738270000001</v>
      </c>
      <c r="J191">
        <v>0.60899999999999999</v>
      </c>
      <c r="K191">
        <f t="shared" si="2"/>
        <v>4</v>
      </c>
      <c r="N191">
        <v>3.5</v>
      </c>
      <c r="O191">
        <v>4</v>
      </c>
    </row>
    <row r="192" spans="1:15" x14ac:dyDescent="0.2">
      <c r="A192" t="s">
        <v>1411</v>
      </c>
      <c r="B192">
        <v>9001220100</v>
      </c>
      <c r="C192" t="s">
        <v>1412</v>
      </c>
      <c r="D192">
        <v>5193</v>
      </c>
      <c r="E192">
        <v>4.2436961100000001</v>
      </c>
      <c r="F192">
        <v>1223.6974250000001</v>
      </c>
      <c r="G192">
        <v>1</v>
      </c>
      <c r="H192">
        <v>472</v>
      </c>
      <c r="I192">
        <v>8.7716037910000004</v>
      </c>
      <c r="J192">
        <v>0.36699999999999999</v>
      </c>
      <c r="K192">
        <f t="shared" si="2"/>
        <v>2</v>
      </c>
      <c r="N192">
        <v>2</v>
      </c>
      <c r="O192">
        <v>2</v>
      </c>
    </row>
    <row r="193" spans="1:15" x14ac:dyDescent="0.2">
      <c r="A193" t="s">
        <v>1413</v>
      </c>
      <c r="B193">
        <v>9001220200</v>
      </c>
      <c r="C193" t="s">
        <v>1414</v>
      </c>
      <c r="D193">
        <v>4893</v>
      </c>
      <c r="E193">
        <v>11.873892469999999</v>
      </c>
      <c r="F193">
        <v>412.08053840000002</v>
      </c>
      <c r="G193">
        <v>1</v>
      </c>
      <c r="H193">
        <v>503</v>
      </c>
      <c r="I193">
        <v>9.9348212520000008</v>
      </c>
      <c r="J193">
        <v>0.41799999999999998</v>
      </c>
      <c r="K193">
        <f t="shared" si="2"/>
        <v>3</v>
      </c>
      <c r="N193">
        <v>2</v>
      </c>
      <c r="O193">
        <v>2</v>
      </c>
    </row>
    <row r="194" spans="1:15" x14ac:dyDescent="0.2">
      <c r="A194" t="s">
        <v>1415</v>
      </c>
      <c r="B194">
        <v>9001220300</v>
      </c>
      <c r="C194" t="s">
        <v>1416</v>
      </c>
      <c r="D194">
        <v>3795</v>
      </c>
      <c r="E194">
        <v>4.3243949390000003</v>
      </c>
      <c r="F194">
        <v>877.57941940000001</v>
      </c>
      <c r="G194">
        <v>1</v>
      </c>
      <c r="H194">
        <v>254</v>
      </c>
      <c r="I194">
        <v>7.234406152</v>
      </c>
      <c r="J194">
        <v>0.27200000000000002</v>
      </c>
      <c r="K194">
        <f t="shared" si="2"/>
        <v>2</v>
      </c>
      <c r="N194">
        <v>2</v>
      </c>
      <c r="O194">
        <v>2</v>
      </c>
    </row>
    <row r="195" spans="1:15" x14ac:dyDescent="0.2">
      <c r="A195" t="s">
        <v>1417</v>
      </c>
      <c r="B195">
        <v>9001230100</v>
      </c>
      <c r="C195" t="s">
        <v>1418</v>
      </c>
      <c r="D195">
        <v>7061</v>
      </c>
      <c r="E195">
        <v>15.379121059999999</v>
      </c>
      <c r="F195">
        <v>459.12896919999997</v>
      </c>
      <c r="G195">
        <v>1</v>
      </c>
      <c r="H195">
        <v>503</v>
      </c>
      <c r="I195">
        <v>7.00459546</v>
      </c>
      <c r="J195">
        <v>0.25700000000000001</v>
      </c>
      <c r="K195">
        <f t="shared" ref="K195:K258" si="3">IF(J195&lt;0.2,1,IF(J195&lt;0.4,2,IF(J195&lt;0.6,3,IF(J195&lt;0.8,4,5))))</f>
        <v>2</v>
      </c>
      <c r="N195">
        <v>2</v>
      </c>
      <c r="O195">
        <v>2</v>
      </c>
    </row>
    <row r="196" spans="1:15" x14ac:dyDescent="0.2">
      <c r="A196" t="s">
        <v>1419</v>
      </c>
      <c r="B196">
        <v>9001230200</v>
      </c>
      <c r="C196" t="s">
        <v>1420</v>
      </c>
      <c r="D196">
        <v>1941</v>
      </c>
      <c r="E196">
        <v>2.3068415760000001</v>
      </c>
      <c r="F196">
        <v>841.4101862</v>
      </c>
      <c r="G196">
        <v>1</v>
      </c>
      <c r="H196">
        <v>123</v>
      </c>
      <c r="I196">
        <v>6.5460351250000004</v>
      </c>
      <c r="J196">
        <v>0.23400000000000001</v>
      </c>
      <c r="K196">
        <f t="shared" si="3"/>
        <v>2</v>
      </c>
      <c r="N196">
        <v>1.5</v>
      </c>
      <c r="O196">
        <v>2</v>
      </c>
    </row>
    <row r="197" spans="1:15" x14ac:dyDescent="0.2">
      <c r="A197" t="s">
        <v>1421</v>
      </c>
      <c r="B197">
        <v>9001230300</v>
      </c>
      <c r="C197" t="s">
        <v>1422</v>
      </c>
      <c r="D197">
        <v>3441</v>
      </c>
      <c r="E197">
        <v>8.0032625629999998</v>
      </c>
      <c r="F197">
        <v>429.94965780000001</v>
      </c>
      <c r="G197">
        <v>1</v>
      </c>
      <c r="H197">
        <v>135</v>
      </c>
      <c r="I197">
        <v>3.7762237760000001</v>
      </c>
      <c r="J197">
        <v>9.5000000000000001E-2</v>
      </c>
      <c r="K197">
        <f t="shared" si="3"/>
        <v>1</v>
      </c>
      <c r="N197">
        <v>1</v>
      </c>
      <c r="O197">
        <v>1</v>
      </c>
    </row>
    <row r="198" spans="1:15" x14ac:dyDescent="0.2">
      <c r="A198" t="s">
        <v>1423</v>
      </c>
      <c r="B198">
        <v>9001230400</v>
      </c>
      <c r="C198" t="s">
        <v>1424</v>
      </c>
      <c r="D198">
        <v>5651</v>
      </c>
      <c r="E198">
        <v>13.847707400000001</v>
      </c>
      <c r="F198">
        <v>408.08199050000002</v>
      </c>
      <c r="G198">
        <v>1</v>
      </c>
      <c r="H198">
        <v>560</v>
      </c>
      <c r="I198">
        <v>9.2976921800000003</v>
      </c>
      <c r="J198">
        <v>0.39</v>
      </c>
      <c r="K198">
        <f t="shared" si="3"/>
        <v>2</v>
      </c>
      <c r="N198">
        <v>1.5</v>
      </c>
      <c r="O198">
        <v>2</v>
      </c>
    </row>
    <row r="199" spans="1:15" x14ac:dyDescent="0.2">
      <c r="A199" t="s">
        <v>1425</v>
      </c>
      <c r="B199">
        <v>9001230501</v>
      </c>
      <c r="C199" t="s">
        <v>1426</v>
      </c>
      <c r="D199">
        <v>4329</v>
      </c>
      <c r="E199">
        <v>7.7456104039999998</v>
      </c>
      <c r="F199">
        <v>558.89720420000003</v>
      </c>
      <c r="G199">
        <v>1</v>
      </c>
      <c r="H199">
        <v>381</v>
      </c>
      <c r="I199">
        <v>9.2633114509999999</v>
      </c>
      <c r="J199">
        <v>0.38700000000000001</v>
      </c>
      <c r="K199">
        <f t="shared" si="3"/>
        <v>2</v>
      </c>
      <c r="N199">
        <v>1.5</v>
      </c>
      <c r="O199">
        <v>2</v>
      </c>
    </row>
    <row r="200" spans="1:15" x14ac:dyDescent="0.2">
      <c r="A200" t="s">
        <v>1427</v>
      </c>
      <c r="B200">
        <v>9001230502</v>
      </c>
      <c r="C200" t="s">
        <v>1428</v>
      </c>
      <c r="D200">
        <v>5137</v>
      </c>
      <c r="E200">
        <v>10.37608167</v>
      </c>
      <c r="F200">
        <v>495.08091450000001</v>
      </c>
      <c r="G200">
        <v>1</v>
      </c>
      <c r="H200">
        <v>402</v>
      </c>
      <c r="I200">
        <v>7.9588200359999997</v>
      </c>
      <c r="J200">
        <v>0.307</v>
      </c>
      <c r="K200">
        <f t="shared" si="3"/>
        <v>2</v>
      </c>
      <c r="N200">
        <v>1.5</v>
      </c>
      <c r="O200">
        <v>2</v>
      </c>
    </row>
    <row r="201" spans="1:15" x14ac:dyDescent="0.2">
      <c r="A201" t="s">
        <v>1429</v>
      </c>
      <c r="B201">
        <v>9001240100</v>
      </c>
      <c r="C201" t="s">
        <v>1430</v>
      </c>
      <c r="D201">
        <v>4599</v>
      </c>
      <c r="E201">
        <v>13.37270945</v>
      </c>
      <c r="F201">
        <v>343.90936390000002</v>
      </c>
      <c r="G201">
        <v>1</v>
      </c>
      <c r="H201">
        <v>81</v>
      </c>
      <c r="I201">
        <v>1.7597219200000001</v>
      </c>
      <c r="J201">
        <v>1.4999999999999999E-2</v>
      </c>
      <c r="K201">
        <f t="shared" si="3"/>
        <v>1</v>
      </c>
      <c r="N201">
        <v>1</v>
      </c>
      <c r="O201">
        <v>1</v>
      </c>
    </row>
    <row r="202" spans="1:15" x14ac:dyDescent="0.2">
      <c r="A202" t="s">
        <v>1431</v>
      </c>
      <c r="B202">
        <v>9001240200</v>
      </c>
      <c r="C202" t="s">
        <v>1432</v>
      </c>
      <c r="D202">
        <v>4559</v>
      </c>
      <c r="E202">
        <v>18.12648437</v>
      </c>
      <c r="F202">
        <v>251.51043670000001</v>
      </c>
      <c r="G202">
        <v>2</v>
      </c>
      <c r="H202">
        <v>380</v>
      </c>
      <c r="I202">
        <v>8.3096435599999996</v>
      </c>
      <c r="J202">
        <v>0.32700000000000001</v>
      </c>
      <c r="K202">
        <f t="shared" si="3"/>
        <v>2</v>
      </c>
      <c r="N202">
        <v>1.5</v>
      </c>
      <c r="O202">
        <v>2</v>
      </c>
    </row>
    <row r="203" spans="1:15" x14ac:dyDescent="0.2">
      <c r="A203" t="s">
        <v>1433</v>
      </c>
      <c r="B203">
        <v>9001245100</v>
      </c>
      <c r="C203" t="s">
        <v>1434</v>
      </c>
      <c r="D203">
        <v>2870</v>
      </c>
      <c r="E203">
        <v>3.9950327959999998</v>
      </c>
      <c r="F203">
        <v>718.39210009999999</v>
      </c>
      <c r="G203">
        <v>1</v>
      </c>
      <c r="H203">
        <v>169</v>
      </c>
      <c r="I203">
        <v>5.849775009</v>
      </c>
      <c r="J203">
        <v>0.19500000000000001</v>
      </c>
      <c r="K203">
        <f t="shared" si="3"/>
        <v>1</v>
      </c>
      <c r="N203">
        <v>1</v>
      </c>
      <c r="O203">
        <v>1</v>
      </c>
    </row>
    <row r="204" spans="1:15" x14ac:dyDescent="0.2">
      <c r="A204" t="s">
        <v>1435</v>
      </c>
      <c r="B204">
        <v>9001245200</v>
      </c>
      <c r="C204" t="s">
        <v>1436</v>
      </c>
      <c r="D204">
        <v>4397</v>
      </c>
      <c r="E204">
        <v>7.305212225</v>
      </c>
      <c r="F204">
        <v>601.89900920000002</v>
      </c>
      <c r="G204">
        <v>1</v>
      </c>
      <c r="H204">
        <v>534</v>
      </c>
      <c r="I204">
        <v>11.89309577</v>
      </c>
      <c r="J204">
        <v>0.503</v>
      </c>
      <c r="K204">
        <f t="shared" si="3"/>
        <v>3</v>
      </c>
      <c r="N204">
        <v>2</v>
      </c>
      <c r="O204">
        <v>2</v>
      </c>
    </row>
    <row r="205" spans="1:15" x14ac:dyDescent="0.2">
      <c r="A205" t="s">
        <v>1437</v>
      </c>
      <c r="B205">
        <v>9001245300</v>
      </c>
      <c r="C205" t="s">
        <v>1438</v>
      </c>
      <c r="D205">
        <v>4974</v>
      </c>
      <c r="E205">
        <v>5.2728329240000003</v>
      </c>
      <c r="F205">
        <v>943.32592580000005</v>
      </c>
      <c r="G205">
        <v>1</v>
      </c>
      <c r="H205">
        <v>335</v>
      </c>
      <c r="I205">
        <v>6.6973210720000003</v>
      </c>
      <c r="J205">
        <v>0.24199999999999999</v>
      </c>
      <c r="K205">
        <f t="shared" si="3"/>
        <v>2</v>
      </c>
      <c r="N205">
        <v>1.5</v>
      </c>
      <c r="O205">
        <v>2</v>
      </c>
    </row>
    <row r="206" spans="1:15" x14ac:dyDescent="0.2">
      <c r="A206" t="s">
        <v>1439</v>
      </c>
      <c r="B206">
        <v>9001245400</v>
      </c>
      <c r="C206" t="s">
        <v>1440</v>
      </c>
      <c r="D206">
        <v>3311</v>
      </c>
      <c r="E206">
        <v>4.8555541570000003</v>
      </c>
      <c r="F206">
        <v>681.8995099</v>
      </c>
      <c r="G206">
        <v>1</v>
      </c>
      <c r="H206">
        <v>125</v>
      </c>
      <c r="I206">
        <v>4.1295011559999999</v>
      </c>
      <c r="J206">
        <v>0.112</v>
      </c>
      <c r="K206">
        <f t="shared" si="3"/>
        <v>1</v>
      </c>
      <c r="N206">
        <v>1</v>
      </c>
      <c r="O206">
        <v>1</v>
      </c>
    </row>
    <row r="207" spans="1:15" x14ac:dyDescent="0.2">
      <c r="A207" t="s">
        <v>1441</v>
      </c>
      <c r="B207">
        <v>9001245500</v>
      </c>
      <c r="C207" t="s">
        <v>1442</v>
      </c>
      <c r="D207">
        <v>3099</v>
      </c>
      <c r="E207">
        <v>2.9917984180000001</v>
      </c>
      <c r="F207">
        <v>1035.8318200000001</v>
      </c>
      <c r="G207">
        <v>1</v>
      </c>
      <c r="H207">
        <v>425</v>
      </c>
      <c r="I207">
        <v>13.98026316</v>
      </c>
      <c r="J207">
        <v>0.59899999999999998</v>
      </c>
      <c r="K207">
        <f t="shared" si="3"/>
        <v>3</v>
      </c>
      <c r="N207">
        <v>2</v>
      </c>
      <c r="O207">
        <v>2</v>
      </c>
    </row>
    <row r="208" spans="1:15" x14ac:dyDescent="0.2">
      <c r="A208" t="s">
        <v>1443</v>
      </c>
      <c r="B208">
        <v>9001245600</v>
      </c>
      <c r="C208" t="s">
        <v>1444</v>
      </c>
      <c r="D208">
        <v>5987</v>
      </c>
      <c r="E208">
        <v>10.094934029999999</v>
      </c>
      <c r="F208">
        <v>593.06974979999995</v>
      </c>
      <c r="G208">
        <v>1</v>
      </c>
      <c r="H208">
        <v>777</v>
      </c>
      <c r="I208">
        <v>11.783439489999999</v>
      </c>
      <c r="J208">
        <v>0.49299999999999999</v>
      </c>
      <c r="K208">
        <f t="shared" si="3"/>
        <v>3</v>
      </c>
      <c r="N208">
        <v>2</v>
      </c>
      <c r="O208">
        <v>2</v>
      </c>
    </row>
    <row r="209" spans="1:15" x14ac:dyDescent="0.2">
      <c r="A209" t="s">
        <v>1445</v>
      </c>
      <c r="B209">
        <v>9001257100</v>
      </c>
      <c r="C209" t="s">
        <v>1446</v>
      </c>
      <c r="D209">
        <v>3581</v>
      </c>
      <c r="E209">
        <v>21.891781739999999</v>
      </c>
      <c r="F209">
        <v>163.57736629999999</v>
      </c>
      <c r="G209">
        <v>2</v>
      </c>
      <c r="H209">
        <v>211</v>
      </c>
      <c r="I209">
        <v>5.7824061389999999</v>
      </c>
      <c r="J209">
        <v>0.193</v>
      </c>
      <c r="K209">
        <f t="shared" si="3"/>
        <v>1</v>
      </c>
      <c r="N209">
        <v>1.5</v>
      </c>
      <c r="O209">
        <v>2</v>
      </c>
    </row>
    <row r="210" spans="1:15" x14ac:dyDescent="0.2">
      <c r="A210" t="s">
        <v>1447</v>
      </c>
      <c r="B210">
        <v>9001257200</v>
      </c>
      <c r="C210" t="s">
        <v>1448</v>
      </c>
      <c r="D210">
        <v>3722</v>
      </c>
      <c r="E210">
        <v>0.59978849300000003</v>
      </c>
      <c r="F210">
        <v>6205.5208499999999</v>
      </c>
      <c r="G210">
        <v>1</v>
      </c>
      <c r="H210">
        <v>788</v>
      </c>
      <c r="I210">
        <v>19.23828125</v>
      </c>
      <c r="J210">
        <v>0.73699999999999999</v>
      </c>
      <c r="K210">
        <f t="shared" si="3"/>
        <v>4</v>
      </c>
      <c r="N210">
        <v>4.5</v>
      </c>
      <c r="O210">
        <v>5</v>
      </c>
    </row>
    <row r="211" spans="1:15" x14ac:dyDescent="0.2">
      <c r="A211" t="s">
        <v>1449</v>
      </c>
      <c r="B211">
        <v>9003330100</v>
      </c>
      <c r="C211" t="s">
        <v>1450</v>
      </c>
      <c r="D211">
        <v>2114</v>
      </c>
      <c r="E211">
        <v>33.079351719999998</v>
      </c>
      <c r="F211">
        <v>63.906935599999997</v>
      </c>
      <c r="G211">
        <v>2</v>
      </c>
      <c r="H211">
        <v>262</v>
      </c>
      <c r="I211">
        <v>13.21897074</v>
      </c>
      <c r="J211">
        <v>0.56399999999999995</v>
      </c>
      <c r="K211">
        <f t="shared" si="3"/>
        <v>3</v>
      </c>
      <c r="N211">
        <v>3</v>
      </c>
      <c r="O211">
        <v>3</v>
      </c>
    </row>
    <row r="212" spans="1:15" x14ac:dyDescent="0.2">
      <c r="A212" t="s">
        <v>1451</v>
      </c>
      <c r="B212">
        <v>9003400100</v>
      </c>
      <c r="C212" t="s">
        <v>1452</v>
      </c>
      <c r="D212">
        <v>7195</v>
      </c>
      <c r="E212">
        <v>7.535148425</v>
      </c>
      <c r="F212">
        <v>954.85843060000002</v>
      </c>
      <c r="G212">
        <v>1</v>
      </c>
      <c r="H212">
        <v>647</v>
      </c>
      <c r="I212">
        <v>8.8135131449999999</v>
      </c>
      <c r="J212">
        <v>0.36299999999999999</v>
      </c>
      <c r="K212">
        <f t="shared" si="3"/>
        <v>2</v>
      </c>
      <c r="N212">
        <v>2.5</v>
      </c>
      <c r="O212">
        <v>3</v>
      </c>
    </row>
    <row r="213" spans="1:15" x14ac:dyDescent="0.2">
      <c r="A213" t="s">
        <v>1453</v>
      </c>
      <c r="B213">
        <v>9003400200</v>
      </c>
      <c r="C213" t="s">
        <v>1454</v>
      </c>
      <c r="D213">
        <v>5769</v>
      </c>
      <c r="E213">
        <v>12.7262246</v>
      </c>
      <c r="F213">
        <v>453.3159033</v>
      </c>
      <c r="G213">
        <v>1</v>
      </c>
      <c r="H213">
        <v>469</v>
      </c>
      <c r="I213">
        <v>7.5027995519999999</v>
      </c>
      <c r="J213">
        <v>0.27600000000000002</v>
      </c>
      <c r="K213">
        <f t="shared" si="3"/>
        <v>2</v>
      </c>
      <c r="N213">
        <v>2</v>
      </c>
      <c r="O213">
        <v>2</v>
      </c>
    </row>
    <row r="214" spans="1:15" x14ac:dyDescent="0.2">
      <c r="A214" t="s">
        <v>1455</v>
      </c>
      <c r="B214">
        <v>9003400300</v>
      </c>
      <c r="C214" t="s">
        <v>1456</v>
      </c>
      <c r="D214">
        <v>6902</v>
      </c>
      <c r="E214">
        <v>6.0630022219999997</v>
      </c>
      <c r="F214">
        <v>1138.379923</v>
      </c>
      <c r="G214">
        <v>1</v>
      </c>
      <c r="H214">
        <v>453</v>
      </c>
      <c r="I214">
        <v>6.5728380729999998</v>
      </c>
      <c r="J214">
        <v>0.23400000000000001</v>
      </c>
      <c r="K214">
        <f t="shared" si="3"/>
        <v>2</v>
      </c>
      <c r="N214">
        <v>2</v>
      </c>
      <c r="O214">
        <v>2</v>
      </c>
    </row>
    <row r="215" spans="1:15" x14ac:dyDescent="0.2">
      <c r="A215" t="s">
        <v>1457</v>
      </c>
      <c r="B215">
        <v>9003405100</v>
      </c>
      <c r="C215" t="s">
        <v>1458</v>
      </c>
      <c r="D215">
        <v>3171</v>
      </c>
      <c r="E215">
        <v>0.99943860699999998</v>
      </c>
      <c r="F215">
        <v>3172.781176</v>
      </c>
      <c r="G215">
        <v>1</v>
      </c>
      <c r="H215">
        <v>480</v>
      </c>
      <c r="I215">
        <v>14.589665650000001</v>
      </c>
      <c r="J215">
        <v>0.60599999999999998</v>
      </c>
      <c r="K215">
        <f t="shared" si="3"/>
        <v>4</v>
      </c>
      <c r="N215">
        <v>4</v>
      </c>
      <c r="O215">
        <v>4</v>
      </c>
    </row>
    <row r="216" spans="1:15" x14ac:dyDescent="0.2">
      <c r="A216" t="s">
        <v>1459</v>
      </c>
      <c r="B216">
        <v>9003405200</v>
      </c>
      <c r="C216" t="s">
        <v>1460</v>
      </c>
      <c r="D216">
        <v>4447</v>
      </c>
      <c r="E216">
        <v>1.401490277</v>
      </c>
      <c r="F216">
        <v>3173.0509109999998</v>
      </c>
      <c r="G216">
        <v>1</v>
      </c>
      <c r="H216">
        <v>267</v>
      </c>
      <c r="I216">
        <v>6.8251533740000001</v>
      </c>
      <c r="J216">
        <v>0.246</v>
      </c>
      <c r="K216">
        <f t="shared" si="3"/>
        <v>2</v>
      </c>
      <c r="N216">
        <v>3.5</v>
      </c>
      <c r="O216">
        <v>4</v>
      </c>
    </row>
    <row r="217" spans="1:15" x14ac:dyDescent="0.2">
      <c r="A217" t="s">
        <v>1461</v>
      </c>
      <c r="B217">
        <v>9003405300</v>
      </c>
      <c r="C217" t="s">
        <v>1462</v>
      </c>
      <c r="D217">
        <v>6140</v>
      </c>
      <c r="E217">
        <v>1.348223621</v>
      </c>
      <c r="F217">
        <v>4554.1406509999997</v>
      </c>
      <c r="G217">
        <v>1</v>
      </c>
      <c r="H217">
        <v>879</v>
      </c>
      <c r="I217">
        <v>13.644830799999999</v>
      </c>
      <c r="J217">
        <v>0.58699999999999997</v>
      </c>
      <c r="K217">
        <f t="shared" si="3"/>
        <v>3</v>
      </c>
      <c r="N217">
        <v>4</v>
      </c>
      <c r="O217">
        <v>4</v>
      </c>
    </row>
    <row r="218" spans="1:15" x14ac:dyDescent="0.2">
      <c r="A218" t="s">
        <v>1463</v>
      </c>
      <c r="B218">
        <v>9003405401</v>
      </c>
      <c r="C218" t="s">
        <v>1464</v>
      </c>
      <c r="D218">
        <v>3325</v>
      </c>
      <c r="E218">
        <v>1.469337696</v>
      </c>
      <c r="F218">
        <v>2262.9243160000001</v>
      </c>
      <c r="G218">
        <v>1</v>
      </c>
      <c r="H218">
        <v>623</v>
      </c>
      <c r="I218">
        <v>18.328920270000001</v>
      </c>
      <c r="J218">
        <v>0.71799999999999997</v>
      </c>
      <c r="K218">
        <f t="shared" si="3"/>
        <v>4</v>
      </c>
      <c r="N218">
        <v>3.5</v>
      </c>
      <c r="O218">
        <v>4</v>
      </c>
    </row>
    <row r="219" spans="1:15" x14ac:dyDescent="0.2">
      <c r="A219" t="s">
        <v>1465</v>
      </c>
      <c r="B219">
        <v>9003405402</v>
      </c>
      <c r="C219" t="s">
        <v>1466</v>
      </c>
      <c r="D219">
        <v>3982</v>
      </c>
      <c r="E219">
        <v>1.76169156</v>
      </c>
      <c r="F219">
        <v>2260.3275680000002</v>
      </c>
      <c r="G219">
        <v>1</v>
      </c>
      <c r="H219">
        <v>1020</v>
      </c>
      <c r="I219">
        <v>27.084439719999999</v>
      </c>
      <c r="J219">
        <v>0.86599999999999999</v>
      </c>
      <c r="K219">
        <f t="shared" si="3"/>
        <v>5</v>
      </c>
      <c r="N219">
        <v>5</v>
      </c>
      <c r="O219">
        <v>5</v>
      </c>
    </row>
    <row r="220" spans="1:15" x14ac:dyDescent="0.2">
      <c r="A220" t="s">
        <v>1467</v>
      </c>
      <c r="B220">
        <v>9003405500</v>
      </c>
      <c r="C220" t="s">
        <v>1468</v>
      </c>
      <c r="D220">
        <v>5206</v>
      </c>
      <c r="E220">
        <v>3.2382752350000001</v>
      </c>
      <c r="F220">
        <v>1607.645929</v>
      </c>
      <c r="G220">
        <v>1</v>
      </c>
      <c r="H220">
        <v>419</v>
      </c>
      <c r="I220">
        <v>7.8273865120000004</v>
      </c>
      <c r="J220">
        <v>0.29599999999999999</v>
      </c>
      <c r="K220">
        <f t="shared" si="3"/>
        <v>2</v>
      </c>
      <c r="N220">
        <v>3</v>
      </c>
      <c r="O220">
        <v>3</v>
      </c>
    </row>
    <row r="221" spans="1:15" x14ac:dyDescent="0.2">
      <c r="A221" t="s">
        <v>1469</v>
      </c>
      <c r="B221">
        <v>9003405600</v>
      </c>
      <c r="C221" t="s">
        <v>1470</v>
      </c>
      <c r="D221">
        <v>7222</v>
      </c>
      <c r="E221">
        <v>2.9392862050000002</v>
      </c>
      <c r="F221">
        <v>2457.0591279999999</v>
      </c>
      <c r="G221">
        <v>1</v>
      </c>
      <c r="H221">
        <v>895</v>
      </c>
      <c r="I221">
        <v>12.0408987</v>
      </c>
      <c r="J221">
        <v>0.51400000000000001</v>
      </c>
      <c r="K221">
        <f t="shared" si="3"/>
        <v>3</v>
      </c>
      <c r="N221">
        <v>3.5</v>
      </c>
      <c r="O221">
        <v>4</v>
      </c>
    </row>
    <row r="222" spans="1:15" x14ac:dyDescent="0.2">
      <c r="A222" t="s">
        <v>1471</v>
      </c>
      <c r="B222">
        <v>9003405700</v>
      </c>
      <c r="C222" t="s">
        <v>1472</v>
      </c>
      <c r="D222">
        <v>2186</v>
      </c>
      <c r="E222">
        <v>1.381813352</v>
      </c>
      <c r="F222">
        <v>1581.979214</v>
      </c>
      <c r="G222">
        <v>1</v>
      </c>
      <c r="H222">
        <v>252</v>
      </c>
      <c r="I222">
        <v>11.93181818</v>
      </c>
      <c r="J222">
        <v>0.50600000000000001</v>
      </c>
      <c r="K222">
        <f t="shared" si="3"/>
        <v>3</v>
      </c>
      <c r="N222">
        <v>4</v>
      </c>
      <c r="O222">
        <v>4</v>
      </c>
    </row>
    <row r="223" spans="1:15" x14ac:dyDescent="0.2">
      <c r="A223" t="s">
        <v>1473</v>
      </c>
      <c r="B223">
        <v>9003405800</v>
      </c>
      <c r="C223" t="s">
        <v>1474</v>
      </c>
      <c r="D223">
        <v>7388</v>
      </c>
      <c r="E223">
        <v>5.9912980290000002</v>
      </c>
      <c r="F223">
        <v>1233.1217650000001</v>
      </c>
      <c r="G223">
        <v>1</v>
      </c>
      <c r="H223">
        <v>643</v>
      </c>
      <c r="I223">
        <v>8.3964481590000002</v>
      </c>
      <c r="J223">
        <v>0.33300000000000002</v>
      </c>
      <c r="K223">
        <f t="shared" si="3"/>
        <v>2</v>
      </c>
      <c r="N223">
        <v>2.5</v>
      </c>
      <c r="O223">
        <v>3</v>
      </c>
    </row>
    <row r="224" spans="1:15" x14ac:dyDescent="0.2">
      <c r="A224" t="s">
        <v>1475</v>
      </c>
      <c r="B224">
        <v>9003405900</v>
      </c>
      <c r="C224" t="s">
        <v>1476</v>
      </c>
      <c r="D224">
        <v>4636</v>
      </c>
      <c r="E224">
        <v>2.0465399839999998</v>
      </c>
      <c r="F224">
        <v>2265.286795</v>
      </c>
      <c r="G224">
        <v>1</v>
      </c>
      <c r="H224">
        <v>232</v>
      </c>
      <c r="I224">
        <v>5.0107991360000002</v>
      </c>
      <c r="J224">
        <v>0.155</v>
      </c>
      <c r="K224">
        <f t="shared" si="3"/>
        <v>1</v>
      </c>
      <c r="N224">
        <v>2</v>
      </c>
      <c r="O224">
        <v>2</v>
      </c>
    </row>
    <row r="225" spans="1:15" x14ac:dyDescent="0.2">
      <c r="A225" t="s">
        <v>1477</v>
      </c>
      <c r="B225">
        <v>9003406001</v>
      </c>
      <c r="C225" t="s">
        <v>1478</v>
      </c>
      <c r="D225">
        <v>4054</v>
      </c>
      <c r="E225">
        <v>1.6448454589999999</v>
      </c>
      <c r="F225">
        <v>2464.6692360000002</v>
      </c>
      <c r="G225">
        <v>1</v>
      </c>
      <c r="H225">
        <v>736</v>
      </c>
      <c r="I225">
        <v>18.2494421</v>
      </c>
      <c r="J225">
        <v>0.71599999999999997</v>
      </c>
      <c r="K225">
        <f t="shared" si="3"/>
        <v>4</v>
      </c>
      <c r="N225">
        <v>4.5</v>
      </c>
      <c r="O225">
        <v>5</v>
      </c>
    </row>
    <row r="226" spans="1:15" x14ac:dyDescent="0.2">
      <c r="A226" t="s">
        <v>1479</v>
      </c>
      <c r="B226">
        <v>9003406002</v>
      </c>
      <c r="C226" t="s">
        <v>1480</v>
      </c>
      <c r="D226">
        <v>4810</v>
      </c>
      <c r="E226">
        <v>1.4946853040000001</v>
      </c>
      <c r="F226">
        <v>3218.068706</v>
      </c>
      <c r="G226">
        <v>1</v>
      </c>
      <c r="H226">
        <v>367</v>
      </c>
      <c r="I226">
        <v>8.3751711550000003</v>
      </c>
      <c r="J226">
        <v>0.33</v>
      </c>
      <c r="K226">
        <f t="shared" si="3"/>
        <v>2</v>
      </c>
      <c r="N226">
        <v>2.5</v>
      </c>
      <c r="O226">
        <v>3</v>
      </c>
    </row>
    <row r="227" spans="1:15" x14ac:dyDescent="0.2">
      <c r="A227" t="s">
        <v>1481</v>
      </c>
      <c r="B227">
        <v>9003406100</v>
      </c>
      <c r="C227" t="s">
        <v>1482</v>
      </c>
      <c r="D227">
        <v>3910</v>
      </c>
      <c r="E227">
        <v>0.69401286799999995</v>
      </c>
      <c r="F227">
        <v>5633.9013009999999</v>
      </c>
      <c r="G227">
        <v>1</v>
      </c>
      <c r="H227">
        <v>831</v>
      </c>
      <c r="I227">
        <v>21.82247899</v>
      </c>
      <c r="J227">
        <v>0.79300000000000004</v>
      </c>
      <c r="K227">
        <f t="shared" si="3"/>
        <v>4</v>
      </c>
      <c r="N227">
        <v>4.5</v>
      </c>
      <c r="O227">
        <v>5</v>
      </c>
    </row>
    <row r="228" spans="1:15" x14ac:dyDescent="0.2">
      <c r="A228" t="s">
        <v>1483</v>
      </c>
      <c r="B228">
        <v>9003410101</v>
      </c>
      <c r="C228" t="s">
        <v>1484</v>
      </c>
      <c r="D228">
        <v>5246</v>
      </c>
      <c r="E228">
        <v>16.95862722</v>
      </c>
      <c r="F228">
        <v>309.34107649999999</v>
      </c>
      <c r="G228">
        <v>2</v>
      </c>
      <c r="H228">
        <v>291</v>
      </c>
      <c r="I228">
        <v>5.3092501370000003</v>
      </c>
      <c r="J228">
        <v>0.17100000000000001</v>
      </c>
      <c r="K228">
        <f t="shared" si="3"/>
        <v>1</v>
      </c>
      <c r="N228">
        <v>1.5</v>
      </c>
      <c r="O228">
        <v>2</v>
      </c>
    </row>
    <row r="229" spans="1:15" x14ac:dyDescent="0.2">
      <c r="A229" t="s">
        <v>1485</v>
      </c>
      <c r="B229">
        <v>9003410102</v>
      </c>
      <c r="C229" t="s">
        <v>1486</v>
      </c>
      <c r="D229">
        <v>4055</v>
      </c>
      <c r="E229">
        <v>12.78199281</v>
      </c>
      <c r="F229">
        <v>317.24317639999998</v>
      </c>
      <c r="G229">
        <v>2</v>
      </c>
      <c r="H229">
        <v>275</v>
      </c>
      <c r="I229">
        <v>6.5820966969999999</v>
      </c>
      <c r="J229">
        <v>0.23699999999999999</v>
      </c>
      <c r="K229">
        <f t="shared" si="3"/>
        <v>2</v>
      </c>
      <c r="N229">
        <v>1.5</v>
      </c>
      <c r="O229">
        <v>2</v>
      </c>
    </row>
    <row r="230" spans="1:15" x14ac:dyDescent="0.2">
      <c r="A230" t="s">
        <v>1487</v>
      </c>
      <c r="B230">
        <v>9003415300</v>
      </c>
      <c r="C230" t="s">
        <v>1488</v>
      </c>
      <c r="D230">
        <v>2282</v>
      </c>
      <c r="E230">
        <v>0.208951161</v>
      </c>
      <c r="F230">
        <v>10921.21234</v>
      </c>
      <c r="G230">
        <v>1</v>
      </c>
      <c r="H230">
        <v>495</v>
      </c>
      <c r="I230">
        <v>23.79807692</v>
      </c>
      <c r="J230">
        <v>0.81699999999999995</v>
      </c>
      <c r="K230">
        <f t="shared" si="3"/>
        <v>5</v>
      </c>
      <c r="N230">
        <v>5</v>
      </c>
      <c r="O230">
        <v>5</v>
      </c>
    </row>
    <row r="231" spans="1:15" x14ac:dyDescent="0.2">
      <c r="A231" t="s">
        <v>1489</v>
      </c>
      <c r="B231">
        <v>9003415400</v>
      </c>
      <c r="C231" t="s">
        <v>1490</v>
      </c>
      <c r="D231">
        <v>6289</v>
      </c>
      <c r="E231">
        <v>1.0841007760000001</v>
      </c>
      <c r="F231">
        <v>5801.1212059999998</v>
      </c>
      <c r="G231">
        <v>1</v>
      </c>
      <c r="H231">
        <v>658</v>
      </c>
      <c r="I231">
        <v>10.31186334</v>
      </c>
      <c r="J231">
        <v>0.42799999999999999</v>
      </c>
      <c r="K231">
        <f t="shared" si="3"/>
        <v>3</v>
      </c>
      <c r="N231">
        <v>4</v>
      </c>
      <c r="O231">
        <v>4</v>
      </c>
    </row>
    <row r="232" spans="1:15" x14ac:dyDescent="0.2">
      <c r="A232" t="s">
        <v>1491</v>
      </c>
      <c r="B232">
        <v>9003415500</v>
      </c>
      <c r="C232" t="s">
        <v>1492</v>
      </c>
      <c r="D232">
        <v>2930</v>
      </c>
      <c r="E232">
        <v>0.43336224000000001</v>
      </c>
      <c r="F232">
        <v>6761.0874530000001</v>
      </c>
      <c r="G232">
        <v>1</v>
      </c>
      <c r="H232">
        <v>614</v>
      </c>
      <c r="I232">
        <v>20.81355932</v>
      </c>
      <c r="J232">
        <v>0.76800000000000002</v>
      </c>
      <c r="K232">
        <f t="shared" si="3"/>
        <v>4</v>
      </c>
      <c r="N232">
        <v>4.5</v>
      </c>
      <c r="O232">
        <v>5</v>
      </c>
    </row>
    <row r="233" spans="1:15" x14ac:dyDescent="0.2">
      <c r="A233" t="s">
        <v>1493</v>
      </c>
      <c r="B233">
        <v>9003415600</v>
      </c>
      <c r="C233" t="s">
        <v>1494</v>
      </c>
      <c r="D233">
        <v>4215</v>
      </c>
      <c r="E233">
        <v>0.44101169600000001</v>
      </c>
      <c r="F233">
        <v>9557.5696520000001</v>
      </c>
      <c r="G233">
        <v>1</v>
      </c>
      <c r="H233">
        <v>1472</v>
      </c>
      <c r="I233">
        <v>32.027850299999997</v>
      </c>
      <c r="J233">
        <v>0.92100000000000004</v>
      </c>
      <c r="K233">
        <f t="shared" si="3"/>
        <v>5</v>
      </c>
      <c r="N233">
        <v>5</v>
      </c>
      <c r="O233">
        <v>5</v>
      </c>
    </row>
    <row r="234" spans="1:15" x14ac:dyDescent="0.2">
      <c r="A234" t="s">
        <v>1495</v>
      </c>
      <c r="B234">
        <v>9003415700</v>
      </c>
      <c r="C234" t="s">
        <v>1496</v>
      </c>
      <c r="D234">
        <v>3266</v>
      </c>
      <c r="E234">
        <v>0.49382506799999998</v>
      </c>
      <c r="F234">
        <v>6613.6780250000002</v>
      </c>
      <c r="G234">
        <v>1</v>
      </c>
      <c r="H234">
        <v>492</v>
      </c>
      <c r="I234">
        <v>15.764178149999999</v>
      </c>
      <c r="J234">
        <v>0.64300000000000002</v>
      </c>
      <c r="K234">
        <f t="shared" si="3"/>
        <v>4</v>
      </c>
      <c r="N234">
        <v>4.5</v>
      </c>
      <c r="O234">
        <v>5</v>
      </c>
    </row>
    <row r="235" spans="1:15" x14ac:dyDescent="0.2">
      <c r="A235" t="s">
        <v>1497</v>
      </c>
      <c r="B235">
        <v>9003415800</v>
      </c>
      <c r="C235" t="s">
        <v>1498</v>
      </c>
      <c r="D235">
        <v>2473</v>
      </c>
      <c r="E235">
        <v>0.52907040500000002</v>
      </c>
      <c r="F235">
        <v>4674.2361259999998</v>
      </c>
      <c r="G235">
        <v>1</v>
      </c>
      <c r="H235">
        <v>379</v>
      </c>
      <c r="I235">
        <v>13.837166849999999</v>
      </c>
      <c r="J235">
        <v>0.59499999999999997</v>
      </c>
      <c r="K235">
        <f t="shared" si="3"/>
        <v>3</v>
      </c>
      <c r="N235">
        <v>4</v>
      </c>
      <c r="O235">
        <v>4</v>
      </c>
    </row>
    <row r="236" spans="1:15" x14ac:dyDescent="0.2">
      <c r="A236" t="s">
        <v>1499</v>
      </c>
      <c r="B236">
        <v>9003415900</v>
      </c>
      <c r="C236" t="s">
        <v>1500</v>
      </c>
      <c r="D236">
        <v>1788</v>
      </c>
      <c r="E236">
        <v>0.251401551</v>
      </c>
      <c r="F236">
        <v>7112.1279629999999</v>
      </c>
      <c r="G236">
        <v>1</v>
      </c>
      <c r="H236">
        <v>190</v>
      </c>
      <c r="I236">
        <v>13.24965132</v>
      </c>
      <c r="J236">
        <v>0.56499999999999995</v>
      </c>
      <c r="K236">
        <f t="shared" si="3"/>
        <v>3</v>
      </c>
      <c r="N236">
        <v>4</v>
      </c>
      <c r="O236">
        <v>4</v>
      </c>
    </row>
    <row r="237" spans="1:15" x14ac:dyDescent="0.2">
      <c r="A237" t="s">
        <v>1501</v>
      </c>
      <c r="B237">
        <v>9003416000</v>
      </c>
      <c r="C237" t="s">
        <v>1502</v>
      </c>
      <c r="D237">
        <v>4516</v>
      </c>
      <c r="E237">
        <v>0.31354508199999997</v>
      </c>
      <c r="F237">
        <v>14403.03248</v>
      </c>
      <c r="G237">
        <v>1</v>
      </c>
      <c r="H237">
        <v>529</v>
      </c>
      <c r="I237">
        <v>11.122792260000001</v>
      </c>
      <c r="J237">
        <v>0.46700000000000003</v>
      </c>
      <c r="K237">
        <f t="shared" si="3"/>
        <v>3</v>
      </c>
      <c r="N237">
        <v>4</v>
      </c>
      <c r="O237">
        <v>4</v>
      </c>
    </row>
    <row r="238" spans="1:15" x14ac:dyDescent="0.2">
      <c r="A238" t="s">
        <v>1503</v>
      </c>
      <c r="B238">
        <v>9003416100</v>
      </c>
      <c r="C238" t="s">
        <v>1504</v>
      </c>
      <c r="D238">
        <v>4809</v>
      </c>
      <c r="E238">
        <v>0.34612515599999999</v>
      </c>
      <c r="F238">
        <v>13893.818230000001</v>
      </c>
      <c r="G238">
        <v>1</v>
      </c>
      <c r="H238">
        <v>1470</v>
      </c>
      <c r="I238">
        <v>31.210191080000001</v>
      </c>
      <c r="J238">
        <v>0.91</v>
      </c>
      <c r="K238">
        <f t="shared" si="3"/>
        <v>5</v>
      </c>
      <c r="N238">
        <v>5</v>
      </c>
      <c r="O238">
        <v>5</v>
      </c>
    </row>
    <row r="239" spans="1:15" x14ac:dyDescent="0.2">
      <c r="A239" t="s">
        <v>1505</v>
      </c>
      <c r="B239">
        <v>9003416200</v>
      </c>
      <c r="C239" t="s">
        <v>1506</v>
      </c>
      <c r="D239">
        <v>3102</v>
      </c>
      <c r="E239">
        <v>0.21479751999999999</v>
      </c>
      <c r="F239">
        <v>14441.5075</v>
      </c>
      <c r="G239">
        <v>1</v>
      </c>
      <c r="H239">
        <v>657</v>
      </c>
      <c r="I239">
        <v>21.921921919999999</v>
      </c>
      <c r="J239">
        <v>0.79600000000000004</v>
      </c>
      <c r="K239">
        <f t="shared" si="3"/>
        <v>4</v>
      </c>
      <c r="N239">
        <v>4.5</v>
      </c>
      <c r="O239">
        <v>5</v>
      </c>
    </row>
    <row r="240" spans="1:15" x14ac:dyDescent="0.2">
      <c r="A240" t="s">
        <v>1507</v>
      </c>
      <c r="B240">
        <v>9003416300</v>
      </c>
      <c r="C240" t="s">
        <v>1508</v>
      </c>
      <c r="D240">
        <v>3737</v>
      </c>
      <c r="E240">
        <v>0.708157335</v>
      </c>
      <c r="F240">
        <v>5277.0758910000004</v>
      </c>
      <c r="G240">
        <v>1</v>
      </c>
      <c r="H240">
        <v>795</v>
      </c>
      <c r="I240">
        <v>20.24446142</v>
      </c>
      <c r="J240">
        <v>0.76100000000000001</v>
      </c>
      <c r="K240">
        <f t="shared" si="3"/>
        <v>4</v>
      </c>
      <c r="N240">
        <v>4.5</v>
      </c>
      <c r="O240">
        <v>5</v>
      </c>
    </row>
    <row r="241" spans="1:15" x14ac:dyDescent="0.2">
      <c r="A241" t="s">
        <v>1509</v>
      </c>
      <c r="B241">
        <v>9003416400</v>
      </c>
      <c r="C241" t="s">
        <v>1510</v>
      </c>
      <c r="D241">
        <v>3313</v>
      </c>
      <c r="E241">
        <v>1.7285176609999999</v>
      </c>
      <c r="F241">
        <v>1916.6711889999999</v>
      </c>
      <c r="G241">
        <v>1</v>
      </c>
      <c r="H241">
        <v>371</v>
      </c>
      <c r="I241">
        <v>11.05153411</v>
      </c>
      <c r="J241">
        <v>0.46500000000000002</v>
      </c>
      <c r="K241">
        <f t="shared" si="3"/>
        <v>3</v>
      </c>
      <c r="N241">
        <v>3</v>
      </c>
      <c r="O241">
        <v>3</v>
      </c>
    </row>
    <row r="242" spans="1:15" x14ac:dyDescent="0.2">
      <c r="A242" t="s">
        <v>1511</v>
      </c>
      <c r="B242">
        <v>9003416500</v>
      </c>
      <c r="C242" t="s">
        <v>1512</v>
      </c>
      <c r="D242">
        <v>4703</v>
      </c>
      <c r="E242">
        <v>1.1988070989999999</v>
      </c>
      <c r="F242">
        <v>3923.0665260000001</v>
      </c>
      <c r="G242">
        <v>1</v>
      </c>
      <c r="H242">
        <v>665</v>
      </c>
      <c r="I242">
        <v>13.51626016</v>
      </c>
      <c r="J242">
        <v>0.58299999999999996</v>
      </c>
      <c r="K242">
        <f t="shared" si="3"/>
        <v>3</v>
      </c>
      <c r="N242">
        <v>3.5</v>
      </c>
      <c r="O242">
        <v>4</v>
      </c>
    </row>
    <row r="243" spans="1:15" x14ac:dyDescent="0.2">
      <c r="A243" t="s">
        <v>1513</v>
      </c>
      <c r="B243">
        <v>9003416600</v>
      </c>
      <c r="C243" t="s">
        <v>1514</v>
      </c>
      <c r="D243">
        <v>2937</v>
      </c>
      <c r="E243">
        <v>0.61718162399999998</v>
      </c>
      <c r="F243">
        <v>4758.7288500000004</v>
      </c>
      <c r="G243">
        <v>1</v>
      </c>
      <c r="H243">
        <v>552</v>
      </c>
      <c r="I243">
        <v>18.585858590000001</v>
      </c>
      <c r="J243">
        <v>0.72599999999999998</v>
      </c>
      <c r="K243">
        <f t="shared" si="3"/>
        <v>4</v>
      </c>
      <c r="N243">
        <v>4.5</v>
      </c>
      <c r="O243">
        <v>5</v>
      </c>
    </row>
    <row r="244" spans="1:15" x14ac:dyDescent="0.2">
      <c r="A244" t="s">
        <v>1515</v>
      </c>
      <c r="B244">
        <v>9003416700</v>
      </c>
      <c r="C244" t="s">
        <v>1516</v>
      </c>
      <c r="D244">
        <v>6561</v>
      </c>
      <c r="E244">
        <v>1.0137436929999999</v>
      </c>
      <c r="F244">
        <v>6472.0501299999996</v>
      </c>
      <c r="G244">
        <v>1</v>
      </c>
      <c r="H244">
        <v>1483</v>
      </c>
      <c r="I244">
        <v>22.210573610000001</v>
      </c>
      <c r="J244">
        <v>0.80100000000000005</v>
      </c>
      <c r="K244">
        <f t="shared" si="3"/>
        <v>5</v>
      </c>
      <c r="N244">
        <v>5</v>
      </c>
      <c r="O244">
        <v>5</v>
      </c>
    </row>
    <row r="245" spans="1:15" x14ac:dyDescent="0.2">
      <c r="A245" t="s">
        <v>1517</v>
      </c>
      <c r="B245">
        <v>9003416800</v>
      </c>
      <c r="C245" t="s">
        <v>1518</v>
      </c>
      <c r="D245">
        <v>3019</v>
      </c>
      <c r="E245">
        <v>0.45797856999999997</v>
      </c>
      <c r="F245">
        <v>6592.0115029999997</v>
      </c>
      <c r="G245">
        <v>1</v>
      </c>
      <c r="H245">
        <v>744</v>
      </c>
      <c r="I245">
        <v>24.891267979999999</v>
      </c>
      <c r="J245">
        <v>0.83</v>
      </c>
      <c r="K245">
        <f t="shared" si="3"/>
        <v>5</v>
      </c>
      <c r="N245">
        <v>5</v>
      </c>
      <c r="O245">
        <v>5</v>
      </c>
    </row>
    <row r="246" spans="1:15" x14ac:dyDescent="0.2">
      <c r="A246" t="s">
        <v>1519</v>
      </c>
      <c r="B246">
        <v>9003417100</v>
      </c>
      <c r="C246" t="s">
        <v>1520</v>
      </c>
      <c r="D246">
        <v>1886</v>
      </c>
      <c r="E246">
        <v>0.457929535</v>
      </c>
      <c r="F246">
        <v>4118.5375839999997</v>
      </c>
      <c r="G246">
        <v>1</v>
      </c>
      <c r="H246">
        <v>362</v>
      </c>
      <c r="I246">
        <v>21.14485981</v>
      </c>
      <c r="J246">
        <v>0.77400000000000002</v>
      </c>
      <c r="K246">
        <f t="shared" si="3"/>
        <v>4</v>
      </c>
      <c r="N246">
        <v>4.5</v>
      </c>
      <c r="O246">
        <v>5</v>
      </c>
    </row>
    <row r="247" spans="1:15" x14ac:dyDescent="0.2">
      <c r="A247" t="s">
        <v>1521</v>
      </c>
      <c r="B247">
        <v>9003417200</v>
      </c>
      <c r="C247" t="s">
        <v>1522</v>
      </c>
      <c r="D247">
        <v>1822</v>
      </c>
      <c r="E247">
        <v>0.23241652099999999</v>
      </c>
      <c r="F247">
        <v>7839.3738679999997</v>
      </c>
      <c r="G247">
        <v>1</v>
      </c>
      <c r="H247">
        <v>377</v>
      </c>
      <c r="I247">
        <v>25.319006040000001</v>
      </c>
      <c r="J247">
        <v>0.83899999999999997</v>
      </c>
      <c r="K247">
        <f t="shared" si="3"/>
        <v>5</v>
      </c>
      <c r="N247">
        <v>5</v>
      </c>
      <c r="O247">
        <v>5</v>
      </c>
    </row>
    <row r="248" spans="1:15" x14ac:dyDescent="0.2">
      <c r="A248" t="s">
        <v>1523</v>
      </c>
      <c r="B248">
        <v>9003417400</v>
      </c>
      <c r="C248" t="s">
        <v>1524</v>
      </c>
      <c r="D248">
        <v>2954</v>
      </c>
      <c r="E248">
        <v>1.056280184</v>
      </c>
      <c r="F248">
        <v>2796.6064740000002</v>
      </c>
      <c r="G248">
        <v>1</v>
      </c>
      <c r="H248">
        <v>566</v>
      </c>
      <c r="I248">
        <v>19.680111270000001</v>
      </c>
      <c r="J248">
        <v>0.754</v>
      </c>
      <c r="K248">
        <f t="shared" si="3"/>
        <v>4</v>
      </c>
      <c r="N248">
        <v>4</v>
      </c>
      <c r="O248">
        <v>4</v>
      </c>
    </row>
    <row r="249" spans="1:15" x14ac:dyDescent="0.2">
      <c r="A249" t="s">
        <v>1525</v>
      </c>
      <c r="B249">
        <v>9003417500</v>
      </c>
      <c r="C249" t="s">
        <v>1526</v>
      </c>
      <c r="D249">
        <v>4454</v>
      </c>
      <c r="E249">
        <v>1.3800415290000001</v>
      </c>
      <c r="F249">
        <v>3227.4391070000001</v>
      </c>
      <c r="G249">
        <v>1</v>
      </c>
      <c r="H249">
        <v>790</v>
      </c>
      <c r="I249">
        <v>18.23638042</v>
      </c>
      <c r="J249">
        <v>0.72399999999999998</v>
      </c>
      <c r="K249">
        <f t="shared" si="3"/>
        <v>4</v>
      </c>
      <c r="N249">
        <v>4.5</v>
      </c>
      <c r="O249">
        <v>5</v>
      </c>
    </row>
    <row r="250" spans="1:15" x14ac:dyDescent="0.2">
      <c r="A250" t="s">
        <v>1527</v>
      </c>
      <c r="B250">
        <v>9003420400</v>
      </c>
      <c r="C250" t="s">
        <v>1528</v>
      </c>
      <c r="D250">
        <v>2839</v>
      </c>
      <c r="E250">
        <v>2.2316508800000001</v>
      </c>
      <c r="F250">
        <v>1272.15239</v>
      </c>
      <c r="G250">
        <v>1</v>
      </c>
      <c r="H250">
        <v>480</v>
      </c>
      <c r="I250">
        <v>14.82854495</v>
      </c>
      <c r="J250">
        <v>0.62</v>
      </c>
      <c r="K250">
        <f t="shared" si="3"/>
        <v>4</v>
      </c>
      <c r="N250">
        <v>3.5</v>
      </c>
      <c r="O250">
        <v>4</v>
      </c>
    </row>
    <row r="251" spans="1:15" x14ac:dyDescent="0.2">
      <c r="A251" t="s">
        <v>1529</v>
      </c>
      <c r="B251">
        <v>9003420500</v>
      </c>
      <c r="C251" t="s">
        <v>1530</v>
      </c>
      <c r="D251">
        <v>5442</v>
      </c>
      <c r="E251">
        <v>1.8250115440000001</v>
      </c>
      <c r="F251">
        <v>2981.8989459999998</v>
      </c>
      <c r="G251">
        <v>1</v>
      </c>
      <c r="H251">
        <v>836</v>
      </c>
      <c r="I251">
        <v>16.841257049999999</v>
      </c>
      <c r="J251">
        <v>0.68200000000000005</v>
      </c>
      <c r="K251">
        <f t="shared" si="3"/>
        <v>4</v>
      </c>
      <c r="N251">
        <v>4</v>
      </c>
      <c r="O251">
        <v>4</v>
      </c>
    </row>
    <row r="252" spans="1:15" x14ac:dyDescent="0.2">
      <c r="A252" t="s">
        <v>1531</v>
      </c>
      <c r="B252">
        <v>9003420600</v>
      </c>
      <c r="C252" t="s">
        <v>1532</v>
      </c>
      <c r="D252">
        <v>5880</v>
      </c>
      <c r="E252">
        <v>2.2541270459999998</v>
      </c>
      <c r="F252">
        <v>2608.5486219999998</v>
      </c>
      <c r="G252">
        <v>1</v>
      </c>
      <c r="H252">
        <v>713</v>
      </c>
      <c r="I252">
        <v>11.991254619999999</v>
      </c>
      <c r="J252">
        <v>0.52100000000000002</v>
      </c>
      <c r="K252">
        <f t="shared" si="3"/>
        <v>3</v>
      </c>
      <c r="N252">
        <v>3.5</v>
      </c>
      <c r="O252">
        <v>4</v>
      </c>
    </row>
    <row r="253" spans="1:15" x14ac:dyDescent="0.2">
      <c r="A253" t="s">
        <v>1533</v>
      </c>
      <c r="B253">
        <v>9003420700</v>
      </c>
      <c r="C253" t="s">
        <v>1534</v>
      </c>
      <c r="D253">
        <v>3555</v>
      </c>
      <c r="E253">
        <v>3.3997331260000001</v>
      </c>
      <c r="F253">
        <v>1045.670312</v>
      </c>
      <c r="G253">
        <v>1</v>
      </c>
      <c r="H253">
        <v>132</v>
      </c>
      <c r="I253">
        <v>3.801843318</v>
      </c>
      <c r="J253">
        <v>0.10199999999999999</v>
      </c>
      <c r="K253">
        <f t="shared" si="3"/>
        <v>1</v>
      </c>
      <c r="N253">
        <v>2.5</v>
      </c>
      <c r="O253">
        <v>3</v>
      </c>
    </row>
    <row r="254" spans="1:15" x14ac:dyDescent="0.2">
      <c r="A254" t="s">
        <v>1535</v>
      </c>
      <c r="B254">
        <v>9003430100</v>
      </c>
      <c r="C254" t="s">
        <v>1536</v>
      </c>
      <c r="D254">
        <v>4103</v>
      </c>
      <c r="E254">
        <v>1.2663375269999999</v>
      </c>
      <c r="F254">
        <v>3240.0524439999999</v>
      </c>
      <c r="G254">
        <v>1</v>
      </c>
      <c r="H254">
        <v>557</v>
      </c>
      <c r="I254">
        <v>12.16157205</v>
      </c>
      <c r="J254">
        <v>0.52500000000000002</v>
      </c>
      <c r="K254">
        <f t="shared" si="3"/>
        <v>3</v>
      </c>
      <c r="N254">
        <v>3.5</v>
      </c>
      <c r="O254">
        <v>4</v>
      </c>
    </row>
    <row r="255" spans="1:15" x14ac:dyDescent="0.2">
      <c r="A255" t="s">
        <v>1537</v>
      </c>
      <c r="B255">
        <v>9003430201</v>
      </c>
      <c r="C255" t="s">
        <v>1538</v>
      </c>
      <c r="D255">
        <v>3388</v>
      </c>
      <c r="E255">
        <v>2.5185244099999999</v>
      </c>
      <c r="F255">
        <v>1345.2321469999999</v>
      </c>
      <c r="G255">
        <v>1</v>
      </c>
      <c r="H255">
        <v>332</v>
      </c>
      <c r="I255">
        <v>9.1083676269999998</v>
      </c>
      <c r="J255">
        <v>0.38900000000000001</v>
      </c>
      <c r="K255">
        <f t="shared" si="3"/>
        <v>2</v>
      </c>
      <c r="N255">
        <v>3</v>
      </c>
      <c r="O255">
        <v>3</v>
      </c>
    </row>
    <row r="256" spans="1:15" x14ac:dyDescent="0.2">
      <c r="A256" t="s">
        <v>1539</v>
      </c>
      <c r="B256">
        <v>9003430202</v>
      </c>
      <c r="C256" t="s">
        <v>1540</v>
      </c>
      <c r="D256">
        <v>4709</v>
      </c>
      <c r="E256">
        <v>6.2864688949999996</v>
      </c>
      <c r="F256">
        <v>749.06916409999997</v>
      </c>
      <c r="G256">
        <v>1</v>
      </c>
      <c r="H256">
        <v>432</v>
      </c>
      <c r="I256">
        <v>8.7061668680000004</v>
      </c>
      <c r="J256">
        <v>0.36599999999999999</v>
      </c>
      <c r="K256">
        <f t="shared" si="3"/>
        <v>2</v>
      </c>
      <c r="N256">
        <v>1.5</v>
      </c>
      <c r="O256">
        <v>2</v>
      </c>
    </row>
    <row r="257" spans="1:15" x14ac:dyDescent="0.2">
      <c r="A257" t="s">
        <v>1541</v>
      </c>
      <c r="B257">
        <v>9003430203</v>
      </c>
      <c r="C257" t="s">
        <v>1542</v>
      </c>
      <c r="D257">
        <v>4212</v>
      </c>
      <c r="E257">
        <v>2.0054301410000002</v>
      </c>
      <c r="F257">
        <v>2100.297544</v>
      </c>
      <c r="G257">
        <v>1</v>
      </c>
      <c r="H257">
        <v>274</v>
      </c>
      <c r="I257">
        <v>6.2216167120000003</v>
      </c>
      <c r="J257">
        <v>0.22600000000000001</v>
      </c>
      <c r="K257">
        <f t="shared" si="3"/>
        <v>2</v>
      </c>
      <c r="N257">
        <v>3</v>
      </c>
      <c r="O257">
        <v>3</v>
      </c>
    </row>
    <row r="258" spans="1:15" x14ac:dyDescent="0.2">
      <c r="A258" t="s">
        <v>1543</v>
      </c>
      <c r="B258">
        <v>9003430301</v>
      </c>
      <c r="C258" t="s">
        <v>1544</v>
      </c>
      <c r="D258">
        <v>3599</v>
      </c>
      <c r="E258">
        <v>3.6606188909999999</v>
      </c>
      <c r="F258">
        <v>983.1670838</v>
      </c>
      <c r="G258">
        <v>1</v>
      </c>
      <c r="H258">
        <v>208</v>
      </c>
      <c r="I258">
        <v>5.6094929880000004</v>
      </c>
      <c r="J258">
        <v>0.19500000000000001</v>
      </c>
      <c r="K258">
        <f t="shared" si="3"/>
        <v>1</v>
      </c>
      <c r="N258">
        <v>1</v>
      </c>
      <c r="O258">
        <v>1</v>
      </c>
    </row>
    <row r="259" spans="1:15" x14ac:dyDescent="0.2">
      <c r="A259" t="s">
        <v>1545</v>
      </c>
      <c r="B259">
        <v>9003430302</v>
      </c>
      <c r="C259" t="s">
        <v>1546</v>
      </c>
      <c r="D259">
        <v>2755</v>
      </c>
      <c r="E259">
        <v>1.7104666120000001</v>
      </c>
      <c r="F259">
        <v>1610.671603</v>
      </c>
      <c r="G259">
        <v>1</v>
      </c>
      <c r="H259">
        <v>67</v>
      </c>
      <c r="I259">
        <v>2.3255813949999999</v>
      </c>
      <c r="J259">
        <v>3.1E-2</v>
      </c>
      <c r="K259">
        <f t="shared" ref="K259:K322" si="4">IF(J259&lt;0.2,1,IF(J259&lt;0.4,2,IF(J259&lt;0.6,3,IF(J259&lt;0.8,4,5))))</f>
        <v>1</v>
      </c>
      <c r="N259">
        <v>2</v>
      </c>
      <c r="O259">
        <v>2</v>
      </c>
    </row>
    <row r="260" spans="1:15" x14ac:dyDescent="0.2">
      <c r="A260" t="s">
        <v>1547</v>
      </c>
      <c r="B260">
        <v>9003430400</v>
      </c>
      <c r="C260" t="s">
        <v>1548</v>
      </c>
      <c r="D260">
        <v>5049</v>
      </c>
      <c r="E260">
        <v>3.8524749919999999</v>
      </c>
      <c r="F260">
        <v>1310.586055</v>
      </c>
      <c r="G260">
        <v>1</v>
      </c>
      <c r="H260">
        <v>137</v>
      </c>
      <c r="I260">
        <v>3.3685763460000002</v>
      </c>
      <c r="J260">
        <v>7.9000000000000001E-2</v>
      </c>
      <c r="K260">
        <f t="shared" si="4"/>
        <v>1</v>
      </c>
      <c r="N260">
        <v>2</v>
      </c>
      <c r="O260">
        <v>2</v>
      </c>
    </row>
    <row r="261" spans="1:15" x14ac:dyDescent="0.2">
      <c r="A261" t="s">
        <v>1549</v>
      </c>
      <c r="B261">
        <v>9003430500</v>
      </c>
      <c r="C261" t="s">
        <v>1550</v>
      </c>
      <c r="D261">
        <v>6547</v>
      </c>
      <c r="E261">
        <v>4.7830240909999997</v>
      </c>
      <c r="F261">
        <v>1368.7992939999999</v>
      </c>
      <c r="G261">
        <v>1</v>
      </c>
      <c r="H261">
        <v>17</v>
      </c>
      <c r="I261">
        <v>0.25275051999999998</v>
      </c>
      <c r="J261">
        <v>0</v>
      </c>
      <c r="K261">
        <f t="shared" si="4"/>
        <v>1</v>
      </c>
      <c r="N261">
        <v>1</v>
      </c>
      <c r="O261">
        <v>1</v>
      </c>
    </row>
    <row r="262" spans="1:15" x14ac:dyDescent="0.2">
      <c r="A262" t="s">
        <v>1551</v>
      </c>
      <c r="B262">
        <v>9003430601</v>
      </c>
      <c r="C262" t="s">
        <v>1552</v>
      </c>
      <c r="D262">
        <v>5202</v>
      </c>
      <c r="E262">
        <v>8.4193239510000009</v>
      </c>
      <c r="F262">
        <v>617.86433569999997</v>
      </c>
      <c r="G262">
        <v>1</v>
      </c>
      <c r="H262">
        <v>494</v>
      </c>
      <c r="I262">
        <v>9.4346829640000003</v>
      </c>
      <c r="J262">
        <v>0.39200000000000002</v>
      </c>
      <c r="K262">
        <f t="shared" si="4"/>
        <v>2</v>
      </c>
      <c r="N262">
        <v>3.5</v>
      </c>
      <c r="O262">
        <v>4</v>
      </c>
    </row>
    <row r="263" spans="1:15" x14ac:dyDescent="0.2">
      <c r="A263" t="s">
        <v>1553</v>
      </c>
      <c r="B263">
        <v>9003430602</v>
      </c>
      <c r="C263" t="s">
        <v>1554</v>
      </c>
      <c r="D263">
        <v>3505</v>
      </c>
      <c r="E263">
        <v>1.409440121</v>
      </c>
      <c r="F263">
        <v>2486.8030560000002</v>
      </c>
      <c r="G263">
        <v>1</v>
      </c>
      <c r="H263">
        <v>234</v>
      </c>
      <c r="I263">
        <v>6.5509518480000004</v>
      </c>
      <c r="J263">
        <v>0.23899999999999999</v>
      </c>
      <c r="K263">
        <f t="shared" si="4"/>
        <v>2</v>
      </c>
      <c r="N263">
        <v>2.5</v>
      </c>
      <c r="O263">
        <v>3</v>
      </c>
    </row>
    <row r="264" spans="1:15" x14ac:dyDescent="0.2">
      <c r="A264" t="s">
        <v>1555</v>
      </c>
      <c r="B264">
        <v>9003460100</v>
      </c>
      <c r="C264" t="s">
        <v>1556</v>
      </c>
      <c r="D264">
        <v>3325</v>
      </c>
      <c r="E264">
        <v>3.8003650979999999</v>
      </c>
      <c r="F264">
        <v>874.91593939999996</v>
      </c>
      <c r="G264">
        <v>1</v>
      </c>
      <c r="H264">
        <v>439</v>
      </c>
      <c r="I264">
        <v>13.60818351</v>
      </c>
      <c r="J264">
        <v>0.58699999999999997</v>
      </c>
      <c r="K264">
        <f t="shared" si="4"/>
        <v>3</v>
      </c>
      <c r="N264">
        <v>2.5</v>
      </c>
      <c r="O264">
        <v>3</v>
      </c>
    </row>
    <row r="265" spans="1:15" x14ac:dyDescent="0.2">
      <c r="A265" t="s">
        <v>1557</v>
      </c>
      <c r="B265">
        <v>9003460202</v>
      </c>
      <c r="C265" t="s">
        <v>1558</v>
      </c>
      <c r="D265">
        <v>4119</v>
      </c>
      <c r="E265">
        <v>7.6055989449999997</v>
      </c>
      <c r="F265">
        <v>541.57470439999997</v>
      </c>
      <c r="G265">
        <v>1</v>
      </c>
      <c r="H265">
        <v>938</v>
      </c>
      <c r="I265">
        <v>21.687861269999999</v>
      </c>
      <c r="J265">
        <v>0.78800000000000003</v>
      </c>
      <c r="K265">
        <f t="shared" si="4"/>
        <v>4</v>
      </c>
      <c r="N265">
        <v>3</v>
      </c>
      <c r="O265">
        <v>3</v>
      </c>
    </row>
    <row r="266" spans="1:15" x14ac:dyDescent="0.2">
      <c r="A266" t="s">
        <v>1559</v>
      </c>
      <c r="B266">
        <v>9003460203</v>
      </c>
      <c r="C266" t="s">
        <v>1560</v>
      </c>
      <c r="D266">
        <v>3018</v>
      </c>
      <c r="E266">
        <v>4.7342084209999999</v>
      </c>
      <c r="F266">
        <v>637.4877765</v>
      </c>
      <c r="G266">
        <v>1</v>
      </c>
      <c r="H266">
        <v>965</v>
      </c>
      <c r="I266">
        <v>29.84843798</v>
      </c>
      <c r="J266">
        <v>0.89100000000000001</v>
      </c>
      <c r="K266">
        <f t="shared" si="4"/>
        <v>5</v>
      </c>
      <c r="N266">
        <v>4</v>
      </c>
      <c r="O266">
        <v>4</v>
      </c>
    </row>
    <row r="267" spans="1:15" x14ac:dyDescent="0.2">
      <c r="A267" t="s">
        <v>1561</v>
      </c>
      <c r="B267">
        <v>9003460204</v>
      </c>
      <c r="C267" t="s">
        <v>1562</v>
      </c>
      <c r="D267">
        <v>5941</v>
      </c>
      <c r="E267">
        <v>6.7924395789999998</v>
      </c>
      <c r="F267">
        <v>874.64892859999998</v>
      </c>
      <c r="G267">
        <v>1</v>
      </c>
      <c r="H267">
        <v>1319</v>
      </c>
      <c r="I267">
        <v>21.436697550000002</v>
      </c>
      <c r="J267">
        <v>0.78300000000000003</v>
      </c>
      <c r="K267">
        <f t="shared" si="4"/>
        <v>4</v>
      </c>
      <c r="N267">
        <v>3.5</v>
      </c>
      <c r="O267">
        <v>4</v>
      </c>
    </row>
    <row r="268" spans="1:15" x14ac:dyDescent="0.2">
      <c r="A268" t="s">
        <v>1563</v>
      </c>
      <c r="B268">
        <v>9003460301</v>
      </c>
      <c r="C268" t="s">
        <v>1564</v>
      </c>
      <c r="D268">
        <v>4982</v>
      </c>
      <c r="E268">
        <v>2.8572781030000001</v>
      </c>
      <c r="F268">
        <v>1743.6174639999999</v>
      </c>
      <c r="G268">
        <v>1</v>
      </c>
      <c r="H268">
        <v>457</v>
      </c>
      <c r="I268">
        <v>9.5686767170000007</v>
      </c>
      <c r="J268">
        <v>0.40899999999999997</v>
      </c>
      <c r="K268">
        <f t="shared" si="4"/>
        <v>3</v>
      </c>
      <c r="N268">
        <v>3</v>
      </c>
      <c r="O268">
        <v>3</v>
      </c>
    </row>
    <row r="269" spans="1:15" x14ac:dyDescent="0.2">
      <c r="A269" t="s">
        <v>1565</v>
      </c>
      <c r="B269">
        <v>9003460302</v>
      </c>
      <c r="C269" t="s">
        <v>1566</v>
      </c>
      <c r="D269">
        <v>4033</v>
      </c>
      <c r="E269">
        <v>2.2399219609999999</v>
      </c>
      <c r="F269">
        <v>1800.5091560000001</v>
      </c>
      <c r="G269">
        <v>1</v>
      </c>
      <c r="H269">
        <v>489</v>
      </c>
      <c r="I269">
        <v>12.817824379999999</v>
      </c>
      <c r="J269">
        <v>0.55700000000000005</v>
      </c>
      <c r="K269">
        <f t="shared" si="4"/>
        <v>3</v>
      </c>
      <c r="N269">
        <v>3</v>
      </c>
      <c r="O269">
        <v>3</v>
      </c>
    </row>
    <row r="270" spans="1:15" x14ac:dyDescent="0.2">
      <c r="A270" t="s">
        <v>1567</v>
      </c>
      <c r="B270">
        <v>9003462101</v>
      </c>
      <c r="C270" t="s">
        <v>1568</v>
      </c>
      <c r="D270">
        <v>5833</v>
      </c>
      <c r="E270">
        <v>4.1099244480000001</v>
      </c>
      <c r="F270">
        <v>1419.2475010000001</v>
      </c>
      <c r="G270">
        <v>1</v>
      </c>
      <c r="H270">
        <v>947</v>
      </c>
      <c r="I270">
        <v>14.977067849999999</v>
      </c>
      <c r="J270">
        <v>0.61899999999999999</v>
      </c>
      <c r="K270">
        <f t="shared" si="4"/>
        <v>4</v>
      </c>
      <c r="N270">
        <v>3</v>
      </c>
      <c r="O270">
        <v>3</v>
      </c>
    </row>
    <row r="271" spans="1:15" x14ac:dyDescent="0.2">
      <c r="A271" t="s">
        <v>1569</v>
      </c>
      <c r="B271">
        <v>9003462102</v>
      </c>
      <c r="C271" t="s">
        <v>1570</v>
      </c>
      <c r="D271">
        <v>4239</v>
      </c>
      <c r="E271">
        <v>4.3947914040000002</v>
      </c>
      <c r="F271">
        <v>964.55089899999996</v>
      </c>
      <c r="G271">
        <v>1</v>
      </c>
      <c r="H271">
        <v>839</v>
      </c>
      <c r="I271">
        <v>21.283612380000001</v>
      </c>
      <c r="J271">
        <v>0.77500000000000002</v>
      </c>
      <c r="K271">
        <f t="shared" si="4"/>
        <v>4</v>
      </c>
      <c r="N271">
        <v>2.5</v>
      </c>
      <c r="O271">
        <v>3</v>
      </c>
    </row>
    <row r="272" spans="1:15" x14ac:dyDescent="0.2">
      <c r="A272" t="s">
        <v>1571</v>
      </c>
      <c r="B272">
        <v>9003462201</v>
      </c>
      <c r="C272" t="s">
        <v>1572</v>
      </c>
      <c r="D272">
        <v>5256</v>
      </c>
      <c r="E272">
        <v>8.5129297899999994</v>
      </c>
      <c r="F272">
        <v>617.41376119999995</v>
      </c>
      <c r="G272">
        <v>1</v>
      </c>
      <c r="H272">
        <v>771</v>
      </c>
      <c r="I272">
        <v>14.866949480000001</v>
      </c>
      <c r="J272">
        <v>0.61799999999999999</v>
      </c>
      <c r="K272">
        <f t="shared" si="4"/>
        <v>4</v>
      </c>
      <c r="N272">
        <v>3.5</v>
      </c>
      <c r="O272">
        <v>4</v>
      </c>
    </row>
    <row r="273" spans="1:15" x14ac:dyDescent="0.2">
      <c r="A273" t="s">
        <v>1573</v>
      </c>
      <c r="B273">
        <v>9003462202</v>
      </c>
      <c r="C273" t="s">
        <v>1574</v>
      </c>
      <c r="D273">
        <v>2692</v>
      </c>
      <c r="E273">
        <v>6.122822963</v>
      </c>
      <c r="F273">
        <v>439.6664768</v>
      </c>
      <c r="G273">
        <v>1</v>
      </c>
      <c r="H273">
        <v>813</v>
      </c>
      <c r="I273">
        <v>28.41663754</v>
      </c>
      <c r="J273">
        <v>0.871</v>
      </c>
      <c r="K273">
        <f t="shared" si="4"/>
        <v>5</v>
      </c>
      <c r="N273">
        <v>3</v>
      </c>
      <c r="O273">
        <v>3</v>
      </c>
    </row>
    <row r="274" spans="1:15" x14ac:dyDescent="0.2">
      <c r="A274" t="s">
        <v>1575</v>
      </c>
      <c r="B274">
        <v>9003464101</v>
      </c>
      <c r="C274" t="s">
        <v>1576</v>
      </c>
      <c r="D274">
        <v>5285</v>
      </c>
      <c r="E274">
        <v>20.37469479</v>
      </c>
      <c r="F274">
        <v>259.39038870000002</v>
      </c>
      <c r="G274">
        <v>2</v>
      </c>
      <c r="H274">
        <v>162</v>
      </c>
      <c r="I274">
        <v>3.003893937</v>
      </c>
      <c r="J274">
        <v>5.1999999999999998E-2</v>
      </c>
      <c r="K274">
        <f t="shared" si="4"/>
        <v>1</v>
      </c>
      <c r="N274">
        <v>1.5</v>
      </c>
      <c r="O274">
        <v>2</v>
      </c>
    </row>
    <row r="275" spans="1:15" x14ac:dyDescent="0.2">
      <c r="A275" t="s">
        <v>1577</v>
      </c>
      <c r="B275">
        <v>9003464102</v>
      </c>
      <c r="C275" t="s">
        <v>1578</v>
      </c>
      <c r="D275">
        <v>5007</v>
      </c>
      <c r="E275">
        <v>4.2109731779999997</v>
      </c>
      <c r="F275">
        <v>1189.036308</v>
      </c>
      <c r="G275">
        <v>1</v>
      </c>
      <c r="H275">
        <v>487</v>
      </c>
      <c r="I275">
        <v>9.9489274769999998</v>
      </c>
      <c r="J275">
        <v>0.41799999999999998</v>
      </c>
      <c r="K275">
        <f t="shared" si="4"/>
        <v>3</v>
      </c>
      <c r="N275">
        <v>3</v>
      </c>
      <c r="O275">
        <v>3</v>
      </c>
    </row>
    <row r="276" spans="1:15" x14ac:dyDescent="0.2">
      <c r="A276" t="s">
        <v>1579</v>
      </c>
      <c r="B276">
        <v>9003466101</v>
      </c>
      <c r="C276" t="s">
        <v>1580</v>
      </c>
      <c r="D276">
        <v>4200</v>
      </c>
      <c r="E276">
        <v>5.3551001009999997</v>
      </c>
      <c r="F276">
        <v>784.29906459999995</v>
      </c>
      <c r="G276">
        <v>1</v>
      </c>
      <c r="H276">
        <v>168</v>
      </c>
      <c r="I276">
        <v>3.8312428729999999</v>
      </c>
      <c r="J276">
        <v>9.9000000000000005E-2</v>
      </c>
      <c r="K276">
        <f t="shared" si="4"/>
        <v>1</v>
      </c>
      <c r="N276">
        <v>1.5</v>
      </c>
      <c r="O276">
        <v>2</v>
      </c>
    </row>
    <row r="277" spans="1:15" x14ac:dyDescent="0.2">
      <c r="A277" t="s">
        <v>1581</v>
      </c>
      <c r="B277">
        <v>9003466102</v>
      </c>
      <c r="C277" t="s">
        <v>1582</v>
      </c>
      <c r="D277">
        <v>4978</v>
      </c>
      <c r="E277">
        <v>4.2594517810000001</v>
      </c>
      <c r="F277">
        <v>1168.6949999999999</v>
      </c>
      <c r="G277">
        <v>1</v>
      </c>
      <c r="H277">
        <v>441</v>
      </c>
      <c r="I277">
        <v>8.9871611980000008</v>
      </c>
      <c r="J277">
        <v>0.376</v>
      </c>
      <c r="K277">
        <f t="shared" si="4"/>
        <v>2</v>
      </c>
      <c r="N277">
        <v>2</v>
      </c>
      <c r="O277">
        <v>2</v>
      </c>
    </row>
    <row r="278" spans="1:15" x14ac:dyDescent="0.2">
      <c r="A278" t="s">
        <v>1583</v>
      </c>
      <c r="B278">
        <v>9003466201</v>
      </c>
      <c r="C278" t="s">
        <v>1584</v>
      </c>
      <c r="D278">
        <v>2318</v>
      </c>
      <c r="E278">
        <v>3.1226607999999998</v>
      </c>
      <c r="F278">
        <v>742.31565590000002</v>
      </c>
      <c r="G278">
        <v>1</v>
      </c>
      <c r="H278">
        <v>393</v>
      </c>
      <c r="I278">
        <v>13.57512953</v>
      </c>
      <c r="J278">
        <v>0.59</v>
      </c>
      <c r="K278">
        <f t="shared" si="4"/>
        <v>3</v>
      </c>
      <c r="N278">
        <v>3</v>
      </c>
      <c r="O278">
        <v>3</v>
      </c>
    </row>
    <row r="279" spans="1:15" x14ac:dyDescent="0.2">
      <c r="A279" t="s">
        <v>1585</v>
      </c>
      <c r="B279">
        <v>9003466202</v>
      </c>
      <c r="C279" t="s">
        <v>1586</v>
      </c>
      <c r="D279">
        <v>4732</v>
      </c>
      <c r="E279">
        <v>11.024516330000001</v>
      </c>
      <c r="F279">
        <v>429.22517950000002</v>
      </c>
      <c r="G279">
        <v>1</v>
      </c>
      <c r="H279">
        <v>355</v>
      </c>
      <c r="I279">
        <v>7.2066585459999999</v>
      </c>
      <c r="J279">
        <v>0.27300000000000002</v>
      </c>
      <c r="K279">
        <f t="shared" si="4"/>
        <v>2</v>
      </c>
      <c r="N279">
        <v>1.5</v>
      </c>
      <c r="O279">
        <v>2</v>
      </c>
    </row>
    <row r="280" spans="1:15" x14ac:dyDescent="0.2">
      <c r="A280" t="s">
        <v>1587</v>
      </c>
      <c r="B280">
        <v>9003466300</v>
      </c>
      <c r="C280" t="s">
        <v>1588</v>
      </c>
      <c r="D280">
        <v>4866</v>
      </c>
      <c r="E280">
        <v>4.0479890249999997</v>
      </c>
      <c r="F280">
        <v>1202.078358</v>
      </c>
      <c r="G280">
        <v>1</v>
      </c>
      <c r="H280">
        <v>353</v>
      </c>
      <c r="I280">
        <v>7.0067487100000001</v>
      </c>
      <c r="J280">
        <v>0.25900000000000001</v>
      </c>
      <c r="K280">
        <f t="shared" si="4"/>
        <v>2</v>
      </c>
      <c r="N280">
        <v>1.5</v>
      </c>
      <c r="O280">
        <v>2</v>
      </c>
    </row>
    <row r="281" spans="1:15" x14ac:dyDescent="0.2">
      <c r="A281" t="s">
        <v>1589</v>
      </c>
      <c r="B281">
        <v>9003466400</v>
      </c>
      <c r="C281" t="s">
        <v>1590</v>
      </c>
      <c r="D281">
        <v>2417</v>
      </c>
      <c r="E281">
        <v>6.1140318020000004</v>
      </c>
      <c r="F281">
        <v>395.320155</v>
      </c>
      <c r="G281">
        <v>1</v>
      </c>
      <c r="H281">
        <v>323</v>
      </c>
      <c r="I281">
        <v>12.1978852</v>
      </c>
      <c r="J281">
        <v>0.52300000000000002</v>
      </c>
      <c r="K281">
        <f t="shared" si="4"/>
        <v>3</v>
      </c>
      <c r="N281">
        <v>2.5</v>
      </c>
      <c r="O281">
        <v>3</v>
      </c>
    </row>
    <row r="282" spans="1:15" x14ac:dyDescent="0.2">
      <c r="A282" t="s">
        <v>1591</v>
      </c>
      <c r="B282">
        <v>9003468101</v>
      </c>
      <c r="C282" t="s">
        <v>1592</v>
      </c>
      <c r="D282">
        <v>7468</v>
      </c>
      <c r="E282">
        <v>35.342737110000002</v>
      </c>
      <c r="F282">
        <v>211.3022536</v>
      </c>
      <c r="G282">
        <v>1</v>
      </c>
      <c r="H282">
        <v>397</v>
      </c>
      <c r="I282">
        <v>5.3699445419999998</v>
      </c>
      <c r="J282">
        <v>0.17899999999999999</v>
      </c>
      <c r="K282">
        <f t="shared" si="4"/>
        <v>1</v>
      </c>
      <c r="N282">
        <v>1</v>
      </c>
      <c r="O282">
        <v>1</v>
      </c>
    </row>
    <row r="283" spans="1:15" x14ac:dyDescent="0.2">
      <c r="A283" t="s">
        <v>1593</v>
      </c>
      <c r="B283">
        <v>9003468102</v>
      </c>
      <c r="C283" t="s">
        <v>1594</v>
      </c>
      <c r="D283">
        <v>3814</v>
      </c>
      <c r="E283">
        <v>5.3353888129999998</v>
      </c>
      <c r="F283">
        <v>714.84949529999994</v>
      </c>
      <c r="G283">
        <v>1</v>
      </c>
      <c r="H283">
        <v>257</v>
      </c>
      <c r="I283">
        <v>6.4768145160000001</v>
      </c>
      <c r="J283">
        <v>0.23799999999999999</v>
      </c>
      <c r="K283">
        <f t="shared" si="4"/>
        <v>2</v>
      </c>
      <c r="N283">
        <v>2</v>
      </c>
      <c r="O283">
        <v>2</v>
      </c>
    </row>
    <row r="284" spans="1:15" x14ac:dyDescent="0.2">
      <c r="A284" t="s">
        <v>1595</v>
      </c>
      <c r="B284">
        <v>9003470100</v>
      </c>
      <c r="C284" t="s">
        <v>1596</v>
      </c>
      <c r="D284">
        <v>5148</v>
      </c>
      <c r="E284">
        <v>16.651323090000002</v>
      </c>
      <c r="F284">
        <v>309.16462139999999</v>
      </c>
      <c r="G284">
        <v>1</v>
      </c>
      <c r="H284">
        <v>712</v>
      </c>
      <c r="I284">
        <v>13.42383107</v>
      </c>
      <c r="J284">
        <v>0.57799999999999996</v>
      </c>
      <c r="K284">
        <f t="shared" si="4"/>
        <v>3</v>
      </c>
      <c r="N284">
        <v>3</v>
      </c>
      <c r="O284">
        <v>3</v>
      </c>
    </row>
    <row r="285" spans="1:15" x14ac:dyDescent="0.2">
      <c r="A285" t="s">
        <v>1597</v>
      </c>
      <c r="B285">
        <v>9003471100</v>
      </c>
      <c r="C285" t="s">
        <v>1598</v>
      </c>
      <c r="D285">
        <v>3635</v>
      </c>
      <c r="E285">
        <v>1.0545902140000001</v>
      </c>
      <c r="F285">
        <v>3446.8364590000001</v>
      </c>
      <c r="G285">
        <v>1</v>
      </c>
      <c r="H285">
        <v>387</v>
      </c>
      <c r="I285">
        <v>9.9511442530000007</v>
      </c>
      <c r="J285">
        <v>0.41499999999999998</v>
      </c>
      <c r="K285">
        <f t="shared" si="4"/>
        <v>3</v>
      </c>
      <c r="N285">
        <v>3.5</v>
      </c>
      <c r="O285">
        <v>4</v>
      </c>
    </row>
    <row r="286" spans="1:15" x14ac:dyDescent="0.2">
      <c r="A286" t="s">
        <v>1599</v>
      </c>
      <c r="B286">
        <v>9003471200</v>
      </c>
      <c r="C286" t="s">
        <v>1600</v>
      </c>
      <c r="D286">
        <v>3347</v>
      </c>
      <c r="E286">
        <v>2.2447285469999998</v>
      </c>
      <c r="F286">
        <v>1491.048886</v>
      </c>
      <c r="G286">
        <v>1</v>
      </c>
      <c r="H286">
        <v>146</v>
      </c>
      <c r="I286">
        <v>4.4376899700000001</v>
      </c>
      <c r="J286">
        <v>0.13100000000000001</v>
      </c>
      <c r="K286">
        <f t="shared" si="4"/>
        <v>1</v>
      </c>
      <c r="N286">
        <v>2.5</v>
      </c>
      <c r="O286">
        <v>3</v>
      </c>
    </row>
    <row r="287" spans="1:15" x14ac:dyDescent="0.2">
      <c r="A287" t="s">
        <v>1601</v>
      </c>
      <c r="B287">
        <v>9003471300</v>
      </c>
      <c r="C287" t="s">
        <v>1602</v>
      </c>
      <c r="D287">
        <v>4577</v>
      </c>
      <c r="E287">
        <v>3.4100227489999999</v>
      </c>
      <c r="F287">
        <v>1342.219785</v>
      </c>
      <c r="G287">
        <v>1</v>
      </c>
      <c r="H287">
        <v>141</v>
      </c>
      <c r="I287">
        <v>3.1473214289999998</v>
      </c>
      <c r="J287">
        <v>5.8999999999999997E-2</v>
      </c>
      <c r="K287">
        <f t="shared" si="4"/>
        <v>1</v>
      </c>
      <c r="N287">
        <v>2</v>
      </c>
      <c r="O287">
        <v>2</v>
      </c>
    </row>
    <row r="288" spans="1:15" x14ac:dyDescent="0.2">
      <c r="A288" t="s">
        <v>1603</v>
      </c>
      <c r="B288">
        <v>9003471400</v>
      </c>
      <c r="C288" t="s">
        <v>1604</v>
      </c>
      <c r="D288">
        <v>5515</v>
      </c>
      <c r="E288">
        <v>12.885838079999999</v>
      </c>
      <c r="F288">
        <v>427.98923639999998</v>
      </c>
      <c r="G288">
        <v>1</v>
      </c>
      <c r="H288">
        <v>422</v>
      </c>
      <c r="I288">
        <v>7.692307692</v>
      </c>
      <c r="J288">
        <v>0.28499999999999998</v>
      </c>
      <c r="K288">
        <f t="shared" si="4"/>
        <v>2</v>
      </c>
      <c r="N288">
        <v>2</v>
      </c>
      <c r="O288">
        <v>2</v>
      </c>
    </row>
    <row r="289" spans="1:15" x14ac:dyDescent="0.2">
      <c r="A289" t="s">
        <v>1605</v>
      </c>
      <c r="B289">
        <v>9003471500</v>
      </c>
      <c r="C289" t="s">
        <v>1606</v>
      </c>
      <c r="D289">
        <v>3412</v>
      </c>
      <c r="E289">
        <v>6.4674901970000001</v>
      </c>
      <c r="F289">
        <v>527.56168100000002</v>
      </c>
      <c r="G289">
        <v>1</v>
      </c>
      <c r="H289">
        <v>476</v>
      </c>
      <c r="I289">
        <v>12.27753418</v>
      </c>
      <c r="J289">
        <v>0.52200000000000002</v>
      </c>
      <c r="K289">
        <f t="shared" si="4"/>
        <v>3</v>
      </c>
      <c r="N289">
        <v>3</v>
      </c>
      <c r="O289">
        <v>3</v>
      </c>
    </row>
    <row r="290" spans="1:15" x14ac:dyDescent="0.2">
      <c r="A290" t="s">
        <v>1607</v>
      </c>
      <c r="B290">
        <v>9003473100</v>
      </c>
      <c r="C290" t="s">
        <v>1608</v>
      </c>
      <c r="D290">
        <v>6246</v>
      </c>
      <c r="E290">
        <v>4.0921093070000003</v>
      </c>
      <c r="F290">
        <v>1526.352189</v>
      </c>
      <c r="G290">
        <v>1</v>
      </c>
      <c r="H290">
        <v>163</v>
      </c>
      <c r="I290">
        <v>2.5492649360000001</v>
      </c>
      <c r="J290">
        <v>3.1E-2</v>
      </c>
      <c r="K290">
        <f t="shared" si="4"/>
        <v>1</v>
      </c>
      <c r="N290">
        <v>1.5</v>
      </c>
      <c r="O290">
        <v>2</v>
      </c>
    </row>
    <row r="291" spans="1:15" x14ac:dyDescent="0.2">
      <c r="A291" t="s">
        <v>1609</v>
      </c>
      <c r="B291">
        <v>9003473400</v>
      </c>
      <c r="C291" t="s">
        <v>1610</v>
      </c>
      <c r="D291">
        <v>1854</v>
      </c>
      <c r="E291">
        <v>0.88954311799999997</v>
      </c>
      <c r="F291">
        <v>2084.2160020000001</v>
      </c>
      <c r="G291">
        <v>1</v>
      </c>
      <c r="H291">
        <v>133</v>
      </c>
      <c r="I291">
        <v>7.7280650780000002</v>
      </c>
      <c r="J291">
        <v>0.28899999999999998</v>
      </c>
      <c r="K291">
        <f t="shared" si="4"/>
        <v>2</v>
      </c>
      <c r="N291">
        <v>3</v>
      </c>
      <c r="O291">
        <v>3</v>
      </c>
    </row>
    <row r="292" spans="1:15" x14ac:dyDescent="0.2">
      <c r="A292" t="s">
        <v>1611</v>
      </c>
      <c r="B292">
        <v>9003473501</v>
      </c>
      <c r="C292" t="s">
        <v>1612</v>
      </c>
      <c r="D292">
        <v>4400</v>
      </c>
      <c r="E292">
        <v>9.6119217540000008</v>
      </c>
      <c r="F292">
        <v>457.76485830000001</v>
      </c>
      <c r="G292">
        <v>1</v>
      </c>
      <c r="H292">
        <v>573</v>
      </c>
      <c r="I292">
        <v>13.56534091</v>
      </c>
      <c r="J292">
        <v>0.57899999999999996</v>
      </c>
      <c r="K292">
        <f t="shared" si="4"/>
        <v>3</v>
      </c>
      <c r="N292">
        <v>2.5</v>
      </c>
      <c r="O292">
        <v>3</v>
      </c>
    </row>
    <row r="293" spans="1:15" x14ac:dyDescent="0.2">
      <c r="A293" t="s">
        <v>1613</v>
      </c>
      <c r="B293">
        <v>9003473502</v>
      </c>
      <c r="C293" t="s">
        <v>1614</v>
      </c>
      <c r="D293">
        <v>3241</v>
      </c>
      <c r="E293">
        <v>5.4175258729999998</v>
      </c>
      <c r="F293">
        <v>598.24356660000001</v>
      </c>
      <c r="G293">
        <v>1</v>
      </c>
      <c r="H293">
        <v>267</v>
      </c>
      <c r="I293">
        <v>8.7084148730000006</v>
      </c>
      <c r="J293">
        <v>0.36099999999999999</v>
      </c>
      <c r="K293">
        <f t="shared" si="4"/>
        <v>2</v>
      </c>
      <c r="N293">
        <v>2.5</v>
      </c>
      <c r="O293">
        <v>3</v>
      </c>
    </row>
    <row r="294" spans="1:15" x14ac:dyDescent="0.2">
      <c r="A294" t="s">
        <v>1615</v>
      </c>
      <c r="B294">
        <v>9003473601</v>
      </c>
      <c r="C294" t="s">
        <v>1616</v>
      </c>
      <c r="D294">
        <v>3320</v>
      </c>
      <c r="E294">
        <v>4.819932756</v>
      </c>
      <c r="F294">
        <v>688.80628999999999</v>
      </c>
      <c r="G294">
        <v>1</v>
      </c>
      <c r="H294">
        <v>430</v>
      </c>
      <c r="I294">
        <v>13.94293126</v>
      </c>
      <c r="J294">
        <v>0.58699999999999997</v>
      </c>
      <c r="K294">
        <f t="shared" si="4"/>
        <v>3</v>
      </c>
      <c r="N294">
        <v>3</v>
      </c>
      <c r="O294">
        <v>3</v>
      </c>
    </row>
    <row r="295" spans="1:15" x14ac:dyDescent="0.2">
      <c r="A295" t="s">
        <v>1617</v>
      </c>
      <c r="B295">
        <v>9003473602</v>
      </c>
      <c r="C295" t="s">
        <v>1618</v>
      </c>
      <c r="D295">
        <v>2260</v>
      </c>
      <c r="E295">
        <v>1.2559042739999999</v>
      </c>
      <c r="F295">
        <v>1799.5002059999999</v>
      </c>
      <c r="G295">
        <v>1</v>
      </c>
      <c r="H295">
        <v>637</v>
      </c>
      <c r="I295">
        <v>24.863387979999999</v>
      </c>
      <c r="J295">
        <v>0.81899999999999995</v>
      </c>
      <c r="K295">
        <f t="shared" si="4"/>
        <v>5</v>
      </c>
      <c r="N295">
        <v>4</v>
      </c>
      <c r="O295">
        <v>4</v>
      </c>
    </row>
    <row r="296" spans="1:15" x14ac:dyDescent="0.2">
      <c r="A296" t="s">
        <v>1619</v>
      </c>
      <c r="B296">
        <v>9003473700</v>
      </c>
      <c r="C296" t="s">
        <v>1620</v>
      </c>
      <c r="D296">
        <v>5865</v>
      </c>
      <c r="E296">
        <v>2.7591039030000002</v>
      </c>
      <c r="F296">
        <v>2125.6901539999999</v>
      </c>
      <c r="G296">
        <v>1</v>
      </c>
      <c r="H296">
        <v>792</v>
      </c>
      <c r="I296">
        <v>13.11909889</v>
      </c>
      <c r="J296">
        <v>0.56100000000000005</v>
      </c>
      <c r="K296">
        <f t="shared" si="4"/>
        <v>3</v>
      </c>
      <c r="N296">
        <v>3.5</v>
      </c>
      <c r="O296">
        <v>4</v>
      </c>
    </row>
    <row r="297" spans="1:15" x14ac:dyDescent="0.2">
      <c r="A297" t="s">
        <v>1621</v>
      </c>
      <c r="B297">
        <v>9003473800</v>
      </c>
      <c r="C297" t="s">
        <v>1622</v>
      </c>
      <c r="D297">
        <v>1858</v>
      </c>
      <c r="E297">
        <v>0.728708782</v>
      </c>
      <c r="F297">
        <v>2549.7153960000001</v>
      </c>
      <c r="G297">
        <v>1</v>
      </c>
      <c r="H297">
        <v>526</v>
      </c>
      <c r="I297">
        <v>29.700734050000001</v>
      </c>
      <c r="J297">
        <v>0.88400000000000001</v>
      </c>
      <c r="K297">
        <f t="shared" si="4"/>
        <v>5</v>
      </c>
      <c r="N297">
        <v>4.5</v>
      </c>
      <c r="O297">
        <v>5</v>
      </c>
    </row>
    <row r="298" spans="1:15" x14ac:dyDescent="0.2">
      <c r="A298" t="s">
        <v>1623</v>
      </c>
      <c r="B298">
        <v>9003476100</v>
      </c>
      <c r="C298" t="s">
        <v>1624</v>
      </c>
      <c r="D298">
        <v>4570</v>
      </c>
      <c r="E298">
        <v>2.4510704300000001</v>
      </c>
      <c r="F298">
        <v>1864.491507</v>
      </c>
      <c r="G298">
        <v>1</v>
      </c>
      <c r="H298">
        <v>309</v>
      </c>
      <c r="I298">
        <v>6.6480206539999998</v>
      </c>
      <c r="J298">
        <v>0.245</v>
      </c>
      <c r="K298">
        <f t="shared" si="4"/>
        <v>2</v>
      </c>
      <c r="N298">
        <v>3</v>
      </c>
      <c r="O298">
        <v>3</v>
      </c>
    </row>
    <row r="299" spans="1:15" x14ac:dyDescent="0.2">
      <c r="A299" t="s">
        <v>1625</v>
      </c>
      <c r="B299">
        <v>9003476200</v>
      </c>
      <c r="C299" t="s">
        <v>1626</v>
      </c>
      <c r="D299">
        <v>2814</v>
      </c>
      <c r="E299">
        <v>1.538820257</v>
      </c>
      <c r="F299">
        <v>1828.673614</v>
      </c>
      <c r="G299">
        <v>1</v>
      </c>
      <c r="H299">
        <v>266</v>
      </c>
      <c r="I299">
        <v>9.4393186660000001</v>
      </c>
      <c r="J299">
        <v>0.39200000000000002</v>
      </c>
      <c r="K299">
        <f t="shared" si="4"/>
        <v>2</v>
      </c>
      <c r="N299">
        <v>3</v>
      </c>
      <c r="O299">
        <v>3</v>
      </c>
    </row>
    <row r="300" spans="1:15" x14ac:dyDescent="0.2">
      <c r="A300" t="s">
        <v>1627</v>
      </c>
      <c r="B300">
        <v>9003476300</v>
      </c>
      <c r="C300" t="s">
        <v>1628</v>
      </c>
      <c r="D300">
        <v>5114</v>
      </c>
      <c r="E300">
        <v>3.6157132769999998</v>
      </c>
      <c r="F300">
        <v>1414.3820619999999</v>
      </c>
      <c r="G300">
        <v>1</v>
      </c>
      <c r="H300">
        <v>896</v>
      </c>
      <c r="I300">
        <v>17.214217099999999</v>
      </c>
      <c r="J300">
        <v>0.67500000000000004</v>
      </c>
      <c r="K300">
        <f t="shared" si="4"/>
        <v>4</v>
      </c>
      <c r="N300">
        <v>4</v>
      </c>
      <c r="O300">
        <v>4</v>
      </c>
    </row>
    <row r="301" spans="1:15" x14ac:dyDescent="0.2">
      <c r="A301" t="s">
        <v>1629</v>
      </c>
      <c r="B301">
        <v>9003477101</v>
      </c>
      <c r="C301" t="s">
        <v>1630</v>
      </c>
      <c r="D301">
        <v>4259</v>
      </c>
      <c r="E301">
        <v>17.499784170000002</v>
      </c>
      <c r="F301">
        <v>243.37443020000001</v>
      </c>
      <c r="G301">
        <v>1</v>
      </c>
      <c r="H301">
        <v>218</v>
      </c>
      <c r="I301">
        <v>5.2165589849999998</v>
      </c>
      <c r="J301">
        <v>0.17100000000000001</v>
      </c>
      <c r="K301">
        <f t="shared" si="4"/>
        <v>1</v>
      </c>
      <c r="N301">
        <v>1.5</v>
      </c>
      <c r="O301">
        <v>2</v>
      </c>
    </row>
    <row r="302" spans="1:15" x14ac:dyDescent="0.2">
      <c r="A302" t="s">
        <v>1631</v>
      </c>
      <c r="B302">
        <v>9003477102</v>
      </c>
      <c r="C302" t="s">
        <v>1632</v>
      </c>
      <c r="D302">
        <v>8521</v>
      </c>
      <c r="E302">
        <v>10.62522375</v>
      </c>
      <c r="F302">
        <v>801.95958259999998</v>
      </c>
      <c r="G302">
        <v>1</v>
      </c>
      <c r="H302">
        <v>1391</v>
      </c>
      <c r="I302">
        <v>16.28233642</v>
      </c>
      <c r="J302">
        <v>0.64900000000000002</v>
      </c>
      <c r="K302">
        <f t="shared" si="4"/>
        <v>4</v>
      </c>
      <c r="N302">
        <v>3</v>
      </c>
      <c r="O302">
        <v>3</v>
      </c>
    </row>
    <row r="303" spans="1:15" x14ac:dyDescent="0.2">
      <c r="A303" t="s">
        <v>1633</v>
      </c>
      <c r="B303">
        <v>9003477200</v>
      </c>
      <c r="C303" t="s">
        <v>1634</v>
      </c>
      <c r="D303">
        <v>2955</v>
      </c>
      <c r="E303">
        <v>13.905159790000001</v>
      </c>
      <c r="F303">
        <v>212.51104219999999</v>
      </c>
      <c r="G303">
        <v>1</v>
      </c>
      <c r="H303">
        <v>100</v>
      </c>
      <c r="I303">
        <v>3.3715441670000001</v>
      </c>
      <c r="J303">
        <v>7.8E-2</v>
      </c>
      <c r="K303">
        <f t="shared" si="4"/>
        <v>1</v>
      </c>
      <c r="N303">
        <v>1.5</v>
      </c>
      <c r="O303">
        <v>2</v>
      </c>
    </row>
    <row r="304" spans="1:15" x14ac:dyDescent="0.2">
      <c r="A304" t="s">
        <v>1635</v>
      </c>
      <c r="B304">
        <v>9003480300</v>
      </c>
      <c r="C304" t="s">
        <v>1636</v>
      </c>
      <c r="D304">
        <v>2244</v>
      </c>
      <c r="E304">
        <v>1.134458924</v>
      </c>
      <c r="F304">
        <v>1978.035478</v>
      </c>
      <c r="G304">
        <v>1</v>
      </c>
      <c r="H304">
        <v>147</v>
      </c>
      <c r="I304">
        <v>6.6275924259999996</v>
      </c>
      <c r="J304">
        <v>0.24199999999999999</v>
      </c>
      <c r="K304">
        <f t="shared" si="4"/>
        <v>2</v>
      </c>
      <c r="N304">
        <v>3</v>
      </c>
      <c r="O304">
        <v>3</v>
      </c>
    </row>
    <row r="305" spans="1:15" x14ac:dyDescent="0.2">
      <c r="A305" t="s">
        <v>1637</v>
      </c>
      <c r="B305">
        <v>9003480400</v>
      </c>
      <c r="C305" t="s">
        <v>1638</v>
      </c>
      <c r="D305">
        <v>3730</v>
      </c>
      <c r="E305">
        <v>1.6232341619999999</v>
      </c>
      <c r="F305">
        <v>2297.8816539999998</v>
      </c>
      <c r="G305">
        <v>1</v>
      </c>
      <c r="H305">
        <v>350</v>
      </c>
      <c r="I305">
        <v>9.5082857920000006</v>
      </c>
      <c r="J305">
        <v>0.40200000000000002</v>
      </c>
      <c r="K305">
        <f t="shared" si="4"/>
        <v>3</v>
      </c>
      <c r="N305">
        <v>3</v>
      </c>
      <c r="O305">
        <v>3</v>
      </c>
    </row>
    <row r="306" spans="1:15" x14ac:dyDescent="0.2">
      <c r="A306" t="s">
        <v>1639</v>
      </c>
      <c r="B306">
        <v>9003480500</v>
      </c>
      <c r="C306" t="s">
        <v>1640</v>
      </c>
      <c r="D306">
        <v>3253</v>
      </c>
      <c r="E306">
        <v>1.404285271</v>
      </c>
      <c r="F306">
        <v>2316.4808939999998</v>
      </c>
      <c r="G306">
        <v>1</v>
      </c>
      <c r="H306">
        <v>313</v>
      </c>
      <c r="I306">
        <v>9.46191052</v>
      </c>
      <c r="J306">
        <v>0.39300000000000002</v>
      </c>
      <c r="K306">
        <f t="shared" si="4"/>
        <v>2</v>
      </c>
      <c r="N306">
        <v>3</v>
      </c>
      <c r="O306">
        <v>3</v>
      </c>
    </row>
    <row r="307" spans="1:15" x14ac:dyDescent="0.2">
      <c r="A307" t="s">
        <v>1641</v>
      </c>
      <c r="B307">
        <v>9003480600</v>
      </c>
      <c r="C307" t="s">
        <v>1642</v>
      </c>
      <c r="D307">
        <v>4955</v>
      </c>
      <c r="E307">
        <v>0.67413285300000003</v>
      </c>
      <c r="F307">
        <v>7350.1832420000001</v>
      </c>
      <c r="G307">
        <v>1</v>
      </c>
      <c r="H307">
        <v>1583</v>
      </c>
      <c r="I307">
        <v>33.048016699999998</v>
      </c>
      <c r="J307">
        <v>0.91900000000000004</v>
      </c>
      <c r="K307">
        <f t="shared" si="4"/>
        <v>5</v>
      </c>
      <c r="N307">
        <v>5</v>
      </c>
      <c r="O307">
        <v>5</v>
      </c>
    </row>
    <row r="308" spans="1:15" x14ac:dyDescent="0.2">
      <c r="A308" t="s">
        <v>1643</v>
      </c>
      <c r="B308">
        <v>9003480700</v>
      </c>
      <c r="C308" t="s">
        <v>1644</v>
      </c>
      <c r="D308">
        <v>2210</v>
      </c>
      <c r="E308">
        <v>0.90687215499999996</v>
      </c>
      <c r="F308">
        <v>2436.9476850000001</v>
      </c>
      <c r="G308">
        <v>1</v>
      </c>
      <c r="H308">
        <v>288</v>
      </c>
      <c r="I308">
        <v>11.930405970000001</v>
      </c>
      <c r="J308">
        <v>0.50800000000000001</v>
      </c>
      <c r="K308">
        <f t="shared" si="4"/>
        <v>3</v>
      </c>
      <c r="N308">
        <v>4</v>
      </c>
      <c r="O308">
        <v>4</v>
      </c>
    </row>
    <row r="309" spans="1:15" x14ac:dyDescent="0.2">
      <c r="A309" t="s">
        <v>1645</v>
      </c>
      <c r="B309">
        <v>9003480800</v>
      </c>
      <c r="C309" t="s">
        <v>1646</v>
      </c>
      <c r="D309">
        <v>4425</v>
      </c>
      <c r="E309">
        <v>5.079765621</v>
      </c>
      <c r="F309">
        <v>871.10318280000001</v>
      </c>
      <c r="G309">
        <v>1</v>
      </c>
      <c r="H309">
        <v>536</v>
      </c>
      <c r="I309">
        <v>11.65977812</v>
      </c>
      <c r="J309">
        <v>0.49</v>
      </c>
      <c r="K309">
        <f t="shared" si="4"/>
        <v>3</v>
      </c>
      <c r="N309">
        <v>3.5</v>
      </c>
      <c r="O309">
        <v>4</v>
      </c>
    </row>
    <row r="310" spans="1:15" x14ac:dyDescent="0.2">
      <c r="A310" t="s">
        <v>1647</v>
      </c>
      <c r="B310">
        <v>9003480900</v>
      </c>
      <c r="C310" t="s">
        <v>1648</v>
      </c>
      <c r="D310">
        <v>2246</v>
      </c>
      <c r="E310">
        <v>2.2558436560000001</v>
      </c>
      <c r="F310">
        <v>995.63637470000003</v>
      </c>
      <c r="G310">
        <v>1</v>
      </c>
      <c r="H310">
        <v>143</v>
      </c>
      <c r="I310">
        <v>6.4472497750000004</v>
      </c>
      <c r="J310">
        <v>0.23899999999999999</v>
      </c>
      <c r="K310">
        <f t="shared" si="4"/>
        <v>2</v>
      </c>
      <c r="N310">
        <v>2.5</v>
      </c>
      <c r="O310">
        <v>3</v>
      </c>
    </row>
    <row r="311" spans="1:15" x14ac:dyDescent="0.2">
      <c r="A311" t="s">
        <v>1649</v>
      </c>
      <c r="B311">
        <v>9003481000</v>
      </c>
      <c r="C311" t="s">
        <v>1650</v>
      </c>
      <c r="D311">
        <v>3644</v>
      </c>
      <c r="E311">
        <v>7.5065282160000004</v>
      </c>
      <c r="F311">
        <v>485.44412219999998</v>
      </c>
      <c r="G311">
        <v>1</v>
      </c>
      <c r="H311">
        <v>191</v>
      </c>
      <c r="I311">
        <v>5.2029419780000001</v>
      </c>
      <c r="J311">
        <v>0.17</v>
      </c>
      <c r="K311">
        <f t="shared" si="4"/>
        <v>1</v>
      </c>
      <c r="N311">
        <v>1.5</v>
      </c>
      <c r="O311">
        <v>2</v>
      </c>
    </row>
    <row r="312" spans="1:15" x14ac:dyDescent="0.2">
      <c r="A312" t="s">
        <v>1651</v>
      </c>
      <c r="B312">
        <v>9003481100</v>
      </c>
      <c r="C312" t="s">
        <v>1652</v>
      </c>
      <c r="D312">
        <v>3855</v>
      </c>
      <c r="E312">
        <v>2.2182373050000002</v>
      </c>
      <c r="F312">
        <v>1737.8663650000001</v>
      </c>
      <c r="G312">
        <v>1</v>
      </c>
      <c r="H312">
        <v>332</v>
      </c>
      <c r="I312">
        <v>8.4456881199999998</v>
      </c>
      <c r="J312">
        <v>0.33900000000000002</v>
      </c>
      <c r="K312">
        <f t="shared" si="4"/>
        <v>2</v>
      </c>
      <c r="N312">
        <v>3</v>
      </c>
      <c r="O312">
        <v>3</v>
      </c>
    </row>
    <row r="313" spans="1:15" x14ac:dyDescent="0.2">
      <c r="A313" t="s">
        <v>1653</v>
      </c>
      <c r="B313">
        <v>9003481200</v>
      </c>
      <c r="C313" t="s">
        <v>1654</v>
      </c>
      <c r="D313">
        <v>3769</v>
      </c>
      <c r="E313">
        <v>2.3702522949999998</v>
      </c>
      <c r="F313">
        <v>1590.126084</v>
      </c>
      <c r="G313">
        <v>1</v>
      </c>
      <c r="H313">
        <v>399</v>
      </c>
      <c r="I313">
        <v>10.01757469</v>
      </c>
      <c r="J313">
        <v>0.41</v>
      </c>
      <c r="K313">
        <f t="shared" si="4"/>
        <v>3</v>
      </c>
      <c r="N313">
        <v>3</v>
      </c>
      <c r="O313">
        <v>3</v>
      </c>
    </row>
    <row r="314" spans="1:15" x14ac:dyDescent="0.2">
      <c r="A314" t="s">
        <v>1655</v>
      </c>
      <c r="B314">
        <v>9003481300</v>
      </c>
      <c r="C314" t="s">
        <v>1656</v>
      </c>
      <c r="D314">
        <v>3032</v>
      </c>
      <c r="E314">
        <v>3.0247016590000002</v>
      </c>
      <c r="F314">
        <v>1002.412913</v>
      </c>
      <c r="G314">
        <v>1</v>
      </c>
      <c r="H314">
        <v>121</v>
      </c>
      <c r="I314">
        <v>4.2233856889999997</v>
      </c>
      <c r="J314">
        <v>0.124</v>
      </c>
      <c r="K314">
        <f t="shared" si="4"/>
        <v>1</v>
      </c>
      <c r="N314">
        <v>2</v>
      </c>
      <c r="O314">
        <v>2</v>
      </c>
    </row>
    <row r="315" spans="1:15" x14ac:dyDescent="0.2">
      <c r="A315" t="s">
        <v>1657</v>
      </c>
      <c r="B315">
        <v>9003484100</v>
      </c>
      <c r="C315" t="s">
        <v>1658</v>
      </c>
      <c r="D315">
        <v>5527</v>
      </c>
      <c r="E315">
        <v>12.94079007</v>
      </c>
      <c r="F315">
        <v>427.09911599999998</v>
      </c>
      <c r="G315">
        <v>1</v>
      </c>
      <c r="H315">
        <v>1037</v>
      </c>
      <c r="I315">
        <v>19.536548610000001</v>
      </c>
      <c r="J315">
        <v>0.73199999999999998</v>
      </c>
      <c r="K315">
        <f t="shared" si="4"/>
        <v>4</v>
      </c>
      <c r="N315">
        <v>4</v>
      </c>
      <c r="O315">
        <v>4</v>
      </c>
    </row>
    <row r="316" spans="1:15" x14ac:dyDescent="0.2">
      <c r="A316" t="s">
        <v>1659</v>
      </c>
      <c r="B316">
        <v>9003484200</v>
      </c>
      <c r="C316" t="s">
        <v>1660</v>
      </c>
      <c r="D316">
        <v>5635</v>
      </c>
      <c r="E316">
        <v>13.30991109</v>
      </c>
      <c r="F316">
        <v>423.36871839999998</v>
      </c>
      <c r="G316">
        <v>1</v>
      </c>
      <c r="H316">
        <v>778</v>
      </c>
      <c r="I316">
        <v>12.67720385</v>
      </c>
      <c r="J316">
        <v>0.54200000000000004</v>
      </c>
      <c r="K316">
        <f t="shared" si="4"/>
        <v>3</v>
      </c>
      <c r="N316">
        <v>3.5</v>
      </c>
      <c r="O316">
        <v>4</v>
      </c>
    </row>
    <row r="317" spans="1:15" x14ac:dyDescent="0.2">
      <c r="A317" t="s">
        <v>1661</v>
      </c>
      <c r="B317">
        <v>9003487100</v>
      </c>
      <c r="C317" t="s">
        <v>1662</v>
      </c>
      <c r="D317">
        <v>6781</v>
      </c>
      <c r="E317">
        <v>7.063096431</v>
      </c>
      <c r="F317">
        <v>960.06051539999999</v>
      </c>
      <c r="G317">
        <v>1</v>
      </c>
      <c r="H317">
        <v>931</v>
      </c>
      <c r="I317">
        <v>13.09055118</v>
      </c>
      <c r="J317">
        <v>0.55200000000000005</v>
      </c>
      <c r="K317">
        <f t="shared" si="4"/>
        <v>3</v>
      </c>
      <c r="N317">
        <v>2.5</v>
      </c>
      <c r="O317">
        <v>3</v>
      </c>
    </row>
    <row r="318" spans="1:15" x14ac:dyDescent="0.2">
      <c r="A318" t="s">
        <v>1663</v>
      </c>
      <c r="B318">
        <v>9003487201</v>
      </c>
      <c r="C318" t="s">
        <v>1664</v>
      </c>
      <c r="D318">
        <v>4567</v>
      </c>
      <c r="E318">
        <v>2.7955561960000002</v>
      </c>
      <c r="F318">
        <v>1633.6641729999999</v>
      </c>
      <c r="G318">
        <v>1</v>
      </c>
      <c r="H318">
        <v>883</v>
      </c>
      <c r="I318">
        <v>19.075394249999999</v>
      </c>
      <c r="J318">
        <v>0.72199999999999998</v>
      </c>
      <c r="K318">
        <f t="shared" si="4"/>
        <v>4</v>
      </c>
      <c r="N318">
        <v>3</v>
      </c>
      <c r="O318">
        <v>3</v>
      </c>
    </row>
    <row r="319" spans="1:15" x14ac:dyDescent="0.2">
      <c r="A319" t="s">
        <v>1665</v>
      </c>
      <c r="B319">
        <v>9003487202</v>
      </c>
      <c r="C319" t="s">
        <v>1666</v>
      </c>
      <c r="D319">
        <v>3659</v>
      </c>
      <c r="E319">
        <v>2.2125793630000001</v>
      </c>
      <c r="F319">
        <v>1653.725991</v>
      </c>
      <c r="G319">
        <v>1</v>
      </c>
      <c r="H319">
        <v>603</v>
      </c>
      <c r="I319">
        <v>16.815393199999999</v>
      </c>
      <c r="J319">
        <v>0.66100000000000003</v>
      </c>
      <c r="K319">
        <f t="shared" si="4"/>
        <v>4</v>
      </c>
      <c r="N319">
        <v>2.5</v>
      </c>
      <c r="O319">
        <v>3</v>
      </c>
    </row>
    <row r="320" spans="1:15" x14ac:dyDescent="0.2">
      <c r="A320" t="s">
        <v>1667</v>
      </c>
      <c r="B320">
        <v>9003487300</v>
      </c>
      <c r="C320" t="s">
        <v>1668</v>
      </c>
      <c r="D320">
        <v>1595</v>
      </c>
      <c r="E320">
        <v>6.2391227300000001</v>
      </c>
      <c r="F320">
        <v>255.644915</v>
      </c>
      <c r="G320">
        <v>1</v>
      </c>
      <c r="H320">
        <v>208</v>
      </c>
      <c r="I320">
        <v>13.75661376</v>
      </c>
      <c r="J320">
        <v>0.58099999999999996</v>
      </c>
      <c r="K320">
        <f t="shared" si="4"/>
        <v>3</v>
      </c>
      <c r="N320">
        <v>2.5</v>
      </c>
      <c r="O320">
        <v>3</v>
      </c>
    </row>
    <row r="321" spans="1:15" x14ac:dyDescent="0.2">
      <c r="A321" t="s">
        <v>1669</v>
      </c>
      <c r="B321">
        <v>9003487400</v>
      </c>
      <c r="C321" t="s">
        <v>1670</v>
      </c>
      <c r="D321">
        <v>2317</v>
      </c>
      <c r="E321">
        <v>5.136922642</v>
      </c>
      <c r="F321">
        <v>451.04825620000003</v>
      </c>
      <c r="G321">
        <v>1</v>
      </c>
      <c r="H321">
        <v>292</v>
      </c>
      <c r="I321">
        <v>12.19715957</v>
      </c>
      <c r="J321">
        <v>0.51700000000000002</v>
      </c>
      <c r="K321">
        <f t="shared" si="4"/>
        <v>3</v>
      </c>
      <c r="N321">
        <v>2.5</v>
      </c>
      <c r="O321">
        <v>3</v>
      </c>
    </row>
    <row r="322" spans="1:15" x14ac:dyDescent="0.2">
      <c r="A322" t="s">
        <v>1671</v>
      </c>
      <c r="B322">
        <v>9003487500</v>
      </c>
      <c r="C322" t="s">
        <v>1672</v>
      </c>
      <c r="D322">
        <v>6790</v>
      </c>
      <c r="E322">
        <v>4.6155453230000001</v>
      </c>
      <c r="F322">
        <v>1471.1154429999999</v>
      </c>
      <c r="G322">
        <v>1</v>
      </c>
      <c r="H322">
        <v>1830</v>
      </c>
      <c r="I322">
        <v>27.45686422</v>
      </c>
      <c r="J322">
        <v>0.86099999999999999</v>
      </c>
      <c r="K322">
        <f t="shared" si="4"/>
        <v>5</v>
      </c>
      <c r="N322">
        <v>4.5</v>
      </c>
      <c r="O322">
        <v>5</v>
      </c>
    </row>
    <row r="323" spans="1:15" x14ac:dyDescent="0.2">
      <c r="A323" t="s">
        <v>1673</v>
      </c>
      <c r="B323">
        <v>9003490100</v>
      </c>
      <c r="C323" t="s">
        <v>1674</v>
      </c>
      <c r="D323">
        <v>5316</v>
      </c>
      <c r="E323">
        <v>4.3108678500000002</v>
      </c>
      <c r="F323">
        <v>1233.1623669999999</v>
      </c>
      <c r="G323">
        <v>1</v>
      </c>
      <c r="H323">
        <v>1270</v>
      </c>
      <c r="I323">
        <v>22.27679354</v>
      </c>
      <c r="J323">
        <v>0.79100000000000004</v>
      </c>
      <c r="K323">
        <f t="shared" ref="K323:K386" si="5">IF(J323&lt;0.2,1,IF(J323&lt;0.4,2,IF(J323&lt;0.6,3,IF(J323&lt;0.8,4,5))))</f>
        <v>4</v>
      </c>
      <c r="N323">
        <v>4</v>
      </c>
      <c r="O323">
        <v>4</v>
      </c>
    </row>
    <row r="324" spans="1:15" x14ac:dyDescent="0.2">
      <c r="A324" t="s">
        <v>1675</v>
      </c>
      <c r="B324">
        <v>9003490302</v>
      </c>
      <c r="C324" t="s">
        <v>1676</v>
      </c>
      <c r="D324">
        <v>8249</v>
      </c>
      <c r="E324">
        <v>4.6750479150000004</v>
      </c>
      <c r="F324">
        <v>1764.473894</v>
      </c>
      <c r="G324">
        <v>1</v>
      </c>
      <c r="H324">
        <v>2870</v>
      </c>
      <c r="I324">
        <v>35.599106919999997</v>
      </c>
      <c r="J324">
        <v>0.93799999999999994</v>
      </c>
      <c r="K324">
        <f t="shared" si="5"/>
        <v>5</v>
      </c>
      <c r="N324">
        <v>4</v>
      </c>
      <c r="O324">
        <v>4</v>
      </c>
    </row>
    <row r="325" spans="1:15" x14ac:dyDescent="0.2">
      <c r="A325" t="s">
        <v>1677</v>
      </c>
      <c r="B325">
        <v>9003492100</v>
      </c>
      <c r="C325" t="s">
        <v>1678</v>
      </c>
      <c r="D325">
        <v>3319</v>
      </c>
      <c r="E325">
        <v>3.431130955</v>
      </c>
      <c r="F325">
        <v>967.31953499999997</v>
      </c>
      <c r="G325">
        <v>1</v>
      </c>
      <c r="H325">
        <v>109</v>
      </c>
      <c r="I325">
        <v>3.2296296299999998</v>
      </c>
      <c r="J325">
        <v>6.9000000000000006E-2</v>
      </c>
      <c r="K325">
        <f t="shared" si="5"/>
        <v>1</v>
      </c>
      <c r="N325">
        <v>2</v>
      </c>
      <c r="O325">
        <v>2</v>
      </c>
    </row>
    <row r="326" spans="1:15" x14ac:dyDescent="0.2">
      <c r="A326" t="s">
        <v>1679</v>
      </c>
      <c r="B326">
        <v>9003492200</v>
      </c>
      <c r="C326" t="s">
        <v>1680</v>
      </c>
      <c r="D326">
        <v>4163</v>
      </c>
      <c r="E326">
        <v>1.0437198940000001</v>
      </c>
      <c r="F326">
        <v>3988.6180429999999</v>
      </c>
      <c r="G326">
        <v>1</v>
      </c>
      <c r="H326">
        <v>572</v>
      </c>
      <c r="I326">
        <v>14.56582633</v>
      </c>
      <c r="J326">
        <v>0.59399999999999997</v>
      </c>
      <c r="K326">
        <f t="shared" si="5"/>
        <v>3</v>
      </c>
      <c r="N326">
        <v>3</v>
      </c>
      <c r="O326">
        <v>3</v>
      </c>
    </row>
    <row r="327" spans="1:15" x14ac:dyDescent="0.2">
      <c r="A327" t="s">
        <v>1681</v>
      </c>
      <c r="B327">
        <v>9003492300</v>
      </c>
      <c r="C327" t="s">
        <v>1682</v>
      </c>
      <c r="D327">
        <v>5815</v>
      </c>
      <c r="E327">
        <v>2.1036012519999998</v>
      </c>
      <c r="F327">
        <v>2764.307159</v>
      </c>
      <c r="G327">
        <v>1</v>
      </c>
      <c r="H327">
        <v>1575</v>
      </c>
      <c r="I327">
        <v>26.969178079999999</v>
      </c>
      <c r="J327">
        <v>0.85399999999999998</v>
      </c>
      <c r="K327">
        <f t="shared" si="5"/>
        <v>5</v>
      </c>
      <c r="N327">
        <v>4.5</v>
      </c>
      <c r="O327">
        <v>5</v>
      </c>
    </row>
    <row r="328" spans="1:15" x14ac:dyDescent="0.2">
      <c r="A328" t="s">
        <v>1683</v>
      </c>
      <c r="B328">
        <v>9003492400</v>
      </c>
      <c r="C328" t="s">
        <v>1684</v>
      </c>
      <c r="D328">
        <v>2967</v>
      </c>
      <c r="E328">
        <v>1.161444763</v>
      </c>
      <c r="F328">
        <v>2554.5769319999999</v>
      </c>
      <c r="G328">
        <v>1</v>
      </c>
      <c r="H328">
        <v>489</v>
      </c>
      <c r="I328">
        <v>15.85603113</v>
      </c>
      <c r="J328">
        <v>0.63300000000000001</v>
      </c>
      <c r="K328">
        <f t="shared" si="5"/>
        <v>4</v>
      </c>
      <c r="N328">
        <v>3.5</v>
      </c>
      <c r="O328">
        <v>4</v>
      </c>
    </row>
    <row r="329" spans="1:15" x14ac:dyDescent="0.2">
      <c r="A329" t="s">
        <v>1685</v>
      </c>
      <c r="B329">
        <v>9003492500</v>
      </c>
      <c r="C329" t="s">
        <v>1686</v>
      </c>
      <c r="D329">
        <v>3433</v>
      </c>
      <c r="E329">
        <v>1.244531249</v>
      </c>
      <c r="F329">
        <v>2758.4683020000002</v>
      </c>
      <c r="G329">
        <v>1</v>
      </c>
      <c r="H329">
        <v>198</v>
      </c>
      <c r="I329">
        <v>5.8858501780000001</v>
      </c>
      <c r="J329">
        <v>0.20799999999999999</v>
      </c>
      <c r="K329">
        <f t="shared" si="5"/>
        <v>2</v>
      </c>
      <c r="N329">
        <v>2</v>
      </c>
      <c r="O329">
        <v>2</v>
      </c>
    </row>
    <row r="330" spans="1:15" x14ac:dyDescent="0.2">
      <c r="A330" t="s">
        <v>1687</v>
      </c>
      <c r="B330">
        <v>9003492600</v>
      </c>
      <c r="C330" t="s">
        <v>1688</v>
      </c>
      <c r="D330">
        <v>6971</v>
      </c>
      <c r="E330">
        <v>3.3257825900000002</v>
      </c>
      <c r="F330">
        <v>2096.0480160000002</v>
      </c>
      <c r="G330">
        <v>1</v>
      </c>
      <c r="H330">
        <v>310</v>
      </c>
      <c r="I330">
        <v>4.7105303149999997</v>
      </c>
      <c r="J330">
        <v>0.14000000000000001</v>
      </c>
      <c r="K330">
        <f t="shared" si="5"/>
        <v>1</v>
      </c>
      <c r="N330">
        <v>2</v>
      </c>
      <c r="O330">
        <v>2</v>
      </c>
    </row>
    <row r="331" spans="1:15" x14ac:dyDescent="0.2">
      <c r="A331" t="s">
        <v>1689</v>
      </c>
      <c r="B331">
        <v>9003494100</v>
      </c>
      <c r="C331" t="s">
        <v>1690</v>
      </c>
      <c r="D331">
        <v>6048</v>
      </c>
      <c r="E331">
        <v>1.948131034</v>
      </c>
      <c r="F331">
        <v>3104.5139650000001</v>
      </c>
      <c r="G331">
        <v>1</v>
      </c>
      <c r="H331">
        <v>1044</v>
      </c>
      <c r="I331">
        <v>18.006209040000002</v>
      </c>
      <c r="J331">
        <v>0.70099999999999996</v>
      </c>
      <c r="K331">
        <f t="shared" si="5"/>
        <v>4</v>
      </c>
      <c r="N331">
        <v>3.5</v>
      </c>
      <c r="O331">
        <v>4</v>
      </c>
    </row>
    <row r="332" spans="1:15" x14ac:dyDescent="0.2">
      <c r="A332" t="s">
        <v>1691</v>
      </c>
      <c r="B332">
        <v>9003494201</v>
      </c>
      <c r="C332" t="s">
        <v>1692</v>
      </c>
      <c r="D332">
        <v>4822</v>
      </c>
      <c r="E332">
        <v>2.3396471339999998</v>
      </c>
      <c r="F332">
        <v>2060.9945539999999</v>
      </c>
      <c r="G332">
        <v>1</v>
      </c>
      <c r="H332">
        <v>841</v>
      </c>
      <c r="I332">
        <v>17.765103509999999</v>
      </c>
      <c r="J332">
        <v>0.69599999999999995</v>
      </c>
      <c r="K332">
        <f t="shared" si="5"/>
        <v>4</v>
      </c>
      <c r="N332">
        <v>4</v>
      </c>
      <c r="O332">
        <v>4</v>
      </c>
    </row>
    <row r="333" spans="1:15" x14ac:dyDescent="0.2">
      <c r="A333" t="s">
        <v>1693</v>
      </c>
      <c r="B333">
        <v>9003494202</v>
      </c>
      <c r="C333" t="s">
        <v>1694</v>
      </c>
      <c r="D333">
        <v>2815</v>
      </c>
      <c r="E333">
        <v>0.96015271099999999</v>
      </c>
      <c r="F333">
        <v>2931.8252889999999</v>
      </c>
      <c r="G333">
        <v>1</v>
      </c>
      <c r="H333">
        <v>465</v>
      </c>
      <c r="I333">
        <v>17.939814810000001</v>
      </c>
      <c r="J333">
        <v>0.69799999999999995</v>
      </c>
      <c r="K333">
        <f t="shared" si="5"/>
        <v>4</v>
      </c>
      <c r="N333">
        <v>3.5</v>
      </c>
      <c r="O333">
        <v>4</v>
      </c>
    </row>
    <row r="334" spans="1:15" x14ac:dyDescent="0.2">
      <c r="A334" t="s">
        <v>1695</v>
      </c>
      <c r="B334">
        <v>9003494300</v>
      </c>
      <c r="C334" t="s">
        <v>1696</v>
      </c>
      <c r="D334">
        <v>4140</v>
      </c>
      <c r="E334">
        <v>1.9843644060000001</v>
      </c>
      <c r="F334">
        <v>2086.3103510000001</v>
      </c>
      <c r="G334">
        <v>1</v>
      </c>
      <c r="H334">
        <v>447</v>
      </c>
      <c r="I334">
        <v>10.347222220000001</v>
      </c>
      <c r="J334">
        <v>0.436</v>
      </c>
      <c r="K334">
        <f t="shared" si="5"/>
        <v>3</v>
      </c>
      <c r="N334">
        <v>3</v>
      </c>
      <c r="O334">
        <v>3</v>
      </c>
    </row>
    <row r="335" spans="1:15" x14ac:dyDescent="0.2">
      <c r="A335" t="s">
        <v>1697</v>
      </c>
      <c r="B335">
        <v>9003494400</v>
      </c>
      <c r="C335" t="s">
        <v>1698</v>
      </c>
      <c r="D335">
        <v>4758</v>
      </c>
      <c r="E335">
        <v>1.673024354</v>
      </c>
      <c r="F335">
        <v>2843.9514279999999</v>
      </c>
      <c r="G335">
        <v>1</v>
      </c>
      <c r="H335">
        <v>860</v>
      </c>
      <c r="I335">
        <v>18.135807679999999</v>
      </c>
      <c r="J335">
        <v>0.70099999999999996</v>
      </c>
      <c r="K335">
        <f t="shared" si="5"/>
        <v>4</v>
      </c>
      <c r="N335">
        <v>4</v>
      </c>
      <c r="O335">
        <v>4</v>
      </c>
    </row>
    <row r="336" spans="1:15" x14ac:dyDescent="0.2">
      <c r="A336" t="s">
        <v>1699</v>
      </c>
      <c r="B336">
        <v>9003494500</v>
      </c>
      <c r="C336" t="s">
        <v>1700</v>
      </c>
      <c r="D336">
        <v>4497</v>
      </c>
      <c r="E336">
        <v>1.9948104010000001</v>
      </c>
      <c r="F336">
        <v>2254.3495859999998</v>
      </c>
      <c r="G336">
        <v>1</v>
      </c>
      <c r="H336">
        <v>741</v>
      </c>
      <c r="I336">
        <v>16.264266899999999</v>
      </c>
      <c r="J336">
        <v>0.64900000000000002</v>
      </c>
      <c r="K336">
        <f t="shared" si="5"/>
        <v>4</v>
      </c>
      <c r="N336">
        <v>3.5</v>
      </c>
      <c r="O336">
        <v>4</v>
      </c>
    </row>
    <row r="337" spans="1:15" x14ac:dyDescent="0.2">
      <c r="A337" t="s">
        <v>1701</v>
      </c>
      <c r="B337">
        <v>9003494600</v>
      </c>
      <c r="C337" t="s">
        <v>1702</v>
      </c>
      <c r="D337">
        <v>3482</v>
      </c>
      <c r="E337">
        <v>2.2408250540000001</v>
      </c>
      <c r="F337">
        <v>1553.891944</v>
      </c>
      <c r="G337">
        <v>1</v>
      </c>
      <c r="H337">
        <v>494</v>
      </c>
      <c r="I337">
        <v>14.14662085</v>
      </c>
      <c r="J337">
        <v>0.59299999999999997</v>
      </c>
      <c r="K337">
        <f t="shared" si="5"/>
        <v>3</v>
      </c>
      <c r="N337">
        <v>3</v>
      </c>
      <c r="O337">
        <v>3</v>
      </c>
    </row>
    <row r="338" spans="1:15" x14ac:dyDescent="0.2">
      <c r="A338" t="s">
        <v>1703</v>
      </c>
      <c r="B338">
        <v>9003496100</v>
      </c>
      <c r="C338" t="s">
        <v>1704</v>
      </c>
      <c r="D338">
        <v>2691</v>
      </c>
      <c r="E338">
        <v>1.22144118</v>
      </c>
      <c r="F338">
        <v>2203.135151</v>
      </c>
      <c r="G338">
        <v>1</v>
      </c>
      <c r="H338">
        <v>734</v>
      </c>
      <c r="I338">
        <v>24.94901428</v>
      </c>
      <c r="J338">
        <v>0.81699999999999995</v>
      </c>
      <c r="K338">
        <f t="shared" si="5"/>
        <v>5</v>
      </c>
      <c r="N338">
        <v>4.5</v>
      </c>
      <c r="O338">
        <v>5</v>
      </c>
    </row>
    <row r="339" spans="1:15" x14ac:dyDescent="0.2">
      <c r="A339" t="s">
        <v>1705</v>
      </c>
      <c r="B339">
        <v>9003496200</v>
      </c>
      <c r="C339" t="s">
        <v>1706</v>
      </c>
      <c r="D339">
        <v>4592</v>
      </c>
      <c r="E339">
        <v>1.0602485420000001</v>
      </c>
      <c r="F339">
        <v>4331.0599540000003</v>
      </c>
      <c r="G339">
        <v>1</v>
      </c>
      <c r="H339">
        <v>1258</v>
      </c>
      <c r="I339">
        <v>26.90909091</v>
      </c>
      <c r="J339">
        <v>0.85</v>
      </c>
      <c r="K339">
        <f t="shared" si="5"/>
        <v>5</v>
      </c>
      <c r="N339">
        <v>4</v>
      </c>
      <c r="O339">
        <v>4</v>
      </c>
    </row>
    <row r="340" spans="1:15" x14ac:dyDescent="0.2">
      <c r="A340" t="s">
        <v>1707</v>
      </c>
      <c r="B340">
        <v>9003496300</v>
      </c>
      <c r="C340" t="s">
        <v>1708</v>
      </c>
      <c r="D340">
        <v>3565</v>
      </c>
      <c r="E340">
        <v>0.84199424899999997</v>
      </c>
      <c r="F340">
        <v>4233.9956670000001</v>
      </c>
      <c r="G340">
        <v>1</v>
      </c>
      <c r="H340">
        <v>438</v>
      </c>
      <c r="I340">
        <v>11.45098039</v>
      </c>
      <c r="J340">
        <v>0.49</v>
      </c>
      <c r="K340">
        <f t="shared" si="5"/>
        <v>3</v>
      </c>
      <c r="N340">
        <v>2.5</v>
      </c>
      <c r="O340">
        <v>3</v>
      </c>
    </row>
    <row r="341" spans="1:15" x14ac:dyDescent="0.2">
      <c r="A341" t="s">
        <v>1709</v>
      </c>
      <c r="B341">
        <v>9003496400</v>
      </c>
      <c r="C341" t="s">
        <v>1710</v>
      </c>
      <c r="D341">
        <v>2954</v>
      </c>
      <c r="E341">
        <v>1.103006269</v>
      </c>
      <c r="F341">
        <v>2678.1352780000002</v>
      </c>
      <c r="G341">
        <v>1</v>
      </c>
      <c r="H341">
        <v>272</v>
      </c>
      <c r="I341">
        <v>9.1706001350000008</v>
      </c>
      <c r="J341">
        <v>0.39500000000000002</v>
      </c>
      <c r="K341">
        <f t="shared" si="5"/>
        <v>2</v>
      </c>
      <c r="N341">
        <v>2</v>
      </c>
      <c r="O341">
        <v>2</v>
      </c>
    </row>
    <row r="342" spans="1:15" x14ac:dyDescent="0.2">
      <c r="A342" t="s">
        <v>1711</v>
      </c>
      <c r="B342">
        <v>9003496500</v>
      </c>
      <c r="C342" t="s">
        <v>1712</v>
      </c>
      <c r="D342">
        <v>2700</v>
      </c>
      <c r="E342">
        <v>0.52780437599999996</v>
      </c>
      <c r="F342">
        <v>5115.531669</v>
      </c>
      <c r="G342">
        <v>1</v>
      </c>
      <c r="H342">
        <v>285</v>
      </c>
      <c r="I342">
        <v>10.63036181</v>
      </c>
      <c r="J342">
        <v>0.45500000000000002</v>
      </c>
      <c r="K342">
        <f t="shared" si="5"/>
        <v>3</v>
      </c>
      <c r="N342">
        <v>2</v>
      </c>
      <c r="O342">
        <v>2</v>
      </c>
    </row>
    <row r="343" spans="1:15" x14ac:dyDescent="0.2">
      <c r="A343" t="s">
        <v>1713</v>
      </c>
      <c r="B343">
        <v>9003496600</v>
      </c>
      <c r="C343" t="s">
        <v>1714</v>
      </c>
      <c r="D343">
        <v>2741</v>
      </c>
      <c r="E343">
        <v>1.244646693</v>
      </c>
      <c r="F343">
        <v>2202.2313760000002</v>
      </c>
      <c r="G343">
        <v>1</v>
      </c>
      <c r="H343">
        <v>427</v>
      </c>
      <c r="I343">
        <v>15.70430305</v>
      </c>
      <c r="J343">
        <v>0.63</v>
      </c>
      <c r="K343">
        <f t="shared" si="5"/>
        <v>4</v>
      </c>
      <c r="N343">
        <v>2.5</v>
      </c>
      <c r="O343">
        <v>3</v>
      </c>
    </row>
    <row r="344" spans="1:15" x14ac:dyDescent="0.2">
      <c r="A344" t="s">
        <v>1715</v>
      </c>
      <c r="B344">
        <v>9003496700</v>
      </c>
      <c r="C344" t="s">
        <v>1716</v>
      </c>
      <c r="D344">
        <v>3979</v>
      </c>
      <c r="E344">
        <v>0.49899652</v>
      </c>
      <c r="F344">
        <v>7974.0034990000004</v>
      </c>
      <c r="G344">
        <v>1</v>
      </c>
      <c r="H344">
        <v>866</v>
      </c>
      <c r="I344">
        <v>24.928036850000002</v>
      </c>
      <c r="J344">
        <v>0.81699999999999995</v>
      </c>
      <c r="K344">
        <f t="shared" si="5"/>
        <v>5</v>
      </c>
      <c r="N344">
        <v>4.5</v>
      </c>
      <c r="O344">
        <v>5</v>
      </c>
    </row>
    <row r="345" spans="1:15" x14ac:dyDescent="0.2">
      <c r="A345" t="s">
        <v>1717</v>
      </c>
      <c r="B345">
        <v>9003496800</v>
      </c>
      <c r="C345" t="s">
        <v>1718</v>
      </c>
      <c r="D345">
        <v>3523</v>
      </c>
      <c r="E345">
        <v>0.53618086300000001</v>
      </c>
      <c r="F345">
        <v>6570.5440939999999</v>
      </c>
      <c r="G345">
        <v>1</v>
      </c>
      <c r="H345">
        <v>1042</v>
      </c>
      <c r="I345">
        <v>32.633886629999999</v>
      </c>
      <c r="J345">
        <v>0.91200000000000003</v>
      </c>
      <c r="K345">
        <f t="shared" si="5"/>
        <v>5</v>
      </c>
      <c r="N345">
        <v>4</v>
      </c>
      <c r="O345">
        <v>4</v>
      </c>
    </row>
    <row r="346" spans="1:15" x14ac:dyDescent="0.2">
      <c r="A346" t="s">
        <v>1719</v>
      </c>
      <c r="B346">
        <v>9003496900</v>
      </c>
      <c r="C346" t="s">
        <v>1720</v>
      </c>
      <c r="D346">
        <v>6332</v>
      </c>
      <c r="E346">
        <v>0.82732198000000001</v>
      </c>
      <c r="F346">
        <v>7653.6102680000004</v>
      </c>
      <c r="G346">
        <v>1</v>
      </c>
      <c r="H346">
        <v>646</v>
      </c>
      <c r="I346">
        <v>10.42776433</v>
      </c>
      <c r="J346">
        <v>0.44600000000000001</v>
      </c>
      <c r="K346">
        <f t="shared" si="5"/>
        <v>3</v>
      </c>
      <c r="N346">
        <v>3</v>
      </c>
      <c r="O346">
        <v>3</v>
      </c>
    </row>
    <row r="347" spans="1:15" x14ac:dyDescent="0.2">
      <c r="A347" t="s">
        <v>1721</v>
      </c>
      <c r="B347">
        <v>9003497000</v>
      </c>
      <c r="C347" t="s">
        <v>1722</v>
      </c>
      <c r="D347">
        <v>4342</v>
      </c>
      <c r="E347">
        <v>0.92950121799999996</v>
      </c>
      <c r="F347">
        <v>4671.3225510000002</v>
      </c>
      <c r="G347">
        <v>1</v>
      </c>
      <c r="H347">
        <v>261</v>
      </c>
      <c r="I347">
        <v>6.0528756960000001</v>
      </c>
      <c r="J347">
        <v>0.22</v>
      </c>
      <c r="K347">
        <f t="shared" si="5"/>
        <v>2</v>
      </c>
      <c r="N347">
        <v>1.5</v>
      </c>
      <c r="O347">
        <v>2</v>
      </c>
    </row>
    <row r="348" spans="1:15" x14ac:dyDescent="0.2">
      <c r="A348" t="s">
        <v>1723</v>
      </c>
      <c r="B348">
        <v>9003497100</v>
      </c>
      <c r="C348" t="s">
        <v>1724</v>
      </c>
      <c r="D348">
        <v>4070</v>
      </c>
      <c r="E348">
        <v>0.51762556400000004</v>
      </c>
      <c r="F348">
        <v>7862.8264920000001</v>
      </c>
      <c r="G348">
        <v>1</v>
      </c>
      <c r="H348">
        <v>354</v>
      </c>
      <c r="I348">
        <v>8.5838991270000005</v>
      </c>
      <c r="J348">
        <v>0.36499999999999999</v>
      </c>
      <c r="K348">
        <f t="shared" si="5"/>
        <v>2</v>
      </c>
      <c r="N348">
        <v>2.5</v>
      </c>
      <c r="O348">
        <v>3</v>
      </c>
    </row>
    <row r="349" spans="1:15" x14ac:dyDescent="0.2">
      <c r="A349" t="s">
        <v>1725</v>
      </c>
      <c r="B349">
        <v>9003497200</v>
      </c>
      <c r="C349" t="s">
        <v>1726</v>
      </c>
      <c r="D349">
        <v>2415</v>
      </c>
      <c r="E349">
        <v>0.69433410500000003</v>
      </c>
      <c r="F349">
        <v>3478.1526389999999</v>
      </c>
      <c r="G349">
        <v>1</v>
      </c>
      <c r="H349">
        <v>150</v>
      </c>
      <c r="I349">
        <v>6.7628494139999997</v>
      </c>
      <c r="J349">
        <v>0.253</v>
      </c>
      <c r="K349">
        <f t="shared" si="5"/>
        <v>2</v>
      </c>
      <c r="N349">
        <v>1.5</v>
      </c>
      <c r="O349">
        <v>2</v>
      </c>
    </row>
    <row r="350" spans="1:15" x14ac:dyDescent="0.2">
      <c r="A350" t="s">
        <v>1727</v>
      </c>
      <c r="B350">
        <v>9003497300</v>
      </c>
      <c r="C350" t="s">
        <v>1728</v>
      </c>
      <c r="D350">
        <v>5207</v>
      </c>
      <c r="E350">
        <v>2.0507789999999999</v>
      </c>
      <c r="F350">
        <v>2539.035167</v>
      </c>
      <c r="G350">
        <v>1</v>
      </c>
      <c r="H350">
        <v>853</v>
      </c>
      <c r="I350">
        <v>15.93796712</v>
      </c>
      <c r="J350">
        <v>0.63900000000000001</v>
      </c>
      <c r="K350">
        <f t="shared" si="5"/>
        <v>4</v>
      </c>
      <c r="N350">
        <v>2.5</v>
      </c>
      <c r="O350">
        <v>3</v>
      </c>
    </row>
    <row r="351" spans="1:15" x14ac:dyDescent="0.2">
      <c r="A351" t="s">
        <v>1729</v>
      </c>
      <c r="B351">
        <v>9003497400</v>
      </c>
      <c r="C351" t="s">
        <v>1730</v>
      </c>
      <c r="D351">
        <v>3834</v>
      </c>
      <c r="E351">
        <v>1.5662616970000001</v>
      </c>
      <c r="F351">
        <v>2447.8667949999999</v>
      </c>
      <c r="G351">
        <v>1</v>
      </c>
      <c r="H351">
        <v>306</v>
      </c>
      <c r="I351">
        <v>7.5462392109999996</v>
      </c>
      <c r="J351">
        <v>0.29199999999999998</v>
      </c>
      <c r="K351">
        <f t="shared" si="5"/>
        <v>2</v>
      </c>
      <c r="N351">
        <v>1.5</v>
      </c>
      <c r="O351">
        <v>2</v>
      </c>
    </row>
    <row r="352" spans="1:15" x14ac:dyDescent="0.2">
      <c r="A352" t="s">
        <v>1731</v>
      </c>
      <c r="B352">
        <v>9003497500</v>
      </c>
      <c r="C352" t="s">
        <v>1732</v>
      </c>
      <c r="D352">
        <v>3841</v>
      </c>
      <c r="E352">
        <v>1.4780562690000001</v>
      </c>
      <c r="F352">
        <v>2598.6832039999999</v>
      </c>
      <c r="G352">
        <v>1</v>
      </c>
      <c r="H352">
        <v>858</v>
      </c>
      <c r="I352">
        <v>23.66896552</v>
      </c>
      <c r="J352">
        <v>0.80400000000000005</v>
      </c>
      <c r="K352">
        <f t="shared" si="5"/>
        <v>5</v>
      </c>
      <c r="N352">
        <v>3.5</v>
      </c>
      <c r="O352">
        <v>4</v>
      </c>
    </row>
    <row r="353" spans="1:15" x14ac:dyDescent="0.2">
      <c r="A353" t="s">
        <v>1733</v>
      </c>
      <c r="B353">
        <v>9003497600</v>
      </c>
      <c r="C353" t="s">
        <v>1734</v>
      </c>
      <c r="D353">
        <v>2342</v>
      </c>
      <c r="E353">
        <v>0.69178042500000003</v>
      </c>
      <c r="F353">
        <v>3385.4672879999998</v>
      </c>
      <c r="G353">
        <v>1</v>
      </c>
      <c r="H353">
        <v>219</v>
      </c>
      <c r="I353">
        <v>9.8118279570000002</v>
      </c>
      <c r="J353">
        <v>0.41499999999999998</v>
      </c>
      <c r="K353">
        <f t="shared" si="5"/>
        <v>3</v>
      </c>
      <c r="N353">
        <v>2</v>
      </c>
      <c r="O353">
        <v>2</v>
      </c>
    </row>
    <row r="354" spans="1:15" x14ac:dyDescent="0.2">
      <c r="A354" t="s">
        <v>1735</v>
      </c>
      <c r="B354">
        <v>9003497700</v>
      </c>
      <c r="C354" t="s">
        <v>1736</v>
      </c>
      <c r="D354">
        <v>4140</v>
      </c>
      <c r="E354">
        <v>6.0470646969999997</v>
      </c>
      <c r="F354">
        <v>684.62968520000004</v>
      </c>
      <c r="G354">
        <v>1</v>
      </c>
      <c r="H354">
        <v>527</v>
      </c>
      <c r="I354">
        <v>11.776536309999999</v>
      </c>
      <c r="J354">
        <v>0.503</v>
      </c>
      <c r="K354">
        <f t="shared" si="5"/>
        <v>3</v>
      </c>
      <c r="N354">
        <v>2</v>
      </c>
      <c r="O354">
        <v>2</v>
      </c>
    </row>
    <row r="355" spans="1:15" x14ac:dyDescent="0.2">
      <c r="A355" t="s">
        <v>1737</v>
      </c>
      <c r="B355">
        <v>9003500100</v>
      </c>
      <c r="C355" t="s">
        <v>1738</v>
      </c>
      <c r="D355">
        <v>4099</v>
      </c>
      <c r="E355">
        <v>0.155808058</v>
      </c>
      <c r="F355">
        <v>26308.01037</v>
      </c>
      <c r="G355">
        <v>1</v>
      </c>
      <c r="H355">
        <v>2069</v>
      </c>
      <c r="I355">
        <v>52.753697090000003</v>
      </c>
      <c r="J355">
        <v>0.99299999999999999</v>
      </c>
      <c r="K355">
        <f t="shared" si="5"/>
        <v>5</v>
      </c>
      <c r="N355">
        <v>5</v>
      </c>
      <c r="O355">
        <v>5</v>
      </c>
    </row>
    <row r="356" spans="1:15" x14ac:dyDescent="0.2">
      <c r="A356" t="s">
        <v>1739</v>
      </c>
      <c r="B356">
        <v>9003500200</v>
      </c>
      <c r="C356" t="s">
        <v>1740</v>
      </c>
      <c r="D356">
        <v>2335</v>
      </c>
      <c r="E356">
        <v>0.15034702899999999</v>
      </c>
      <c r="F356">
        <v>15530.735930000001</v>
      </c>
      <c r="G356">
        <v>1</v>
      </c>
      <c r="H356">
        <v>1210</v>
      </c>
      <c r="I356">
        <v>51.206093950000003</v>
      </c>
      <c r="J356">
        <v>0.99299999999999999</v>
      </c>
      <c r="K356">
        <f t="shared" si="5"/>
        <v>5</v>
      </c>
      <c r="N356">
        <v>5</v>
      </c>
      <c r="O356">
        <v>5</v>
      </c>
    </row>
    <row r="357" spans="1:15" x14ac:dyDescent="0.2">
      <c r="A357" t="s">
        <v>1741</v>
      </c>
      <c r="B357">
        <v>9003500300</v>
      </c>
      <c r="C357" t="s">
        <v>1742</v>
      </c>
      <c r="D357">
        <v>2343</v>
      </c>
      <c r="E357">
        <v>0.20521948400000001</v>
      </c>
      <c r="F357">
        <v>11417.044610000001</v>
      </c>
      <c r="G357">
        <v>1</v>
      </c>
      <c r="H357">
        <v>737</v>
      </c>
      <c r="I357">
        <v>31.960104080000001</v>
      </c>
      <c r="J357">
        <v>0.90800000000000003</v>
      </c>
      <c r="K357">
        <f t="shared" si="5"/>
        <v>5</v>
      </c>
      <c r="N357">
        <v>5</v>
      </c>
      <c r="O357">
        <v>5</v>
      </c>
    </row>
    <row r="358" spans="1:15" x14ac:dyDescent="0.2">
      <c r="A358" t="s">
        <v>1743</v>
      </c>
      <c r="B358">
        <v>9003500400</v>
      </c>
      <c r="C358" t="s">
        <v>1744</v>
      </c>
      <c r="D358">
        <v>1687</v>
      </c>
      <c r="E358">
        <v>0.36630246900000002</v>
      </c>
      <c r="F358">
        <v>4605.4835579999999</v>
      </c>
      <c r="G358">
        <v>1</v>
      </c>
      <c r="H358">
        <v>756</v>
      </c>
      <c r="I358">
        <v>45</v>
      </c>
      <c r="J358">
        <v>0.98199999999999998</v>
      </c>
      <c r="K358">
        <f t="shared" si="5"/>
        <v>5</v>
      </c>
      <c r="N358">
        <v>5</v>
      </c>
      <c r="O358">
        <v>5</v>
      </c>
    </row>
    <row r="359" spans="1:15" x14ac:dyDescent="0.2">
      <c r="A359" t="s">
        <v>1745</v>
      </c>
      <c r="B359">
        <v>9003500500</v>
      </c>
      <c r="C359" t="s">
        <v>1746</v>
      </c>
      <c r="D359">
        <v>1477</v>
      </c>
      <c r="E359">
        <v>0.109122127</v>
      </c>
      <c r="F359">
        <v>13535.29333</v>
      </c>
      <c r="G359">
        <v>1</v>
      </c>
      <c r="H359">
        <v>687</v>
      </c>
      <c r="I359">
        <v>47.087045920000001</v>
      </c>
      <c r="J359">
        <v>0.98899999999999999</v>
      </c>
      <c r="K359">
        <f t="shared" si="5"/>
        <v>5</v>
      </c>
      <c r="N359">
        <v>5</v>
      </c>
      <c r="O359">
        <v>5</v>
      </c>
    </row>
    <row r="360" spans="1:15" x14ac:dyDescent="0.2">
      <c r="A360" t="s">
        <v>1747</v>
      </c>
      <c r="B360">
        <v>9003500900</v>
      </c>
      <c r="C360" t="s">
        <v>1748</v>
      </c>
      <c r="D360">
        <v>2124</v>
      </c>
      <c r="E360">
        <v>0.19459163500000001</v>
      </c>
      <c r="F360">
        <v>10915.165999999999</v>
      </c>
      <c r="G360">
        <v>1</v>
      </c>
      <c r="H360">
        <v>831</v>
      </c>
      <c r="I360">
        <v>39.439962029999997</v>
      </c>
      <c r="J360">
        <v>0.96499999999999997</v>
      </c>
      <c r="K360">
        <f t="shared" si="5"/>
        <v>5</v>
      </c>
      <c r="N360">
        <v>5</v>
      </c>
      <c r="O360">
        <v>5</v>
      </c>
    </row>
    <row r="361" spans="1:15" x14ac:dyDescent="0.2">
      <c r="A361" t="s">
        <v>1749</v>
      </c>
      <c r="B361">
        <v>9003501200</v>
      </c>
      <c r="C361" t="s">
        <v>1750</v>
      </c>
      <c r="D361">
        <v>2369</v>
      </c>
      <c r="E361">
        <v>0.28261636699999998</v>
      </c>
      <c r="F361">
        <v>8382.3878370000002</v>
      </c>
      <c r="G361">
        <v>1</v>
      </c>
      <c r="H361">
        <v>454</v>
      </c>
      <c r="I361">
        <v>15.93541594</v>
      </c>
      <c r="J361">
        <v>0.64700000000000002</v>
      </c>
      <c r="K361">
        <f t="shared" si="5"/>
        <v>4</v>
      </c>
      <c r="N361">
        <v>4.5</v>
      </c>
      <c r="O361">
        <v>5</v>
      </c>
    </row>
    <row r="362" spans="1:15" x14ac:dyDescent="0.2">
      <c r="A362" t="s">
        <v>1751</v>
      </c>
      <c r="B362">
        <v>9003501300</v>
      </c>
      <c r="C362" t="s">
        <v>1752</v>
      </c>
      <c r="D362">
        <v>1735</v>
      </c>
      <c r="E362">
        <v>0.101255681</v>
      </c>
      <c r="F362">
        <v>17134.840970000001</v>
      </c>
      <c r="G362">
        <v>1</v>
      </c>
      <c r="H362">
        <v>340</v>
      </c>
      <c r="I362">
        <v>19.48424069</v>
      </c>
      <c r="J362">
        <v>0.73899999999999999</v>
      </c>
      <c r="K362">
        <f t="shared" si="5"/>
        <v>4</v>
      </c>
      <c r="N362">
        <v>4.5</v>
      </c>
      <c r="O362">
        <v>5</v>
      </c>
    </row>
    <row r="363" spans="1:15" x14ac:dyDescent="0.2">
      <c r="A363" t="s">
        <v>1753</v>
      </c>
      <c r="B363">
        <v>9003501400</v>
      </c>
      <c r="C363" t="s">
        <v>1754</v>
      </c>
      <c r="D363">
        <v>2641</v>
      </c>
      <c r="E363">
        <v>0.142857805</v>
      </c>
      <c r="F363">
        <v>18486.914349999999</v>
      </c>
      <c r="G363">
        <v>1</v>
      </c>
      <c r="H363">
        <v>397</v>
      </c>
      <c r="I363">
        <v>15.25749424</v>
      </c>
      <c r="J363">
        <v>0.63200000000000001</v>
      </c>
      <c r="K363">
        <f t="shared" si="5"/>
        <v>4</v>
      </c>
      <c r="N363">
        <v>4.5</v>
      </c>
      <c r="O363">
        <v>5</v>
      </c>
    </row>
    <row r="364" spans="1:15" x14ac:dyDescent="0.2">
      <c r="A364" t="s">
        <v>1755</v>
      </c>
      <c r="B364">
        <v>9003501500</v>
      </c>
      <c r="C364" t="s">
        <v>1756</v>
      </c>
      <c r="D364">
        <v>3550</v>
      </c>
      <c r="E364">
        <v>0.69100281500000005</v>
      </c>
      <c r="F364">
        <v>5137.4609780000001</v>
      </c>
      <c r="G364">
        <v>1</v>
      </c>
      <c r="H364">
        <v>383</v>
      </c>
      <c r="I364">
        <v>12.275641029999999</v>
      </c>
      <c r="J364">
        <v>0.53600000000000003</v>
      </c>
      <c r="K364">
        <f t="shared" si="5"/>
        <v>3</v>
      </c>
      <c r="N364">
        <v>4</v>
      </c>
      <c r="O364">
        <v>4</v>
      </c>
    </row>
    <row r="365" spans="1:15" x14ac:dyDescent="0.2">
      <c r="A365" t="s">
        <v>1757</v>
      </c>
      <c r="B365">
        <v>9003501700</v>
      </c>
      <c r="C365" t="s">
        <v>1758</v>
      </c>
      <c r="D365">
        <v>1318</v>
      </c>
      <c r="E365">
        <v>0.114904007</v>
      </c>
      <c r="F365">
        <v>11470.444170000001</v>
      </c>
      <c r="G365">
        <v>1</v>
      </c>
      <c r="H365">
        <v>558</v>
      </c>
      <c r="I365">
        <v>32.404181180000002</v>
      </c>
      <c r="J365">
        <v>0.91900000000000004</v>
      </c>
      <c r="K365">
        <f t="shared" si="5"/>
        <v>5</v>
      </c>
      <c r="N365">
        <v>5</v>
      </c>
      <c r="O365">
        <v>5</v>
      </c>
    </row>
    <row r="366" spans="1:15" x14ac:dyDescent="0.2">
      <c r="A366" t="s">
        <v>1759</v>
      </c>
      <c r="B366">
        <v>9003501800</v>
      </c>
      <c r="C366" t="s">
        <v>1760</v>
      </c>
      <c r="D366">
        <v>2863</v>
      </c>
      <c r="E366">
        <v>0.198044161</v>
      </c>
      <c r="F366">
        <v>14456.37169</v>
      </c>
      <c r="G366">
        <v>1</v>
      </c>
      <c r="H366">
        <v>1160</v>
      </c>
      <c r="I366">
        <v>38.423318979999998</v>
      </c>
      <c r="J366">
        <v>0.96499999999999997</v>
      </c>
      <c r="K366">
        <f t="shared" si="5"/>
        <v>5</v>
      </c>
      <c r="N366">
        <v>5</v>
      </c>
      <c r="O366">
        <v>5</v>
      </c>
    </row>
    <row r="367" spans="1:15" x14ac:dyDescent="0.2">
      <c r="A367" t="s">
        <v>1761</v>
      </c>
      <c r="B367">
        <v>9003502100</v>
      </c>
      <c r="C367" t="s">
        <v>1762</v>
      </c>
      <c r="D367">
        <v>1852</v>
      </c>
      <c r="E367">
        <v>0.88824233900000005</v>
      </c>
      <c r="F367">
        <v>2085.0165750000001</v>
      </c>
      <c r="G367">
        <v>1</v>
      </c>
      <c r="H367">
        <v>609</v>
      </c>
      <c r="I367">
        <v>25.343320850000001</v>
      </c>
      <c r="J367">
        <v>0.84</v>
      </c>
      <c r="K367">
        <f t="shared" si="5"/>
        <v>5</v>
      </c>
      <c r="N367">
        <v>4</v>
      </c>
      <c r="O367">
        <v>4</v>
      </c>
    </row>
    <row r="368" spans="1:15" x14ac:dyDescent="0.2">
      <c r="A368" t="s">
        <v>1763</v>
      </c>
      <c r="B368">
        <v>9003502300</v>
      </c>
      <c r="C368" t="s">
        <v>1764</v>
      </c>
      <c r="D368">
        <v>5998</v>
      </c>
      <c r="E368">
        <v>0.66644826199999996</v>
      </c>
      <c r="F368">
        <v>8999.9484520000005</v>
      </c>
      <c r="G368">
        <v>1</v>
      </c>
      <c r="H368">
        <v>2638</v>
      </c>
      <c r="I368">
        <v>44.20982068</v>
      </c>
      <c r="J368">
        <v>0.98399999999999999</v>
      </c>
      <c r="K368">
        <f t="shared" si="5"/>
        <v>5</v>
      </c>
      <c r="N368">
        <v>5</v>
      </c>
      <c r="O368">
        <v>5</v>
      </c>
    </row>
    <row r="369" spans="1:15" x14ac:dyDescent="0.2">
      <c r="A369" t="s">
        <v>1765</v>
      </c>
      <c r="B369">
        <v>9003502400</v>
      </c>
      <c r="C369" t="s">
        <v>1766</v>
      </c>
      <c r="D369">
        <v>6055</v>
      </c>
      <c r="E369">
        <v>0.28303644700000002</v>
      </c>
      <c r="F369">
        <v>21393.00459</v>
      </c>
      <c r="G369">
        <v>1</v>
      </c>
      <c r="H369">
        <v>3500</v>
      </c>
      <c r="I369">
        <v>56.753688990000001</v>
      </c>
      <c r="J369">
        <v>0.997</v>
      </c>
      <c r="K369">
        <f t="shared" si="5"/>
        <v>5</v>
      </c>
      <c r="N369">
        <v>5</v>
      </c>
      <c r="O369">
        <v>5</v>
      </c>
    </row>
    <row r="370" spans="1:15" x14ac:dyDescent="0.2">
      <c r="A370" t="s">
        <v>1767</v>
      </c>
      <c r="B370">
        <v>9003502500</v>
      </c>
      <c r="C370" t="s">
        <v>1768</v>
      </c>
      <c r="D370">
        <v>1828</v>
      </c>
      <c r="E370">
        <v>2.0907776409999999</v>
      </c>
      <c r="F370">
        <v>874.31583560000001</v>
      </c>
      <c r="G370">
        <v>1</v>
      </c>
      <c r="H370">
        <v>993</v>
      </c>
      <c r="I370">
        <v>46.100278549999999</v>
      </c>
      <c r="J370">
        <v>0.98899999999999999</v>
      </c>
      <c r="K370">
        <f t="shared" si="5"/>
        <v>5</v>
      </c>
      <c r="N370">
        <v>5</v>
      </c>
      <c r="O370">
        <v>5</v>
      </c>
    </row>
    <row r="371" spans="1:15" x14ac:dyDescent="0.2">
      <c r="A371" t="s">
        <v>1769</v>
      </c>
      <c r="B371">
        <v>9003502600</v>
      </c>
      <c r="C371" t="s">
        <v>1770</v>
      </c>
      <c r="D371">
        <v>3838</v>
      </c>
      <c r="E371">
        <v>0.21110638400000001</v>
      </c>
      <c r="F371">
        <v>18180.40713</v>
      </c>
      <c r="G371">
        <v>1</v>
      </c>
      <c r="H371">
        <v>2061</v>
      </c>
      <c r="I371">
        <v>50.951792339999997</v>
      </c>
      <c r="J371">
        <v>0.995</v>
      </c>
      <c r="K371">
        <f t="shared" si="5"/>
        <v>5</v>
      </c>
      <c r="N371">
        <v>5</v>
      </c>
      <c r="O371">
        <v>5</v>
      </c>
    </row>
    <row r="372" spans="1:15" x14ac:dyDescent="0.2">
      <c r="A372" t="s">
        <v>1771</v>
      </c>
      <c r="B372">
        <v>9003502700</v>
      </c>
      <c r="C372" t="s">
        <v>1772</v>
      </c>
      <c r="D372">
        <v>5240</v>
      </c>
      <c r="E372">
        <v>0.34860702100000002</v>
      </c>
      <c r="F372">
        <v>15031.25207</v>
      </c>
      <c r="G372">
        <v>1</v>
      </c>
      <c r="H372">
        <v>1445</v>
      </c>
      <c r="I372">
        <v>29.12132205</v>
      </c>
      <c r="J372">
        <v>0.88900000000000001</v>
      </c>
      <c r="K372">
        <f t="shared" si="5"/>
        <v>5</v>
      </c>
      <c r="N372">
        <v>5</v>
      </c>
      <c r="O372">
        <v>5</v>
      </c>
    </row>
    <row r="373" spans="1:15" x14ac:dyDescent="0.2">
      <c r="A373" t="s">
        <v>1773</v>
      </c>
      <c r="B373">
        <v>9003502800</v>
      </c>
      <c r="C373" t="s">
        <v>1774</v>
      </c>
      <c r="D373">
        <v>3283</v>
      </c>
      <c r="E373">
        <v>0.17989620000000001</v>
      </c>
      <c r="F373">
        <v>18249.412690000001</v>
      </c>
      <c r="G373">
        <v>1</v>
      </c>
      <c r="H373">
        <v>1173</v>
      </c>
      <c r="I373">
        <v>41.507430999999997</v>
      </c>
      <c r="J373">
        <v>0.98599999999999999</v>
      </c>
      <c r="K373">
        <f t="shared" si="5"/>
        <v>5</v>
      </c>
      <c r="N373">
        <v>5</v>
      </c>
      <c r="O373">
        <v>5</v>
      </c>
    </row>
    <row r="374" spans="1:15" x14ac:dyDescent="0.2">
      <c r="A374" t="s">
        <v>1775</v>
      </c>
      <c r="B374">
        <v>9003502900</v>
      </c>
      <c r="C374" t="s">
        <v>1776</v>
      </c>
      <c r="D374">
        <v>2938</v>
      </c>
      <c r="E374">
        <v>0.296082067</v>
      </c>
      <c r="F374">
        <v>9922.9245179999998</v>
      </c>
      <c r="G374">
        <v>1</v>
      </c>
      <c r="H374">
        <v>1408</v>
      </c>
      <c r="I374">
        <v>46.209386279999997</v>
      </c>
      <c r="J374">
        <v>0.99299999999999999</v>
      </c>
      <c r="K374">
        <f t="shared" si="5"/>
        <v>5</v>
      </c>
      <c r="N374">
        <v>5</v>
      </c>
      <c r="O374">
        <v>5</v>
      </c>
    </row>
    <row r="375" spans="1:15" x14ac:dyDescent="0.2">
      <c r="A375" t="s">
        <v>1777</v>
      </c>
      <c r="B375">
        <v>9003503000</v>
      </c>
      <c r="C375" t="s">
        <v>1778</v>
      </c>
      <c r="D375">
        <v>3255</v>
      </c>
      <c r="E375">
        <v>0.16433242200000001</v>
      </c>
      <c r="F375">
        <v>19807.412120000001</v>
      </c>
      <c r="G375">
        <v>1</v>
      </c>
      <c r="H375">
        <v>904</v>
      </c>
      <c r="I375">
        <v>31.741573030000001</v>
      </c>
      <c r="J375">
        <v>0.92900000000000005</v>
      </c>
      <c r="K375">
        <f t="shared" si="5"/>
        <v>5</v>
      </c>
      <c r="N375">
        <v>5</v>
      </c>
      <c r="O375">
        <v>5</v>
      </c>
    </row>
    <row r="376" spans="1:15" x14ac:dyDescent="0.2">
      <c r="A376" t="s">
        <v>1779</v>
      </c>
      <c r="B376">
        <v>9003503100</v>
      </c>
      <c r="C376" t="s">
        <v>1780</v>
      </c>
      <c r="D376">
        <v>4478</v>
      </c>
      <c r="E376">
        <v>0.27098156400000001</v>
      </c>
      <c r="F376">
        <v>16525.109410000001</v>
      </c>
      <c r="G376">
        <v>1</v>
      </c>
      <c r="H376">
        <v>1315</v>
      </c>
      <c r="I376">
        <v>31.663857449999998</v>
      </c>
      <c r="J376">
        <v>0.92800000000000005</v>
      </c>
      <c r="K376">
        <f t="shared" si="5"/>
        <v>5</v>
      </c>
      <c r="N376">
        <v>5</v>
      </c>
      <c r="O376">
        <v>5</v>
      </c>
    </row>
    <row r="377" spans="1:15" x14ac:dyDescent="0.2">
      <c r="A377" t="s">
        <v>1781</v>
      </c>
      <c r="B377">
        <v>9003503300</v>
      </c>
      <c r="C377" t="s">
        <v>1782</v>
      </c>
      <c r="D377">
        <v>2390</v>
      </c>
      <c r="E377">
        <v>0.106136013</v>
      </c>
      <c r="F377">
        <v>22518.275679999999</v>
      </c>
      <c r="G377">
        <v>1</v>
      </c>
      <c r="H377">
        <v>846</v>
      </c>
      <c r="I377">
        <v>30.010642069999999</v>
      </c>
      <c r="J377">
        <v>0.91</v>
      </c>
      <c r="K377">
        <f t="shared" si="5"/>
        <v>5</v>
      </c>
      <c r="N377">
        <v>5</v>
      </c>
      <c r="O377">
        <v>5</v>
      </c>
    </row>
    <row r="378" spans="1:15" x14ac:dyDescent="0.2">
      <c r="A378" t="s">
        <v>1783</v>
      </c>
      <c r="B378">
        <v>9003503500</v>
      </c>
      <c r="C378" t="s">
        <v>1784</v>
      </c>
      <c r="D378">
        <v>1622</v>
      </c>
      <c r="E378">
        <v>8.6270669999999994E-2</v>
      </c>
      <c r="F378">
        <v>18801.29134</v>
      </c>
      <c r="G378">
        <v>1</v>
      </c>
      <c r="H378">
        <v>279</v>
      </c>
      <c r="I378">
        <v>17.714285709999999</v>
      </c>
      <c r="J378">
        <v>0.72499999999999998</v>
      </c>
      <c r="K378">
        <f t="shared" si="5"/>
        <v>4</v>
      </c>
      <c r="N378">
        <v>4.5</v>
      </c>
      <c r="O378">
        <v>5</v>
      </c>
    </row>
    <row r="379" spans="1:15" x14ac:dyDescent="0.2">
      <c r="A379" t="s">
        <v>1785</v>
      </c>
      <c r="B379">
        <v>9003503700</v>
      </c>
      <c r="C379" t="s">
        <v>1786</v>
      </c>
      <c r="D379">
        <v>2651</v>
      </c>
      <c r="E379">
        <v>0.23441382699999999</v>
      </c>
      <c r="F379">
        <v>11309.05983</v>
      </c>
      <c r="G379">
        <v>1</v>
      </c>
      <c r="H379">
        <v>158</v>
      </c>
      <c r="I379">
        <v>6.6191872639999998</v>
      </c>
      <c r="J379">
        <v>0.26600000000000001</v>
      </c>
      <c r="K379">
        <f t="shared" si="5"/>
        <v>2</v>
      </c>
      <c r="N379">
        <v>3.5</v>
      </c>
      <c r="O379">
        <v>4</v>
      </c>
    </row>
    <row r="380" spans="1:15" x14ac:dyDescent="0.2">
      <c r="A380" t="s">
        <v>1787</v>
      </c>
      <c r="B380">
        <v>9003503800</v>
      </c>
      <c r="C380" t="s">
        <v>1788</v>
      </c>
      <c r="D380">
        <v>3508</v>
      </c>
      <c r="E380">
        <v>0.71547281299999999</v>
      </c>
      <c r="F380">
        <v>4903.0514320000002</v>
      </c>
      <c r="G380">
        <v>1</v>
      </c>
      <c r="H380">
        <v>367</v>
      </c>
      <c r="I380">
        <v>13.27305606</v>
      </c>
      <c r="J380">
        <v>0.6</v>
      </c>
      <c r="K380">
        <f t="shared" si="5"/>
        <v>4</v>
      </c>
      <c r="N380">
        <v>4</v>
      </c>
      <c r="O380">
        <v>4</v>
      </c>
    </row>
    <row r="381" spans="1:15" x14ac:dyDescent="0.2">
      <c r="A381" t="s">
        <v>1789</v>
      </c>
      <c r="B381">
        <v>9003503900</v>
      </c>
      <c r="C381" t="s">
        <v>1790</v>
      </c>
      <c r="D381">
        <v>5203</v>
      </c>
      <c r="E381">
        <v>0.69281904000000005</v>
      </c>
      <c r="F381">
        <v>7509.8975330000003</v>
      </c>
      <c r="G381">
        <v>1</v>
      </c>
      <c r="H381">
        <v>348</v>
      </c>
      <c r="I381">
        <v>7.278811964</v>
      </c>
      <c r="J381">
        <v>0.29599999999999999</v>
      </c>
      <c r="K381">
        <f t="shared" si="5"/>
        <v>2</v>
      </c>
      <c r="N381">
        <v>3.5</v>
      </c>
      <c r="O381">
        <v>4</v>
      </c>
    </row>
    <row r="382" spans="1:15" x14ac:dyDescent="0.2">
      <c r="A382" t="s">
        <v>1791</v>
      </c>
      <c r="B382">
        <v>9003504000</v>
      </c>
      <c r="C382" t="s">
        <v>1792</v>
      </c>
      <c r="D382">
        <v>3413</v>
      </c>
      <c r="E382">
        <v>0.35855108200000002</v>
      </c>
      <c r="F382">
        <v>9518.8668240000006</v>
      </c>
      <c r="G382">
        <v>1</v>
      </c>
      <c r="H382">
        <v>127</v>
      </c>
      <c r="I382">
        <v>4.007573367</v>
      </c>
      <c r="J382">
        <v>0.128</v>
      </c>
      <c r="K382">
        <f t="shared" si="5"/>
        <v>1</v>
      </c>
      <c r="N382">
        <v>2.5</v>
      </c>
      <c r="O382">
        <v>3</v>
      </c>
    </row>
    <row r="383" spans="1:15" x14ac:dyDescent="0.2">
      <c r="A383" t="s">
        <v>1793</v>
      </c>
      <c r="B383">
        <v>9003504100</v>
      </c>
      <c r="C383" t="s">
        <v>1794</v>
      </c>
      <c r="D383">
        <v>1855</v>
      </c>
      <c r="E383">
        <v>0.125195947</v>
      </c>
      <c r="F383">
        <v>14816.7736</v>
      </c>
      <c r="G383">
        <v>1</v>
      </c>
      <c r="H383">
        <v>578</v>
      </c>
      <c r="I383">
        <v>32.022160659999997</v>
      </c>
      <c r="J383">
        <v>0.93200000000000005</v>
      </c>
      <c r="K383">
        <f t="shared" si="5"/>
        <v>5</v>
      </c>
      <c r="N383">
        <v>5</v>
      </c>
      <c r="O383">
        <v>5</v>
      </c>
    </row>
    <row r="384" spans="1:15" x14ac:dyDescent="0.2">
      <c r="A384" t="s">
        <v>1795</v>
      </c>
      <c r="B384">
        <v>9003504200</v>
      </c>
      <c r="C384" t="s">
        <v>1796</v>
      </c>
      <c r="D384">
        <v>5123</v>
      </c>
      <c r="E384">
        <v>0.45103259200000001</v>
      </c>
      <c r="F384">
        <v>11358.38096</v>
      </c>
      <c r="G384">
        <v>1</v>
      </c>
      <c r="H384">
        <v>1827</v>
      </c>
      <c r="I384">
        <v>36.214073339999999</v>
      </c>
      <c r="J384">
        <v>0.96099999999999997</v>
      </c>
      <c r="K384">
        <f t="shared" si="5"/>
        <v>5</v>
      </c>
      <c r="N384">
        <v>5</v>
      </c>
      <c r="O384">
        <v>5</v>
      </c>
    </row>
    <row r="385" spans="1:15" x14ac:dyDescent="0.2">
      <c r="A385" t="s">
        <v>1797</v>
      </c>
      <c r="B385">
        <v>9003504300</v>
      </c>
      <c r="C385" t="s">
        <v>1798</v>
      </c>
      <c r="D385">
        <v>2946</v>
      </c>
      <c r="E385">
        <v>0.31312886400000001</v>
      </c>
      <c r="F385">
        <v>9408.2671370000007</v>
      </c>
      <c r="G385">
        <v>1</v>
      </c>
      <c r="H385">
        <v>1214</v>
      </c>
      <c r="I385">
        <v>40.013183920000003</v>
      </c>
      <c r="J385">
        <v>0.98099999999999998</v>
      </c>
      <c r="K385">
        <f t="shared" si="5"/>
        <v>5</v>
      </c>
      <c r="N385">
        <v>5</v>
      </c>
      <c r="O385">
        <v>5</v>
      </c>
    </row>
    <row r="386" spans="1:15" x14ac:dyDescent="0.2">
      <c r="A386" t="s">
        <v>1799</v>
      </c>
      <c r="B386">
        <v>9003504500</v>
      </c>
      <c r="C386" t="s">
        <v>1800</v>
      </c>
      <c r="D386">
        <v>3701</v>
      </c>
      <c r="E386">
        <v>0.34253942500000001</v>
      </c>
      <c r="F386">
        <v>10804.59571</v>
      </c>
      <c r="G386">
        <v>1</v>
      </c>
      <c r="H386">
        <v>1318</v>
      </c>
      <c r="I386">
        <v>40.26886648</v>
      </c>
      <c r="J386">
        <v>0.98399999999999999</v>
      </c>
      <c r="K386">
        <f t="shared" si="5"/>
        <v>5</v>
      </c>
      <c r="N386">
        <v>5</v>
      </c>
      <c r="O386">
        <v>5</v>
      </c>
    </row>
    <row r="387" spans="1:15" x14ac:dyDescent="0.2">
      <c r="A387" t="s">
        <v>1801</v>
      </c>
      <c r="B387">
        <v>9003504800</v>
      </c>
      <c r="C387" t="s">
        <v>1802</v>
      </c>
      <c r="D387">
        <v>4560</v>
      </c>
      <c r="E387">
        <v>0.57594822800000001</v>
      </c>
      <c r="F387">
        <v>7917.3782920000003</v>
      </c>
      <c r="G387">
        <v>1</v>
      </c>
      <c r="H387">
        <v>2012</v>
      </c>
      <c r="I387">
        <v>40.605449040000003</v>
      </c>
      <c r="J387">
        <v>0.98599999999999999</v>
      </c>
      <c r="K387">
        <f t="shared" ref="K387:K450" si="6">IF(J387&lt;0.2,1,IF(J387&lt;0.4,2,IF(J387&lt;0.6,3,IF(J387&lt;0.8,4,5))))</f>
        <v>5</v>
      </c>
      <c r="N387">
        <v>5</v>
      </c>
      <c r="O387">
        <v>5</v>
      </c>
    </row>
    <row r="388" spans="1:15" x14ac:dyDescent="0.2">
      <c r="A388" t="s">
        <v>1803</v>
      </c>
      <c r="B388">
        <v>9003504900</v>
      </c>
      <c r="C388" t="s">
        <v>1804</v>
      </c>
      <c r="D388">
        <v>4548</v>
      </c>
      <c r="E388">
        <v>0.60123521800000002</v>
      </c>
      <c r="F388">
        <v>7564.427138</v>
      </c>
      <c r="G388">
        <v>1</v>
      </c>
      <c r="H388">
        <v>1712</v>
      </c>
      <c r="I388">
        <v>36.55776212</v>
      </c>
      <c r="J388">
        <v>0.97199999999999998</v>
      </c>
      <c r="K388">
        <f t="shared" si="6"/>
        <v>5</v>
      </c>
      <c r="N388">
        <v>5</v>
      </c>
      <c r="O388">
        <v>5</v>
      </c>
    </row>
    <row r="389" spans="1:15" x14ac:dyDescent="0.2">
      <c r="A389" t="s">
        <v>1805</v>
      </c>
      <c r="B389">
        <v>9003510100</v>
      </c>
      <c r="C389" t="s">
        <v>1806</v>
      </c>
      <c r="D389">
        <v>2232</v>
      </c>
      <c r="E389">
        <v>1.253199629</v>
      </c>
      <c r="F389">
        <v>1781.041064</v>
      </c>
      <c r="G389">
        <v>1</v>
      </c>
      <c r="H389">
        <v>259</v>
      </c>
      <c r="I389">
        <v>13.46853874</v>
      </c>
      <c r="J389">
        <v>0.61699999999999999</v>
      </c>
      <c r="K389">
        <f t="shared" si="6"/>
        <v>4</v>
      </c>
      <c r="N389">
        <v>4.5</v>
      </c>
      <c r="O389">
        <v>5</v>
      </c>
    </row>
    <row r="390" spans="1:15" x14ac:dyDescent="0.2">
      <c r="A390" t="s">
        <v>1807</v>
      </c>
      <c r="B390">
        <v>9003510200</v>
      </c>
      <c r="C390" t="s">
        <v>1808</v>
      </c>
      <c r="D390">
        <v>2502</v>
      </c>
      <c r="E390">
        <v>1.1213156200000001</v>
      </c>
      <c r="F390">
        <v>2231.307542</v>
      </c>
      <c r="G390">
        <v>1</v>
      </c>
      <c r="H390">
        <v>711</v>
      </c>
      <c r="I390">
        <v>27.356675639999999</v>
      </c>
      <c r="J390">
        <v>0.90100000000000002</v>
      </c>
      <c r="K390">
        <f t="shared" si="6"/>
        <v>5</v>
      </c>
      <c r="N390">
        <v>5</v>
      </c>
      <c r="O390">
        <v>5</v>
      </c>
    </row>
    <row r="391" spans="1:15" x14ac:dyDescent="0.2">
      <c r="A391" t="s">
        <v>1809</v>
      </c>
      <c r="B391">
        <v>9003510300</v>
      </c>
      <c r="C391" t="s">
        <v>1810</v>
      </c>
      <c r="D391">
        <v>4310</v>
      </c>
      <c r="E391">
        <v>0.92202589400000001</v>
      </c>
      <c r="F391">
        <v>4674.4891120000002</v>
      </c>
      <c r="G391">
        <v>1</v>
      </c>
      <c r="H391">
        <v>585</v>
      </c>
      <c r="I391">
        <v>14.17494548</v>
      </c>
      <c r="J391">
        <v>0.63400000000000001</v>
      </c>
      <c r="K391">
        <f t="shared" si="6"/>
        <v>4</v>
      </c>
      <c r="N391">
        <v>4.5</v>
      </c>
      <c r="O391">
        <v>5</v>
      </c>
    </row>
    <row r="392" spans="1:15" x14ac:dyDescent="0.2">
      <c r="A392" t="s">
        <v>1811</v>
      </c>
      <c r="B392">
        <v>9003510400</v>
      </c>
      <c r="C392" t="s">
        <v>1812</v>
      </c>
      <c r="D392">
        <v>5659</v>
      </c>
      <c r="E392">
        <v>1.0436731749999999</v>
      </c>
      <c r="F392">
        <v>5422.1955049999997</v>
      </c>
      <c r="G392">
        <v>1</v>
      </c>
      <c r="H392">
        <v>1281</v>
      </c>
      <c r="I392">
        <v>19.539353259999999</v>
      </c>
      <c r="J392">
        <v>0.77100000000000002</v>
      </c>
      <c r="K392">
        <f t="shared" si="6"/>
        <v>4</v>
      </c>
      <c r="N392">
        <v>4.5</v>
      </c>
      <c r="O392">
        <v>5</v>
      </c>
    </row>
    <row r="393" spans="1:15" x14ac:dyDescent="0.2">
      <c r="A393" t="s">
        <v>1813</v>
      </c>
      <c r="B393">
        <v>9003510500</v>
      </c>
      <c r="C393" t="s">
        <v>1814</v>
      </c>
      <c r="D393">
        <v>3458</v>
      </c>
      <c r="E393">
        <v>1.401036607</v>
      </c>
      <c r="F393">
        <v>2468.1724819999999</v>
      </c>
      <c r="G393">
        <v>1</v>
      </c>
      <c r="H393">
        <v>944</v>
      </c>
      <c r="I393">
        <v>31.185992729999999</v>
      </c>
      <c r="J393">
        <v>0.93700000000000006</v>
      </c>
      <c r="K393">
        <f t="shared" si="6"/>
        <v>5</v>
      </c>
      <c r="N393">
        <v>4.5</v>
      </c>
      <c r="O393">
        <v>5</v>
      </c>
    </row>
    <row r="394" spans="1:15" x14ac:dyDescent="0.2">
      <c r="A394" t="s">
        <v>1815</v>
      </c>
      <c r="B394">
        <v>9003510600</v>
      </c>
      <c r="C394" t="s">
        <v>1816</v>
      </c>
      <c r="D394">
        <v>5007</v>
      </c>
      <c r="E394">
        <v>2.6409045139999998</v>
      </c>
      <c r="F394">
        <v>1895.9413239999999</v>
      </c>
      <c r="G394">
        <v>1</v>
      </c>
      <c r="H394">
        <v>1201</v>
      </c>
      <c r="I394">
        <v>26.01256227</v>
      </c>
      <c r="J394">
        <v>0.88400000000000001</v>
      </c>
      <c r="K394">
        <f t="shared" si="6"/>
        <v>5</v>
      </c>
      <c r="N394">
        <v>5</v>
      </c>
      <c r="O394">
        <v>5</v>
      </c>
    </row>
    <row r="395" spans="1:15" x14ac:dyDescent="0.2">
      <c r="A395" t="s">
        <v>1817</v>
      </c>
      <c r="B395">
        <v>9003510700</v>
      </c>
      <c r="C395" t="s">
        <v>1818</v>
      </c>
      <c r="D395">
        <v>4961</v>
      </c>
      <c r="E395">
        <v>1.300701393</v>
      </c>
      <c r="F395">
        <v>3814.0960150000001</v>
      </c>
      <c r="G395">
        <v>1</v>
      </c>
      <c r="H395">
        <v>1041</v>
      </c>
      <c r="I395">
        <v>22.96999117</v>
      </c>
      <c r="J395">
        <v>0.84399999999999997</v>
      </c>
      <c r="K395">
        <f t="shared" si="6"/>
        <v>5</v>
      </c>
      <c r="N395">
        <v>4.5</v>
      </c>
      <c r="O395">
        <v>5</v>
      </c>
    </row>
    <row r="396" spans="1:15" x14ac:dyDescent="0.2">
      <c r="A396" t="s">
        <v>1819</v>
      </c>
      <c r="B396">
        <v>9003510800</v>
      </c>
      <c r="C396" t="s">
        <v>1820</v>
      </c>
      <c r="D396">
        <v>3143</v>
      </c>
      <c r="E396">
        <v>1.0942591239999999</v>
      </c>
      <c r="F396">
        <v>2872.2630049999998</v>
      </c>
      <c r="G396">
        <v>1</v>
      </c>
      <c r="H396">
        <v>404</v>
      </c>
      <c r="I396">
        <v>12.625</v>
      </c>
      <c r="J396">
        <v>0.59299999999999997</v>
      </c>
      <c r="K396">
        <f t="shared" si="6"/>
        <v>3</v>
      </c>
      <c r="N396">
        <v>4</v>
      </c>
      <c r="O396">
        <v>4</v>
      </c>
    </row>
    <row r="397" spans="1:15" x14ac:dyDescent="0.2">
      <c r="A397" t="s">
        <v>1821</v>
      </c>
      <c r="B397">
        <v>9003510900</v>
      </c>
      <c r="C397" t="s">
        <v>1822</v>
      </c>
      <c r="D397">
        <v>3680</v>
      </c>
      <c r="E397">
        <v>1.2351215529999999</v>
      </c>
      <c r="F397">
        <v>2979.4638369999998</v>
      </c>
      <c r="G397">
        <v>1</v>
      </c>
      <c r="H397">
        <v>637</v>
      </c>
      <c r="I397">
        <v>17.342771580000001</v>
      </c>
      <c r="J397">
        <v>0.72199999999999998</v>
      </c>
      <c r="K397">
        <f t="shared" si="6"/>
        <v>4</v>
      </c>
      <c r="N397">
        <v>3.5</v>
      </c>
      <c r="O397">
        <v>4</v>
      </c>
    </row>
    <row r="398" spans="1:15" x14ac:dyDescent="0.2">
      <c r="A398" t="s">
        <v>1823</v>
      </c>
      <c r="B398">
        <v>9003511000</v>
      </c>
      <c r="C398" t="s">
        <v>1824</v>
      </c>
      <c r="D398">
        <v>3415</v>
      </c>
      <c r="E398">
        <v>1.297802924</v>
      </c>
      <c r="F398">
        <v>2631.370246</v>
      </c>
      <c r="G398">
        <v>1</v>
      </c>
      <c r="H398">
        <v>494</v>
      </c>
      <c r="I398">
        <v>13.7374861</v>
      </c>
      <c r="J398">
        <v>0.63500000000000001</v>
      </c>
      <c r="K398">
        <f t="shared" si="6"/>
        <v>4</v>
      </c>
      <c r="N398">
        <v>3.5</v>
      </c>
      <c r="O398">
        <v>4</v>
      </c>
    </row>
    <row r="399" spans="1:15" x14ac:dyDescent="0.2">
      <c r="A399" t="s">
        <v>1825</v>
      </c>
      <c r="B399">
        <v>9003511100</v>
      </c>
      <c r="C399" t="s">
        <v>1826</v>
      </c>
      <c r="D399">
        <v>3592</v>
      </c>
      <c r="E399">
        <v>1.596393111</v>
      </c>
      <c r="F399">
        <v>2250.0723509999998</v>
      </c>
      <c r="G399">
        <v>1</v>
      </c>
      <c r="H399">
        <v>541</v>
      </c>
      <c r="I399">
        <v>16.384009689999999</v>
      </c>
      <c r="J399">
        <v>0.69299999999999995</v>
      </c>
      <c r="K399">
        <f t="shared" si="6"/>
        <v>4</v>
      </c>
      <c r="N399">
        <v>3.5</v>
      </c>
      <c r="O399">
        <v>4</v>
      </c>
    </row>
    <row r="400" spans="1:15" x14ac:dyDescent="0.2">
      <c r="A400" t="s">
        <v>1827</v>
      </c>
      <c r="B400">
        <v>9003511200</v>
      </c>
      <c r="C400" t="s">
        <v>1828</v>
      </c>
      <c r="D400">
        <v>3363</v>
      </c>
      <c r="E400">
        <v>0.73333081099999997</v>
      </c>
      <c r="F400">
        <v>4585.9248660000003</v>
      </c>
      <c r="G400">
        <v>1</v>
      </c>
      <c r="H400">
        <v>1152</v>
      </c>
      <c r="I400">
        <v>35.555555560000002</v>
      </c>
      <c r="J400">
        <v>0.96699999999999997</v>
      </c>
      <c r="K400">
        <f t="shared" si="6"/>
        <v>5</v>
      </c>
      <c r="N400">
        <v>4.5</v>
      </c>
      <c r="O400">
        <v>5</v>
      </c>
    </row>
    <row r="401" spans="1:15" x14ac:dyDescent="0.2">
      <c r="A401" t="s">
        <v>1829</v>
      </c>
      <c r="B401">
        <v>9003511300</v>
      </c>
      <c r="C401" t="s">
        <v>1830</v>
      </c>
      <c r="D401">
        <v>3509</v>
      </c>
      <c r="E401">
        <v>0.676619737</v>
      </c>
      <c r="F401">
        <v>5186.0739599999997</v>
      </c>
      <c r="G401">
        <v>1</v>
      </c>
      <c r="H401">
        <v>624</v>
      </c>
      <c r="I401">
        <v>17.049180329999999</v>
      </c>
      <c r="J401">
        <v>0.71499999999999997</v>
      </c>
      <c r="K401">
        <f t="shared" si="6"/>
        <v>4</v>
      </c>
      <c r="N401">
        <v>4.5</v>
      </c>
      <c r="O401">
        <v>5</v>
      </c>
    </row>
    <row r="402" spans="1:15" x14ac:dyDescent="0.2">
      <c r="A402" t="s">
        <v>1831</v>
      </c>
      <c r="B402">
        <v>9003511400</v>
      </c>
      <c r="C402" t="s">
        <v>1832</v>
      </c>
      <c r="D402">
        <v>2421</v>
      </c>
      <c r="E402">
        <v>1.679904308</v>
      </c>
      <c r="F402">
        <v>1441.1535160000001</v>
      </c>
      <c r="G402">
        <v>1</v>
      </c>
      <c r="H402">
        <v>331</v>
      </c>
      <c r="I402">
        <v>14.90990991</v>
      </c>
      <c r="J402">
        <v>0.65500000000000003</v>
      </c>
      <c r="K402">
        <f t="shared" si="6"/>
        <v>4</v>
      </c>
      <c r="N402">
        <v>3.5</v>
      </c>
      <c r="O402">
        <v>4</v>
      </c>
    </row>
    <row r="403" spans="1:15" x14ac:dyDescent="0.2">
      <c r="A403" t="s">
        <v>1833</v>
      </c>
      <c r="B403">
        <v>9003514101</v>
      </c>
      <c r="C403" t="s">
        <v>1834</v>
      </c>
      <c r="D403">
        <v>3659</v>
      </c>
      <c r="E403">
        <v>1.8171219329999999</v>
      </c>
      <c r="F403">
        <v>2013.623816</v>
      </c>
      <c r="G403">
        <v>1</v>
      </c>
      <c r="H403">
        <v>415</v>
      </c>
      <c r="I403">
        <v>12.008101849999999</v>
      </c>
      <c r="J403">
        <v>0.57399999999999995</v>
      </c>
      <c r="K403">
        <f t="shared" si="6"/>
        <v>3</v>
      </c>
      <c r="N403">
        <v>3</v>
      </c>
      <c r="O403">
        <v>3</v>
      </c>
    </row>
    <row r="404" spans="1:15" x14ac:dyDescent="0.2">
      <c r="A404" t="s">
        <v>1835</v>
      </c>
      <c r="B404">
        <v>9003514102</v>
      </c>
      <c r="C404" t="s">
        <v>1836</v>
      </c>
      <c r="D404">
        <v>7398</v>
      </c>
      <c r="E404">
        <v>4.7768422089999998</v>
      </c>
      <c r="F404">
        <v>1548.7218700000001</v>
      </c>
      <c r="G404">
        <v>1</v>
      </c>
      <c r="H404">
        <v>4552</v>
      </c>
      <c r="I404">
        <v>57.236263049999998</v>
      </c>
      <c r="J404">
        <v>1</v>
      </c>
      <c r="K404">
        <f t="shared" si="6"/>
        <v>5</v>
      </c>
      <c r="N404">
        <v>4</v>
      </c>
      <c r="O404">
        <v>4</v>
      </c>
    </row>
    <row r="405" spans="1:15" x14ac:dyDescent="0.2">
      <c r="A405" t="s">
        <v>1837</v>
      </c>
      <c r="B405">
        <v>9003514200</v>
      </c>
      <c r="C405" t="s">
        <v>1838</v>
      </c>
      <c r="D405">
        <v>3076</v>
      </c>
      <c r="E405">
        <v>1.379580523</v>
      </c>
      <c r="F405">
        <v>2229.6632549999999</v>
      </c>
      <c r="G405">
        <v>1</v>
      </c>
      <c r="H405">
        <v>727</v>
      </c>
      <c r="I405">
        <v>23.836065569999999</v>
      </c>
      <c r="J405">
        <v>0.85499999999999998</v>
      </c>
      <c r="K405">
        <f t="shared" si="6"/>
        <v>5</v>
      </c>
      <c r="N405">
        <v>4.5</v>
      </c>
      <c r="O405">
        <v>5</v>
      </c>
    </row>
    <row r="406" spans="1:15" x14ac:dyDescent="0.2">
      <c r="A406" t="s">
        <v>1839</v>
      </c>
      <c r="B406">
        <v>9003514300</v>
      </c>
      <c r="C406" t="s">
        <v>1840</v>
      </c>
      <c r="D406">
        <v>4291</v>
      </c>
      <c r="E406">
        <v>0.846451026</v>
      </c>
      <c r="F406">
        <v>5069.4013809999997</v>
      </c>
      <c r="G406">
        <v>1</v>
      </c>
      <c r="H406">
        <v>395</v>
      </c>
      <c r="I406">
        <v>9.9974689950000002</v>
      </c>
      <c r="J406">
        <v>0.46899999999999997</v>
      </c>
      <c r="K406">
        <f t="shared" si="6"/>
        <v>3</v>
      </c>
      <c r="N406">
        <v>3.5</v>
      </c>
      <c r="O406">
        <v>4</v>
      </c>
    </row>
    <row r="407" spans="1:15" x14ac:dyDescent="0.2">
      <c r="A407" t="s">
        <v>1841</v>
      </c>
      <c r="B407">
        <v>9003514400</v>
      </c>
      <c r="C407" t="s">
        <v>1842</v>
      </c>
      <c r="D407">
        <v>4768</v>
      </c>
      <c r="E407">
        <v>0.94892292899999997</v>
      </c>
      <c r="F407">
        <v>5024.6441020000002</v>
      </c>
      <c r="G407">
        <v>1</v>
      </c>
      <c r="H407">
        <v>573</v>
      </c>
      <c r="I407">
        <v>13.30392384</v>
      </c>
      <c r="J407">
        <v>0.63</v>
      </c>
      <c r="K407">
        <f t="shared" si="6"/>
        <v>4</v>
      </c>
      <c r="N407">
        <v>4</v>
      </c>
      <c r="O407">
        <v>4</v>
      </c>
    </row>
    <row r="408" spans="1:15" x14ac:dyDescent="0.2">
      <c r="A408" t="s">
        <v>1843</v>
      </c>
      <c r="B408">
        <v>9003514500</v>
      </c>
      <c r="C408" t="s">
        <v>1844</v>
      </c>
      <c r="D408">
        <v>4364</v>
      </c>
      <c r="E408">
        <v>1.0321395310000001</v>
      </c>
      <c r="F408">
        <v>4228.1105109999999</v>
      </c>
      <c r="G408">
        <v>1</v>
      </c>
      <c r="H408">
        <v>1066</v>
      </c>
      <c r="I408">
        <v>23.13870198</v>
      </c>
      <c r="J408">
        <v>0.85099999999999998</v>
      </c>
      <c r="K408">
        <f t="shared" si="6"/>
        <v>5</v>
      </c>
      <c r="N408">
        <v>4.5</v>
      </c>
      <c r="O408">
        <v>5</v>
      </c>
    </row>
    <row r="409" spans="1:15" x14ac:dyDescent="0.2">
      <c r="A409" t="s">
        <v>1845</v>
      </c>
      <c r="B409">
        <v>9003514600</v>
      </c>
      <c r="C409" t="s">
        <v>1846</v>
      </c>
      <c r="D409">
        <v>5261</v>
      </c>
      <c r="E409">
        <v>0.82816484099999998</v>
      </c>
      <c r="F409">
        <v>6352.6000379999996</v>
      </c>
      <c r="G409">
        <v>1</v>
      </c>
      <c r="H409">
        <v>1065</v>
      </c>
      <c r="I409">
        <v>20.37887486</v>
      </c>
      <c r="J409">
        <v>0.8</v>
      </c>
      <c r="K409">
        <f t="shared" si="6"/>
        <v>5</v>
      </c>
      <c r="N409">
        <v>4</v>
      </c>
      <c r="O409">
        <v>4</v>
      </c>
    </row>
    <row r="410" spans="1:15" x14ac:dyDescent="0.2">
      <c r="A410" t="s">
        <v>1847</v>
      </c>
      <c r="B410">
        <v>9003514700</v>
      </c>
      <c r="C410" t="s">
        <v>1848</v>
      </c>
      <c r="D410">
        <v>4298</v>
      </c>
      <c r="E410">
        <v>0.53397776399999997</v>
      </c>
      <c r="F410">
        <v>8049.0243099999998</v>
      </c>
      <c r="G410">
        <v>1</v>
      </c>
      <c r="H410">
        <v>1199</v>
      </c>
      <c r="I410">
        <v>26.608965820000002</v>
      </c>
      <c r="J410">
        <v>0.89100000000000001</v>
      </c>
      <c r="K410">
        <f t="shared" si="6"/>
        <v>5</v>
      </c>
      <c r="N410">
        <v>5</v>
      </c>
      <c r="O410">
        <v>5</v>
      </c>
    </row>
    <row r="411" spans="1:15" x14ac:dyDescent="0.2">
      <c r="A411" t="s">
        <v>1849</v>
      </c>
      <c r="B411">
        <v>9003514800</v>
      </c>
      <c r="C411" t="s">
        <v>1850</v>
      </c>
      <c r="D411">
        <v>3485</v>
      </c>
      <c r="E411">
        <v>0.53186462599999995</v>
      </c>
      <c r="F411">
        <v>6552.4192190000003</v>
      </c>
      <c r="G411">
        <v>1</v>
      </c>
      <c r="H411">
        <v>1117</v>
      </c>
      <c r="I411">
        <v>34.337534580000003</v>
      </c>
      <c r="J411">
        <v>0.96599999999999997</v>
      </c>
      <c r="K411">
        <f t="shared" si="6"/>
        <v>5</v>
      </c>
      <c r="N411">
        <v>4.5</v>
      </c>
      <c r="O411">
        <v>5</v>
      </c>
    </row>
    <row r="412" spans="1:15" x14ac:dyDescent="0.2">
      <c r="A412" t="s">
        <v>1851</v>
      </c>
      <c r="B412">
        <v>9003514900</v>
      </c>
      <c r="C412" t="s">
        <v>1852</v>
      </c>
      <c r="D412">
        <v>2881</v>
      </c>
      <c r="E412">
        <v>1.369123332</v>
      </c>
      <c r="F412">
        <v>2104.2662359999999</v>
      </c>
      <c r="G412">
        <v>1</v>
      </c>
      <c r="H412">
        <v>251</v>
      </c>
      <c r="I412">
        <v>9.0093323759999997</v>
      </c>
      <c r="J412">
        <v>0.434</v>
      </c>
      <c r="K412">
        <f t="shared" si="6"/>
        <v>3</v>
      </c>
      <c r="N412">
        <v>3.5</v>
      </c>
      <c r="O412">
        <v>4</v>
      </c>
    </row>
    <row r="413" spans="1:15" x14ac:dyDescent="0.2">
      <c r="A413" t="s">
        <v>1853</v>
      </c>
      <c r="B413">
        <v>9003515000</v>
      </c>
      <c r="C413" t="s">
        <v>1854</v>
      </c>
      <c r="D413">
        <v>2923</v>
      </c>
      <c r="E413">
        <v>2.2469996000000001</v>
      </c>
      <c r="F413">
        <v>1300.8458029999999</v>
      </c>
      <c r="G413">
        <v>1</v>
      </c>
      <c r="H413">
        <v>409</v>
      </c>
      <c r="I413">
        <v>13.287849250000001</v>
      </c>
      <c r="J413">
        <v>0.63400000000000001</v>
      </c>
      <c r="K413">
        <f t="shared" si="6"/>
        <v>4</v>
      </c>
      <c r="N413">
        <v>3</v>
      </c>
      <c r="O413">
        <v>3</v>
      </c>
    </row>
    <row r="414" spans="1:15" x14ac:dyDescent="0.2">
      <c r="A414" t="s">
        <v>1855</v>
      </c>
      <c r="B414">
        <v>9003515101</v>
      </c>
      <c r="C414" t="s">
        <v>1856</v>
      </c>
      <c r="D414">
        <v>2555</v>
      </c>
      <c r="E414">
        <v>1.1288797479999999</v>
      </c>
      <c r="F414">
        <v>2263.3057290000002</v>
      </c>
      <c r="G414">
        <v>1</v>
      </c>
      <c r="H414">
        <v>291</v>
      </c>
      <c r="I414">
        <v>11.81965881</v>
      </c>
      <c r="J414">
        <v>0.56999999999999995</v>
      </c>
      <c r="K414">
        <f t="shared" si="6"/>
        <v>3</v>
      </c>
      <c r="N414">
        <v>3.5</v>
      </c>
      <c r="O414">
        <v>4</v>
      </c>
    </row>
    <row r="415" spans="1:15" x14ac:dyDescent="0.2">
      <c r="A415" t="s">
        <v>1857</v>
      </c>
      <c r="B415">
        <v>9003515102</v>
      </c>
      <c r="C415" t="s">
        <v>1858</v>
      </c>
      <c r="D415">
        <v>5866</v>
      </c>
      <c r="E415">
        <v>5.5487720410000003</v>
      </c>
      <c r="F415">
        <v>1057.17084</v>
      </c>
      <c r="G415">
        <v>1</v>
      </c>
      <c r="H415">
        <v>1897</v>
      </c>
      <c r="I415">
        <v>31.2984656</v>
      </c>
      <c r="J415">
        <v>0.94399999999999995</v>
      </c>
      <c r="K415">
        <f t="shared" si="6"/>
        <v>5</v>
      </c>
      <c r="N415">
        <v>4.5</v>
      </c>
      <c r="O415">
        <v>5</v>
      </c>
    </row>
    <row r="416" spans="1:15" x14ac:dyDescent="0.2">
      <c r="A416" t="s">
        <v>1859</v>
      </c>
      <c r="B416">
        <v>9003515200</v>
      </c>
      <c r="C416" t="s">
        <v>1860</v>
      </c>
      <c r="D416">
        <v>3416</v>
      </c>
      <c r="E416">
        <v>4.4139115699999998</v>
      </c>
      <c r="F416">
        <v>773.91672800000003</v>
      </c>
      <c r="G416">
        <v>1</v>
      </c>
      <c r="H416">
        <v>458</v>
      </c>
      <c r="I416">
        <v>14.7314249</v>
      </c>
      <c r="J416">
        <v>0.66</v>
      </c>
      <c r="K416">
        <f t="shared" si="6"/>
        <v>4</v>
      </c>
      <c r="N416">
        <v>3</v>
      </c>
      <c r="O416">
        <v>3</v>
      </c>
    </row>
    <row r="417" spans="1:15" x14ac:dyDescent="0.2">
      <c r="A417" t="s">
        <v>1861</v>
      </c>
      <c r="B417">
        <v>9003520100</v>
      </c>
      <c r="C417" t="s">
        <v>1862</v>
      </c>
      <c r="D417">
        <v>5830</v>
      </c>
      <c r="E417">
        <v>5.6104333300000002</v>
      </c>
      <c r="F417">
        <v>1039.135421</v>
      </c>
      <c r="G417">
        <v>1</v>
      </c>
      <c r="H417">
        <v>858</v>
      </c>
      <c r="I417">
        <v>14.429868819999999</v>
      </c>
      <c r="J417">
        <v>0.65500000000000003</v>
      </c>
      <c r="K417">
        <f t="shared" si="6"/>
        <v>4</v>
      </c>
      <c r="N417">
        <v>2.5</v>
      </c>
      <c r="O417">
        <v>3</v>
      </c>
    </row>
    <row r="418" spans="1:15" x14ac:dyDescent="0.2">
      <c r="A418" t="s">
        <v>1863</v>
      </c>
      <c r="B418">
        <v>9003520201</v>
      </c>
      <c r="C418" t="s">
        <v>1864</v>
      </c>
      <c r="D418">
        <v>3739</v>
      </c>
      <c r="E418">
        <v>11.83297065</v>
      </c>
      <c r="F418">
        <v>315.9815155</v>
      </c>
      <c r="G418">
        <v>1</v>
      </c>
      <c r="H418">
        <v>635</v>
      </c>
      <c r="I418">
        <v>17.580287930000001</v>
      </c>
      <c r="J418">
        <v>0.74199999999999999</v>
      </c>
      <c r="K418">
        <f t="shared" si="6"/>
        <v>4</v>
      </c>
      <c r="N418">
        <v>2.5</v>
      </c>
      <c r="O418">
        <v>3</v>
      </c>
    </row>
    <row r="419" spans="1:15" x14ac:dyDescent="0.2">
      <c r="A419" t="s">
        <v>1865</v>
      </c>
      <c r="B419">
        <v>9003520202</v>
      </c>
      <c r="C419" t="s">
        <v>1866</v>
      </c>
      <c r="D419">
        <v>4280</v>
      </c>
      <c r="E419">
        <v>13.60132325</v>
      </c>
      <c r="F419">
        <v>314.67526520000001</v>
      </c>
      <c r="G419">
        <v>1</v>
      </c>
      <c r="H419">
        <v>315</v>
      </c>
      <c r="I419">
        <v>7.9325107030000002</v>
      </c>
      <c r="J419">
        <v>0.35799999999999998</v>
      </c>
      <c r="K419">
        <f t="shared" si="6"/>
        <v>2</v>
      </c>
      <c r="N419">
        <v>1.5</v>
      </c>
      <c r="O419">
        <v>2</v>
      </c>
    </row>
    <row r="420" spans="1:15" x14ac:dyDescent="0.2">
      <c r="A420" t="s">
        <v>1867</v>
      </c>
      <c r="B420">
        <v>9003520301</v>
      </c>
      <c r="C420" t="s">
        <v>1868</v>
      </c>
      <c r="D420">
        <v>4578</v>
      </c>
      <c r="E420">
        <v>2.8692349149999998</v>
      </c>
      <c r="F420">
        <v>1595.547292</v>
      </c>
      <c r="G420">
        <v>1</v>
      </c>
      <c r="H420">
        <v>756</v>
      </c>
      <c r="I420">
        <v>17.244525549999999</v>
      </c>
      <c r="J420">
        <v>0.72599999999999998</v>
      </c>
      <c r="K420">
        <f t="shared" si="6"/>
        <v>4</v>
      </c>
      <c r="N420">
        <v>3.5</v>
      </c>
      <c r="O420">
        <v>4</v>
      </c>
    </row>
    <row r="421" spans="1:15" x14ac:dyDescent="0.2">
      <c r="A421" t="s">
        <v>1869</v>
      </c>
      <c r="B421">
        <v>9003520302</v>
      </c>
      <c r="C421" t="s">
        <v>1870</v>
      </c>
      <c r="D421">
        <v>3877</v>
      </c>
      <c r="E421">
        <v>3.1484601470000002</v>
      </c>
      <c r="F421">
        <v>1231.3956089999999</v>
      </c>
      <c r="G421">
        <v>1</v>
      </c>
      <c r="H421">
        <v>938</v>
      </c>
      <c r="I421">
        <v>22.50479846</v>
      </c>
      <c r="J421">
        <v>0.85099999999999998</v>
      </c>
      <c r="K421">
        <f t="shared" si="6"/>
        <v>5</v>
      </c>
      <c r="N421">
        <v>4.5</v>
      </c>
      <c r="O421">
        <v>5</v>
      </c>
    </row>
    <row r="422" spans="1:15" x14ac:dyDescent="0.2">
      <c r="A422" t="s">
        <v>1871</v>
      </c>
      <c r="B422">
        <v>9003520400</v>
      </c>
      <c r="C422" t="s">
        <v>1872</v>
      </c>
      <c r="D422">
        <v>7718</v>
      </c>
      <c r="E422">
        <v>6.981616131</v>
      </c>
      <c r="F422">
        <v>1105.4747</v>
      </c>
      <c r="G422">
        <v>1</v>
      </c>
      <c r="H422">
        <v>936</v>
      </c>
      <c r="I422">
        <v>11.463563990000001</v>
      </c>
      <c r="J422">
        <v>0.55600000000000005</v>
      </c>
      <c r="K422">
        <f t="shared" si="6"/>
        <v>3</v>
      </c>
      <c r="N422">
        <v>2</v>
      </c>
      <c r="O422">
        <v>2</v>
      </c>
    </row>
    <row r="423" spans="1:15" x14ac:dyDescent="0.2">
      <c r="A423" t="s">
        <v>1873</v>
      </c>
      <c r="B423">
        <v>9003520501</v>
      </c>
      <c r="C423" t="s">
        <v>1874</v>
      </c>
      <c r="D423">
        <v>4405</v>
      </c>
      <c r="E423">
        <v>7.225800274</v>
      </c>
      <c r="F423">
        <v>609.62105689999999</v>
      </c>
      <c r="G423">
        <v>1</v>
      </c>
      <c r="H423">
        <v>514</v>
      </c>
      <c r="I423">
        <v>11.9036591</v>
      </c>
      <c r="J423">
        <v>0.58299999999999996</v>
      </c>
      <c r="K423">
        <f t="shared" si="6"/>
        <v>3</v>
      </c>
      <c r="N423">
        <v>2</v>
      </c>
      <c r="O423">
        <v>2</v>
      </c>
    </row>
    <row r="424" spans="1:15" x14ac:dyDescent="0.2">
      <c r="A424" t="s">
        <v>1875</v>
      </c>
      <c r="B424">
        <v>9003524100</v>
      </c>
      <c r="C424" t="s">
        <v>1876</v>
      </c>
      <c r="D424">
        <v>6404</v>
      </c>
      <c r="E424">
        <v>23.351148729999998</v>
      </c>
      <c r="F424">
        <v>274.24775</v>
      </c>
      <c r="G424">
        <v>1</v>
      </c>
      <c r="H424">
        <v>114</v>
      </c>
      <c r="I424">
        <v>1.7902010049999999</v>
      </c>
      <c r="J424">
        <v>2.4E-2</v>
      </c>
      <c r="K424">
        <f t="shared" si="6"/>
        <v>1</v>
      </c>
      <c r="N424">
        <v>1.5</v>
      </c>
      <c r="O424">
        <v>2</v>
      </c>
    </row>
    <row r="425" spans="1:15" x14ac:dyDescent="0.2">
      <c r="A425" t="s">
        <v>1877</v>
      </c>
      <c r="B425">
        <v>9003524200</v>
      </c>
      <c r="C425" t="s">
        <v>1878</v>
      </c>
      <c r="D425">
        <v>6144</v>
      </c>
      <c r="E425">
        <v>4.4684600860000003</v>
      </c>
      <c r="F425">
        <v>1374.970321</v>
      </c>
      <c r="G425">
        <v>1</v>
      </c>
      <c r="H425">
        <v>800</v>
      </c>
      <c r="I425">
        <v>12.490242</v>
      </c>
      <c r="J425">
        <v>0.6</v>
      </c>
      <c r="K425">
        <f t="shared" si="6"/>
        <v>4</v>
      </c>
      <c r="N425">
        <v>3</v>
      </c>
      <c r="O425">
        <v>3</v>
      </c>
    </row>
    <row r="426" spans="1:15" x14ac:dyDescent="0.2">
      <c r="A426" t="s">
        <v>1879</v>
      </c>
      <c r="B426">
        <v>9003524300</v>
      </c>
      <c r="C426" t="s">
        <v>1880</v>
      </c>
      <c r="D426">
        <v>7291</v>
      </c>
      <c r="E426">
        <v>5.0719875920000002</v>
      </c>
      <c r="F426">
        <v>1437.5035170000001</v>
      </c>
      <c r="G426">
        <v>1</v>
      </c>
      <c r="H426">
        <v>1074</v>
      </c>
      <c r="I426">
        <v>16.607391369999998</v>
      </c>
      <c r="J426">
        <v>0.71199999999999997</v>
      </c>
      <c r="K426">
        <f t="shared" si="6"/>
        <v>4</v>
      </c>
      <c r="N426">
        <v>3.5</v>
      </c>
      <c r="O426">
        <v>4</v>
      </c>
    </row>
    <row r="427" spans="1:15" x14ac:dyDescent="0.2">
      <c r="A427" t="s">
        <v>1881</v>
      </c>
      <c r="B427">
        <v>9003524400</v>
      </c>
      <c r="C427" t="s">
        <v>1882</v>
      </c>
      <c r="D427">
        <v>3057</v>
      </c>
      <c r="E427">
        <v>1.061308006</v>
      </c>
      <c r="F427">
        <v>2880.407933</v>
      </c>
      <c r="G427">
        <v>1</v>
      </c>
      <c r="H427">
        <v>726</v>
      </c>
      <c r="I427">
        <v>21.756068320000001</v>
      </c>
      <c r="J427">
        <v>0.83399999999999996</v>
      </c>
      <c r="K427">
        <f t="shared" si="6"/>
        <v>5</v>
      </c>
      <c r="N427">
        <v>5</v>
      </c>
      <c r="O427">
        <v>5</v>
      </c>
    </row>
    <row r="428" spans="1:15" x14ac:dyDescent="0.2">
      <c r="A428" t="s">
        <v>1883</v>
      </c>
      <c r="B428">
        <v>9003524501</v>
      </c>
      <c r="C428" t="s">
        <v>1884</v>
      </c>
      <c r="D428">
        <v>2704</v>
      </c>
      <c r="E428">
        <v>0.16307527299999999</v>
      </c>
      <c r="F428">
        <v>16581.299859999999</v>
      </c>
      <c r="G428">
        <v>1</v>
      </c>
      <c r="H428">
        <v>1005</v>
      </c>
      <c r="I428">
        <v>40.007961780000002</v>
      </c>
      <c r="J428">
        <v>0.98699999999999999</v>
      </c>
      <c r="K428">
        <f t="shared" si="6"/>
        <v>5</v>
      </c>
      <c r="N428">
        <v>5</v>
      </c>
      <c r="O428">
        <v>5</v>
      </c>
    </row>
    <row r="429" spans="1:15" x14ac:dyDescent="0.2">
      <c r="A429" t="s">
        <v>1885</v>
      </c>
      <c r="B429">
        <v>9003524502</v>
      </c>
      <c r="C429" t="s">
        <v>1886</v>
      </c>
      <c r="D429">
        <v>2158</v>
      </c>
      <c r="E429">
        <v>0.65855787700000001</v>
      </c>
      <c r="F429">
        <v>3276.8570140000002</v>
      </c>
      <c r="G429">
        <v>1</v>
      </c>
      <c r="H429">
        <v>430</v>
      </c>
      <c r="I429">
        <v>20.934761439999999</v>
      </c>
      <c r="J429">
        <v>0.81599999999999995</v>
      </c>
      <c r="K429">
        <f t="shared" si="6"/>
        <v>5</v>
      </c>
      <c r="N429">
        <v>5</v>
      </c>
      <c r="O429">
        <v>5</v>
      </c>
    </row>
    <row r="430" spans="1:15" x14ac:dyDescent="0.2">
      <c r="A430" t="s">
        <v>1887</v>
      </c>
      <c r="B430">
        <v>9003524600</v>
      </c>
      <c r="C430" t="s">
        <v>1888</v>
      </c>
      <c r="D430">
        <v>3311</v>
      </c>
      <c r="E430">
        <v>0.49609303199999999</v>
      </c>
      <c r="F430">
        <v>6674.1513910000003</v>
      </c>
      <c r="G430">
        <v>1</v>
      </c>
      <c r="H430">
        <v>1018</v>
      </c>
      <c r="I430">
        <v>33.798140770000003</v>
      </c>
      <c r="J430">
        <v>0.95699999999999996</v>
      </c>
      <c r="K430">
        <f t="shared" si="6"/>
        <v>5</v>
      </c>
      <c r="N430">
        <v>5</v>
      </c>
      <c r="O430">
        <v>5</v>
      </c>
    </row>
    <row r="431" spans="1:15" x14ac:dyDescent="0.2">
      <c r="A431" t="s">
        <v>1889</v>
      </c>
      <c r="B431">
        <v>9003524700</v>
      </c>
      <c r="C431" t="s">
        <v>1890</v>
      </c>
      <c r="D431">
        <v>3624</v>
      </c>
      <c r="E431">
        <v>0.68990126600000001</v>
      </c>
      <c r="F431">
        <v>5252.925569</v>
      </c>
      <c r="G431">
        <v>1</v>
      </c>
      <c r="H431">
        <v>1037</v>
      </c>
      <c r="I431">
        <v>29.552579080000001</v>
      </c>
      <c r="J431">
        <v>0.93100000000000005</v>
      </c>
      <c r="K431">
        <f t="shared" si="6"/>
        <v>5</v>
      </c>
      <c r="N431">
        <v>4.5</v>
      </c>
      <c r="O431">
        <v>5</v>
      </c>
    </row>
    <row r="432" spans="1:15" x14ac:dyDescent="0.2">
      <c r="A432" t="s">
        <v>1891</v>
      </c>
      <c r="B432">
        <v>9005250100</v>
      </c>
      <c r="C432" t="s">
        <v>1892</v>
      </c>
      <c r="D432">
        <v>1727</v>
      </c>
      <c r="E432">
        <v>16.395230399999999</v>
      </c>
      <c r="F432">
        <v>105.3355127</v>
      </c>
      <c r="G432">
        <v>2</v>
      </c>
      <c r="H432">
        <v>96</v>
      </c>
      <c r="I432">
        <v>5.6239015820000002</v>
      </c>
      <c r="J432">
        <v>0.23799999999999999</v>
      </c>
      <c r="K432">
        <f t="shared" si="6"/>
        <v>2</v>
      </c>
      <c r="N432">
        <v>2</v>
      </c>
      <c r="O432">
        <v>2</v>
      </c>
    </row>
    <row r="433" spans="1:15" x14ac:dyDescent="0.2">
      <c r="A433" t="s">
        <v>1893</v>
      </c>
      <c r="B433">
        <v>9005253100</v>
      </c>
      <c r="C433" t="s">
        <v>1894</v>
      </c>
      <c r="D433">
        <v>3511</v>
      </c>
      <c r="E433">
        <v>1.9580449790000001</v>
      </c>
      <c r="F433">
        <v>1793.11509</v>
      </c>
      <c r="G433">
        <v>1</v>
      </c>
      <c r="H433">
        <v>532</v>
      </c>
      <c r="I433">
        <v>15.53284672</v>
      </c>
      <c r="J433">
        <v>0.68700000000000006</v>
      </c>
      <c r="K433">
        <f t="shared" si="6"/>
        <v>4</v>
      </c>
      <c r="N433">
        <v>4.5</v>
      </c>
      <c r="O433">
        <v>5</v>
      </c>
    </row>
    <row r="434" spans="1:15" x14ac:dyDescent="0.2">
      <c r="A434" t="s">
        <v>1895</v>
      </c>
      <c r="B434">
        <v>9005253200</v>
      </c>
      <c r="C434" t="s">
        <v>1896</v>
      </c>
      <c r="D434">
        <v>7429</v>
      </c>
      <c r="E434">
        <v>11.942436409999999</v>
      </c>
      <c r="F434">
        <v>622.06736909999995</v>
      </c>
      <c r="G434">
        <v>1</v>
      </c>
      <c r="H434">
        <v>880</v>
      </c>
      <c r="I434">
        <v>12.77769711</v>
      </c>
      <c r="J434">
        <v>0.63</v>
      </c>
      <c r="K434">
        <f t="shared" si="6"/>
        <v>4</v>
      </c>
      <c r="N434">
        <v>3</v>
      </c>
      <c r="O434">
        <v>3</v>
      </c>
    </row>
    <row r="435" spans="1:15" x14ac:dyDescent="0.2">
      <c r="A435" t="s">
        <v>1897</v>
      </c>
      <c r="B435">
        <v>9005253300</v>
      </c>
      <c r="C435" t="s">
        <v>1898</v>
      </c>
      <c r="D435">
        <v>2215</v>
      </c>
      <c r="E435">
        <v>2.5342464910000002</v>
      </c>
      <c r="F435">
        <v>874.02705619999995</v>
      </c>
      <c r="G435">
        <v>1</v>
      </c>
      <c r="H435">
        <v>214</v>
      </c>
      <c r="I435">
        <v>10.15662079</v>
      </c>
      <c r="J435">
        <v>0.50600000000000001</v>
      </c>
      <c r="K435">
        <f t="shared" si="6"/>
        <v>3</v>
      </c>
      <c r="N435">
        <v>2.5</v>
      </c>
      <c r="O435">
        <v>3</v>
      </c>
    </row>
    <row r="436" spans="1:15" x14ac:dyDescent="0.2">
      <c r="A436" t="s">
        <v>1899</v>
      </c>
      <c r="B436">
        <v>9005253400</v>
      </c>
      <c r="C436" t="s">
        <v>1900</v>
      </c>
      <c r="D436">
        <v>6308</v>
      </c>
      <c r="E436">
        <v>14.40645555</v>
      </c>
      <c r="F436">
        <v>437.85926230000001</v>
      </c>
      <c r="G436">
        <v>1</v>
      </c>
      <c r="H436">
        <v>323</v>
      </c>
      <c r="I436">
        <v>5.3046477249999997</v>
      </c>
      <c r="J436">
        <v>0.215</v>
      </c>
      <c r="K436">
        <f t="shared" si="6"/>
        <v>2</v>
      </c>
      <c r="N436">
        <v>2</v>
      </c>
      <c r="O436">
        <v>2</v>
      </c>
    </row>
    <row r="437" spans="1:15" x14ac:dyDescent="0.2">
      <c r="A437" t="s">
        <v>1901</v>
      </c>
      <c r="B437">
        <v>9005253500</v>
      </c>
      <c r="C437" t="s">
        <v>1902</v>
      </c>
      <c r="D437">
        <v>6114</v>
      </c>
      <c r="E437">
        <v>26.564693349999999</v>
      </c>
      <c r="F437">
        <v>230.155113</v>
      </c>
      <c r="G437">
        <v>1</v>
      </c>
      <c r="H437">
        <v>936</v>
      </c>
      <c r="I437">
        <v>16.252821669999999</v>
      </c>
      <c r="J437">
        <v>0.70599999999999996</v>
      </c>
      <c r="K437">
        <f t="shared" si="6"/>
        <v>4</v>
      </c>
      <c r="N437">
        <v>3</v>
      </c>
      <c r="O437">
        <v>3</v>
      </c>
    </row>
    <row r="438" spans="1:15" x14ac:dyDescent="0.2">
      <c r="A438" t="s">
        <v>1903</v>
      </c>
      <c r="B438">
        <v>9005253600</v>
      </c>
      <c r="C438" t="s">
        <v>1904</v>
      </c>
      <c r="D438">
        <v>2565</v>
      </c>
      <c r="E438">
        <v>4.1601061469999996</v>
      </c>
      <c r="F438">
        <v>616.57080589999998</v>
      </c>
      <c r="G438">
        <v>1</v>
      </c>
      <c r="H438">
        <v>367</v>
      </c>
      <c r="I438">
        <v>13.36002912</v>
      </c>
      <c r="J438">
        <v>0.64900000000000002</v>
      </c>
      <c r="K438">
        <f t="shared" si="6"/>
        <v>4</v>
      </c>
      <c r="N438">
        <v>4</v>
      </c>
      <c r="O438">
        <v>4</v>
      </c>
    </row>
    <row r="439" spans="1:15" x14ac:dyDescent="0.2">
      <c r="A439" t="s">
        <v>1905</v>
      </c>
      <c r="B439">
        <v>9005260200</v>
      </c>
      <c r="C439" t="s">
        <v>1906</v>
      </c>
      <c r="D439">
        <v>3315</v>
      </c>
      <c r="E439">
        <v>19.466365870000001</v>
      </c>
      <c r="F439">
        <v>170.2937273</v>
      </c>
      <c r="G439">
        <v>5</v>
      </c>
      <c r="H439">
        <v>162</v>
      </c>
      <c r="I439">
        <v>4.9375190489999996</v>
      </c>
      <c r="J439">
        <v>0.193</v>
      </c>
      <c r="K439">
        <f t="shared" si="6"/>
        <v>1</v>
      </c>
      <c r="N439">
        <v>3.3333333330000001</v>
      </c>
      <c r="O439">
        <v>4</v>
      </c>
    </row>
    <row r="440" spans="1:15" x14ac:dyDescent="0.2">
      <c r="A440" t="s">
        <v>1907</v>
      </c>
      <c r="B440">
        <v>9005261100</v>
      </c>
      <c r="C440" t="s">
        <v>1908</v>
      </c>
      <c r="D440">
        <v>3741</v>
      </c>
      <c r="E440">
        <v>57.241788769999999</v>
      </c>
      <c r="F440">
        <v>65.354351789999996</v>
      </c>
      <c r="G440">
        <v>5</v>
      </c>
      <c r="H440">
        <v>126</v>
      </c>
      <c r="I440">
        <v>3.4758620690000002</v>
      </c>
      <c r="J440">
        <v>0.113</v>
      </c>
      <c r="K440">
        <f t="shared" si="6"/>
        <v>1</v>
      </c>
      <c r="N440">
        <v>3</v>
      </c>
      <c r="O440">
        <v>3</v>
      </c>
    </row>
    <row r="441" spans="1:15" x14ac:dyDescent="0.2">
      <c r="A441" t="s">
        <v>1909</v>
      </c>
      <c r="B441">
        <v>9005262100</v>
      </c>
      <c r="C441" t="s">
        <v>1910</v>
      </c>
      <c r="D441">
        <v>2782</v>
      </c>
      <c r="E441">
        <v>58.76519235</v>
      </c>
      <c r="F441">
        <v>47.340949440000003</v>
      </c>
      <c r="G441">
        <v>5</v>
      </c>
      <c r="H441">
        <v>127</v>
      </c>
      <c r="I441">
        <v>4.7037037039999996</v>
      </c>
      <c r="J441">
        <v>0.17100000000000001</v>
      </c>
      <c r="K441">
        <f t="shared" si="6"/>
        <v>1</v>
      </c>
      <c r="N441">
        <v>3</v>
      </c>
      <c r="O441">
        <v>3</v>
      </c>
    </row>
    <row r="442" spans="1:15" x14ac:dyDescent="0.2">
      <c r="A442" t="s">
        <v>1911</v>
      </c>
      <c r="B442">
        <v>9005263200</v>
      </c>
      <c r="C442" t="s">
        <v>1912</v>
      </c>
      <c r="D442">
        <v>1420</v>
      </c>
      <c r="E442">
        <v>46.060997970000003</v>
      </c>
      <c r="F442">
        <v>30.828685060000002</v>
      </c>
      <c r="G442">
        <v>5</v>
      </c>
      <c r="H442">
        <v>109</v>
      </c>
      <c r="I442">
        <v>8.4430673899999995</v>
      </c>
      <c r="J442">
        <v>0.40799999999999997</v>
      </c>
      <c r="K442">
        <f t="shared" si="6"/>
        <v>3</v>
      </c>
      <c r="N442">
        <v>3.6666666669999999</v>
      </c>
      <c r="O442">
        <v>4</v>
      </c>
    </row>
    <row r="443" spans="1:15" x14ac:dyDescent="0.2">
      <c r="A443" t="s">
        <v>1913</v>
      </c>
      <c r="B443">
        <v>9005265100</v>
      </c>
      <c r="C443" t="s">
        <v>1914</v>
      </c>
      <c r="D443">
        <v>1461</v>
      </c>
      <c r="E443">
        <v>26.30879023</v>
      </c>
      <c r="F443">
        <v>55.532770110000001</v>
      </c>
      <c r="G443">
        <v>2</v>
      </c>
      <c r="H443">
        <v>51</v>
      </c>
      <c r="I443">
        <v>3.5003431709999999</v>
      </c>
      <c r="J443">
        <v>0.114</v>
      </c>
      <c r="K443">
        <f t="shared" si="6"/>
        <v>1</v>
      </c>
      <c r="N443">
        <v>1.5</v>
      </c>
      <c r="O443">
        <v>2</v>
      </c>
    </row>
    <row r="444" spans="1:15" x14ac:dyDescent="0.2">
      <c r="A444" t="s">
        <v>1915</v>
      </c>
      <c r="B444">
        <v>9005266100</v>
      </c>
      <c r="C444" t="s">
        <v>1916</v>
      </c>
      <c r="D444">
        <v>2979</v>
      </c>
      <c r="E444">
        <v>48.550055829999998</v>
      </c>
      <c r="F444">
        <v>61.359352710000003</v>
      </c>
      <c r="G444">
        <v>5</v>
      </c>
      <c r="H444">
        <v>226</v>
      </c>
      <c r="I444">
        <v>8.0743122540000005</v>
      </c>
      <c r="J444">
        <v>0.36599999999999999</v>
      </c>
      <c r="K444">
        <f t="shared" si="6"/>
        <v>2</v>
      </c>
      <c r="N444">
        <v>3.3333333330000001</v>
      </c>
      <c r="O444">
        <v>4</v>
      </c>
    </row>
    <row r="445" spans="1:15" x14ac:dyDescent="0.2">
      <c r="A445" t="s">
        <v>1917</v>
      </c>
      <c r="B445">
        <v>9005267100</v>
      </c>
      <c r="C445" t="s">
        <v>1918</v>
      </c>
      <c r="D445">
        <v>3578</v>
      </c>
      <c r="E445">
        <v>38.070548979999998</v>
      </c>
      <c r="F445">
        <v>93.983409649999999</v>
      </c>
      <c r="G445">
        <v>5</v>
      </c>
      <c r="H445">
        <v>309</v>
      </c>
      <c r="I445">
        <v>8.9565217389999994</v>
      </c>
      <c r="J445">
        <v>0.44</v>
      </c>
      <c r="K445">
        <f t="shared" si="6"/>
        <v>3</v>
      </c>
      <c r="N445">
        <v>3.3333333330000001</v>
      </c>
      <c r="O445">
        <v>4</v>
      </c>
    </row>
    <row r="446" spans="1:15" x14ac:dyDescent="0.2">
      <c r="A446" t="s">
        <v>1919</v>
      </c>
      <c r="B446">
        <v>9005268100</v>
      </c>
      <c r="C446" t="s">
        <v>1920</v>
      </c>
      <c r="D446">
        <v>2262</v>
      </c>
      <c r="E446">
        <v>26.30168364</v>
      </c>
      <c r="F446">
        <v>86.002099000000001</v>
      </c>
      <c r="G446">
        <v>5</v>
      </c>
      <c r="H446">
        <v>74</v>
      </c>
      <c r="I446">
        <v>3.5154394299999998</v>
      </c>
      <c r="J446">
        <v>0.115</v>
      </c>
      <c r="K446">
        <f t="shared" si="6"/>
        <v>1</v>
      </c>
      <c r="N446">
        <v>2.3333333330000001</v>
      </c>
      <c r="O446">
        <v>3</v>
      </c>
    </row>
    <row r="447" spans="1:15" x14ac:dyDescent="0.2">
      <c r="A447" t="s">
        <v>1921</v>
      </c>
      <c r="B447">
        <v>9005290100</v>
      </c>
      <c r="C447" t="s">
        <v>1922</v>
      </c>
      <c r="D447">
        <v>3799</v>
      </c>
      <c r="E447">
        <v>36.25374789</v>
      </c>
      <c r="F447">
        <v>104.78916580000001</v>
      </c>
      <c r="G447">
        <v>2</v>
      </c>
      <c r="H447">
        <v>199</v>
      </c>
      <c r="I447">
        <v>5.4535489180000001</v>
      </c>
      <c r="J447">
        <v>0.224</v>
      </c>
      <c r="K447">
        <f t="shared" si="6"/>
        <v>2</v>
      </c>
      <c r="N447">
        <v>2</v>
      </c>
      <c r="O447">
        <v>2</v>
      </c>
    </row>
    <row r="448" spans="1:15" x14ac:dyDescent="0.2">
      <c r="A448" t="s">
        <v>1923</v>
      </c>
      <c r="B448">
        <v>9005293100</v>
      </c>
      <c r="C448" t="s">
        <v>1924</v>
      </c>
      <c r="D448">
        <v>1485</v>
      </c>
      <c r="E448">
        <v>31.531427170000001</v>
      </c>
      <c r="F448">
        <v>47.095870159999997</v>
      </c>
      <c r="G448">
        <v>3</v>
      </c>
      <c r="H448">
        <v>31</v>
      </c>
      <c r="I448">
        <v>2.0889487870000001</v>
      </c>
      <c r="J448">
        <v>3.4000000000000002E-2</v>
      </c>
      <c r="K448">
        <f t="shared" si="6"/>
        <v>1</v>
      </c>
      <c r="N448">
        <v>2</v>
      </c>
      <c r="O448">
        <v>2</v>
      </c>
    </row>
    <row r="449" spans="1:15" x14ac:dyDescent="0.2">
      <c r="A449" t="s">
        <v>1925</v>
      </c>
      <c r="B449">
        <v>9005296100</v>
      </c>
      <c r="C449" t="s">
        <v>1926</v>
      </c>
      <c r="D449">
        <v>2976</v>
      </c>
      <c r="E449">
        <v>43.631416049999999</v>
      </c>
      <c r="F449">
        <v>68.207733540000007</v>
      </c>
      <c r="G449">
        <v>5</v>
      </c>
      <c r="H449">
        <v>250</v>
      </c>
      <c r="I449">
        <v>8.6715227190000004</v>
      </c>
      <c r="J449">
        <v>0.42099999999999999</v>
      </c>
      <c r="K449">
        <f t="shared" si="6"/>
        <v>3</v>
      </c>
      <c r="N449">
        <v>3.6666666669999999</v>
      </c>
      <c r="O449">
        <v>4</v>
      </c>
    </row>
    <row r="450" spans="1:15" x14ac:dyDescent="0.2">
      <c r="A450" t="s">
        <v>1927</v>
      </c>
      <c r="B450">
        <v>9005298300</v>
      </c>
      <c r="C450" t="s">
        <v>1928</v>
      </c>
      <c r="D450">
        <v>2767</v>
      </c>
      <c r="E450">
        <v>6.7376254250000001</v>
      </c>
      <c r="F450">
        <v>410.67881119999998</v>
      </c>
      <c r="G450">
        <v>2</v>
      </c>
      <c r="H450">
        <v>43</v>
      </c>
      <c r="I450">
        <v>1.6494054469999999</v>
      </c>
      <c r="J450">
        <v>1.2999999999999999E-2</v>
      </c>
      <c r="K450">
        <f t="shared" si="6"/>
        <v>1</v>
      </c>
      <c r="N450">
        <v>2</v>
      </c>
      <c r="O450">
        <v>2</v>
      </c>
    </row>
    <row r="451" spans="1:15" x14ac:dyDescent="0.2">
      <c r="A451" t="s">
        <v>1929</v>
      </c>
      <c r="B451">
        <v>9005298400</v>
      </c>
      <c r="C451" t="s">
        <v>1930</v>
      </c>
      <c r="D451">
        <v>2875</v>
      </c>
      <c r="E451">
        <v>24.05547748</v>
      </c>
      <c r="F451">
        <v>119.5153995</v>
      </c>
      <c r="G451">
        <v>2</v>
      </c>
      <c r="H451">
        <v>56</v>
      </c>
      <c r="I451">
        <v>1.9656019659999999</v>
      </c>
      <c r="J451">
        <v>2.5999999999999999E-2</v>
      </c>
      <c r="K451">
        <f t="shared" ref="K451:K514" si="7">IF(J451&lt;0.2,1,IF(J451&lt;0.4,2,IF(J451&lt;0.6,3,IF(J451&lt;0.8,4,5))))</f>
        <v>1</v>
      </c>
      <c r="N451">
        <v>1.5</v>
      </c>
      <c r="O451">
        <v>2</v>
      </c>
    </row>
    <row r="452" spans="1:15" x14ac:dyDescent="0.2">
      <c r="A452" t="s">
        <v>1931</v>
      </c>
      <c r="B452">
        <v>9005300100</v>
      </c>
      <c r="C452" t="s">
        <v>1932</v>
      </c>
      <c r="D452">
        <v>2716</v>
      </c>
      <c r="E452">
        <v>21.181598139999998</v>
      </c>
      <c r="F452">
        <v>128.22450799999999</v>
      </c>
      <c r="G452">
        <v>3</v>
      </c>
      <c r="H452">
        <v>106</v>
      </c>
      <c r="I452">
        <v>4.7533632289999996</v>
      </c>
      <c r="J452">
        <v>0.16300000000000001</v>
      </c>
      <c r="K452">
        <f t="shared" si="7"/>
        <v>1</v>
      </c>
      <c r="N452">
        <v>2</v>
      </c>
      <c r="O452">
        <v>2</v>
      </c>
    </row>
    <row r="453" spans="1:15" x14ac:dyDescent="0.2">
      <c r="A453" t="s">
        <v>1933</v>
      </c>
      <c r="B453">
        <v>9005300400</v>
      </c>
      <c r="C453" t="s">
        <v>1934</v>
      </c>
      <c r="D453">
        <v>2074</v>
      </c>
      <c r="E453">
        <v>11.66278956</v>
      </c>
      <c r="F453">
        <v>177.8305259</v>
      </c>
      <c r="G453">
        <v>2</v>
      </c>
      <c r="H453">
        <v>109</v>
      </c>
      <c r="I453">
        <v>5.4364089780000002</v>
      </c>
      <c r="J453">
        <v>0.20899999999999999</v>
      </c>
      <c r="K453">
        <f t="shared" si="7"/>
        <v>2</v>
      </c>
      <c r="N453">
        <v>2.5</v>
      </c>
      <c r="O453">
        <v>3</v>
      </c>
    </row>
    <row r="454" spans="1:15" x14ac:dyDescent="0.2">
      <c r="A454" t="s">
        <v>1935</v>
      </c>
      <c r="B454">
        <v>9005300500</v>
      </c>
      <c r="C454" t="s">
        <v>1936</v>
      </c>
      <c r="D454">
        <v>3676</v>
      </c>
      <c r="E454">
        <v>23.254267200000001</v>
      </c>
      <c r="F454">
        <v>158.07851389999999</v>
      </c>
      <c r="G454">
        <v>2</v>
      </c>
      <c r="H454">
        <v>161</v>
      </c>
      <c r="I454">
        <v>4.1155419220000002</v>
      </c>
      <c r="J454">
        <v>0.13700000000000001</v>
      </c>
      <c r="K454">
        <f t="shared" si="7"/>
        <v>1</v>
      </c>
      <c r="N454">
        <v>2</v>
      </c>
      <c r="O454">
        <v>2</v>
      </c>
    </row>
    <row r="455" spans="1:15" x14ac:dyDescent="0.2">
      <c r="A455" t="s">
        <v>1937</v>
      </c>
      <c r="B455">
        <v>9005303100</v>
      </c>
      <c r="C455" t="s">
        <v>1938</v>
      </c>
      <c r="D455">
        <v>2388</v>
      </c>
      <c r="E455">
        <v>17.346009330000001</v>
      </c>
      <c r="F455">
        <v>137.66855279999999</v>
      </c>
      <c r="G455">
        <v>2</v>
      </c>
      <c r="H455">
        <v>62</v>
      </c>
      <c r="I455">
        <v>2.8117913830000001</v>
      </c>
      <c r="J455">
        <v>5.2999999999999999E-2</v>
      </c>
      <c r="K455">
        <f t="shared" si="7"/>
        <v>1</v>
      </c>
      <c r="N455">
        <v>2</v>
      </c>
      <c r="O455">
        <v>2</v>
      </c>
    </row>
    <row r="456" spans="1:15" x14ac:dyDescent="0.2">
      <c r="A456" t="s">
        <v>1939</v>
      </c>
      <c r="B456">
        <v>9005306100</v>
      </c>
      <c r="C456" t="s">
        <v>1940</v>
      </c>
      <c r="D456">
        <v>6970</v>
      </c>
      <c r="E456">
        <v>37.037713689999997</v>
      </c>
      <c r="F456">
        <v>188.18656189999999</v>
      </c>
      <c r="G456">
        <v>2</v>
      </c>
      <c r="H456">
        <v>115</v>
      </c>
      <c r="I456">
        <v>1.715649709</v>
      </c>
      <c r="J456">
        <v>1.6E-2</v>
      </c>
      <c r="K456">
        <f t="shared" si="7"/>
        <v>1</v>
      </c>
      <c r="N456">
        <v>1.5</v>
      </c>
      <c r="O456">
        <v>2</v>
      </c>
    </row>
    <row r="457" spans="1:15" x14ac:dyDescent="0.2">
      <c r="A457" t="s">
        <v>1941</v>
      </c>
      <c r="B457">
        <v>9005310100</v>
      </c>
      <c r="C457" t="s">
        <v>1942</v>
      </c>
      <c r="D457">
        <v>4406</v>
      </c>
      <c r="E457">
        <v>1.30006278</v>
      </c>
      <c r="F457">
        <v>3389.0671029999999</v>
      </c>
      <c r="G457">
        <v>2</v>
      </c>
      <c r="H457">
        <v>427</v>
      </c>
      <c r="I457">
        <v>10.33898305</v>
      </c>
      <c r="J457">
        <v>0.48699999999999999</v>
      </c>
      <c r="K457">
        <f t="shared" si="7"/>
        <v>3</v>
      </c>
      <c r="N457">
        <v>4</v>
      </c>
      <c r="O457">
        <v>4</v>
      </c>
    </row>
    <row r="458" spans="1:15" x14ac:dyDescent="0.2">
      <c r="A458" t="s">
        <v>1943</v>
      </c>
      <c r="B458">
        <v>9005310200</v>
      </c>
      <c r="C458" t="s">
        <v>1944</v>
      </c>
      <c r="D458">
        <v>2929</v>
      </c>
      <c r="E458">
        <v>0.52899434300000003</v>
      </c>
      <c r="F458">
        <v>5536.9212159999997</v>
      </c>
      <c r="G458">
        <v>2</v>
      </c>
      <c r="H458">
        <v>203</v>
      </c>
      <c r="I458">
        <v>8.0747812250000006</v>
      </c>
      <c r="J458">
        <v>0.35299999999999998</v>
      </c>
      <c r="K458">
        <f t="shared" si="7"/>
        <v>2</v>
      </c>
      <c r="N458">
        <v>3.5</v>
      </c>
      <c r="O458">
        <v>4</v>
      </c>
    </row>
    <row r="459" spans="1:15" x14ac:dyDescent="0.2">
      <c r="A459" t="s">
        <v>1945</v>
      </c>
      <c r="B459">
        <v>9005310300</v>
      </c>
      <c r="C459" t="s">
        <v>1946</v>
      </c>
      <c r="D459">
        <v>1817</v>
      </c>
      <c r="E459">
        <v>0.37459748799999998</v>
      </c>
      <c r="F459">
        <v>4850.5397279999997</v>
      </c>
      <c r="G459">
        <v>2</v>
      </c>
      <c r="H459">
        <v>126</v>
      </c>
      <c r="I459">
        <v>7.7681874229999996</v>
      </c>
      <c r="J459">
        <v>0.33700000000000002</v>
      </c>
      <c r="K459">
        <f t="shared" si="7"/>
        <v>2</v>
      </c>
      <c r="N459">
        <v>3.5</v>
      </c>
      <c r="O459">
        <v>4</v>
      </c>
    </row>
    <row r="460" spans="1:15" x14ac:dyDescent="0.2">
      <c r="A460" t="s">
        <v>1947</v>
      </c>
      <c r="B460">
        <v>9005310400</v>
      </c>
      <c r="C460" t="s">
        <v>1948</v>
      </c>
      <c r="D460">
        <v>2644</v>
      </c>
      <c r="E460">
        <v>0.77931210500000003</v>
      </c>
      <c r="F460">
        <v>3392.7357000000002</v>
      </c>
      <c r="G460">
        <v>2</v>
      </c>
      <c r="H460">
        <v>293</v>
      </c>
      <c r="I460">
        <v>11.954304369999999</v>
      </c>
      <c r="J460">
        <v>0.57299999999999995</v>
      </c>
      <c r="K460">
        <f t="shared" si="7"/>
        <v>3</v>
      </c>
      <c r="N460">
        <v>3.5</v>
      </c>
      <c r="O460">
        <v>4</v>
      </c>
    </row>
    <row r="461" spans="1:15" x14ac:dyDescent="0.2">
      <c r="A461" t="s">
        <v>1949</v>
      </c>
      <c r="B461">
        <v>9005310500</v>
      </c>
      <c r="C461" t="s">
        <v>1950</v>
      </c>
      <c r="D461">
        <v>1806</v>
      </c>
      <c r="E461">
        <v>0.562329246</v>
      </c>
      <c r="F461">
        <v>3211.641599</v>
      </c>
      <c r="G461">
        <v>2</v>
      </c>
      <c r="H461">
        <v>77</v>
      </c>
      <c r="I461">
        <v>3.8790931990000002</v>
      </c>
      <c r="J461">
        <v>0.123</v>
      </c>
      <c r="K461">
        <f t="shared" si="7"/>
        <v>1</v>
      </c>
      <c r="N461">
        <v>3</v>
      </c>
      <c r="O461">
        <v>3</v>
      </c>
    </row>
    <row r="462" spans="1:15" x14ac:dyDescent="0.2">
      <c r="A462" t="s">
        <v>1951</v>
      </c>
      <c r="B462">
        <v>9005310601</v>
      </c>
      <c r="C462" t="s">
        <v>1952</v>
      </c>
      <c r="D462">
        <v>3740</v>
      </c>
      <c r="E462">
        <v>5.2423852929999999</v>
      </c>
      <c r="F462">
        <v>713.41570509999997</v>
      </c>
      <c r="G462">
        <v>2</v>
      </c>
      <c r="H462">
        <v>385</v>
      </c>
      <c r="I462">
        <v>10.58273777</v>
      </c>
      <c r="J462">
        <v>0.5</v>
      </c>
      <c r="K462">
        <f t="shared" si="7"/>
        <v>3</v>
      </c>
      <c r="N462">
        <v>3</v>
      </c>
      <c r="O462">
        <v>3</v>
      </c>
    </row>
    <row r="463" spans="1:15" x14ac:dyDescent="0.2">
      <c r="A463" t="s">
        <v>1953</v>
      </c>
      <c r="B463">
        <v>9005310602</v>
      </c>
      <c r="C463" t="s">
        <v>1954</v>
      </c>
      <c r="D463">
        <v>4605</v>
      </c>
      <c r="E463">
        <v>2.3671074920000001</v>
      </c>
      <c r="F463">
        <v>1945.4122870000001</v>
      </c>
      <c r="G463">
        <v>2</v>
      </c>
      <c r="H463">
        <v>103</v>
      </c>
      <c r="I463">
        <v>2.315126995</v>
      </c>
      <c r="J463">
        <v>0.03</v>
      </c>
      <c r="K463">
        <f t="shared" si="7"/>
        <v>1</v>
      </c>
      <c r="N463">
        <v>2.5</v>
      </c>
      <c r="O463">
        <v>3</v>
      </c>
    </row>
    <row r="464" spans="1:15" x14ac:dyDescent="0.2">
      <c r="A464" t="s">
        <v>1955</v>
      </c>
      <c r="B464">
        <v>9005310700</v>
      </c>
      <c r="C464" t="s">
        <v>1956</v>
      </c>
      <c r="D464">
        <v>4279</v>
      </c>
      <c r="E464">
        <v>19.314517670000001</v>
      </c>
      <c r="F464">
        <v>221.5431973</v>
      </c>
      <c r="G464">
        <v>2</v>
      </c>
      <c r="H464">
        <v>114</v>
      </c>
      <c r="I464">
        <v>2.9457364340000001</v>
      </c>
      <c r="J464">
        <v>5.1999999999999998E-2</v>
      </c>
      <c r="K464">
        <f t="shared" si="7"/>
        <v>1</v>
      </c>
      <c r="N464">
        <v>3</v>
      </c>
      <c r="O464">
        <v>3</v>
      </c>
    </row>
    <row r="465" spans="1:15" x14ac:dyDescent="0.2">
      <c r="A465" t="s">
        <v>1957</v>
      </c>
      <c r="B465">
        <v>9005310801</v>
      </c>
      <c r="C465" t="s">
        <v>1958</v>
      </c>
      <c r="D465">
        <v>2414</v>
      </c>
      <c r="E465">
        <v>1.583554055</v>
      </c>
      <c r="F465">
        <v>1524.4190699999999</v>
      </c>
      <c r="G465">
        <v>2</v>
      </c>
      <c r="H465">
        <v>233</v>
      </c>
      <c r="I465">
        <v>10.121633360000001</v>
      </c>
      <c r="J465">
        <v>0.47599999999999998</v>
      </c>
      <c r="K465">
        <f t="shared" si="7"/>
        <v>3</v>
      </c>
      <c r="N465">
        <v>4</v>
      </c>
      <c r="O465">
        <v>4</v>
      </c>
    </row>
    <row r="466" spans="1:15" x14ac:dyDescent="0.2">
      <c r="A466" t="s">
        <v>1959</v>
      </c>
      <c r="B466">
        <v>9005310803</v>
      </c>
      <c r="C466" t="s">
        <v>1960</v>
      </c>
      <c r="D466">
        <v>4826</v>
      </c>
      <c r="E466">
        <v>2.2926631319999999</v>
      </c>
      <c r="F466">
        <v>2104.975621</v>
      </c>
      <c r="G466">
        <v>2</v>
      </c>
      <c r="H466">
        <v>823</v>
      </c>
      <c r="I466">
        <v>17.544233640000002</v>
      </c>
      <c r="J466">
        <v>0.72499999999999998</v>
      </c>
      <c r="K466">
        <f t="shared" si="7"/>
        <v>4</v>
      </c>
      <c r="N466">
        <v>4.5</v>
      </c>
      <c r="O466">
        <v>5</v>
      </c>
    </row>
    <row r="467" spans="1:15" x14ac:dyDescent="0.2">
      <c r="A467" t="s">
        <v>1961</v>
      </c>
      <c r="B467">
        <v>9005310804</v>
      </c>
      <c r="C467" t="s">
        <v>1962</v>
      </c>
      <c r="D467">
        <v>2917</v>
      </c>
      <c r="E467">
        <v>5.4085895380000002</v>
      </c>
      <c r="F467">
        <v>539.32730140000001</v>
      </c>
      <c r="G467">
        <v>2</v>
      </c>
      <c r="H467">
        <v>237</v>
      </c>
      <c r="I467">
        <v>8.3538949589999998</v>
      </c>
      <c r="J467">
        <v>0.38100000000000001</v>
      </c>
      <c r="K467">
        <f t="shared" si="7"/>
        <v>2</v>
      </c>
      <c r="N467">
        <v>3.5</v>
      </c>
      <c r="O467">
        <v>4</v>
      </c>
    </row>
    <row r="468" spans="1:15" x14ac:dyDescent="0.2">
      <c r="A468" t="s">
        <v>1963</v>
      </c>
      <c r="B468">
        <v>9005320100</v>
      </c>
      <c r="C468" t="s">
        <v>1964</v>
      </c>
      <c r="D468">
        <v>6345</v>
      </c>
      <c r="E468">
        <v>9.8187308200000007</v>
      </c>
      <c r="F468">
        <v>646.21386570000004</v>
      </c>
      <c r="G468">
        <v>2</v>
      </c>
      <c r="H468">
        <v>211</v>
      </c>
      <c r="I468">
        <v>3.3679169990000002</v>
      </c>
      <c r="J468">
        <v>8.5999999999999993E-2</v>
      </c>
      <c r="K468">
        <f t="shared" si="7"/>
        <v>1</v>
      </c>
      <c r="N468">
        <v>3</v>
      </c>
      <c r="O468">
        <v>3</v>
      </c>
    </row>
    <row r="469" spans="1:15" x14ac:dyDescent="0.2">
      <c r="A469" t="s">
        <v>1965</v>
      </c>
      <c r="B469">
        <v>9005320200</v>
      </c>
      <c r="C469" t="s">
        <v>1966</v>
      </c>
      <c r="D469">
        <v>4897</v>
      </c>
      <c r="E469">
        <v>22.693433710000001</v>
      </c>
      <c r="F469">
        <v>215.7892923</v>
      </c>
      <c r="G469">
        <v>2</v>
      </c>
      <c r="H469">
        <v>517</v>
      </c>
      <c r="I469">
        <v>11.57894737</v>
      </c>
      <c r="J469">
        <v>0.54300000000000004</v>
      </c>
      <c r="K469">
        <f t="shared" si="7"/>
        <v>3</v>
      </c>
      <c r="N469">
        <v>3.5</v>
      </c>
      <c r="O469">
        <v>4</v>
      </c>
    </row>
    <row r="470" spans="1:15" x14ac:dyDescent="0.2">
      <c r="A470" t="s">
        <v>1967</v>
      </c>
      <c r="B470">
        <v>9005342100</v>
      </c>
      <c r="C470" t="s">
        <v>1968</v>
      </c>
      <c r="D470">
        <v>3607</v>
      </c>
      <c r="E470">
        <v>19.375040349999999</v>
      </c>
      <c r="F470">
        <v>186.1673543</v>
      </c>
      <c r="G470">
        <v>2</v>
      </c>
      <c r="H470">
        <v>287</v>
      </c>
      <c r="I470">
        <v>8.3600349549999997</v>
      </c>
      <c r="J470">
        <v>0.38200000000000001</v>
      </c>
      <c r="K470">
        <f t="shared" si="7"/>
        <v>2</v>
      </c>
      <c r="N470">
        <v>2</v>
      </c>
      <c r="O470">
        <v>2</v>
      </c>
    </row>
    <row r="471" spans="1:15" x14ac:dyDescent="0.2">
      <c r="A471" t="s">
        <v>1969</v>
      </c>
      <c r="B471">
        <v>9005349100</v>
      </c>
      <c r="C471" t="s">
        <v>1970</v>
      </c>
      <c r="D471">
        <v>5045</v>
      </c>
      <c r="E471">
        <v>8.4237648979999999</v>
      </c>
      <c r="F471">
        <v>598.90085509999994</v>
      </c>
      <c r="G471">
        <v>1</v>
      </c>
      <c r="H471">
        <v>88</v>
      </c>
      <c r="I471">
        <v>1.7374136229999999</v>
      </c>
      <c r="J471">
        <v>1.6E-2</v>
      </c>
      <c r="K471">
        <f t="shared" si="7"/>
        <v>1</v>
      </c>
      <c r="N471">
        <v>2</v>
      </c>
      <c r="O471">
        <v>2</v>
      </c>
    </row>
    <row r="472" spans="1:15" x14ac:dyDescent="0.2">
      <c r="A472" t="s">
        <v>1971</v>
      </c>
      <c r="B472">
        <v>9005349200</v>
      </c>
      <c r="C472" t="s">
        <v>1972</v>
      </c>
      <c r="D472">
        <v>2842</v>
      </c>
      <c r="E472">
        <v>3.544973954</v>
      </c>
      <c r="F472">
        <v>801.69841510000003</v>
      </c>
      <c r="G472">
        <v>1</v>
      </c>
      <c r="H472">
        <v>13</v>
      </c>
      <c r="I472">
        <v>0.51302288900000004</v>
      </c>
      <c r="J472">
        <v>0</v>
      </c>
      <c r="K472">
        <f t="shared" si="7"/>
        <v>1</v>
      </c>
      <c r="N472">
        <v>2</v>
      </c>
      <c r="O472">
        <v>2</v>
      </c>
    </row>
    <row r="473" spans="1:15" x14ac:dyDescent="0.2">
      <c r="A473" t="s">
        <v>1973</v>
      </c>
      <c r="B473">
        <v>9005360100</v>
      </c>
      <c r="C473" t="s">
        <v>1974</v>
      </c>
      <c r="D473">
        <v>5357</v>
      </c>
      <c r="E473">
        <v>3.6229426550000001</v>
      </c>
      <c r="F473">
        <v>1478.632292</v>
      </c>
      <c r="G473">
        <v>1</v>
      </c>
      <c r="H473">
        <v>421</v>
      </c>
      <c r="I473">
        <v>8.6965503000000002</v>
      </c>
      <c r="J473">
        <v>0.40200000000000002</v>
      </c>
      <c r="K473">
        <f t="shared" si="7"/>
        <v>3</v>
      </c>
      <c r="N473">
        <v>3.5</v>
      </c>
      <c r="O473">
        <v>4</v>
      </c>
    </row>
    <row r="474" spans="1:15" x14ac:dyDescent="0.2">
      <c r="A474" t="s">
        <v>1975</v>
      </c>
      <c r="B474">
        <v>9005360200</v>
      </c>
      <c r="C474" t="s">
        <v>1976</v>
      </c>
      <c r="D474">
        <v>7765</v>
      </c>
      <c r="E474">
        <v>21.102913990000001</v>
      </c>
      <c r="F474">
        <v>367.95866219999999</v>
      </c>
      <c r="G474">
        <v>1</v>
      </c>
      <c r="H474">
        <v>492</v>
      </c>
      <c r="I474">
        <v>6.1785759139999996</v>
      </c>
      <c r="J474">
        <v>0.24399999999999999</v>
      </c>
      <c r="K474">
        <f t="shared" si="7"/>
        <v>2</v>
      </c>
      <c r="N474">
        <v>2</v>
      </c>
      <c r="O474">
        <v>2</v>
      </c>
    </row>
    <row r="475" spans="1:15" x14ac:dyDescent="0.2">
      <c r="A475" t="s">
        <v>1977</v>
      </c>
      <c r="B475">
        <v>9005360300</v>
      </c>
      <c r="C475" t="s">
        <v>1978</v>
      </c>
      <c r="D475">
        <v>3396</v>
      </c>
      <c r="E475">
        <v>2.1952476230000002</v>
      </c>
      <c r="F475">
        <v>1546.978102</v>
      </c>
      <c r="G475">
        <v>1</v>
      </c>
      <c r="H475">
        <v>238</v>
      </c>
      <c r="I475">
        <v>7.3411474400000003</v>
      </c>
      <c r="J475">
        <v>0.307</v>
      </c>
      <c r="K475">
        <f t="shared" si="7"/>
        <v>2</v>
      </c>
      <c r="N475">
        <v>3</v>
      </c>
      <c r="O475">
        <v>3</v>
      </c>
    </row>
    <row r="476" spans="1:15" x14ac:dyDescent="0.2">
      <c r="A476" t="s">
        <v>1979</v>
      </c>
      <c r="B476">
        <v>9005360400</v>
      </c>
      <c r="C476" t="s">
        <v>1980</v>
      </c>
      <c r="D476">
        <v>5996</v>
      </c>
      <c r="E476">
        <v>2.0845907389999998</v>
      </c>
      <c r="F476">
        <v>2876.3439680000001</v>
      </c>
      <c r="G476">
        <v>1</v>
      </c>
      <c r="H476">
        <v>768</v>
      </c>
      <c r="I476">
        <v>13.46187555</v>
      </c>
      <c r="J476">
        <v>0.61699999999999999</v>
      </c>
      <c r="K476">
        <f t="shared" si="7"/>
        <v>4</v>
      </c>
      <c r="N476">
        <v>4</v>
      </c>
      <c r="O476">
        <v>4</v>
      </c>
    </row>
    <row r="477" spans="1:15" x14ac:dyDescent="0.2">
      <c r="A477" t="s">
        <v>1981</v>
      </c>
      <c r="B477">
        <v>9005362101</v>
      </c>
      <c r="C477" t="s">
        <v>1982</v>
      </c>
      <c r="D477">
        <v>4159</v>
      </c>
      <c r="E477">
        <v>9.998662156</v>
      </c>
      <c r="F477">
        <v>415.95564839999997</v>
      </c>
      <c r="G477">
        <v>1</v>
      </c>
      <c r="H477">
        <v>288</v>
      </c>
      <c r="I477">
        <v>6.855510593</v>
      </c>
      <c r="J477">
        <v>0.27500000000000002</v>
      </c>
      <c r="K477">
        <f t="shared" si="7"/>
        <v>2</v>
      </c>
      <c r="N477">
        <v>2.5</v>
      </c>
      <c r="O477">
        <v>3</v>
      </c>
    </row>
    <row r="478" spans="1:15" x14ac:dyDescent="0.2">
      <c r="A478" t="s">
        <v>1983</v>
      </c>
      <c r="B478">
        <v>9005362102</v>
      </c>
      <c r="C478" t="s">
        <v>1984</v>
      </c>
      <c r="D478">
        <v>5816</v>
      </c>
      <c r="E478">
        <v>26.400081</v>
      </c>
      <c r="F478">
        <v>220.30235429999999</v>
      </c>
      <c r="G478">
        <v>2</v>
      </c>
      <c r="H478">
        <v>207</v>
      </c>
      <c r="I478">
        <v>3.8612199220000001</v>
      </c>
      <c r="J478">
        <v>0.112</v>
      </c>
      <c r="K478">
        <f t="shared" si="7"/>
        <v>1</v>
      </c>
      <c r="N478">
        <v>1.5</v>
      </c>
      <c r="O478">
        <v>2</v>
      </c>
    </row>
    <row r="479" spans="1:15" x14ac:dyDescent="0.2">
      <c r="A479" t="s">
        <v>1985</v>
      </c>
      <c r="B479">
        <v>9005425300</v>
      </c>
      <c r="C479" t="s">
        <v>1986</v>
      </c>
      <c r="D479">
        <v>4107</v>
      </c>
      <c r="E479">
        <v>6.9832532040000004</v>
      </c>
      <c r="F479">
        <v>588.12130679999996</v>
      </c>
      <c r="G479">
        <v>1</v>
      </c>
      <c r="H479">
        <v>121</v>
      </c>
      <c r="I479">
        <v>3.0563273550000001</v>
      </c>
      <c r="J479">
        <v>5.3999999999999999E-2</v>
      </c>
      <c r="K479">
        <f t="shared" si="7"/>
        <v>1</v>
      </c>
      <c r="N479">
        <v>2</v>
      </c>
      <c r="O479">
        <v>2</v>
      </c>
    </row>
    <row r="480" spans="1:15" x14ac:dyDescent="0.2">
      <c r="A480" t="s">
        <v>1987</v>
      </c>
      <c r="B480">
        <v>9005425400</v>
      </c>
      <c r="C480" t="s">
        <v>1988</v>
      </c>
      <c r="D480">
        <v>4818</v>
      </c>
      <c r="E480">
        <v>13.116497450000001</v>
      </c>
      <c r="F480">
        <v>367.32367140000002</v>
      </c>
      <c r="G480">
        <v>1</v>
      </c>
      <c r="H480">
        <v>364</v>
      </c>
      <c r="I480">
        <v>7.7645051189999998</v>
      </c>
      <c r="J480">
        <v>0.32300000000000001</v>
      </c>
      <c r="K480">
        <f t="shared" si="7"/>
        <v>2</v>
      </c>
      <c r="N480">
        <v>2.5</v>
      </c>
      <c r="O480">
        <v>3</v>
      </c>
    </row>
    <row r="481" spans="1:15" x14ac:dyDescent="0.2">
      <c r="A481" t="s">
        <v>1989</v>
      </c>
      <c r="B481">
        <v>9005425500</v>
      </c>
      <c r="C481" t="s">
        <v>1990</v>
      </c>
      <c r="D481">
        <v>3318</v>
      </c>
      <c r="E481">
        <v>1.792592475</v>
      </c>
      <c r="F481">
        <v>1850.9505340000001</v>
      </c>
      <c r="G481">
        <v>1</v>
      </c>
      <c r="H481">
        <v>342</v>
      </c>
      <c r="I481">
        <v>11.161879900000001</v>
      </c>
      <c r="J481">
        <v>0.51</v>
      </c>
      <c r="K481">
        <f t="shared" si="7"/>
        <v>3</v>
      </c>
      <c r="N481">
        <v>3.5</v>
      </c>
      <c r="O481">
        <v>4</v>
      </c>
    </row>
    <row r="482" spans="1:15" x14ac:dyDescent="0.2">
      <c r="A482" t="s">
        <v>1991</v>
      </c>
      <c r="B482">
        <v>9005425600</v>
      </c>
      <c r="C482" t="s">
        <v>1992</v>
      </c>
      <c r="D482">
        <v>2943</v>
      </c>
      <c r="E482">
        <v>78.234308810000002</v>
      </c>
      <c r="F482">
        <v>37.617767000000001</v>
      </c>
      <c r="G482">
        <v>5</v>
      </c>
      <c r="H482">
        <v>147</v>
      </c>
      <c r="I482">
        <v>5.3049440639999998</v>
      </c>
      <c r="J482">
        <v>0.186</v>
      </c>
      <c r="K482">
        <f t="shared" si="7"/>
        <v>1</v>
      </c>
      <c r="N482">
        <v>3.3333333330000001</v>
      </c>
      <c r="O482">
        <v>4</v>
      </c>
    </row>
    <row r="483" spans="1:15" x14ac:dyDescent="0.2">
      <c r="A483" t="s">
        <v>1993</v>
      </c>
      <c r="B483">
        <v>9007541100</v>
      </c>
      <c r="C483" t="s">
        <v>1994</v>
      </c>
      <c r="D483">
        <v>2579</v>
      </c>
      <c r="E483">
        <v>0.60277383500000004</v>
      </c>
      <c r="F483">
        <v>4278.5533299999997</v>
      </c>
      <c r="G483">
        <v>1</v>
      </c>
      <c r="H483">
        <v>430</v>
      </c>
      <c r="I483">
        <v>19.53657428</v>
      </c>
      <c r="J483">
        <v>0.76</v>
      </c>
      <c r="K483">
        <f t="shared" si="7"/>
        <v>4</v>
      </c>
      <c r="N483">
        <v>4.5</v>
      </c>
      <c r="O483">
        <v>5</v>
      </c>
    </row>
    <row r="484" spans="1:15" x14ac:dyDescent="0.2">
      <c r="A484" t="s">
        <v>1995</v>
      </c>
      <c r="B484">
        <v>9007541200</v>
      </c>
      <c r="C484" t="s">
        <v>1996</v>
      </c>
      <c r="D484">
        <v>5190</v>
      </c>
      <c r="E484">
        <v>3.450725254</v>
      </c>
      <c r="F484">
        <v>1504.031651</v>
      </c>
      <c r="G484">
        <v>1</v>
      </c>
      <c r="H484">
        <v>779</v>
      </c>
      <c r="I484">
        <v>15.018315019999999</v>
      </c>
      <c r="J484">
        <v>0.63700000000000001</v>
      </c>
      <c r="K484">
        <f t="shared" si="7"/>
        <v>4</v>
      </c>
      <c r="N484">
        <v>4</v>
      </c>
      <c r="O484">
        <v>4</v>
      </c>
    </row>
    <row r="485" spans="1:15" x14ac:dyDescent="0.2">
      <c r="A485" t="s">
        <v>1997</v>
      </c>
      <c r="B485">
        <v>9007541300</v>
      </c>
      <c r="C485" t="s">
        <v>1998</v>
      </c>
      <c r="D485">
        <v>6207</v>
      </c>
      <c r="E485">
        <v>0.83243744799999997</v>
      </c>
      <c r="F485">
        <v>7456.4161160000003</v>
      </c>
      <c r="G485">
        <v>1</v>
      </c>
      <c r="H485">
        <v>1234</v>
      </c>
      <c r="I485">
        <v>19.900016130000001</v>
      </c>
      <c r="J485">
        <v>0.77100000000000002</v>
      </c>
      <c r="K485">
        <f t="shared" si="7"/>
        <v>4</v>
      </c>
      <c r="N485">
        <v>3.5</v>
      </c>
      <c r="O485">
        <v>4</v>
      </c>
    </row>
    <row r="486" spans="1:15" x14ac:dyDescent="0.2">
      <c r="A486" t="s">
        <v>1999</v>
      </c>
      <c r="B486">
        <v>9007541401</v>
      </c>
      <c r="C486" t="s">
        <v>2000</v>
      </c>
      <c r="D486">
        <v>3339</v>
      </c>
      <c r="E486">
        <v>8.6443307849999993</v>
      </c>
      <c r="F486">
        <v>386.26471880000003</v>
      </c>
      <c r="G486">
        <v>1</v>
      </c>
      <c r="H486">
        <v>235</v>
      </c>
      <c r="I486">
        <v>7.2530864199999998</v>
      </c>
      <c r="J486">
        <v>0.3</v>
      </c>
      <c r="K486">
        <f t="shared" si="7"/>
        <v>2</v>
      </c>
      <c r="N486">
        <v>1.5</v>
      </c>
      <c r="O486">
        <v>2</v>
      </c>
    </row>
    <row r="487" spans="1:15" x14ac:dyDescent="0.2">
      <c r="A487" t="s">
        <v>2001</v>
      </c>
      <c r="B487">
        <v>9007541402</v>
      </c>
      <c r="C487" t="s">
        <v>2002</v>
      </c>
      <c r="D487">
        <v>5479</v>
      </c>
      <c r="E487">
        <v>3.0580087630000001</v>
      </c>
      <c r="F487">
        <v>1791.6887830000001</v>
      </c>
      <c r="G487">
        <v>1</v>
      </c>
      <c r="H487">
        <v>446</v>
      </c>
      <c r="I487">
        <v>7.9120099340000003</v>
      </c>
      <c r="J487">
        <v>0.33</v>
      </c>
      <c r="K487">
        <f t="shared" si="7"/>
        <v>2</v>
      </c>
      <c r="N487">
        <v>3</v>
      </c>
      <c r="O487">
        <v>3</v>
      </c>
    </row>
    <row r="488" spans="1:15" x14ac:dyDescent="0.2">
      <c r="A488" t="s">
        <v>2003</v>
      </c>
      <c r="B488">
        <v>9007541500</v>
      </c>
      <c r="C488" t="s">
        <v>2004</v>
      </c>
      <c r="D488">
        <v>3227</v>
      </c>
      <c r="E488">
        <v>0.47237825</v>
      </c>
      <c r="F488">
        <v>6831.3898810000001</v>
      </c>
      <c r="G488">
        <v>1</v>
      </c>
      <c r="H488">
        <v>742</v>
      </c>
      <c r="I488">
        <v>21.933195390000002</v>
      </c>
      <c r="J488">
        <v>0.81899999999999995</v>
      </c>
      <c r="K488">
        <f t="shared" si="7"/>
        <v>5</v>
      </c>
      <c r="N488">
        <v>4.5</v>
      </c>
      <c r="O488">
        <v>5</v>
      </c>
    </row>
    <row r="489" spans="1:15" x14ac:dyDescent="0.2">
      <c r="A489" t="s">
        <v>2005</v>
      </c>
      <c r="B489">
        <v>9007541600</v>
      </c>
      <c r="C489" t="s">
        <v>2006</v>
      </c>
      <c r="D489">
        <v>1540</v>
      </c>
      <c r="E489">
        <v>0.253534765</v>
      </c>
      <c r="F489">
        <v>6074.1176759999998</v>
      </c>
      <c r="G489">
        <v>1</v>
      </c>
      <c r="H489">
        <v>273</v>
      </c>
      <c r="I489">
        <v>21.344800630000002</v>
      </c>
      <c r="J489">
        <v>0.80100000000000005</v>
      </c>
      <c r="K489">
        <f t="shared" si="7"/>
        <v>5</v>
      </c>
      <c r="N489">
        <v>5</v>
      </c>
      <c r="O489">
        <v>5</v>
      </c>
    </row>
    <row r="490" spans="1:15" x14ac:dyDescent="0.2">
      <c r="A490" t="s">
        <v>2007</v>
      </c>
      <c r="B490">
        <v>9007541700</v>
      </c>
      <c r="C490" t="s">
        <v>2008</v>
      </c>
      <c r="D490">
        <v>3740</v>
      </c>
      <c r="E490">
        <v>0.72545162399999996</v>
      </c>
      <c r="F490">
        <v>5155.4092339999997</v>
      </c>
      <c r="G490">
        <v>1</v>
      </c>
      <c r="H490">
        <v>434</v>
      </c>
      <c r="I490">
        <v>13.12367705</v>
      </c>
      <c r="J490">
        <v>0.61</v>
      </c>
      <c r="K490">
        <f t="shared" si="7"/>
        <v>4</v>
      </c>
      <c r="N490">
        <v>4.5</v>
      </c>
      <c r="O490">
        <v>5</v>
      </c>
    </row>
    <row r="491" spans="1:15" x14ac:dyDescent="0.2">
      <c r="A491" t="s">
        <v>2009</v>
      </c>
      <c r="B491">
        <v>9007542000</v>
      </c>
      <c r="C491" t="s">
        <v>2010</v>
      </c>
      <c r="D491">
        <v>4439</v>
      </c>
      <c r="E491">
        <v>1.5390384050000001</v>
      </c>
      <c r="F491">
        <v>2884.2685059999999</v>
      </c>
      <c r="G491">
        <v>1</v>
      </c>
      <c r="H491">
        <v>344</v>
      </c>
      <c r="I491">
        <v>8.4458629999999992</v>
      </c>
      <c r="J491">
        <v>0.376</v>
      </c>
      <c r="K491">
        <f t="shared" si="7"/>
        <v>2</v>
      </c>
      <c r="N491">
        <v>3</v>
      </c>
      <c r="O491">
        <v>3</v>
      </c>
    </row>
    <row r="492" spans="1:15" x14ac:dyDescent="0.2">
      <c r="A492" t="s">
        <v>2011</v>
      </c>
      <c r="B492">
        <v>9007542100</v>
      </c>
      <c r="C492" t="s">
        <v>2012</v>
      </c>
      <c r="D492">
        <v>3544</v>
      </c>
      <c r="E492">
        <v>1.8827156730000001</v>
      </c>
      <c r="F492">
        <v>1882.387262</v>
      </c>
      <c r="G492">
        <v>1</v>
      </c>
      <c r="H492">
        <v>510</v>
      </c>
      <c r="I492">
        <v>13.127413130000001</v>
      </c>
      <c r="J492">
        <v>0.61</v>
      </c>
      <c r="K492">
        <f t="shared" si="7"/>
        <v>4</v>
      </c>
      <c r="N492">
        <v>4.5</v>
      </c>
      <c r="O492">
        <v>5</v>
      </c>
    </row>
    <row r="493" spans="1:15" x14ac:dyDescent="0.2">
      <c r="A493" t="s">
        <v>2013</v>
      </c>
      <c r="B493">
        <v>9007542200</v>
      </c>
      <c r="C493" t="s">
        <v>2014</v>
      </c>
      <c r="D493">
        <v>1638</v>
      </c>
      <c r="E493">
        <v>1.4697029479999999</v>
      </c>
      <c r="F493">
        <v>1114.5109299999999</v>
      </c>
      <c r="G493">
        <v>1</v>
      </c>
      <c r="H493">
        <v>186</v>
      </c>
      <c r="I493">
        <v>11.204819280000001</v>
      </c>
      <c r="J493">
        <v>0.51600000000000001</v>
      </c>
      <c r="K493">
        <f t="shared" si="7"/>
        <v>3</v>
      </c>
      <c r="N493">
        <v>2.5</v>
      </c>
      <c r="O493">
        <v>3</v>
      </c>
    </row>
    <row r="494" spans="1:15" x14ac:dyDescent="0.2">
      <c r="A494" t="s">
        <v>2015</v>
      </c>
      <c r="B494">
        <v>9007550100</v>
      </c>
      <c r="C494" t="s">
        <v>2016</v>
      </c>
      <c r="D494">
        <v>5829</v>
      </c>
      <c r="E494">
        <v>12.646811489999999</v>
      </c>
      <c r="F494">
        <v>460.90668820000002</v>
      </c>
      <c r="G494">
        <v>2</v>
      </c>
      <c r="H494">
        <v>700</v>
      </c>
      <c r="I494">
        <v>12.341325810000001</v>
      </c>
      <c r="J494">
        <v>0.56899999999999995</v>
      </c>
      <c r="K494">
        <f t="shared" si="7"/>
        <v>3</v>
      </c>
      <c r="N494">
        <v>3</v>
      </c>
      <c r="O494">
        <v>3</v>
      </c>
    </row>
    <row r="495" spans="1:15" x14ac:dyDescent="0.2">
      <c r="A495" t="s">
        <v>2017</v>
      </c>
      <c r="B495">
        <v>9007550201</v>
      </c>
      <c r="C495" t="s">
        <v>2018</v>
      </c>
      <c r="D495">
        <v>3954</v>
      </c>
      <c r="E495">
        <v>12.384916840000001</v>
      </c>
      <c r="F495">
        <v>319.25930959999999</v>
      </c>
      <c r="G495">
        <v>2</v>
      </c>
      <c r="H495">
        <v>223</v>
      </c>
      <c r="I495">
        <v>5.6341586660000003</v>
      </c>
      <c r="J495">
        <v>0.214</v>
      </c>
      <c r="K495">
        <f t="shared" si="7"/>
        <v>2</v>
      </c>
      <c r="N495">
        <v>2</v>
      </c>
      <c r="O495">
        <v>2</v>
      </c>
    </row>
    <row r="496" spans="1:15" x14ac:dyDescent="0.2">
      <c r="A496" t="s">
        <v>2019</v>
      </c>
      <c r="B496">
        <v>9007550202</v>
      </c>
      <c r="C496" t="s">
        <v>2020</v>
      </c>
      <c r="D496">
        <v>3176</v>
      </c>
      <c r="E496">
        <v>10.618344949999999</v>
      </c>
      <c r="F496">
        <v>299.10499379999999</v>
      </c>
      <c r="G496">
        <v>2</v>
      </c>
      <c r="H496">
        <v>64</v>
      </c>
      <c r="I496">
        <v>2.001876759</v>
      </c>
      <c r="J496">
        <v>2.1000000000000001E-2</v>
      </c>
      <c r="K496">
        <f t="shared" si="7"/>
        <v>1</v>
      </c>
      <c r="N496">
        <v>2</v>
      </c>
      <c r="O496">
        <v>2</v>
      </c>
    </row>
    <row r="497" spans="1:15" x14ac:dyDescent="0.2">
      <c r="A497" t="s">
        <v>2021</v>
      </c>
      <c r="B497">
        <v>9007560100</v>
      </c>
      <c r="C497" t="s">
        <v>2022</v>
      </c>
      <c r="D497">
        <v>5816</v>
      </c>
      <c r="E497">
        <v>21.124519500000002</v>
      </c>
      <c r="F497">
        <v>275.31987179999999</v>
      </c>
      <c r="G497">
        <v>1</v>
      </c>
      <c r="H497">
        <v>148</v>
      </c>
      <c r="I497">
        <v>2.604258314</v>
      </c>
      <c r="J497">
        <v>2.7E-2</v>
      </c>
      <c r="K497">
        <f t="shared" si="7"/>
        <v>1</v>
      </c>
      <c r="N497">
        <v>1.5</v>
      </c>
      <c r="O497">
        <v>2</v>
      </c>
    </row>
    <row r="498" spans="1:15" x14ac:dyDescent="0.2">
      <c r="A498" t="s">
        <v>2023</v>
      </c>
      <c r="B498">
        <v>9007560200</v>
      </c>
      <c r="C498" t="s">
        <v>2024</v>
      </c>
      <c r="D498">
        <v>3692</v>
      </c>
      <c r="E498">
        <v>2.2257222809999999</v>
      </c>
      <c r="F498">
        <v>1658.787366</v>
      </c>
      <c r="G498">
        <v>1</v>
      </c>
      <c r="H498">
        <v>108</v>
      </c>
      <c r="I498">
        <v>2.9678483099999999</v>
      </c>
      <c r="J498">
        <v>4.4999999999999998E-2</v>
      </c>
      <c r="K498">
        <f t="shared" si="7"/>
        <v>1</v>
      </c>
      <c r="N498">
        <v>2.5</v>
      </c>
      <c r="O498">
        <v>3</v>
      </c>
    </row>
    <row r="499" spans="1:15" x14ac:dyDescent="0.2">
      <c r="A499" t="s">
        <v>2025</v>
      </c>
      <c r="B499">
        <v>9007570100</v>
      </c>
      <c r="C499" t="s">
        <v>2026</v>
      </c>
      <c r="D499">
        <v>4675</v>
      </c>
      <c r="E499">
        <v>3.9177922829999998</v>
      </c>
      <c r="F499">
        <v>1193.274085</v>
      </c>
      <c r="G499">
        <v>1</v>
      </c>
      <c r="H499">
        <v>389</v>
      </c>
      <c r="I499">
        <v>8.2206255279999993</v>
      </c>
      <c r="J499">
        <v>0.35699999999999998</v>
      </c>
      <c r="K499">
        <f t="shared" si="7"/>
        <v>2</v>
      </c>
      <c r="N499">
        <v>2</v>
      </c>
      <c r="O499">
        <v>2</v>
      </c>
    </row>
    <row r="500" spans="1:15" x14ac:dyDescent="0.2">
      <c r="A500" t="s">
        <v>2027</v>
      </c>
      <c r="B500">
        <v>9007570200</v>
      </c>
      <c r="C500" t="s">
        <v>2028</v>
      </c>
      <c r="D500">
        <v>3388</v>
      </c>
      <c r="E500">
        <v>2.4815196049999999</v>
      </c>
      <c r="F500">
        <v>1365.292457</v>
      </c>
      <c r="G500">
        <v>1</v>
      </c>
      <c r="H500">
        <v>214</v>
      </c>
      <c r="I500">
        <v>6.286721504</v>
      </c>
      <c r="J500">
        <v>0.248</v>
      </c>
      <c r="K500">
        <f t="shared" si="7"/>
        <v>2</v>
      </c>
      <c r="N500">
        <v>2</v>
      </c>
      <c r="O500">
        <v>2</v>
      </c>
    </row>
    <row r="501" spans="1:15" x14ac:dyDescent="0.2">
      <c r="A501" t="s">
        <v>2029</v>
      </c>
      <c r="B501">
        <v>9007570300</v>
      </c>
      <c r="C501" t="s">
        <v>2030</v>
      </c>
      <c r="D501">
        <v>5942</v>
      </c>
      <c r="E501">
        <v>6.0534519849999997</v>
      </c>
      <c r="F501">
        <v>981.58868930000006</v>
      </c>
      <c r="G501">
        <v>1</v>
      </c>
      <c r="H501">
        <v>338</v>
      </c>
      <c r="I501">
        <v>5.8538275029999998</v>
      </c>
      <c r="J501">
        <v>0.215</v>
      </c>
      <c r="K501">
        <f t="shared" si="7"/>
        <v>2</v>
      </c>
      <c r="N501">
        <v>3</v>
      </c>
      <c r="O501">
        <v>3</v>
      </c>
    </row>
    <row r="502" spans="1:15" x14ac:dyDescent="0.2">
      <c r="A502" t="s">
        <v>2031</v>
      </c>
      <c r="B502">
        <v>9007580100</v>
      </c>
      <c r="C502" t="s">
        <v>2032</v>
      </c>
      <c r="D502">
        <v>4425</v>
      </c>
      <c r="E502">
        <v>12.648591809999999</v>
      </c>
      <c r="F502">
        <v>349.8413157</v>
      </c>
      <c r="G502">
        <v>1</v>
      </c>
      <c r="H502">
        <v>133</v>
      </c>
      <c r="I502">
        <v>3.035836567</v>
      </c>
      <c r="J502">
        <v>4.5999999999999999E-2</v>
      </c>
      <c r="K502">
        <f t="shared" si="7"/>
        <v>1</v>
      </c>
      <c r="N502">
        <v>2</v>
      </c>
      <c r="O502">
        <v>2</v>
      </c>
    </row>
    <row r="503" spans="1:15" x14ac:dyDescent="0.2">
      <c r="A503" t="s">
        <v>2033</v>
      </c>
      <c r="B503">
        <v>9007585100</v>
      </c>
      <c r="C503" t="s">
        <v>2034</v>
      </c>
      <c r="D503">
        <v>7388</v>
      </c>
      <c r="E503">
        <v>23.65904437</v>
      </c>
      <c r="F503">
        <v>312.2695865</v>
      </c>
      <c r="G503">
        <v>1</v>
      </c>
      <c r="H503">
        <v>194</v>
      </c>
      <c r="I503">
        <v>2.686608503</v>
      </c>
      <c r="J503">
        <v>0.03</v>
      </c>
      <c r="K503">
        <f t="shared" si="7"/>
        <v>1</v>
      </c>
      <c r="N503">
        <v>1.5</v>
      </c>
      <c r="O503">
        <v>2</v>
      </c>
    </row>
    <row r="504" spans="1:15" x14ac:dyDescent="0.2">
      <c r="A504" t="s">
        <v>2035</v>
      </c>
      <c r="B504">
        <v>9007590100</v>
      </c>
      <c r="C504" t="s">
        <v>2036</v>
      </c>
      <c r="D504">
        <v>8346</v>
      </c>
      <c r="E504">
        <v>43.936902410000002</v>
      </c>
      <c r="F504">
        <v>189.9542194</v>
      </c>
      <c r="G504">
        <v>2</v>
      </c>
      <c r="H504">
        <v>405</v>
      </c>
      <c r="I504">
        <v>4.9228151210000002</v>
      </c>
      <c r="J504">
        <v>0.155</v>
      </c>
      <c r="K504">
        <f t="shared" si="7"/>
        <v>1</v>
      </c>
      <c r="N504">
        <v>1.5</v>
      </c>
      <c r="O504">
        <v>2</v>
      </c>
    </row>
    <row r="505" spans="1:15" x14ac:dyDescent="0.2">
      <c r="A505" t="s">
        <v>2037</v>
      </c>
      <c r="B505">
        <v>9007595101</v>
      </c>
      <c r="C505" t="s">
        <v>2038</v>
      </c>
      <c r="D505">
        <v>3697</v>
      </c>
      <c r="E505">
        <v>34.292008299999999</v>
      </c>
      <c r="F505">
        <v>107.8093755</v>
      </c>
      <c r="G505">
        <v>2</v>
      </c>
      <c r="H505">
        <v>126</v>
      </c>
      <c r="I505">
        <v>3.2583397980000002</v>
      </c>
      <c r="J505">
        <v>5.8999999999999997E-2</v>
      </c>
      <c r="K505">
        <f t="shared" si="7"/>
        <v>1</v>
      </c>
      <c r="N505">
        <v>1.5</v>
      </c>
      <c r="O505">
        <v>2</v>
      </c>
    </row>
    <row r="506" spans="1:15" x14ac:dyDescent="0.2">
      <c r="A506" t="s">
        <v>2039</v>
      </c>
      <c r="B506">
        <v>9007595102</v>
      </c>
      <c r="C506" t="s">
        <v>2040</v>
      </c>
      <c r="D506">
        <v>5429</v>
      </c>
      <c r="E506">
        <v>19.961304070000001</v>
      </c>
      <c r="F506">
        <v>271.9762187</v>
      </c>
      <c r="G506">
        <v>2</v>
      </c>
      <c r="H506">
        <v>269</v>
      </c>
      <c r="I506">
        <v>5.2334630349999998</v>
      </c>
      <c r="J506">
        <v>0.17499999999999999</v>
      </c>
      <c r="K506">
        <f t="shared" si="7"/>
        <v>1</v>
      </c>
      <c r="N506">
        <v>2</v>
      </c>
      <c r="O506">
        <v>2</v>
      </c>
    </row>
    <row r="507" spans="1:15" x14ac:dyDescent="0.2">
      <c r="A507" t="s">
        <v>2041</v>
      </c>
      <c r="B507">
        <v>9007600100</v>
      </c>
      <c r="C507" t="s">
        <v>2042</v>
      </c>
      <c r="D507">
        <v>3994</v>
      </c>
      <c r="E507">
        <v>16.051479390000001</v>
      </c>
      <c r="F507">
        <v>248.82441689999999</v>
      </c>
      <c r="G507">
        <v>1</v>
      </c>
      <c r="H507">
        <v>89</v>
      </c>
      <c r="I507">
        <v>2.1020311760000001</v>
      </c>
      <c r="J507">
        <v>2.1000000000000001E-2</v>
      </c>
      <c r="K507">
        <f t="shared" si="7"/>
        <v>1</v>
      </c>
      <c r="N507">
        <v>1.5</v>
      </c>
      <c r="O507">
        <v>2</v>
      </c>
    </row>
    <row r="508" spans="1:15" x14ac:dyDescent="0.2">
      <c r="A508" t="s">
        <v>2043</v>
      </c>
      <c r="B508">
        <v>9007610100</v>
      </c>
      <c r="C508" t="s">
        <v>2044</v>
      </c>
      <c r="D508">
        <v>2149</v>
      </c>
      <c r="E508">
        <v>2.0573913859999999</v>
      </c>
      <c r="F508">
        <v>1044.526586</v>
      </c>
      <c r="G508">
        <v>1</v>
      </c>
      <c r="H508">
        <v>103</v>
      </c>
      <c r="I508">
        <v>5.1784816490000001</v>
      </c>
      <c r="J508">
        <v>0.16300000000000001</v>
      </c>
      <c r="K508">
        <f t="shared" si="7"/>
        <v>1</v>
      </c>
      <c r="N508">
        <v>2</v>
      </c>
      <c r="O508">
        <v>2</v>
      </c>
    </row>
    <row r="509" spans="1:15" x14ac:dyDescent="0.2">
      <c r="A509" t="s">
        <v>2045</v>
      </c>
      <c r="B509">
        <v>9007610200</v>
      </c>
      <c r="C509" t="s">
        <v>2046</v>
      </c>
      <c r="D509">
        <v>3513</v>
      </c>
      <c r="E509">
        <v>3.1804645429999998</v>
      </c>
      <c r="F509">
        <v>1104.555625</v>
      </c>
      <c r="G509">
        <v>1</v>
      </c>
      <c r="H509">
        <v>273</v>
      </c>
      <c r="I509">
        <v>7.5082508250000002</v>
      </c>
      <c r="J509">
        <v>0.28699999999999998</v>
      </c>
      <c r="K509">
        <f t="shared" si="7"/>
        <v>2</v>
      </c>
      <c r="N509">
        <v>3</v>
      </c>
      <c r="O509">
        <v>3</v>
      </c>
    </row>
    <row r="510" spans="1:15" x14ac:dyDescent="0.2">
      <c r="A510" t="s">
        <v>2047</v>
      </c>
      <c r="B510">
        <v>9007610300</v>
      </c>
      <c r="C510" t="s">
        <v>2048</v>
      </c>
      <c r="D510">
        <v>4212</v>
      </c>
      <c r="E510">
        <v>6.3282208259999999</v>
      </c>
      <c r="F510">
        <v>665.58992109999997</v>
      </c>
      <c r="G510">
        <v>1</v>
      </c>
      <c r="H510">
        <v>224</v>
      </c>
      <c r="I510">
        <v>5.3794428429999996</v>
      </c>
      <c r="J510">
        <v>0.17399999999999999</v>
      </c>
      <c r="K510">
        <f t="shared" si="7"/>
        <v>1</v>
      </c>
      <c r="N510">
        <v>2</v>
      </c>
      <c r="O510">
        <v>2</v>
      </c>
    </row>
    <row r="511" spans="1:15" x14ac:dyDescent="0.2">
      <c r="A511" t="s">
        <v>2049</v>
      </c>
      <c r="B511">
        <v>9007610400</v>
      </c>
      <c r="C511" t="s">
        <v>2050</v>
      </c>
      <c r="D511">
        <v>3386</v>
      </c>
      <c r="E511">
        <v>4.6407655170000002</v>
      </c>
      <c r="F511">
        <v>729.6210049</v>
      </c>
      <c r="G511">
        <v>1</v>
      </c>
      <c r="H511">
        <v>99</v>
      </c>
      <c r="I511">
        <v>3.1378763869999999</v>
      </c>
      <c r="J511">
        <v>4.1000000000000002E-2</v>
      </c>
      <c r="K511">
        <f t="shared" si="7"/>
        <v>1</v>
      </c>
      <c r="N511">
        <v>1.5</v>
      </c>
      <c r="O511">
        <v>2</v>
      </c>
    </row>
    <row r="512" spans="1:15" x14ac:dyDescent="0.2">
      <c r="A512" t="s">
        <v>2051</v>
      </c>
      <c r="B512">
        <v>9007620100</v>
      </c>
      <c r="C512" t="s">
        <v>2052</v>
      </c>
      <c r="D512">
        <v>4629</v>
      </c>
      <c r="E512">
        <v>13.513561839999999</v>
      </c>
      <c r="F512">
        <v>342.54477500000002</v>
      </c>
      <c r="G512">
        <v>1</v>
      </c>
      <c r="H512">
        <v>244</v>
      </c>
      <c r="I512">
        <v>5.4464285710000002</v>
      </c>
      <c r="J512">
        <v>0.17499999999999999</v>
      </c>
      <c r="K512">
        <f t="shared" si="7"/>
        <v>1</v>
      </c>
      <c r="N512">
        <v>2</v>
      </c>
      <c r="O512">
        <v>2</v>
      </c>
    </row>
    <row r="513" spans="1:15" x14ac:dyDescent="0.2">
      <c r="A513" t="s">
        <v>2053</v>
      </c>
      <c r="B513">
        <v>9007630100</v>
      </c>
      <c r="C513" t="s">
        <v>2054</v>
      </c>
      <c r="D513">
        <v>6683</v>
      </c>
      <c r="E513">
        <v>10.40243121</v>
      </c>
      <c r="F513">
        <v>642.44596920000004</v>
      </c>
      <c r="G513">
        <v>1</v>
      </c>
      <c r="H513">
        <v>563</v>
      </c>
      <c r="I513">
        <v>8.525136281</v>
      </c>
      <c r="J513">
        <v>0.35399999999999998</v>
      </c>
      <c r="K513">
        <f t="shared" si="7"/>
        <v>2</v>
      </c>
      <c r="N513">
        <v>2</v>
      </c>
      <c r="O513">
        <v>2</v>
      </c>
    </row>
    <row r="514" spans="1:15" x14ac:dyDescent="0.2">
      <c r="A514" t="s">
        <v>2055</v>
      </c>
      <c r="B514">
        <v>9007640100</v>
      </c>
      <c r="C514" t="s">
        <v>2056</v>
      </c>
      <c r="D514">
        <v>6525</v>
      </c>
      <c r="E514">
        <v>35.330880299999997</v>
      </c>
      <c r="F514">
        <v>184.68263300000001</v>
      </c>
      <c r="G514">
        <v>2</v>
      </c>
      <c r="H514">
        <v>175</v>
      </c>
      <c r="I514">
        <v>2.737797247</v>
      </c>
      <c r="J514">
        <v>2.8000000000000001E-2</v>
      </c>
      <c r="K514">
        <f t="shared" si="7"/>
        <v>1</v>
      </c>
      <c r="N514">
        <v>1.5</v>
      </c>
      <c r="O514">
        <v>2</v>
      </c>
    </row>
    <row r="515" spans="1:15" x14ac:dyDescent="0.2">
      <c r="A515" t="s">
        <v>2057</v>
      </c>
      <c r="B515">
        <v>9007670100</v>
      </c>
      <c r="C515" t="s">
        <v>2058</v>
      </c>
      <c r="D515">
        <v>4848</v>
      </c>
      <c r="E515">
        <v>9.7010839430000004</v>
      </c>
      <c r="F515">
        <v>499.73797039999999</v>
      </c>
      <c r="G515">
        <v>1</v>
      </c>
      <c r="H515">
        <v>372</v>
      </c>
      <c r="I515">
        <v>8.3091355819999997</v>
      </c>
      <c r="J515">
        <v>0.33400000000000002</v>
      </c>
      <c r="K515">
        <f t="shared" ref="K515:K578" si="8">IF(J515&lt;0.2,1,IF(J515&lt;0.4,2,IF(J515&lt;0.6,3,IF(J515&lt;0.8,4,5))))</f>
        <v>2</v>
      </c>
      <c r="N515">
        <v>2</v>
      </c>
      <c r="O515">
        <v>2</v>
      </c>
    </row>
    <row r="516" spans="1:15" x14ac:dyDescent="0.2">
      <c r="A516" t="s">
        <v>2059</v>
      </c>
      <c r="B516">
        <v>9007670200</v>
      </c>
      <c r="C516" t="s">
        <v>2060</v>
      </c>
      <c r="D516">
        <v>5394</v>
      </c>
      <c r="E516">
        <v>5.3429930949999997</v>
      </c>
      <c r="F516">
        <v>1009.546504</v>
      </c>
      <c r="G516">
        <v>1</v>
      </c>
      <c r="H516">
        <v>194</v>
      </c>
      <c r="I516">
        <v>3.4562622479999998</v>
      </c>
      <c r="J516">
        <v>7.0000000000000007E-2</v>
      </c>
      <c r="K516">
        <f t="shared" si="8"/>
        <v>1</v>
      </c>
      <c r="N516">
        <v>2</v>
      </c>
      <c r="O516">
        <v>2</v>
      </c>
    </row>
    <row r="517" spans="1:15" x14ac:dyDescent="0.2">
      <c r="A517" t="s">
        <v>2061</v>
      </c>
      <c r="B517">
        <v>9007680100</v>
      </c>
      <c r="C517" t="s">
        <v>2062</v>
      </c>
      <c r="D517">
        <v>6938</v>
      </c>
      <c r="E517">
        <v>15.78315845</v>
      </c>
      <c r="F517">
        <v>439.58248409999999</v>
      </c>
      <c r="G517">
        <v>1</v>
      </c>
      <c r="H517">
        <v>476</v>
      </c>
      <c r="I517">
        <v>6.8955526579999997</v>
      </c>
      <c r="J517">
        <v>0.24199999999999999</v>
      </c>
      <c r="K517">
        <f t="shared" si="8"/>
        <v>2</v>
      </c>
      <c r="N517">
        <v>2.5</v>
      </c>
      <c r="O517">
        <v>3</v>
      </c>
    </row>
    <row r="518" spans="1:15" x14ac:dyDescent="0.2">
      <c r="A518" t="s">
        <v>2063</v>
      </c>
      <c r="B518">
        <v>9007680200</v>
      </c>
      <c r="C518" t="s">
        <v>2064</v>
      </c>
      <c r="D518">
        <v>6726</v>
      </c>
      <c r="E518">
        <v>18.086957160000001</v>
      </c>
      <c r="F518">
        <v>371.8701792</v>
      </c>
      <c r="G518">
        <v>1</v>
      </c>
      <c r="H518">
        <v>512</v>
      </c>
      <c r="I518">
        <v>7.9281511299999998</v>
      </c>
      <c r="J518">
        <v>0.29799999999999999</v>
      </c>
      <c r="K518">
        <f t="shared" si="8"/>
        <v>2</v>
      </c>
      <c r="N518">
        <v>3</v>
      </c>
      <c r="O518">
        <v>3</v>
      </c>
    </row>
    <row r="519" spans="1:15" x14ac:dyDescent="0.2">
      <c r="A519" t="s">
        <v>2065</v>
      </c>
      <c r="B519">
        <v>9009120100</v>
      </c>
      <c r="C519" t="s">
        <v>2066</v>
      </c>
      <c r="D519">
        <v>6721</v>
      </c>
      <c r="E519">
        <v>2.3995018510000001</v>
      </c>
      <c r="F519">
        <v>2800.9980479999999</v>
      </c>
      <c r="G519">
        <v>1</v>
      </c>
      <c r="H519">
        <v>421</v>
      </c>
      <c r="I519">
        <v>6.750040083</v>
      </c>
      <c r="J519">
        <v>0.23699999999999999</v>
      </c>
      <c r="K519">
        <f t="shared" si="8"/>
        <v>2</v>
      </c>
      <c r="N519">
        <v>3</v>
      </c>
      <c r="O519">
        <v>3</v>
      </c>
    </row>
    <row r="520" spans="1:15" x14ac:dyDescent="0.2">
      <c r="A520" t="s">
        <v>2067</v>
      </c>
      <c r="B520">
        <v>9009120200</v>
      </c>
      <c r="C520" t="s">
        <v>2068</v>
      </c>
      <c r="D520">
        <v>6181</v>
      </c>
      <c r="E520">
        <v>2.6559709929999999</v>
      </c>
      <c r="F520">
        <v>2327.209151</v>
      </c>
      <c r="G520">
        <v>1</v>
      </c>
      <c r="H520">
        <v>1328</v>
      </c>
      <c r="I520">
        <v>21.254801539999999</v>
      </c>
      <c r="J520">
        <v>0.77700000000000002</v>
      </c>
      <c r="K520">
        <f t="shared" si="8"/>
        <v>4</v>
      </c>
      <c r="N520">
        <v>4.5</v>
      </c>
      <c r="O520">
        <v>5</v>
      </c>
    </row>
    <row r="521" spans="1:15" x14ac:dyDescent="0.2">
      <c r="A521" t="s">
        <v>2069</v>
      </c>
      <c r="B521">
        <v>9009125100</v>
      </c>
      <c r="C521" t="s">
        <v>2070</v>
      </c>
      <c r="D521">
        <v>4503</v>
      </c>
      <c r="E521">
        <v>1.6046062759999999</v>
      </c>
      <c r="F521">
        <v>2806.2958910000002</v>
      </c>
      <c r="G521">
        <v>1</v>
      </c>
      <c r="H521">
        <v>286</v>
      </c>
      <c r="I521">
        <v>5.8799342110000001</v>
      </c>
      <c r="J521">
        <v>0.19</v>
      </c>
      <c r="K521">
        <f t="shared" si="8"/>
        <v>1</v>
      </c>
      <c r="N521">
        <v>2</v>
      </c>
      <c r="O521">
        <v>2</v>
      </c>
    </row>
    <row r="522" spans="1:15" x14ac:dyDescent="0.2">
      <c r="A522" t="s">
        <v>2071</v>
      </c>
      <c r="B522">
        <v>9009125200</v>
      </c>
      <c r="C522" t="s">
        <v>2072</v>
      </c>
      <c r="D522">
        <v>5812</v>
      </c>
      <c r="E522">
        <v>2.4131084779999998</v>
      </c>
      <c r="F522">
        <v>2408.5116990000001</v>
      </c>
      <c r="G522">
        <v>1</v>
      </c>
      <c r="H522">
        <v>593</v>
      </c>
      <c r="I522">
        <v>10.429124160000001</v>
      </c>
      <c r="J522">
        <v>0.437</v>
      </c>
      <c r="K522">
        <f t="shared" si="8"/>
        <v>3</v>
      </c>
      <c r="N522">
        <v>4</v>
      </c>
      <c r="O522">
        <v>4</v>
      </c>
    </row>
    <row r="523" spans="1:15" x14ac:dyDescent="0.2">
      <c r="A523" t="s">
        <v>2073</v>
      </c>
      <c r="B523">
        <v>9009125300</v>
      </c>
      <c r="C523" t="s">
        <v>2074</v>
      </c>
      <c r="D523">
        <v>5540</v>
      </c>
      <c r="E523">
        <v>1.2530374660000001</v>
      </c>
      <c r="F523">
        <v>4421.2564679999996</v>
      </c>
      <c r="G523">
        <v>1</v>
      </c>
      <c r="H523">
        <v>1755</v>
      </c>
      <c r="I523">
        <v>36.877495269999997</v>
      </c>
      <c r="J523">
        <v>0.97599999999999998</v>
      </c>
      <c r="K523">
        <f t="shared" si="8"/>
        <v>5</v>
      </c>
      <c r="N523">
        <v>5</v>
      </c>
      <c r="O523">
        <v>5</v>
      </c>
    </row>
    <row r="524" spans="1:15" x14ac:dyDescent="0.2">
      <c r="A524" t="s">
        <v>2075</v>
      </c>
      <c r="B524">
        <v>9009125400</v>
      </c>
      <c r="C524" t="s">
        <v>2076</v>
      </c>
      <c r="D524">
        <v>3394</v>
      </c>
      <c r="E524">
        <v>0.74813358200000002</v>
      </c>
      <c r="F524">
        <v>4536.6229789999998</v>
      </c>
      <c r="G524">
        <v>1</v>
      </c>
      <c r="H524">
        <v>449</v>
      </c>
      <c r="I524">
        <v>12.85427999</v>
      </c>
      <c r="J524">
        <v>0.56899999999999995</v>
      </c>
      <c r="K524">
        <f t="shared" si="8"/>
        <v>3</v>
      </c>
      <c r="N524">
        <v>4</v>
      </c>
      <c r="O524">
        <v>4</v>
      </c>
    </row>
    <row r="525" spans="1:15" x14ac:dyDescent="0.2">
      <c r="A525" t="s">
        <v>2077</v>
      </c>
      <c r="B525">
        <v>9009130101</v>
      </c>
      <c r="C525" t="s">
        <v>2078</v>
      </c>
      <c r="D525">
        <v>4911</v>
      </c>
      <c r="E525">
        <v>3.3433691579999998</v>
      </c>
      <c r="F525">
        <v>1468.8775800000001</v>
      </c>
      <c r="G525">
        <v>1</v>
      </c>
      <c r="H525">
        <v>368</v>
      </c>
      <c r="I525">
        <v>7.0349837510000004</v>
      </c>
      <c r="J525">
        <v>0.252</v>
      </c>
      <c r="K525">
        <f t="shared" si="8"/>
        <v>2</v>
      </c>
      <c r="N525">
        <v>3</v>
      </c>
      <c r="O525">
        <v>3</v>
      </c>
    </row>
    <row r="526" spans="1:15" x14ac:dyDescent="0.2">
      <c r="A526" t="s">
        <v>2079</v>
      </c>
      <c r="B526">
        <v>9009130102</v>
      </c>
      <c r="C526" t="s">
        <v>2080</v>
      </c>
      <c r="D526">
        <v>3113</v>
      </c>
      <c r="E526">
        <v>2.8647179060000001</v>
      </c>
      <c r="F526">
        <v>1086.66895</v>
      </c>
      <c r="G526">
        <v>1</v>
      </c>
      <c r="H526">
        <v>188</v>
      </c>
      <c r="I526">
        <v>6.3880394159999998</v>
      </c>
      <c r="J526">
        <v>0.23300000000000001</v>
      </c>
      <c r="K526">
        <f t="shared" si="8"/>
        <v>2</v>
      </c>
      <c r="N526">
        <v>3</v>
      </c>
      <c r="O526">
        <v>3</v>
      </c>
    </row>
    <row r="527" spans="1:15" x14ac:dyDescent="0.2">
      <c r="A527" t="s">
        <v>2081</v>
      </c>
      <c r="B527">
        <v>9009130200</v>
      </c>
      <c r="C527" t="s">
        <v>2082</v>
      </c>
      <c r="D527">
        <v>8516</v>
      </c>
      <c r="E527">
        <v>8.309543133</v>
      </c>
      <c r="F527">
        <v>1024.8457539999999</v>
      </c>
      <c r="G527">
        <v>1</v>
      </c>
      <c r="H527">
        <v>1047</v>
      </c>
      <c r="I527">
        <v>12.562994959999999</v>
      </c>
      <c r="J527">
        <v>0.55100000000000005</v>
      </c>
      <c r="K527">
        <f t="shared" si="8"/>
        <v>3</v>
      </c>
      <c r="N527">
        <v>3</v>
      </c>
      <c r="O527">
        <v>3</v>
      </c>
    </row>
    <row r="528" spans="1:15" x14ac:dyDescent="0.2">
      <c r="A528" t="s">
        <v>2083</v>
      </c>
      <c r="B528">
        <v>9009140100</v>
      </c>
      <c r="C528" t="s">
        <v>2084</v>
      </c>
      <c r="D528">
        <v>2426</v>
      </c>
      <c r="E528">
        <v>0.26767846000000001</v>
      </c>
      <c r="F528">
        <v>9063.1125019999999</v>
      </c>
      <c r="G528">
        <v>1</v>
      </c>
      <c r="H528">
        <v>1029</v>
      </c>
      <c r="I528">
        <v>29.241261720000001</v>
      </c>
      <c r="J528">
        <v>0.90200000000000002</v>
      </c>
      <c r="K528">
        <f t="shared" si="8"/>
        <v>5</v>
      </c>
      <c r="N528">
        <v>3.5</v>
      </c>
      <c r="O528">
        <v>4</v>
      </c>
    </row>
    <row r="529" spans="1:15" x14ac:dyDescent="0.2">
      <c r="A529" t="s">
        <v>2085</v>
      </c>
      <c r="B529">
        <v>9009140200</v>
      </c>
      <c r="C529" t="s">
        <v>2086</v>
      </c>
      <c r="D529">
        <v>1518</v>
      </c>
      <c r="E529">
        <v>0.77617734100000002</v>
      </c>
      <c r="F529">
        <v>1955.738617</v>
      </c>
      <c r="G529">
        <v>1</v>
      </c>
      <c r="H529">
        <v>65</v>
      </c>
      <c r="I529">
        <v>10.12461059</v>
      </c>
      <c r="J529">
        <v>0.43</v>
      </c>
      <c r="K529">
        <f t="shared" si="8"/>
        <v>3</v>
      </c>
      <c r="N529">
        <v>4</v>
      </c>
      <c r="O529">
        <v>4</v>
      </c>
    </row>
    <row r="530" spans="1:15" x14ac:dyDescent="0.2">
      <c r="A530" t="s">
        <v>2087</v>
      </c>
      <c r="B530">
        <v>9009140300</v>
      </c>
      <c r="C530" t="s">
        <v>2088</v>
      </c>
      <c r="D530">
        <v>2737</v>
      </c>
      <c r="E530">
        <v>0.27474799100000002</v>
      </c>
      <c r="F530">
        <v>9961.8562779999993</v>
      </c>
      <c r="G530">
        <v>1</v>
      </c>
      <c r="H530">
        <v>560</v>
      </c>
      <c r="I530">
        <v>22.055927530000002</v>
      </c>
      <c r="J530">
        <v>0.80700000000000005</v>
      </c>
      <c r="K530">
        <f t="shared" si="8"/>
        <v>5</v>
      </c>
      <c r="N530">
        <v>5</v>
      </c>
      <c r="O530">
        <v>5</v>
      </c>
    </row>
    <row r="531" spans="1:15" x14ac:dyDescent="0.2">
      <c r="A531" t="s">
        <v>2089</v>
      </c>
      <c r="B531">
        <v>9009140400</v>
      </c>
      <c r="C531" t="s">
        <v>2090</v>
      </c>
      <c r="D531">
        <v>3329</v>
      </c>
      <c r="E531">
        <v>0.34233440500000001</v>
      </c>
      <c r="F531">
        <v>9724.4096850000005</v>
      </c>
      <c r="G531">
        <v>1</v>
      </c>
      <c r="H531">
        <v>1008</v>
      </c>
      <c r="I531">
        <v>29.362073989999999</v>
      </c>
      <c r="J531">
        <v>0.91100000000000003</v>
      </c>
      <c r="K531">
        <f t="shared" si="8"/>
        <v>5</v>
      </c>
      <c r="N531">
        <v>5</v>
      </c>
      <c r="O531">
        <v>5</v>
      </c>
    </row>
    <row r="532" spans="1:15" x14ac:dyDescent="0.2">
      <c r="A532" t="s">
        <v>2091</v>
      </c>
      <c r="B532">
        <v>9009140500</v>
      </c>
      <c r="C532" t="s">
        <v>2092</v>
      </c>
      <c r="D532">
        <v>3687</v>
      </c>
      <c r="E532">
        <v>0.39240413499999999</v>
      </c>
      <c r="F532">
        <v>9395.9254610000007</v>
      </c>
      <c r="G532">
        <v>1</v>
      </c>
      <c r="H532">
        <v>1307</v>
      </c>
      <c r="I532">
        <v>36.498184860000002</v>
      </c>
      <c r="J532">
        <v>0.96899999999999997</v>
      </c>
      <c r="K532">
        <f t="shared" si="8"/>
        <v>5</v>
      </c>
      <c r="N532">
        <v>5</v>
      </c>
      <c r="O532">
        <v>5</v>
      </c>
    </row>
    <row r="533" spans="1:15" x14ac:dyDescent="0.2">
      <c r="A533" t="s">
        <v>2093</v>
      </c>
      <c r="B533">
        <v>9009140600</v>
      </c>
      <c r="C533" t="s">
        <v>2094</v>
      </c>
      <c r="D533">
        <v>4745</v>
      </c>
      <c r="E533">
        <v>0.28313374400000002</v>
      </c>
      <c r="F533">
        <v>16758.864310000001</v>
      </c>
      <c r="G533">
        <v>1</v>
      </c>
      <c r="H533">
        <v>1282</v>
      </c>
      <c r="I533">
        <v>25.295974739999998</v>
      </c>
      <c r="J533">
        <v>0.85299999999999998</v>
      </c>
      <c r="K533">
        <f t="shared" si="8"/>
        <v>5</v>
      </c>
      <c r="N533">
        <v>5</v>
      </c>
      <c r="O533">
        <v>5</v>
      </c>
    </row>
    <row r="534" spans="1:15" x14ac:dyDescent="0.2">
      <c r="A534" t="s">
        <v>2095</v>
      </c>
      <c r="B534">
        <v>9009140700</v>
      </c>
      <c r="C534" t="s">
        <v>2096</v>
      </c>
      <c r="D534">
        <v>3979</v>
      </c>
      <c r="E534">
        <v>0.212585155</v>
      </c>
      <c r="F534">
        <v>18717.20536</v>
      </c>
      <c r="G534">
        <v>1</v>
      </c>
      <c r="H534">
        <v>1197</v>
      </c>
      <c r="I534">
        <v>30.898296330000001</v>
      </c>
      <c r="J534">
        <v>0.93400000000000005</v>
      </c>
      <c r="K534">
        <f t="shared" si="8"/>
        <v>5</v>
      </c>
      <c r="N534">
        <v>5</v>
      </c>
      <c r="O534">
        <v>5</v>
      </c>
    </row>
    <row r="535" spans="1:15" x14ac:dyDescent="0.2">
      <c r="A535" t="s">
        <v>2097</v>
      </c>
      <c r="B535">
        <v>9009140800</v>
      </c>
      <c r="C535" t="s">
        <v>2098</v>
      </c>
      <c r="D535">
        <v>3964</v>
      </c>
      <c r="E535">
        <v>0.63564271299999997</v>
      </c>
      <c r="F535">
        <v>6236.2077259999996</v>
      </c>
      <c r="G535">
        <v>1</v>
      </c>
      <c r="H535">
        <v>778</v>
      </c>
      <c r="I535">
        <v>20.48446551</v>
      </c>
      <c r="J535">
        <v>0.79</v>
      </c>
      <c r="K535">
        <f t="shared" si="8"/>
        <v>4</v>
      </c>
      <c r="N535">
        <v>4.5</v>
      </c>
      <c r="O535">
        <v>5</v>
      </c>
    </row>
    <row r="536" spans="1:15" x14ac:dyDescent="0.2">
      <c r="A536" t="s">
        <v>2099</v>
      </c>
      <c r="B536">
        <v>9009140900</v>
      </c>
      <c r="C536" t="s">
        <v>2100</v>
      </c>
      <c r="D536">
        <v>4476</v>
      </c>
      <c r="E536">
        <v>0.37876198700000002</v>
      </c>
      <c r="F536">
        <v>11817.44779</v>
      </c>
      <c r="G536">
        <v>1</v>
      </c>
      <c r="H536">
        <v>562</v>
      </c>
      <c r="I536">
        <v>11.874075639999999</v>
      </c>
      <c r="J536">
        <v>0.53400000000000003</v>
      </c>
      <c r="K536">
        <f t="shared" si="8"/>
        <v>3</v>
      </c>
      <c r="N536">
        <v>4</v>
      </c>
      <c r="O536">
        <v>4</v>
      </c>
    </row>
    <row r="537" spans="1:15" x14ac:dyDescent="0.2">
      <c r="A537" t="s">
        <v>2101</v>
      </c>
      <c r="B537">
        <v>9009141000</v>
      </c>
      <c r="C537" t="s">
        <v>2102</v>
      </c>
      <c r="D537">
        <v>3729</v>
      </c>
      <c r="E537">
        <v>0.73237405</v>
      </c>
      <c r="F537">
        <v>5091.6604729999999</v>
      </c>
      <c r="G537">
        <v>1</v>
      </c>
      <c r="H537">
        <v>655</v>
      </c>
      <c r="I537">
        <v>16.515380740000001</v>
      </c>
      <c r="J537">
        <v>0.66700000000000004</v>
      </c>
      <c r="K537">
        <f t="shared" si="8"/>
        <v>4</v>
      </c>
      <c r="N537">
        <v>3</v>
      </c>
      <c r="O537">
        <v>3</v>
      </c>
    </row>
    <row r="538" spans="1:15" x14ac:dyDescent="0.2">
      <c r="A538" t="s">
        <v>2103</v>
      </c>
      <c r="B538">
        <v>9009141100</v>
      </c>
      <c r="C538" t="s">
        <v>2104</v>
      </c>
      <c r="D538">
        <v>2777</v>
      </c>
      <c r="E538">
        <v>1.4939914780000001</v>
      </c>
      <c r="F538">
        <v>1858.77901</v>
      </c>
      <c r="G538">
        <v>1</v>
      </c>
      <c r="H538">
        <v>433</v>
      </c>
      <c r="I538">
        <v>16.162747289999999</v>
      </c>
      <c r="J538">
        <v>0.65600000000000003</v>
      </c>
      <c r="K538">
        <f t="shared" si="8"/>
        <v>4</v>
      </c>
      <c r="N538">
        <v>3</v>
      </c>
      <c r="O538">
        <v>3</v>
      </c>
    </row>
    <row r="539" spans="1:15" x14ac:dyDescent="0.2">
      <c r="A539" t="s">
        <v>2105</v>
      </c>
      <c r="B539">
        <v>9009141200</v>
      </c>
      <c r="C539" t="s">
        <v>2106</v>
      </c>
      <c r="D539">
        <v>4426</v>
      </c>
      <c r="E539">
        <v>0.73638179000000004</v>
      </c>
      <c r="F539">
        <v>6010.4691059999996</v>
      </c>
      <c r="G539">
        <v>1</v>
      </c>
      <c r="H539">
        <v>1090</v>
      </c>
      <c r="I539">
        <v>23.044397459999999</v>
      </c>
      <c r="J539">
        <v>0.82499999999999996</v>
      </c>
      <c r="K539">
        <f t="shared" si="8"/>
        <v>5</v>
      </c>
      <c r="N539">
        <v>5</v>
      </c>
      <c r="O539">
        <v>5</v>
      </c>
    </row>
    <row r="540" spans="1:15" x14ac:dyDescent="0.2">
      <c r="A540" t="s">
        <v>2107</v>
      </c>
      <c r="B540">
        <v>9009141300</v>
      </c>
      <c r="C540" t="s">
        <v>2108</v>
      </c>
      <c r="D540">
        <v>5913</v>
      </c>
      <c r="E540">
        <v>1.409121973</v>
      </c>
      <c r="F540">
        <v>4196.2300740000001</v>
      </c>
      <c r="G540">
        <v>1</v>
      </c>
      <c r="H540">
        <v>726</v>
      </c>
      <c r="I540">
        <v>10.860134629999999</v>
      </c>
      <c r="J540">
        <v>0.46800000000000003</v>
      </c>
      <c r="K540">
        <f t="shared" si="8"/>
        <v>3</v>
      </c>
      <c r="N540">
        <v>4</v>
      </c>
      <c r="O540">
        <v>4</v>
      </c>
    </row>
    <row r="541" spans="1:15" x14ac:dyDescent="0.2">
      <c r="A541" t="s">
        <v>2109</v>
      </c>
      <c r="B541">
        <v>9009141400</v>
      </c>
      <c r="C541" t="s">
        <v>2110</v>
      </c>
      <c r="D541">
        <v>5023</v>
      </c>
      <c r="E541">
        <v>0.592104674</v>
      </c>
      <c r="F541">
        <v>8483.2973320000001</v>
      </c>
      <c r="G541">
        <v>1</v>
      </c>
      <c r="H541">
        <v>1323</v>
      </c>
      <c r="I541">
        <v>26.765122399999999</v>
      </c>
      <c r="J541">
        <v>0.88</v>
      </c>
      <c r="K541">
        <f t="shared" si="8"/>
        <v>5</v>
      </c>
      <c r="N541">
        <v>4.5</v>
      </c>
      <c r="O541">
        <v>5</v>
      </c>
    </row>
    <row r="542" spans="1:15" x14ac:dyDescent="0.2">
      <c r="A542" t="s">
        <v>2111</v>
      </c>
      <c r="B542">
        <v>9009141500</v>
      </c>
      <c r="C542" t="s">
        <v>2112</v>
      </c>
      <c r="D542">
        <v>6873</v>
      </c>
      <c r="E542">
        <v>0.61839012400000004</v>
      </c>
      <c r="F542">
        <v>11114.34309</v>
      </c>
      <c r="G542">
        <v>1</v>
      </c>
      <c r="H542">
        <v>913</v>
      </c>
      <c r="I542">
        <v>12.5</v>
      </c>
      <c r="J542">
        <v>0.56299999999999994</v>
      </c>
      <c r="K542">
        <f t="shared" si="8"/>
        <v>3</v>
      </c>
      <c r="N542">
        <v>4</v>
      </c>
      <c r="O542">
        <v>4</v>
      </c>
    </row>
    <row r="543" spans="1:15" x14ac:dyDescent="0.2">
      <c r="A543" t="s">
        <v>2113</v>
      </c>
      <c r="B543">
        <v>9009141600</v>
      </c>
      <c r="C543" t="s">
        <v>2114</v>
      </c>
      <c r="D543">
        <v>5169</v>
      </c>
      <c r="E543">
        <v>0.41283704799999998</v>
      </c>
      <c r="F543">
        <v>12520.678620000001</v>
      </c>
      <c r="G543">
        <v>1</v>
      </c>
      <c r="H543">
        <v>1054</v>
      </c>
      <c r="I543">
        <v>20.46999417</v>
      </c>
      <c r="J543">
        <v>0.79100000000000004</v>
      </c>
      <c r="K543">
        <f t="shared" si="8"/>
        <v>4</v>
      </c>
      <c r="N543">
        <v>4.5</v>
      </c>
      <c r="O543">
        <v>5</v>
      </c>
    </row>
    <row r="544" spans="1:15" x14ac:dyDescent="0.2">
      <c r="A544" t="s">
        <v>2115</v>
      </c>
      <c r="B544">
        <v>9009141800</v>
      </c>
      <c r="C544" t="s">
        <v>2116</v>
      </c>
      <c r="D544">
        <v>3892</v>
      </c>
      <c r="E544">
        <v>0.56799568199999995</v>
      </c>
      <c r="F544">
        <v>6852.164769</v>
      </c>
      <c r="G544">
        <v>1</v>
      </c>
      <c r="H544">
        <v>1483</v>
      </c>
      <c r="I544">
        <v>34.178382120000002</v>
      </c>
      <c r="J544">
        <v>0.95299999999999996</v>
      </c>
      <c r="K544">
        <f t="shared" si="8"/>
        <v>5</v>
      </c>
      <c r="N544">
        <v>4.5</v>
      </c>
      <c r="O544">
        <v>5</v>
      </c>
    </row>
    <row r="545" spans="1:15" x14ac:dyDescent="0.2">
      <c r="A545" t="s">
        <v>2117</v>
      </c>
      <c r="B545">
        <v>9009141900</v>
      </c>
      <c r="C545" t="s">
        <v>2118</v>
      </c>
      <c r="D545">
        <v>5063</v>
      </c>
      <c r="E545">
        <v>0.50239962500000002</v>
      </c>
      <c r="F545">
        <v>10077.634910000001</v>
      </c>
      <c r="G545">
        <v>1</v>
      </c>
      <c r="H545">
        <v>1171</v>
      </c>
      <c r="I545">
        <v>21.482296829999999</v>
      </c>
      <c r="J545">
        <v>0.80700000000000005</v>
      </c>
      <c r="K545">
        <f t="shared" si="8"/>
        <v>5</v>
      </c>
      <c r="N545">
        <v>4</v>
      </c>
      <c r="O545">
        <v>4</v>
      </c>
    </row>
    <row r="546" spans="1:15" x14ac:dyDescent="0.2">
      <c r="A546" t="s">
        <v>2119</v>
      </c>
      <c r="B546">
        <v>9009142000</v>
      </c>
      <c r="C546" t="s">
        <v>2120</v>
      </c>
      <c r="D546">
        <v>3396</v>
      </c>
      <c r="E546">
        <v>0.257172234</v>
      </c>
      <c r="F546">
        <v>13205.158069999999</v>
      </c>
      <c r="G546">
        <v>1</v>
      </c>
      <c r="H546">
        <v>783</v>
      </c>
      <c r="I546">
        <v>25.816023739999999</v>
      </c>
      <c r="J546">
        <v>0.875</v>
      </c>
      <c r="K546">
        <f t="shared" si="8"/>
        <v>5</v>
      </c>
      <c r="N546">
        <v>4.5</v>
      </c>
      <c r="O546">
        <v>5</v>
      </c>
    </row>
    <row r="547" spans="1:15" x14ac:dyDescent="0.2">
      <c r="A547" t="s">
        <v>2121</v>
      </c>
      <c r="B547">
        <v>9009142100</v>
      </c>
      <c r="C547" t="s">
        <v>2122</v>
      </c>
      <c r="D547">
        <v>1744</v>
      </c>
      <c r="E547">
        <v>0.23397560100000001</v>
      </c>
      <c r="F547">
        <v>7453.7686379999996</v>
      </c>
      <c r="G547">
        <v>1</v>
      </c>
      <c r="H547">
        <v>376</v>
      </c>
      <c r="I547">
        <v>25.0166334</v>
      </c>
      <c r="J547">
        <v>0.85599999999999998</v>
      </c>
      <c r="K547">
        <f t="shared" si="8"/>
        <v>5</v>
      </c>
      <c r="N547">
        <v>5</v>
      </c>
      <c r="O547">
        <v>5</v>
      </c>
    </row>
    <row r="548" spans="1:15" x14ac:dyDescent="0.2">
      <c r="A548" t="s">
        <v>2123</v>
      </c>
      <c r="B548">
        <v>9009142200</v>
      </c>
      <c r="C548" t="s">
        <v>2124</v>
      </c>
      <c r="D548">
        <v>1581</v>
      </c>
      <c r="E548">
        <v>0.34710624099999998</v>
      </c>
      <c r="F548">
        <v>4554.8014160000002</v>
      </c>
      <c r="G548">
        <v>1</v>
      </c>
      <c r="H548">
        <v>303</v>
      </c>
      <c r="I548">
        <v>20.106171199999999</v>
      </c>
      <c r="J548">
        <v>0.78700000000000003</v>
      </c>
      <c r="K548">
        <f t="shared" si="8"/>
        <v>4</v>
      </c>
      <c r="N548">
        <v>3.5</v>
      </c>
      <c r="O548">
        <v>4</v>
      </c>
    </row>
    <row r="549" spans="1:15" x14ac:dyDescent="0.2">
      <c r="A549" t="s">
        <v>2125</v>
      </c>
      <c r="B549">
        <v>9009142300</v>
      </c>
      <c r="C549" t="s">
        <v>2126</v>
      </c>
      <c r="D549">
        <v>5448</v>
      </c>
      <c r="E549">
        <v>0.39080335500000002</v>
      </c>
      <c r="F549">
        <v>13940.51491</v>
      </c>
      <c r="G549">
        <v>1</v>
      </c>
      <c r="H549">
        <v>1968</v>
      </c>
      <c r="I549">
        <v>36.043956039999998</v>
      </c>
      <c r="J549">
        <v>0.96699999999999997</v>
      </c>
      <c r="K549">
        <f t="shared" si="8"/>
        <v>5</v>
      </c>
      <c r="N549">
        <v>5</v>
      </c>
      <c r="O549">
        <v>5</v>
      </c>
    </row>
    <row r="550" spans="1:15" x14ac:dyDescent="0.2">
      <c r="A550" t="s">
        <v>2127</v>
      </c>
      <c r="B550">
        <v>9009142400</v>
      </c>
      <c r="C550" t="s">
        <v>2128</v>
      </c>
      <c r="D550">
        <v>5360</v>
      </c>
      <c r="E550">
        <v>0.460519122</v>
      </c>
      <c r="F550">
        <v>11639.03895</v>
      </c>
      <c r="G550">
        <v>1</v>
      </c>
      <c r="H550">
        <v>2195</v>
      </c>
      <c r="I550">
        <v>36.565050810000002</v>
      </c>
      <c r="J550">
        <v>0.97099999999999997</v>
      </c>
      <c r="K550">
        <f t="shared" si="8"/>
        <v>5</v>
      </c>
      <c r="N550">
        <v>5</v>
      </c>
      <c r="O550">
        <v>5</v>
      </c>
    </row>
    <row r="551" spans="1:15" x14ac:dyDescent="0.2">
      <c r="A551" t="s">
        <v>2129</v>
      </c>
      <c r="B551">
        <v>9009142500</v>
      </c>
      <c r="C551" t="s">
        <v>2130</v>
      </c>
      <c r="D551">
        <v>5929</v>
      </c>
      <c r="E551">
        <v>0.71219210300000002</v>
      </c>
      <c r="F551">
        <v>8325.0010450000009</v>
      </c>
      <c r="G551">
        <v>1</v>
      </c>
      <c r="H551">
        <v>1624</v>
      </c>
      <c r="I551">
        <v>27.567475810000001</v>
      </c>
      <c r="J551">
        <v>0.90500000000000003</v>
      </c>
      <c r="K551">
        <f t="shared" si="8"/>
        <v>5</v>
      </c>
      <c r="N551">
        <v>5</v>
      </c>
      <c r="O551">
        <v>5</v>
      </c>
    </row>
    <row r="552" spans="1:15" x14ac:dyDescent="0.2">
      <c r="A552" t="s">
        <v>2131</v>
      </c>
      <c r="B552">
        <v>9009142601</v>
      </c>
      <c r="C552" t="s">
        <v>2132</v>
      </c>
      <c r="D552">
        <v>5926</v>
      </c>
      <c r="E552">
        <v>1.473282116</v>
      </c>
      <c r="F552">
        <v>4022.3117739999998</v>
      </c>
      <c r="G552">
        <v>1</v>
      </c>
      <c r="H552">
        <v>2010</v>
      </c>
      <c r="I552">
        <v>34.300341299999999</v>
      </c>
      <c r="J552">
        <v>0.96699999999999997</v>
      </c>
      <c r="K552">
        <f t="shared" si="8"/>
        <v>5</v>
      </c>
      <c r="N552">
        <v>4.5</v>
      </c>
      <c r="O552">
        <v>5</v>
      </c>
    </row>
    <row r="553" spans="1:15" x14ac:dyDescent="0.2">
      <c r="A553" t="s">
        <v>2133</v>
      </c>
      <c r="B553">
        <v>9009142603</v>
      </c>
      <c r="C553" t="s">
        <v>2134</v>
      </c>
      <c r="D553">
        <v>3960</v>
      </c>
      <c r="E553">
        <v>0.36950132600000002</v>
      </c>
      <c r="F553">
        <v>10717.146930000001</v>
      </c>
      <c r="G553">
        <v>1</v>
      </c>
      <c r="H553">
        <v>902</v>
      </c>
      <c r="I553">
        <v>21.978557500000001</v>
      </c>
      <c r="J553">
        <v>0.83799999999999997</v>
      </c>
      <c r="K553">
        <f t="shared" si="8"/>
        <v>5</v>
      </c>
      <c r="N553">
        <v>5</v>
      </c>
      <c r="O553">
        <v>5</v>
      </c>
    </row>
    <row r="554" spans="1:15" x14ac:dyDescent="0.2">
      <c r="A554" t="s">
        <v>2135</v>
      </c>
      <c r="B554">
        <v>9009142604</v>
      </c>
      <c r="C554" t="s">
        <v>2136</v>
      </c>
      <c r="D554">
        <v>2914</v>
      </c>
      <c r="E554">
        <v>0.58107566499999996</v>
      </c>
      <c r="F554">
        <v>5014.8374379999996</v>
      </c>
      <c r="G554">
        <v>1</v>
      </c>
      <c r="H554">
        <v>478</v>
      </c>
      <c r="I554">
        <v>18.24427481</v>
      </c>
      <c r="J554">
        <v>0.753</v>
      </c>
      <c r="K554">
        <f t="shared" si="8"/>
        <v>4</v>
      </c>
      <c r="N554">
        <v>4</v>
      </c>
      <c r="O554">
        <v>4</v>
      </c>
    </row>
    <row r="555" spans="1:15" x14ac:dyDescent="0.2">
      <c r="A555" t="s">
        <v>2137</v>
      </c>
      <c r="B555">
        <v>9009142700</v>
      </c>
      <c r="C555" t="s">
        <v>2138</v>
      </c>
      <c r="D555">
        <v>6654</v>
      </c>
      <c r="E555">
        <v>1.2282381229999999</v>
      </c>
      <c r="F555">
        <v>5417.5162579999997</v>
      </c>
      <c r="G555">
        <v>1</v>
      </c>
      <c r="H555">
        <v>3104</v>
      </c>
      <c r="I555">
        <v>42.543859650000002</v>
      </c>
      <c r="J555">
        <v>0.99199999999999999</v>
      </c>
      <c r="K555">
        <f t="shared" si="8"/>
        <v>5</v>
      </c>
      <c r="N555">
        <v>4.5</v>
      </c>
      <c r="O555">
        <v>5</v>
      </c>
    </row>
    <row r="556" spans="1:15" x14ac:dyDescent="0.2">
      <c r="A556" t="s">
        <v>2139</v>
      </c>
      <c r="B556">
        <v>9009142800</v>
      </c>
      <c r="C556" t="s">
        <v>2140</v>
      </c>
      <c r="D556">
        <v>4841</v>
      </c>
      <c r="E556">
        <v>1.5338835550000001</v>
      </c>
      <c r="F556">
        <v>3156.0413990000002</v>
      </c>
      <c r="G556">
        <v>1</v>
      </c>
      <c r="H556">
        <v>511</v>
      </c>
      <c r="I556">
        <v>12.50917993</v>
      </c>
      <c r="J556">
        <v>0.59199999999999997</v>
      </c>
      <c r="K556">
        <f t="shared" si="8"/>
        <v>3</v>
      </c>
      <c r="N556">
        <v>3.5</v>
      </c>
      <c r="O556">
        <v>4</v>
      </c>
    </row>
    <row r="557" spans="1:15" x14ac:dyDescent="0.2">
      <c r="A557" t="s">
        <v>2141</v>
      </c>
      <c r="B557">
        <v>9009150100</v>
      </c>
      <c r="C557" t="s">
        <v>2142</v>
      </c>
      <c r="D557">
        <v>4123</v>
      </c>
      <c r="E557">
        <v>1.2127951939999999</v>
      </c>
      <c r="F557">
        <v>3399.584711</v>
      </c>
      <c r="G557">
        <v>1</v>
      </c>
      <c r="H557">
        <v>450</v>
      </c>
      <c r="I557">
        <v>9.3926111460000001</v>
      </c>
      <c r="J557">
        <v>0.43099999999999999</v>
      </c>
      <c r="K557">
        <f t="shared" si="8"/>
        <v>3</v>
      </c>
      <c r="N557">
        <v>2.5</v>
      </c>
      <c r="O557">
        <v>3</v>
      </c>
    </row>
    <row r="558" spans="1:15" x14ac:dyDescent="0.2">
      <c r="A558" t="s">
        <v>2143</v>
      </c>
      <c r="B558">
        <v>9009150200</v>
      </c>
      <c r="C558" t="s">
        <v>2144</v>
      </c>
      <c r="D558">
        <v>3622</v>
      </c>
      <c r="E558">
        <v>1.0286205960000001</v>
      </c>
      <c r="F558">
        <v>3521.2205690000001</v>
      </c>
      <c r="G558">
        <v>1</v>
      </c>
      <c r="H558">
        <v>633</v>
      </c>
      <c r="I558">
        <v>19.095022620000002</v>
      </c>
      <c r="J558">
        <v>0.78300000000000003</v>
      </c>
      <c r="K558">
        <f t="shared" si="8"/>
        <v>4</v>
      </c>
      <c r="N558">
        <v>3.5</v>
      </c>
      <c r="O558">
        <v>4</v>
      </c>
    </row>
    <row r="559" spans="1:15" x14ac:dyDescent="0.2">
      <c r="A559" t="s">
        <v>2145</v>
      </c>
      <c r="B559">
        <v>9009150300</v>
      </c>
      <c r="C559" t="s">
        <v>2146</v>
      </c>
      <c r="D559">
        <v>3953</v>
      </c>
      <c r="E559">
        <v>1.1303090979999999</v>
      </c>
      <c r="F559">
        <v>3497.273451</v>
      </c>
      <c r="G559">
        <v>1</v>
      </c>
      <c r="H559">
        <v>363</v>
      </c>
      <c r="I559">
        <v>9.22021844</v>
      </c>
      <c r="J559">
        <v>0.42299999999999999</v>
      </c>
      <c r="K559">
        <f t="shared" si="8"/>
        <v>3</v>
      </c>
      <c r="N559">
        <v>2.5</v>
      </c>
      <c r="O559">
        <v>3</v>
      </c>
    </row>
    <row r="560" spans="1:15" x14ac:dyDescent="0.2">
      <c r="A560" t="s">
        <v>2147</v>
      </c>
      <c r="B560">
        <v>9009150400</v>
      </c>
      <c r="C560" t="s">
        <v>2148</v>
      </c>
      <c r="D560">
        <v>4284</v>
      </c>
      <c r="E560">
        <v>0.63277165800000001</v>
      </c>
      <c r="F560">
        <v>6770.2147340000001</v>
      </c>
      <c r="G560">
        <v>1</v>
      </c>
      <c r="H560">
        <v>578</v>
      </c>
      <c r="I560">
        <v>14.15279138</v>
      </c>
      <c r="J560">
        <v>0.63500000000000001</v>
      </c>
      <c r="K560">
        <f t="shared" si="8"/>
        <v>4</v>
      </c>
      <c r="N560">
        <v>4</v>
      </c>
      <c r="O560">
        <v>4</v>
      </c>
    </row>
    <row r="561" spans="1:15" x14ac:dyDescent="0.2">
      <c r="A561" t="s">
        <v>2149</v>
      </c>
      <c r="B561">
        <v>9009150500</v>
      </c>
      <c r="C561" t="s">
        <v>2150</v>
      </c>
      <c r="D561">
        <v>4308</v>
      </c>
      <c r="E561">
        <v>1.6505145969999999</v>
      </c>
      <c r="F561">
        <v>2610.0950619999999</v>
      </c>
      <c r="G561">
        <v>1</v>
      </c>
      <c r="H561">
        <v>349</v>
      </c>
      <c r="I561">
        <v>7.7315019940000003</v>
      </c>
      <c r="J561">
        <v>0.32</v>
      </c>
      <c r="K561">
        <f t="shared" si="8"/>
        <v>2</v>
      </c>
      <c r="N561">
        <v>2.5</v>
      </c>
      <c r="O561">
        <v>3</v>
      </c>
    </row>
    <row r="562" spans="1:15" x14ac:dyDescent="0.2">
      <c r="A562" t="s">
        <v>2151</v>
      </c>
      <c r="B562">
        <v>9009150600</v>
      </c>
      <c r="C562" t="s">
        <v>2152</v>
      </c>
      <c r="D562">
        <v>6407</v>
      </c>
      <c r="E562">
        <v>3.9162826239999999</v>
      </c>
      <c r="F562">
        <v>1635.990202</v>
      </c>
      <c r="G562">
        <v>1</v>
      </c>
      <c r="H562">
        <v>880</v>
      </c>
      <c r="I562">
        <v>12.340485210000001</v>
      </c>
      <c r="J562">
        <v>0.57899999999999996</v>
      </c>
      <c r="K562">
        <f t="shared" si="8"/>
        <v>3</v>
      </c>
      <c r="N562">
        <v>2.5</v>
      </c>
      <c r="O562">
        <v>3</v>
      </c>
    </row>
    <row r="563" spans="1:15" x14ac:dyDescent="0.2">
      <c r="A563" t="s">
        <v>2153</v>
      </c>
      <c r="B563">
        <v>9009150700</v>
      </c>
      <c r="C563" t="s">
        <v>2154</v>
      </c>
      <c r="D563">
        <v>4361</v>
      </c>
      <c r="E563">
        <v>4.4284301700000004</v>
      </c>
      <c r="F563">
        <v>984.77334680000001</v>
      </c>
      <c r="G563">
        <v>1</v>
      </c>
      <c r="H563">
        <v>429</v>
      </c>
      <c r="I563">
        <v>9.4827586210000003</v>
      </c>
      <c r="J563">
        <v>0.437</v>
      </c>
      <c r="K563">
        <f t="shared" si="8"/>
        <v>3</v>
      </c>
      <c r="N563">
        <v>2</v>
      </c>
      <c r="O563">
        <v>2</v>
      </c>
    </row>
    <row r="564" spans="1:15" x14ac:dyDescent="0.2">
      <c r="A564" t="s">
        <v>2155</v>
      </c>
      <c r="B564">
        <v>9009150800</v>
      </c>
      <c r="C564" t="s">
        <v>2156</v>
      </c>
      <c r="D564">
        <v>3950</v>
      </c>
      <c r="E564">
        <v>2.1166766020000001</v>
      </c>
      <c r="F564">
        <v>1866.132973</v>
      </c>
      <c r="G564">
        <v>1</v>
      </c>
      <c r="H564">
        <v>692</v>
      </c>
      <c r="I564">
        <v>17.514553280000001</v>
      </c>
      <c r="J564">
        <v>0.73199999999999998</v>
      </c>
      <c r="K564">
        <f t="shared" si="8"/>
        <v>4</v>
      </c>
      <c r="N564">
        <v>3</v>
      </c>
      <c r="O564">
        <v>3</v>
      </c>
    </row>
    <row r="565" spans="1:15" x14ac:dyDescent="0.2">
      <c r="A565" t="s">
        <v>2157</v>
      </c>
      <c r="B565">
        <v>9009150900</v>
      </c>
      <c r="C565" t="s">
        <v>2158</v>
      </c>
      <c r="D565">
        <v>3958</v>
      </c>
      <c r="E565">
        <v>1.7314840840000001</v>
      </c>
      <c r="F565">
        <v>2285.9003069999999</v>
      </c>
      <c r="G565">
        <v>1</v>
      </c>
      <c r="H565">
        <v>131</v>
      </c>
      <c r="I565">
        <v>3.4592025350000002</v>
      </c>
      <c r="J565">
        <v>8.4000000000000005E-2</v>
      </c>
      <c r="K565">
        <f t="shared" si="8"/>
        <v>1</v>
      </c>
      <c r="N565">
        <v>1</v>
      </c>
      <c r="O565">
        <v>1</v>
      </c>
    </row>
    <row r="566" spans="1:15" x14ac:dyDescent="0.2">
      <c r="A566" t="s">
        <v>2159</v>
      </c>
      <c r="B566">
        <v>9009151000</v>
      </c>
      <c r="C566" t="s">
        <v>2160</v>
      </c>
      <c r="D566">
        <v>4126</v>
      </c>
      <c r="E566">
        <v>0.79923922400000003</v>
      </c>
      <c r="F566">
        <v>5162.4092950000004</v>
      </c>
      <c r="G566">
        <v>1</v>
      </c>
      <c r="H566">
        <v>434</v>
      </c>
      <c r="I566">
        <v>10.43771044</v>
      </c>
      <c r="J566">
        <v>0.48</v>
      </c>
      <c r="K566">
        <f t="shared" si="8"/>
        <v>3</v>
      </c>
      <c r="N566">
        <v>2.5</v>
      </c>
      <c r="O566">
        <v>3</v>
      </c>
    </row>
    <row r="567" spans="1:15" x14ac:dyDescent="0.2">
      <c r="A567" t="s">
        <v>2161</v>
      </c>
      <c r="B567">
        <v>9009151100</v>
      </c>
      <c r="C567" t="s">
        <v>2162</v>
      </c>
      <c r="D567">
        <v>6579</v>
      </c>
      <c r="E567">
        <v>2.2009453329999999</v>
      </c>
      <c r="F567">
        <v>2989.1701090000001</v>
      </c>
      <c r="G567">
        <v>1</v>
      </c>
      <c r="H567">
        <v>792</v>
      </c>
      <c r="I567">
        <v>11.53678077</v>
      </c>
      <c r="J567">
        <v>0.54</v>
      </c>
      <c r="K567">
        <f t="shared" si="8"/>
        <v>3</v>
      </c>
      <c r="N567">
        <v>2.5</v>
      </c>
      <c r="O567">
        <v>3</v>
      </c>
    </row>
    <row r="568" spans="1:15" x14ac:dyDescent="0.2">
      <c r="A568" t="s">
        <v>2163</v>
      </c>
      <c r="B568">
        <v>9009151200</v>
      </c>
      <c r="C568" t="s">
        <v>2164</v>
      </c>
      <c r="D568">
        <v>3088</v>
      </c>
      <c r="E568">
        <v>1.327340899</v>
      </c>
      <c r="F568">
        <v>2326.4558510000002</v>
      </c>
      <c r="G568">
        <v>1</v>
      </c>
      <c r="H568">
        <v>235</v>
      </c>
      <c r="I568">
        <v>7.1843472940000002</v>
      </c>
      <c r="J568">
        <v>0.29399999999999998</v>
      </c>
      <c r="K568">
        <f t="shared" si="8"/>
        <v>2</v>
      </c>
      <c r="N568">
        <v>2.5</v>
      </c>
      <c r="O568">
        <v>3</v>
      </c>
    </row>
    <row r="569" spans="1:15" x14ac:dyDescent="0.2">
      <c r="A569" t="s">
        <v>2165</v>
      </c>
      <c r="B569">
        <v>9009154100</v>
      </c>
      <c r="C569" t="s">
        <v>2166</v>
      </c>
      <c r="D569">
        <v>8070</v>
      </c>
      <c r="E569">
        <v>2.4697373119999999</v>
      </c>
      <c r="F569">
        <v>3267.5539869999998</v>
      </c>
      <c r="G569">
        <v>1</v>
      </c>
      <c r="H569">
        <v>1456</v>
      </c>
      <c r="I569">
        <v>17.999752749999999</v>
      </c>
      <c r="J569">
        <v>0.73899999999999999</v>
      </c>
      <c r="K569">
        <f t="shared" si="8"/>
        <v>4</v>
      </c>
      <c r="N569">
        <v>4</v>
      </c>
      <c r="O569">
        <v>4</v>
      </c>
    </row>
    <row r="570" spans="1:15" x14ac:dyDescent="0.2">
      <c r="A570" t="s">
        <v>2167</v>
      </c>
      <c r="B570">
        <v>9009154200</v>
      </c>
      <c r="C570" t="s">
        <v>2168</v>
      </c>
      <c r="D570">
        <v>7176</v>
      </c>
      <c r="E570">
        <v>1.184925953</v>
      </c>
      <c r="F570">
        <v>6056.0746259999996</v>
      </c>
      <c r="G570">
        <v>1</v>
      </c>
      <c r="H570">
        <v>1030</v>
      </c>
      <c r="I570">
        <v>16.061125839999999</v>
      </c>
      <c r="J570">
        <v>0.68300000000000005</v>
      </c>
      <c r="K570">
        <f t="shared" si="8"/>
        <v>4</v>
      </c>
      <c r="N570">
        <v>4</v>
      </c>
      <c r="O570">
        <v>4</v>
      </c>
    </row>
    <row r="571" spans="1:15" x14ac:dyDescent="0.2">
      <c r="A571" t="s">
        <v>2169</v>
      </c>
      <c r="B571">
        <v>9009154500</v>
      </c>
      <c r="C571" t="s">
        <v>2170</v>
      </c>
      <c r="D571">
        <v>4813</v>
      </c>
      <c r="E571">
        <v>0.52658429299999998</v>
      </c>
      <c r="F571">
        <v>9140.0371479999994</v>
      </c>
      <c r="G571">
        <v>1</v>
      </c>
      <c r="H571">
        <v>743</v>
      </c>
      <c r="I571">
        <v>17.299185099999999</v>
      </c>
      <c r="J571">
        <v>0.71699999999999997</v>
      </c>
      <c r="K571">
        <f t="shared" si="8"/>
        <v>4</v>
      </c>
      <c r="N571">
        <v>4.5</v>
      </c>
      <c r="O571">
        <v>5</v>
      </c>
    </row>
    <row r="572" spans="1:15" x14ac:dyDescent="0.2">
      <c r="A572" t="s">
        <v>2171</v>
      </c>
      <c r="B572">
        <v>9009154600</v>
      </c>
      <c r="C572" t="s">
        <v>2172</v>
      </c>
      <c r="D572">
        <v>4029</v>
      </c>
      <c r="E572">
        <v>0.86725034999999995</v>
      </c>
      <c r="F572">
        <v>4645.7173519999997</v>
      </c>
      <c r="G572">
        <v>1</v>
      </c>
      <c r="H572">
        <v>1190</v>
      </c>
      <c r="I572">
        <v>25.607919089999999</v>
      </c>
      <c r="J572">
        <v>0.874</v>
      </c>
      <c r="K572">
        <f t="shared" si="8"/>
        <v>5</v>
      </c>
      <c r="N572">
        <v>5</v>
      </c>
      <c r="O572">
        <v>5</v>
      </c>
    </row>
    <row r="573" spans="1:15" x14ac:dyDescent="0.2">
      <c r="A573" t="s">
        <v>2173</v>
      </c>
      <c r="B573">
        <v>9009154700</v>
      </c>
      <c r="C573" t="s">
        <v>2174</v>
      </c>
      <c r="D573">
        <v>6384</v>
      </c>
      <c r="E573">
        <v>1.962751565</v>
      </c>
      <c r="F573">
        <v>3252.5766960000001</v>
      </c>
      <c r="G573">
        <v>1</v>
      </c>
      <c r="H573">
        <v>754</v>
      </c>
      <c r="I573">
        <v>11.316223920000001</v>
      </c>
      <c r="J573">
        <v>0.53300000000000003</v>
      </c>
      <c r="K573">
        <f t="shared" si="8"/>
        <v>3</v>
      </c>
      <c r="N573">
        <v>3</v>
      </c>
      <c r="O573">
        <v>3</v>
      </c>
    </row>
    <row r="574" spans="1:15" x14ac:dyDescent="0.2">
      <c r="A574" t="s">
        <v>2175</v>
      </c>
      <c r="B574">
        <v>9009154800</v>
      </c>
      <c r="C574" t="s">
        <v>2176</v>
      </c>
      <c r="D574">
        <v>5135</v>
      </c>
      <c r="E574">
        <v>0.75609269199999996</v>
      </c>
      <c r="F574">
        <v>6791.4953450000003</v>
      </c>
      <c r="G574">
        <v>1</v>
      </c>
      <c r="H574">
        <v>278</v>
      </c>
      <c r="I574">
        <v>5.5500099819999997</v>
      </c>
      <c r="J574">
        <v>0.20599999999999999</v>
      </c>
      <c r="K574">
        <f t="shared" si="8"/>
        <v>2</v>
      </c>
      <c r="N574">
        <v>2.5</v>
      </c>
      <c r="O574">
        <v>3</v>
      </c>
    </row>
    <row r="575" spans="1:15" x14ac:dyDescent="0.2">
      <c r="A575" t="s">
        <v>2177</v>
      </c>
      <c r="B575">
        <v>9009154900</v>
      </c>
      <c r="C575" t="s">
        <v>2178</v>
      </c>
      <c r="D575">
        <v>3670</v>
      </c>
      <c r="E575">
        <v>0.71461566600000004</v>
      </c>
      <c r="F575">
        <v>5135.6276859999998</v>
      </c>
      <c r="G575">
        <v>1</v>
      </c>
      <c r="H575">
        <v>271</v>
      </c>
      <c r="I575">
        <v>7.0207253889999999</v>
      </c>
      <c r="J575">
        <v>0.28599999999999998</v>
      </c>
      <c r="K575">
        <f t="shared" si="8"/>
        <v>2</v>
      </c>
      <c r="N575">
        <v>3</v>
      </c>
      <c r="O575">
        <v>3</v>
      </c>
    </row>
    <row r="576" spans="1:15" x14ac:dyDescent="0.2">
      <c r="A576" t="s">
        <v>2179</v>
      </c>
      <c r="B576">
        <v>9009155000</v>
      </c>
      <c r="C576" t="s">
        <v>2180</v>
      </c>
      <c r="D576">
        <v>5290</v>
      </c>
      <c r="E576">
        <v>0.60375955400000003</v>
      </c>
      <c r="F576">
        <v>8761.7661110000008</v>
      </c>
      <c r="G576">
        <v>1</v>
      </c>
      <c r="H576">
        <v>1668</v>
      </c>
      <c r="I576">
        <v>32.419825070000002</v>
      </c>
      <c r="J576">
        <v>0.95199999999999996</v>
      </c>
      <c r="K576">
        <f t="shared" si="8"/>
        <v>5</v>
      </c>
      <c r="N576">
        <v>4.5</v>
      </c>
      <c r="O576">
        <v>5</v>
      </c>
    </row>
    <row r="577" spans="1:15" x14ac:dyDescent="0.2">
      <c r="A577" t="s">
        <v>2181</v>
      </c>
      <c r="B577">
        <v>9009155100</v>
      </c>
      <c r="C577" t="s">
        <v>2182</v>
      </c>
      <c r="D577">
        <v>3390</v>
      </c>
      <c r="E577">
        <v>0.48756519300000001</v>
      </c>
      <c r="F577">
        <v>6952.9163410000001</v>
      </c>
      <c r="G577">
        <v>1</v>
      </c>
      <c r="H577">
        <v>608</v>
      </c>
      <c r="I577">
        <v>20.20604852</v>
      </c>
      <c r="J577">
        <v>0.79900000000000004</v>
      </c>
      <c r="K577">
        <f t="shared" si="8"/>
        <v>4</v>
      </c>
      <c r="N577">
        <v>4.5</v>
      </c>
      <c r="O577">
        <v>5</v>
      </c>
    </row>
    <row r="578" spans="1:15" x14ac:dyDescent="0.2">
      <c r="A578" t="s">
        <v>2183</v>
      </c>
      <c r="B578">
        <v>9009157100</v>
      </c>
      <c r="C578" t="s">
        <v>2184</v>
      </c>
      <c r="D578">
        <v>2603</v>
      </c>
      <c r="E578">
        <v>3.606949916</v>
      </c>
      <c r="F578">
        <v>721.66236300000003</v>
      </c>
      <c r="G578">
        <v>1</v>
      </c>
      <c r="H578">
        <v>722</v>
      </c>
      <c r="I578">
        <v>29.112903230000001</v>
      </c>
      <c r="J578">
        <v>0.91900000000000004</v>
      </c>
      <c r="K578">
        <f t="shared" si="8"/>
        <v>5</v>
      </c>
      <c r="N578">
        <v>4</v>
      </c>
      <c r="O578">
        <v>4</v>
      </c>
    </row>
    <row r="579" spans="1:15" x14ac:dyDescent="0.2">
      <c r="A579" t="s">
        <v>2185</v>
      </c>
      <c r="B579">
        <v>9009157200</v>
      </c>
      <c r="C579" t="s">
        <v>2186</v>
      </c>
      <c r="D579">
        <v>3837</v>
      </c>
      <c r="E579">
        <v>3.5861281979999999</v>
      </c>
      <c r="F579">
        <v>1069.9561719999999</v>
      </c>
      <c r="G579">
        <v>1</v>
      </c>
      <c r="H579">
        <v>337</v>
      </c>
      <c r="I579">
        <v>8.5947462380000008</v>
      </c>
      <c r="J579">
        <v>0.39200000000000002</v>
      </c>
      <c r="K579">
        <f t="shared" ref="K579:K642" si="9">IF(J579&lt;0.2,1,IF(J579&lt;0.4,2,IF(J579&lt;0.6,3,IF(J579&lt;0.8,4,5))))</f>
        <v>2</v>
      </c>
      <c r="N579">
        <v>1.5</v>
      </c>
      <c r="O579">
        <v>2</v>
      </c>
    </row>
    <row r="580" spans="1:15" x14ac:dyDescent="0.2">
      <c r="A580" t="s">
        <v>2187</v>
      </c>
      <c r="B580">
        <v>9009157300</v>
      </c>
      <c r="C580" t="s">
        <v>2188</v>
      </c>
      <c r="D580">
        <v>3310</v>
      </c>
      <c r="E580">
        <v>4.4937787360000003</v>
      </c>
      <c r="F580">
        <v>736.57387129999995</v>
      </c>
      <c r="G580">
        <v>1</v>
      </c>
      <c r="H580">
        <v>353</v>
      </c>
      <c r="I580">
        <v>10.502826539999999</v>
      </c>
      <c r="J580">
        <v>0.495</v>
      </c>
      <c r="K580">
        <f t="shared" si="9"/>
        <v>3</v>
      </c>
      <c r="N580">
        <v>2</v>
      </c>
      <c r="O580">
        <v>2</v>
      </c>
    </row>
    <row r="581" spans="1:15" x14ac:dyDescent="0.2">
      <c r="A581" t="s">
        <v>2189</v>
      </c>
      <c r="B581">
        <v>9009157400</v>
      </c>
      <c r="C581" t="s">
        <v>2190</v>
      </c>
      <c r="D581">
        <v>4206</v>
      </c>
      <c r="E581">
        <v>5.4941992009999998</v>
      </c>
      <c r="F581">
        <v>765.53467509999996</v>
      </c>
      <c r="G581">
        <v>1</v>
      </c>
      <c r="H581">
        <v>376</v>
      </c>
      <c r="I581">
        <v>9.0124640459999998</v>
      </c>
      <c r="J581">
        <v>0.42</v>
      </c>
      <c r="K581">
        <f t="shared" si="9"/>
        <v>3</v>
      </c>
      <c r="N581">
        <v>2</v>
      </c>
      <c r="O581">
        <v>2</v>
      </c>
    </row>
    <row r="582" spans="1:15" x14ac:dyDescent="0.2">
      <c r="A582" t="s">
        <v>2191</v>
      </c>
      <c r="B582">
        <v>9009160100</v>
      </c>
      <c r="C582" t="s">
        <v>2192</v>
      </c>
      <c r="D582">
        <v>3443</v>
      </c>
      <c r="E582">
        <v>6.728513414</v>
      </c>
      <c r="F582">
        <v>511.7029258</v>
      </c>
      <c r="G582">
        <v>1</v>
      </c>
      <c r="H582">
        <v>791</v>
      </c>
      <c r="I582">
        <v>24.32349323</v>
      </c>
      <c r="J582">
        <v>0.85599999999999998</v>
      </c>
      <c r="K582">
        <f t="shared" si="9"/>
        <v>5</v>
      </c>
      <c r="N582">
        <v>3</v>
      </c>
      <c r="O582">
        <v>3</v>
      </c>
    </row>
    <row r="583" spans="1:15" x14ac:dyDescent="0.2">
      <c r="A583" t="s">
        <v>2193</v>
      </c>
      <c r="B583">
        <v>9009160200</v>
      </c>
      <c r="C583" t="s">
        <v>2194</v>
      </c>
      <c r="D583">
        <v>5547</v>
      </c>
      <c r="E583">
        <v>12.08328069</v>
      </c>
      <c r="F583">
        <v>459.06406879999997</v>
      </c>
      <c r="G583">
        <v>1</v>
      </c>
      <c r="H583">
        <v>970</v>
      </c>
      <c r="I583">
        <v>17.399103140000001</v>
      </c>
      <c r="J583">
        <v>0.73199999999999998</v>
      </c>
      <c r="K583">
        <f t="shared" si="9"/>
        <v>4</v>
      </c>
      <c r="N583">
        <v>2.5</v>
      </c>
      <c r="O583">
        <v>3</v>
      </c>
    </row>
    <row r="584" spans="1:15" x14ac:dyDescent="0.2">
      <c r="A584" t="s">
        <v>2195</v>
      </c>
      <c r="B584">
        <v>9009161100</v>
      </c>
      <c r="C584" t="s">
        <v>2196</v>
      </c>
      <c r="D584">
        <v>5563</v>
      </c>
      <c r="E584">
        <v>21.12921643</v>
      </c>
      <c r="F584">
        <v>263.28472799999997</v>
      </c>
      <c r="G584">
        <v>1</v>
      </c>
      <c r="H584">
        <v>868</v>
      </c>
      <c r="I584">
        <v>15.744603659999999</v>
      </c>
      <c r="J584">
        <v>0.68100000000000005</v>
      </c>
      <c r="K584">
        <f t="shared" si="9"/>
        <v>4</v>
      </c>
      <c r="N584">
        <v>2.5</v>
      </c>
      <c r="O584">
        <v>3</v>
      </c>
    </row>
    <row r="585" spans="1:15" x14ac:dyDescent="0.2">
      <c r="A585" t="s">
        <v>2197</v>
      </c>
      <c r="B585">
        <v>9009165100</v>
      </c>
      <c r="C585" t="s">
        <v>2198</v>
      </c>
      <c r="D585">
        <v>3928</v>
      </c>
      <c r="E585">
        <v>1.8282748799999999</v>
      </c>
      <c r="F585">
        <v>2148.4734290000001</v>
      </c>
      <c r="G585">
        <v>1</v>
      </c>
      <c r="H585">
        <v>1059</v>
      </c>
      <c r="I585">
        <v>25.226298239999998</v>
      </c>
      <c r="J585">
        <v>0.871</v>
      </c>
      <c r="K585">
        <f t="shared" si="9"/>
        <v>5</v>
      </c>
      <c r="N585">
        <v>4</v>
      </c>
      <c r="O585">
        <v>4</v>
      </c>
    </row>
    <row r="586" spans="1:15" x14ac:dyDescent="0.2">
      <c r="A586" t="s">
        <v>2199</v>
      </c>
      <c r="B586">
        <v>9009165200</v>
      </c>
      <c r="C586" t="s">
        <v>2200</v>
      </c>
      <c r="D586">
        <v>2485</v>
      </c>
      <c r="E586">
        <v>1.3692260350000001</v>
      </c>
      <c r="F586">
        <v>1814.893916</v>
      </c>
      <c r="G586">
        <v>1</v>
      </c>
      <c r="H586">
        <v>244</v>
      </c>
      <c r="I586">
        <v>10.0370218</v>
      </c>
      <c r="J586">
        <v>0.47899999999999998</v>
      </c>
      <c r="K586">
        <f t="shared" si="9"/>
        <v>3</v>
      </c>
      <c r="N586">
        <v>2.5</v>
      </c>
      <c r="O586">
        <v>3</v>
      </c>
    </row>
    <row r="587" spans="1:15" x14ac:dyDescent="0.2">
      <c r="A587" t="s">
        <v>2201</v>
      </c>
      <c r="B587">
        <v>9009165300</v>
      </c>
      <c r="C587" t="s">
        <v>2202</v>
      </c>
      <c r="D587">
        <v>2289</v>
      </c>
      <c r="E587">
        <v>0.61575227399999999</v>
      </c>
      <c r="F587">
        <v>3717.4040559999999</v>
      </c>
      <c r="G587">
        <v>1</v>
      </c>
      <c r="H587">
        <v>184</v>
      </c>
      <c r="I587">
        <v>8.3826879269999992</v>
      </c>
      <c r="J587">
        <v>0.38900000000000001</v>
      </c>
      <c r="K587">
        <f t="shared" si="9"/>
        <v>2</v>
      </c>
      <c r="N587">
        <v>2</v>
      </c>
      <c r="O587">
        <v>2</v>
      </c>
    </row>
    <row r="588" spans="1:15" x14ac:dyDescent="0.2">
      <c r="A588" t="s">
        <v>2203</v>
      </c>
      <c r="B588">
        <v>9009165400</v>
      </c>
      <c r="C588" t="s">
        <v>2204</v>
      </c>
      <c r="D588">
        <v>5112</v>
      </c>
      <c r="E588">
        <v>1.1067116910000001</v>
      </c>
      <c r="F588">
        <v>4619.0891810000003</v>
      </c>
      <c r="G588">
        <v>1</v>
      </c>
      <c r="H588">
        <v>555</v>
      </c>
      <c r="I588">
        <v>11.721224919999999</v>
      </c>
      <c r="J588">
        <v>0.55800000000000005</v>
      </c>
      <c r="K588">
        <f t="shared" si="9"/>
        <v>3</v>
      </c>
      <c r="N588">
        <v>3</v>
      </c>
      <c r="O588">
        <v>3</v>
      </c>
    </row>
    <row r="589" spans="1:15" x14ac:dyDescent="0.2">
      <c r="A589" t="s">
        <v>2205</v>
      </c>
      <c r="B589">
        <v>9009165500</v>
      </c>
      <c r="C589" t="s">
        <v>2206</v>
      </c>
      <c r="D589">
        <v>4959</v>
      </c>
      <c r="E589">
        <v>0.60177035599999995</v>
      </c>
      <c r="F589">
        <v>8240.6850940000004</v>
      </c>
      <c r="G589">
        <v>1</v>
      </c>
      <c r="H589">
        <v>777</v>
      </c>
      <c r="I589">
        <v>16.416649060000001</v>
      </c>
      <c r="J589">
        <v>0.7</v>
      </c>
      <c r="K589">
        <f t="shared" si="9"/>
        <v>4</v>
      </c>
      <c r="N589">
        <v>4.5</v>
      </c>
      <c r="O589">
        <v>5</v>
      </c>
    </row>
    <row r="590" spans="1:15" x14ac:dyDescent="0.2">
      <c r="A590" t="s">
        <v>2207</v>
      </c>
      <c r="B590">
        <v>9009165600</v>
      </c>
      <c r="C590" t="s">
        <v>2208</v>
      </c>
      <c r="D590">
        <v>5569</v>
      </c>
      <c r="E590">
        <v>0.90630767400000001</v>
      </c>
      <c r="F590">
        <v>6144.7123970000002</v>
      </c>
      <c r="G590">
        <v>1</v>
      </c>
      <c r="H590">
        <v>1177</v>
      </c>
      <c r="I590">
        <v>21.330192100000001</v>
      </c>
      <c r="J590">
        <v>0.81699999999999995</v>
      </c>
      <c r="K590">
        <f t="shared" si="9"/>
        <v>5</v>
      </c>
      <c r="N590">
        <v>4.5</v>
      </c>
      <c r="O590">
        <v>5</v>
      </c>
    </row>
    <row r="591" spans="1:15" x14ac:dyDescent="0.2">
      <c r="A591" t="s">
        <v>2209</v>
      </c>
      <c r="B591">
        <v>9009165700</v>
      </c>
      <c r="C591" t="s">
        <v>2210</v>
      </c>
      <c r="D591">
        <v>4588</v>
      </c>
      <c r="E591">
        <v>1.0416256749999999</v>
      </c>
      <c r="F591">
        <v>4404.6533300000001</v>
      </c>
      <c r="G591">
        <v>1</v>
      </c>
      <c r="H591">
        <v>948</v>
      </c>
      <c r="I591">
        <v>19.672131149999998</v>
      </c>
      <c r="J591">
        <v>0.79500000000000004</v>
      </c>
      <c r="K591">
        <f t="shared" si="9"/>
        <v>4</v>
      </c>
      <c r="N591">
        <v>3.5</v>
      </c>
      <c r="O591">
        <v>4</v>
      </c>
    </row>
    <row r="592" spans="1:15" x14ac:dyDescent="0.2">
      <c r="A592" t="s">
        <v>2211</v>
      </c>
      <c r="B592">
        <v>9009165801</v>
      </c>
      <c r="C592" t="s">
        <v>2212</v>
      </c>
      <c r="D592">
        <v>5434</v>
      </c>
      <c r="E592">
        <v>1.5055957790000001</v>
      </c>
      <c r="F592">
        <v>3609.202468</v>
      </c>
      <c r="G592">
        <v>1</v>
      </c>
      <c r="H592">
        <v>1140</v>
      </c>
      <c r="I592">
        <v>19.377868429999999</v>
      </c>
      <c r="J592">
        <v>0.79</v>
      </c>
      <c r="K592">
        <f t="shared" si="9"/>
        <v>4</v>
      </c>
      <c r="N592">
        <v>4</v>
      </c>
      <c r="O592">
        <v>4</v>
      </c>
    </row>
    <row r="593" spans="1:15" x14ac:dyDescent="0.2">
      <c r="A593" t="s">
        <v>2213</v>
      </c>
      <c r="B593">
        <v>9009165802</v>
      </c>
      <c r="C593" t="s">
        <v>2214</v>
      </c>
      <c r="D593">
        <v>4086</v>
      </c>
      <c r="E593">
        <v>4.9728620360000004</v>
      </c>
      <c r="F593">
        <v>821.65963380000005</v>
      </c>
      <c r="G593">
        <v>1</v>
      </c>
      <c r="H593">
        <v>489</v>
      </c>
      <c r="I593">
        <v>11.42523364</v>
      </c>
      <c r="J593">
        <v>0.55700000000000005</v>
      </c>
      <c r="K593">
        <f t="shared" si="9"/>
        <v>3</v>
      </c>
      <c r="N593">
        <v>2.5</v>
      </c>
      <c r="O593">
        <v>3</v>
      </c>
    </row>
    <row r="594" spans="1:15" x14ac:dyDescent="0.2">
      <c r="A594" t="s">
        <v>2215</v>
      </c>
      <c r="B594">
        <v>9009165900</v>
      </c>
      <c r="C594" t="s">
        <v>2216</v>
      </c>
      <c r="D594">
        <v>7897</v>
      </c>
      <c r="E594">
        <v>10.43590279</v>
      </c>
      <c r="F594">
        <v>756.7145994</v>
      </c>
      <c r="G594">
        <v>1</v>
      </c>
      <c r="H594">
        <v>675</v>
      </c>
      <c r="I594">
        <v>8.4788343170000005</v>
      </c>
      <c r="J594">
        <v>0.40500000000000003</v>
      </c>
      <c r="K594">
        <f t="shared" si="9"/>
        <v>3</v>
      </c>
      <c r="N594">
        <v>2.5</v>
      </c>
      <c r="O594">
        <v>3</v>
      </c>
    </row>
    <row r="595" spans="1:15" x14ac:dyDescent="0.2">
      <c r="A595" t="s">
        <v>2217</v>
      </c>
      <c r="B595">
        <v>9009166001</v>
      </c>
      <c r="C595" t="s">
        <v>2218</v>
      </c>
      <c r="D595">
        <v>6887</v>
      </c>
      <c r="E595">
        <v>1.5721235</v>
      </c>
      <c r="F595">
        <v>4380.6990990000004</v>
      </c>
      <c r="G595">
        <v>1</v>
      </c>
      <c r="H595">
        <v>1278</v>
      </c>
      <c r="I595">
        <v>18.624307779999999</v>
      </c>
      <c r="J595">
        <v>0.77400000000000002</v>
      </c>
      <c r="K595">
        <f t="shared" si="9"/>
        <v>4</v>
      </c>
      <c r="N595">
        <v>3.5</v>
      </c>
      <c r="O595">
        <v>4</v>
      </c>
    </row>
    <row r="596" spans="1:15" x14ac:dyDescent="0.2">
      <c r="A596" t="s">
        <v>2219</v>
      </c>
      <c r="B596">
        <v>9009166002</v>
      </c>
      <c r="C596" t="s">
        <v>2220</v>
      </c>
      <c r="D596">
        <v>7726</v>
      </c>
      <c r="E596">
        <v>6.6902086030000003</v>
      </c>
      <c r="F596">
        <v>1154.8219879999999</v>
      </c>
      <c r="G596">
        <v>1</v>
      </c>
      <c r="H596">
        <v>841</v>
      </c>
      <c r="I596">
        <v>11.415773039999999</v>
      </c>
      <c r="J596">
        <v>0.55600000000000005</v>
      </c>
      <c r="K596">
        <f t="shared" si="9"/>
        <v>3</v>
      </c>
      <c r="N596">
        <v>2.5</v>
      </c>
      <c r="O596">
        <v>3</v>
      </c>
    </row>
    <row r="597" spans="1:15" x14ac:dyDescent="0.2">
      <c r="A597" t="s">
        <v>2221</v>
      </c>
      <c r="B597">
        <v>9009167100</v>
      </c>
      <c r="C597" t="s">
        <v>2222</v>
      </c>
      <c r="D597">
        <v>7743</v>
      </c>
      <c r="E597">
        <v>6.359049154</v>
      </c>
      <c r="F597">
        <v>1217.6348720000001</v>
      </c>
      <c r="G597">
        <v>1</v>
      </c>
      <c r="H597">
        <v>859</v>
      </c>
      <c r="I597">
        <v>10.66285998</v>
      </c>
      <c r="J597">
        <v>0.51500000000000001</v>
      </c>
      <c r="K597">
        <f t="shared" si="9"/>
        <v>3</v>
      </c>
      <c r="N597">
        <v>2.5</v>
      </c>
      <c r="O597">
        <v>3</v>
      </c>
    </row>
    <row r="598" spans="1:15" x14ac:dyDescent="0.2">
      <c r="A598" t="s">
        <v>2223</v>
      </c>
      <c r="B598">
        <v>9009167201</v>
      </c>
      <c r="C598" t="s">
        <v>2224</v>
      </c>
      <c r="D598">
        <v>4176</v>
      </c>
      <c r="E598">
        <v>3.648926559</v>
      </c>
      <c r="F598">
        <v>1144.4461630000001</v>
      </c>
      <c r="G598">
        <v>1</v>
      </c>
      <c r="H598">
        <v>358</v>
      </c>
      <c r="I598">
        <v>8.2185491279999994</v>
      </c>
      <c r="J598">
        <v>0.39</v>
      </c>
      <c r="K598">
        <f t="shared" si="9"/>
        <v>2</v>
      </c>
      <c r="N598">
        <v>2.5</v>
      </c>
      <c r="O598">
        <v>3</v>
      </c>
    </row>
    <row r="599" spans="1:15" x14ac:dyDescent="0.2">
      <c r="A599" t="s">
        <v>2225</v>
      </c>
      <c r="B599">
        <v>9009167202</v>
      </c>
      <c r="C599" t="s">
        <v>2226</v>
      </c>
      <c r="D599">
        <v>4485</v>
      </c>
      <c r="E599">
        <v>3.8170165269999998</v>
      </c>
      <c r="F599">
        <v>1175.0014619999999</v>
      </c>
      <c r="G599">
        <v>1</v>
      </c>
      <c r="H599">
        <v>620</v>
      </c>
      <c r="I599">
        <v>13.623379480000001</v>
      </c>
      <c r="J599">
        <v>0.63800000000000001</v>
      </c>
      <c r="K599">
        <f t="shared" si="9"/>
        <v>4</v>
      </c>
      <c r="N599">
        <v>3.5</v>
      </c>
      <c r="O599">
        <v>4</v>
      </c>
    </row>
    <row r="600" spans="1:15" x14ac:dyDescent="0.2">
      <c r="A600" t="s">
        <v>2227</v>
      </c>
      <c r="B600">
        <v>9009167300</v>
      </c>
      <c r="C600" t="s">
        <v>2228</v>
      </c>
      <c r="D600">
        <v>7689</v>
      </c>
      <c r="E600">
        <v>7.0147649330000004</v>
      </c>
      <c r="F600">
        <v>1096.1165590000001</v>
      </c>
      <c r="G600">
        <v>1</v>
      </c>
      <c r="H600">
        <v>509</v>
      </c>
      <c r="I600">
        <v>7.5306998079999996</v>
      </c>
      <c r="J600">
        <v>0.34</v>
      </c>
      <c r="K600">
        <f t="shared" si="9"/>
        <v>2</v>
      </c>
      <c r="N600">
        <v>2</v>
      </c>
      <c r="O600">
        <v>2</v>
      </c>
    </row>
    <row r="601" spans="1:15" x14ac:dyDescent="0.2">
      <c r="A601" t="s">
        <v>2229</v>
      </c>
      <c r="B601">
        <v>9009170100</v>
      </c>
      <c r="C601" t="s">
        <v>2230</v>
      </c>
      <c r="D601">
        <v>2022</v>
      </c>
      <c r="E601">
        <v>0.18744179499999999</v>
      </c>
      <c r="F601">
        <v>10787.348679999999</v>
      </c>
      <c r="G601">
        <v>1</v>
      </c>
      <c r="H601">
        <v>364</v>
      </c>
      <c r="I601">
        <v>24.202127659999999</v>
      </c>
      <c r="J601">
        <v>0.84799999999999998</v>
      </c>
      <c r="K601">
        <f t="shared" si="9"/>
        <v>5</v>
      </c>
      <c r="N601">
        <v>5</v>
      </c>
      <c r="O601">
        <v>5</v>
      </c>
    </row>
    <row r="602" spans="1:15" x14ac:dyDescent="0.2">
      <c r="A602" t="s">
        <v>2231</v>
      </c>
      <c r="B602">
        <v>9009170200</v>
      </c>
      <c r="C602" t="s">
        <v>2232</v>
      </c>
      <c r="D602">
        <v>2505</v>
      </c>
      <c r="E602">
        <v>0.24175633199999999</v>
      </c>
      <c r="F602">
        <v>10361.67274</v>
      </c>
      <c r="G602">
        <v>1</v>
      </c>
      <c r="H602">
        <v>368</v>
      </c>
      <c r="I602">
        <v>33.607305940000003</v>
      </c>
      <c r="J602">
        <v>0.95499999999999996</v>
      </c>
      <c r="K602">
        <f t="shared" si="9"/>
        <v>5</v>
      </c>
      <c r="N602">
        <v>5</v>
      </c>
      <c r="O602">
        <v>5</v>
      </c>
    </row>
    <row r="603" spans="1:15" x14ac:dyDescent="0.2">
      <c r="A603" t="s">
        <v>2233</v>
      </c>
      <c r="B603">
        <v>9009170300</v>
      </c>
      <c r="C603" t="s">
        <v>2234</v>
      </c>
      <c r="D603">
        <v>2147</v>
      </c>
      <c r="E603">
        <v>0.347598136</v>
      </c>
      <c r="F603">
        <v>6176.6729459999997</v>
      </c>
      <c r="G603">
        <v>1</v>
      </c>
      <c r="H603">
        <v>333</v>
      </c>
      <c r="I603">
        <v>16.460701929999999</v>
      </c>
      <c r="J603">
        <v>0.71299999999999997</v>
      </c>
      <c r="K603">
        <f t="shared" si="9"/>
        <v>4</v>
      </c>
      <c r="N603">
        <v>4.5</v>
      </c>
      <c r="O603">
        <v>5</v>
      </c>
    </row>
    <row r="604" spans="1:15" x14ac:dyDescent="0.2">
      <c r="A604" t="s">
        <v>2235</v>
      </c>
      <c r="B604">
        <v>9009170400</v>
      </c>
      <c r="C604" t="s">
        <v>2236</v>
      </c>
      <c r="D604">
        <v>1747</v>
      </c>
      <c r="E604">
        <v>2.0933019769999999</v>
      </c>
      <c r="F604">
        <v>834.56664130000001</v>
      </c>
      <c r="G604">
        <v>1</v>
      </c>
      <c r="H604">
        <v>547</v>
      </c>
      <c r="I604">
        <v>31.93228255</v>
      </c>
      <c r="J604">
        <v>0.95</v>
      </c>
      <c r="K604">
        <f t="shared" si="9"/>
        <v>5</v>
      </c>
      <c r="N604">
        <v>5</v>
      </c>
      <c r="O604">
        <v>5</v>
      </c>
    </row>
    <row r="605" spans="1:15" x14ac:dyDescent="0.2">
      <c r="A605" t="s">
        <v>2237</v>
      </c>
      <c r="B605">
        <v>9009170500</v>
      </c>
      <c r="C605" t="s">
        <v>2238</v>
      </c>
      <c r="D605">
        <v>5781</v>
      </c>
      <c r="E605">
        <v>2.8865388570000001</v>
      </c>
      <c r="F605">
        <v>2002.744563</v>
      </c>
      <c r="G605">
        <v>1</v>
      </c>
      <c r="H605">
        <v>803</v>
      </c>
      <c r="I605">
        <v>12.49222153</v>
      </c>
      <c r="J605">
        <v>0.61</v>
      </c>
      <c r="K605">
        <f t="shared" si="9"/>
        <v>4</v>
      </c>
      <c r="N605">
        <v>3.5</v>
      </c>
      <c r="O605">
        <v>4</v>
      </c>
    </row>
    <row r="606" spans="1:15" x14ac:dyDescent="0.2">
      <c r="A606" t="s">
        <v>2239</v>
      </c>
      <c r="B606">
        <v>9009170600</v>
      </c>
      <c r="C606" t="s">
        <v>2240</v>
      </c>
      <c r="D606">
        <v>2518</v>
      </c>
      <c r="E606">
        <v>0.80742574899999997</v>
      </c>
      <c r="F606">
        <v>3118.553011</v>
      </c>
      <c r="G606">
        <v>1</v>
      </c>
      <c r="H606">
        <v>279</v>
      </c>
      <c r="I606">
        <v>10.45335332</v>
      </c>
      <c r="J606">
        <v>0.52200000000000002</v>
      </c>
      <c r="K606">
        <f t="shared" si="9"/>
        <v>3</v>
      </c>
      <c r="N606">
        <v>4</v>
      </c>
      <c r="O606">
        <v>4</v>
      </c>
    </row>
    <row r="607" spans="1:15" x14ac:dyDescent="0.2">
      <c r="A607" t="s">
        <v>2241</v>
      </c>
      <c r="B607">
        <v>9009170700</v>
      </c>
      <c r="C607" t="s">
        <v>2242</v>
      </c>
      <c r="D607">
        <v>2598</v>
      </c>
      <c r="E607">
        <v>0.35529855700000001</v>
      </c>
      <c r="F607">
        <v>7312.1602839999996</v>
      </c>
      <c r="G607">
        <v>1</v>
      </c>
      <c r="H607">
        <v>315</v>
      </c>
      <c r="I607">
        <v>13.25199832</v>
      </c>
      <c r="J607">
        <v>0.63900000000000001</v>
      </c>
      <c r="K607">
        <f t="shared" si="9"/>
        <v>4</v>
      </c>
      <c r="N607">
        <v>4</v>
      </c>
      <c r="O607">
        <v>4</v>
      </c>
    </row>
    <row r="608" spans="1:15" x14ac:dyDescent="0.2">
      <c r="A608" t="s">
        <v>2243</v>
      </c>
      <c r="B608">
        <v>9009170800</v>
      </c>
      <c r="C608" t="s">
        <v>2244</v>
      </c>
      <c r="D608">
        <v>5741</v>
      </c>
      <c r="E608">
        <v>1.31295396</v>
      </c>
      <c r="F608">
        <v>4372.5828750000001</v>
      </c>
      <c r="G608">
        <v>1</v>
      </c>
      <c r="H608">
        <v>794</v>
      </c>
      <c r="I608">
        <v>11.98852484</v>
      </c>
      <c r="J608">
        <v>0.59599999999999997</v>
      </c>
      <c r="K608">
        <f t="shared" si="9"/>
        <v>3</v>
      </c>
      <c r="N608">
        <v>4</v>
      </c>
      <c r="O608">
        <v>4</v>
      </c>
    </row>
    <row r="609" spans="1:15" x14ac:dyDescent="0.2">
      <c r="A609" t="s">
        <v>2245</v>
      </c>
      <c r="B609">
        <v>9009170900</v>
      </c>
      <c r="C609" t="s">
        <v>2246</v>
      </c>
      <c r="D609">
        <v>2006</v>
      </c>
      <c r="E609">
        <v>0.26708115999999998</v>
      </c>
      <c r="F609">
        <v>7510.8255419999996</v>
      </c>
      <c r="G609">
        <v>1</v>
      </c>
      <c r="H609">
        <v>329</v>
      </c>
      <c r="I609">
        <v>13.67983368</v>
      </c>
      <c r="J609">
        <v>0.64500000000000002</v>
      </c>
      <c r="K609">
        <f t="shared" si="9"/>
        <v>4</v>
      </c>
      <c r="N609">
        <v>4.5</v>
      </c>
      <c r="O609">
        <v>5</v>
      </c>
    </row>
    <row r="610" spans="1:15" x14ac:dyDescent="0.2">
      <c r="A610" t="s">
        <v>2247</v>
      </c>
      <c r="B610">
        <v>9009171000</v>
      </c>
      <c r="C610" t="s">
        <v>2248</v>
      </c>
      <c r="D610">
        <v>1869</v>
      </c>
      <c r="E610">
        <v>0.196575428</v>
      </c>
      <c r="F610">
        <v>9507.8007340000004</v>
      </c>
      <c r="G610">
        <v>1</v>
      </c>
      <c r="H610">
        <v>318</v>
      </c>
      <c r="I610">
        <v>20.28061224</v>
      </c>
      <c r="J610">
        <v>0.81</v>
      </c>
      <c r="K610">
        <f t="shared" si="9"/>
        <v>5</v>
      </c>
      <c r="N610">
        <v>5</v>
      </c>
      <c r="O610">
        <v>5</v>
      </c>
    </row>
    <row r="611" spans="1:15" x14ac:dyDescent="0.2">
      <c r="A611" t="s">
        <v>2249</v>
      </c>
      <c r="B611">
        <v>9009171100</v>
      </c>
      <c r="C611" t="s">
        <v>2250</v>
      </c>
      <c r="D611">
        <v>5784</v>
      </c>
      <c r="E611">
        <v>1.649971737</v>
      </c>
      <c r="F611">
        <v>3505.5145910000001</v>
      </c>
      <c r="G611">
        <v>1</v>
      </c>
      <c r="H611">
        <v>466</v>
      </c>
      <c r="I611">
        <v>8.1682734440000004</v>
      </c>
      <c r="J611">
        <v>0.40400000000000003</v>
      </c>
      <c r="K611">
        <f t="shared" si="9"/>
        <v>3</v>
      </c>
      <c r="N611">
        <v>4</v>
      </c>
      <c r="O611">
        <v>4</v>
      </c>
    </row>
    <row r="612" spans="1:15" x14ac:dyDescent="0.2">
      <c r="A612" t="s">
        <v>2251</v>
      </c>
      <c r="B612">
        <v>9009171200</v>
      </c>
      <c r="C612" t="s">
        <v>2252</v>
      </c>
      <c r="D612">
        <v>8018</v>
      </c>
      <c r="E612">
        <v>5.2007692700000003</v>
      </c>
      <c r="F612">
        <v>1541.6950039999999</v>
      </c>
      <c r="G612">
        <v>1</v>
      </c>
      <c r="H612">
        <v>918</v>
      </c>
      <c r="I612">
        <v>11.08294096</v>
      </c>
      <c r="J612">
        <v>0.55600000000000005</v>
      </c>
      <c r="K612">
        <f t="shared" si="9"/>
        <v>3</v>
      </c>
      <c r="N612">
        <v>3</v>
      </c>
      <c r="O612">
        <v>3</v>
      </c>
    </row>
    <row r="613" spans="1:15" x14ac:dyDescent="0.2">
      <c r="A613" t="s">
        <v>2253</v>
      </c>
      <c r="B613">
        <v>9009171300</v>
      </c>
      <c r="C613" t="s">
        <v>2254</v>
      </c>
      <c r="D613">
        <v>3694</v>
      </c>
      <c r="E613">
        <v>0.74775134099999996</v>
      </c>
      <c r="F613">
        <v>4940.1449359999997</v>
      </c>
      <c r="G613">
        <v>1</v>
      </c>
      <c r="H613">
        <v>259</v>
      </c>
      <c r="I613">
        <v>7.196443457</v>
      </c>
      <c r="J613">
        <v>0.34699999999999998</v>
      </c>
      <c r="K613">
        <f t="shared" si="9"/>
        <v>2</v>
      </c>
      <c r="N613">
        <v>3</v>
      </c>
      <c r="O613">
        <v>3</v>
      </c>
    </row>
    <row r="614" spans="1:15" x14ac:dyDescent="0.2">
      <c r="A614" t="s">
        <v>2255</v>
      </c>
      <c r="B614">
        <v>9009171400</v>
      </c>
      <c r="C614" t="s">
        <v>2256</v>
      </c>
      <c r="D614">
        <v>2128</v>
      </c>
      <c r="E614">
        <v>0.26229735399999998</v>
      </c>
      <c r="F614">
        <v>8112.9297159999996</v>
      </c>
      <c r="G614">
        <v>1</v>
      </c>
      <c r="H614">
        <v>366</v>
      </c>
      <c r="I614">
        <v>22.23572296</v>
      </c>
      <c r="J614">
        <v>0.83899999999999997</v>
      </c>
      <c r="K614">
        <f t="shared" si="9"/>
        <v>5</v>
      </c>
      <c r="N614">
        <v>5</v>
      </c>
      <c r="O614">
        <v>5</v>
      </c>
    </row>
    <row r="615" spans="1:15" x14ac:dyDescent="0.2">
      <c r="A615" t="s">
        <v>2257</v>
      </c>
      <c r="B615">
        <v>9009171500</v>
      </c>
      <c r="C615" t="s">
        <v>2258</v>
      </c>
      <c r="D615">
        <v>3656</v>
      </c>
      <c r="E615">
        <v>0.38281605899999999</v>
      </c>
      <c r="F615">
        <v>9550.2785490000006</v>
      </c>
      <c r="G615">
        <v>1</v>
      </c>
      <c r="H615">
        <v>1450</v>
      </c>
      <c r="I615">
        <v>48.060987740000002</v>
      </c>
      <c r="J615">
        <v>0.995</v>
      </c>
      <c r="K615">
        <f t="shared" si="9"/>
        <v>5</v>
      </c>
      <c r="N615">
        <v>5</v>
      </c>
      <c r="O615">
        <v>5</v>
      </c>
    </row>
    <row r="616" spans="1:15" x14ac:dyDescent="0.2">
      <c r="A616" t="s">
        <v>2259</v>
      </c>
      <c r="B616">
        <v>9009171600</v>
      </c>
      <c r="C616" t="s">
        <v>2260</v>
      </c>
      <c r="D616">
        <v>4808</v>
      </c>
      <c r="E616">
        <v>2.9818369809999998</v>
      </c>
      <c r="F616">
        <v>1612.428858</v>
      </c>
      <c r="G616">
        <v>1</v>
      </c>
      <c r="H616">
        <v>476</v>
      </c>
      <c r="I616">
        <v>9.4877416780000008</v>
      </c>
      <c r="J616">
        <v>0.495</v>
      </c>
      <c r="K616">
        <f t="shared" si="9"/>
        <v>3</v>
      </c>
      <c r="N616">
        <v>3.5</v>
      </c>
      <c r="O616">
        <v>4</v>
      </c>
    </row>
    <row r="617" spans="1:15" x14ac:dyDescent="0.2">
      <c r="A617" t="s">
        <v>2261</v>
      </c>
      <c r="B617">
        <v>9009171700</v>
      </c>
      <c r="C617" t="s">
        <v>2262</v>
      </c>
      <c r="D617">
        <v>3846</v>
      </c>
      <c r="E617">
        <v>3.8716573200000002</v>
      </c>
      <c r="F617">
        <v>993.37303940000004</v>
      </c>
      <c r="G617">
        <v>1</v>
      </c>
      <c r="H617">
        <v>218</v>
      </c>
      <c r="I617">
        <v>5.4445554449999998</v>
      </c>
      <c r="J617">
        <v>0.24399999999999999</v>
      </c>
      <c r="K617">
        <f t="shared" si="9"/>
        <v>2</v>
      </c>
      <c r="N617">
        <v>3</v>
      </c>
      <c r="O617">
        <v>3</v>
      </c>
    </row>
    <row r="618" spans="1:15" x14ac:dyDescent="0.2">
      <c r="A618" t="s">
        <v>2263</v>
      </c>
      <c r="B618">
        <v>9009175100</v>
      </c>
      <c r="C618" t="s">
        <v>2264</v>
      </c>
      <c r="D618">
        <v>3244</v>
      </c>
      <c r="E618">
        <v>0.53204146100000005</v>
      </c>
      <c r="F618">
        <v>6097.2691729999997</v>
      </c>
      <c r="G618">
        <v>1</v>
      </c>
      <c r="H618">
        <v>265</v>
      </c>
      <c r="I618">
        <v>8.1613797350000006</v>
      </c>
      <c r="J618">
        <v>0.39900000000000002</v>
      </c>
      <c r="K618">
        <f t="shared" si="9"/>
        <v>2</v>
      </c>
      <c r="N618">
        <v>3</v>
      </c>
      <c r="O618">
        <v>3</v>
      </c>
    </row>
    <row r="619" spans="1:15" x14ac:dyDescent="0.2">
      <c r="A619" t="s">
        <v>2265</v>
      </c>
      <c r="B619">
        <v>9009175200</v>
      </c>
      <c r="C619" t="s">
        <v>2266</v>
      </c>
      <c r="D619">
        <v>2315</v>
      </c>
      <c r="E619">
        <v>0.309302205</v>
      </c>
      <c r="F619">
        <v>7484.5893779999997</v>
      </c>
      <c r="G619">
        <v>1</v>
      </c>
      <c r="H619">
        <v>321</v>
      </c>
      <c r="I619">
        <v>13.02231237</v>
      </c>
      <c r="J619">
        <v>0.63200000000000001</v>
      </c>
      <c r="K619">
        <f t="shared" si="9"/>
        <v>4</v>
      </c>
      <c r="N619">
        <v>4.5</v>
      </c>
      <c r="O619">
        <v>5</v>
      </c>
    </row>
    <row r="620" spans="1:15" x14ac:dyDescent="0.2">
      <c r="A620" t="s">
        <v>2267</v>
      </c>
      <c r="B620">
        <v>9009175300</v>
      </c>
      <c r="C620" t="s">
        <v>2268</v>
      </c>
      <c r="D620">
        <v>4327</v>
      </c>
      <c r="E620">
        <v>1.6766846019999999</v>
      </c>
      <c r="F620">
        <v>2580.6880999999998</v>
      </c>
      <c r="G620">
        <v>1</v>
      </c>
      <c r="H620">
        <v>491</v>
      </c>
      <c r="I620">
        <v>11.591123700000001</v>
      </c>
      <c r="J620">
        <v>0.57199999999999995</v>
      </c>
      <c r="K620">
        <f t="shared" si="9"/>
        <v>3</v>
      </c>
      <c r="N620">
        <v>3.5</v>
      </c>
      <c r="O620">
        <v>4</v>
      </c>
    </row>
    <row r="621" spans="1:15" x14ac:dyDescent="0.2">
      <c r="A621" t="s">
        <v>2269</v>
      </c>
      <c r="B621">
        <v>9009175400</v>
      </c>
      <c r="C621" t="s">
        <v>2270</v>
      </c>
      <c r="D621">
        <v>4431</v>
      </c>
      <c r="E621">
        <v>4.0144332719999998</v>
      </c>
      <c r="F621">
        <v>1103.767257</v>
      </c>
      <c r="G621">
        <v>1</v>
      </c>
      <c r="H621">
        <v>804</v>
      </c>
      <c r="I621">
        <v>17.38754325</v>
      </c>
      <c r="J621">
        <v>0.73599999999999999</v>
      </c>
      <c r="K621">
        <f t="shared" si="9"/>
        <v>4</v>
      </c>
      <c r="N621">
        <v>4.5</v>
      </c>
      <c r="O621">
        <v>5</v>
      </c>
    </row>
    <row r="622" spans="1:15" x14ac:dyDescent="0.2">
      <c r="A622" t="s">
        <v>2271</v>
      </c>
      <c r="B622">
        <v>9009175500</v>
      </c>
      <c r="C622" t="s">
        <v>2272</v>
      </c>
      <c r="D622">
        <v>7905</v>
      </c>
      <c r="E622">
        <v>5.3117651510000004</v>
      </c>
      <c r="F622">
        <v>1488.2058549999999</v>
      </c>
      <c r="G622">
        <v>1</v>
      </c>
      <c r="H622">
        <v>415</v>
      </c>
      <c r="I622">
        <v>5.5884729330000003</v>
      </c>
      <c r="J622">
        <v>0.25</v>
      </c>
      <c r="K622">
        <f t="shared" si="9"/>
        <v>2</v>
      </c>
      <c r="N622">
        <v>3</v>
      </c>
      <c r="O622">
        <v>3</v>
      </c>
    </row>
    <row r="623" spans="1:15" x14ac:dyDescent="0.2">
      <c r="A623" t="s">
        <v>2273</v>
      </c>
      <c r="B623">
        <v>9009175600</v>
      </c>
      <c r="C623" t="s">
        <v>2274</v>
      </c>
      <c r="D623">
        <v>5009</v>
      </c>
      <c r="E623">
        <v>2.464363541</v>
      </c>
      <c r="F623">
        <v>2032.573488</v>
      </c>
      <c r="G623">
        <v>1</v>
      </c>
      <c r="H623">
        <v>201</v>
      </c>
      <c r="I623">
        <v>4.1927409259999999</v>
      </c>
      <c r="J623">
        <v>0.157</v>
      </c>
      <c r="K623">
        <f t="shared" si="9"/>
        <v>1</v>
      </c>
      <c r="N623">
        <v>2.5</v>
      </c>
      <c r="O623">
        <v>3</v>
      </c>
    </row>
    <row r="624" spans="1:15" x14ac:dyDescent="0.2">
      <c r="A624" t="s">
        <v>2275</v>
      </c>
      <c r="B624">
        <v>9009175700</v>
      </c>
      <c r="C624" t="s">
        <v>2276</v>
      </c>
      <c r="D624">
        <v>2496</v>
      </c>
      <c r="E624">
        <v>2.1329832419999999</v>
      </c>
      <c r="F624">
        <v>1170.192035</v>
      </c>
      <c r="G624">
        <v>1</v>
      </c>
      <c r="H624">
        <v>134</v>
      </c>
      <c r="I624">
        <v>4.9740163329999998</v>
      </c>
      <c r="J624">
        <v>0.222</v>
      </c>
      <c r="K624">
        <f t="shared" si="9"/>
        <v>2</v>
      </c>
      <c r="N624">
        <v>2.5</v>
      </c>
      <c r="O624">
        <v>3</v>
      </c>
    </row>
    <row r="625" spans="1:15" x14ac:dyDescent="0.2">
      <c r="A625" t="s">
        <v>2277</v>
      </c>
      <c r="B625">
        <v>9009175800</v>
      </c>
      <c r="C625" t="s">
        <v>2278</v>
      </c>
      <c r="D625">
        <v>4014</v>
      </c>
      <c r="E625">
        <v>5.5840722039999999</v>
      </c>
      <c r="F625">
        <v>718.83024669999998</v>
      </c>
      <c r="G625">
        <v>1</v>
      </c>
      <c r="H625">
        <v>400</v>
      </c>
      <c r="I625">
        <v>9.2893636789999992</v>
      </c>
      <c r="J625">
        <v>0.47199999999999998</v>
      </c>
      <c r="K625">
        <f t="shared" si="9"/>
        <v>3</v>
      </c>
      <c r="N625">
        <v>2.5</v>
      </c>
      <c r="O625">
        <v>3</v>
      </c>
    </row>
    <row r="626" spans="1:15" x14ac:dyDescent="0.2">
      <c r="A626" t="s">
        <v>2279</v>
      </c>
      <c r="B626">
        <v>9009175900</v>
      </c>
      <c r="C626" t="s">
        <v>2280</v>
      </c>
      <c r="D626">
        <v>5043</v>
      </c>
      <c r="E626">
        <v>2.0182730580000001</v>
      </c>
      <c r="F626">
        <v>2498.670822</v>
      </c>
      <c r="G626">
        <v>1</v>
      </c>
      <c r="H626">
        <v>323</v>
      </c>
      <c r="I626">
        <v>6.3073618429999998</v>
      </c>
      <c r="J626">
        <v>0.30499999999999999</v>
      </c>
      <c r="K626">
        <f t="shared" si="9"/>
        <v>2</v>
      </c>
      <c r="N626">
        <v>3</v>
      </c>
      <c r="O626">
        <v>3</v>
      </c>
    </row>
    <row r="627" spans="1:15" x14ac:dyDescent="0.2">
      <c r="A627" t="s">
        <v>2281</v>
      </c>
      <c r="B627">
        <v>9009176000</v>
      </c>
      <c r="C627" t="s">
        <v>2282</v>
      </c>
      <c r="D627">
        <v>6351</v>
      </c>
      <c r="E627">
        <v>14.99619689</v>
      </c>
      <c r="F627">
        <v>423.50737620000001</v>
      </c>
      <c r="G627">
        <v>1</v>
      </c>
      <c r="H627">
        <v>295</v>
      </c>
      <c r="I627">
        <v>5.1909202890000001</v>
      </c>
      <c r="J627">
        <v>0.23100000000000001</v>
      </c>
      <c r="K627">
        <f t="shared" si="9"/>
        <v>2</v>
      </c>
      <c r="N627">
        <v>2.5</v>
      </c>
      <c r="O627">
        <v>3</v>
      </c>
    </row>
    <row r="628" spans="1:15" x14ac:dyDescent="0.2">
      <c r="A628" t="s">
        <v>2283</v>
      </c>
      <c r="B628">
        <v>9009180100</v>
      </c>
      <c r="C628" t="s">
        <v>2284</v>
      </c>
      <c r="D628">
        <v>6811</v>
      </c>
      <c r="E628">
        <v>2.297936902</v>
      </c>
      <c r="F628">
        <v>2963.963021</v>
      </c>
      <c r="G628">
        <v>1</v>
      </c>
      <c r="H628">
        <v>1455</v>
      </c>
      <c r="I628">
        <v>20.43252352</v>
      </c>
      <c r="J628">
        <v>0.80800000000000005</v>
      </c>
      <c r="K628">
        <f t="shared" si="9"/>
        <v>5</v>
      </c>
      <c r="N628">
        <v>4.5</v>
      </c>
      <c r="O628">
        <v>5</v>
      </c>
    </row>
    <row r="629" spans="1:15" x14ac:dyDescent="0.2">
      <c r="A629" t="s">
        <v>2285</v>
      </c>
      <c r="B629">
        <v>9009180200</v>
      </c>
      <c r="C629" t="s">
        <v>2286</v>
      </c>
      <c r="D629">
        <v>5545</v>
      </c>
      <c r="E629">
        <v>1.3991852469999999</v>
      </c>
      <c r="F629">
        <v>3963.02063</v>
      </c>
      <c r="G629">
        <v>1</v>
      </c>
      <c r="H629">
        <v>1640</v>
      </c>
      <c r="I629">
        <v>28.526700300000002</v>
      </c>
      <c r="J629">
        <v>0.90800000000000003</v>
      </c>
      <c r="K629">
        <f t="shared" si="9"/>
        <v>5</v>
      </c>
      <c r="N629">
        <v>4.5</v>
      </c>
      <c r="O629">
        <v>5</v>
      </c>
    </row>
    <row r="630" spans="1:15" x14ac:dyDescent="0.2">
      <c r="A630" t="s">
        <v>2287</v>
      </c>
      <c r="B630">
        <v>9009180300</v>
      </c>
      <c r="C630" t="s">
        <v>2288</v>
      </c>
      <c r="D630">
        <v>2546</v>
      </c>
      <c r="E630">
        <v>0.68661978400000001</v>
      </c>
      <c r="F630">
        <v>3708.02016</v>
      </c>
      <c r="G630">
        <v>1</v>
      </c>
      <c r="H630">
        <v>193</v>
      </c>
      <c r="I630">
        <v>8.744902583</v>
      </c>
      <c r="J630">
        <v>0.438</v>
      </c>
      <c r="K630">
        <f t="shared" si="9"/>
        <v>3</v>
      </c>
      <c r="N630">
        <v>3.5</v>
      </c>
      <c r="O630">
        <v>4</v>
      </c>
    </row>
    <row r="631" spans="1:15" x14ac:dyDescent="0.2">
      <c r="A631" t="s">
        <v>2289</v>
      </c>
      <c r="B631">
        <v>9009180400</v>
      </c>
      <c r="C631" t="s">
        <v>2290</v>
      </c>
      <c r="D631">
        <v>2690</v>
      </c>
      <c r="E631">
        <v>1.908305753</v>
      </c>
      <c r="F631">
        <v>1409.62736</v>
      </c>
      <c r="G631">
        <v>1</v>
      </c>
      <c r="H631">
        <v>485</v>
      </c>
      <c r="I631">
        <v>18.192048010000001</v>
      </c>
      <c r="J631">
        <v>0.75800000000000001</v>
      </c>
      <c r="K631">
        <f t="shared" si="9"/>
        <v>4</v>
      </c>
      <c r="N631">
        <v>3.5</v>
      </c>
      <c r="O631">
        <v>4</v>
      </c>
    </row>
    <row r="632" spans="1:15" x14ac:dyDescent="0.2">
      <c r="A632" t="s">
        <v>2291</v>
      </c>
      <c r="B632">
        <v>9009180500</v>
      </c>
      <c r="C632" t="s">
        <v>2292</v>
      </c>
      <c r="D632">
        <v>4692</v>
      </c>
      <c r="E632">
        <v>1.5928425150000001</v>
      </c>
      <c r="F632">
        <v>2945.677275</v>
      </c>
      <c r="G632">
        <v>1</v>
      </c>
      <c r="H632">
        <v>914</v>
      </c>
      <c r="I632">
        <v>19.856615250000001</v>
      </c>
      <c r="J632">
        <v>0.80400000000000005</v>
      </c>
      <c r="K632">
        <f t="shared" si="9"/>
        <v>5</v>
      </c>
      <c r="N632">
        <v>4</v>
      </c>
      <c r="O632">
        <v>4</v>
      </c>
    </row>
    <row r="633" spans="1:15" x14ac:dyDescent="0.2">
      <c r="A633" t="s">
        <v>2293</v>
      </c>
      <c r="B633">
        <v>9009180601</v>
      </c>
      <c r="C633" t="s">
        <v>2294</v>
      </c>
      <c r="D633">
        <v>3151</v>
      </c>
      <c r="E633">
        <v>1.519238699</v>
      </c>
      <c r="F633">
        <v>2074.0651229999999</v>
      </c>
      <c r="G633">
        <v>1</v>
      </c>
      <c r="H633">
        <v>38</v>
      </c>
      <c r="I633">
        <v>1.3384994720000001</v>
      </c>
      <c r="J633">
        <v>0.01</v>
      </c>
      <c r="K633">
        <f t="shared" si="9"/>
        <v>1</v>
      </c>
      <c r="N633">
        <v>2.5</v>
      </c>
      <c r="O633">
        <v>3</v>
      </c>
    </row>
    <row r="634" spans="1:15" x14ac:dyDescent="0.2">
      <c r="A634" t="s">
        <v>2295</v>
      </c>
      <c r="B634">
        <v>9009180602</v>
      </c>
      <c r="C634" t="s">
        <v>2296</v>
      </c>
      <c r="D634">
        <v>3822</v>
      </c>
      <c r="E634">
        <v>2.900677918</v>
      </c>
      <c r="F634">
        <v>1317.6230210000001</v>
      </c>
      <c r="G634">
        <v>1</v>
      </c>
      <c r="H634">
        <v>61</v>
      </c>
      <c r="I634">
        <v>1.7149283099999999</v>
      </c>
      <c r="J634">
        <v>1.4999999999999999E-2</v>
      </c>
      <c r="K634">
        <f t="shared" si="9"/>
        <v>1</v>
      </c>
      <c r="N634">
        <v>2</v>
      </c>
      <c r="O634">
        <v>2</v>
      </c>
    </row>
    <row r="635" spans="1:15" x14ac:dyDescent="0.2">
      <c r="A635" t="s">
        <v>2297</v>
      </c>
      <c r="B635">
        <v>9009184100</v>
      </c>
      <c r="C635" t="s">
        <v>2298</v>
      </c>
      <c r="D635">
        <v>5083</v>
      </c>
      <c r="E635">
        <v>1.5498689569999999</v>
      </c>
      <c r="F635">
        <v>3279.6321119999998</v>
      </c>
      <c r="G635">
        <v>1</v>
      </c>
      <c r="H635">
        <v>439</v>
      </c>
      <c r="I635">
        <v>8.7975951899999991</v>
      </c>
      <c r="J635">
        <v>0.439</v>
      </c>
      <c r="K635">
        <f t="shared" si="9"/>
        <v>3</v>
      </c>
      <c r="N635">
        <v>3.5</v>
      </c>
      <c r="O635">
        <v>4</v>
      </c>
    </row>
    <row r="636" spans="1:15" x14ac:dyDescent="0.2">
      <c r="A636" t="s">
        <v>2299</v>
      </c>
      <c r="B636">
        <v>9009184200</v>
      </c>
      <c r="C636" t="s">
        <v>2300</v>
      </c>
      <c r="D636">
        <v>4065</v>
      </c>
      <c r="E636">
        <v>2.0576550930000002</v>
      </c>
      <c r="F636">
        <v>1975.549747</v>
      </c>
      <c r="G636">
        <v>1</v>
      </c>
      <c r="H636">
        <v>885</v>
      </c>
      <c r="I636">
        <v>21.532846719999998</v>
      </c>
      <c r="J636">
        <v>0.82099999999999995</v>
      </c>
      <c r="K636">
        <f t="shared" si="9"/>
        <v>5</v>
      </c>
      <c r="N636">
        <v>4</v>
      </c>
      <c r="O636">
        <v>4</v>
      </c>
    </row>
    <row r="637" spans="1:15" x14ac:dyDescent="0.2">
      <c r="A637" t="s">
        <v>2301</v>
      </c>
      <c r="B637">
        <v>9009184300</v>
      </c>
      <c r="C637" t="s">
        <v>2302</v>
      </c>
      <c r="D637">
        <v>4279</v>
      </c>
      <c r="E637">
        <v>1.5662790719999999</v>
      </c>
      <c r="F637">
        <v>2731.9524839999999</v>
      </c>
      <c r="G637">
        <v>1</v>
      </c>
      <c r="H637">
        <v>220</v>
      </c>
      <c r="I637">
        <v>4.9382716049999997</v>
      </c>
      <c r="J637">
        <v>0.216</v>
      </c>
      <c r="K637">
        <f t="shared" si="9"/>
        <v>2</v>
      </c>
      <c r="N637">
        <v>2.5</v>
      </c>
      <c r="O637">
        <v>3</v>
      </c>
    </row>
    <row r="638" spans="1:15" x14ac:dyDescent="0.2">
      <c r="A638" t="s">
        <v>2303</v>
      </c>
      <c r="B638">
        <v>9009184400</v>
      </c>
      <c r="C638" t="s">
        <v>2304</v>
      </c>
      <c r="D638">
        <v>3327</v>
      </c>
      <c r="E638">
        <v>1.8377691330000001</v>
      </c>
      <c r="F638">
        <v>1810.3470890000001</v>
      </c>
      <c r="G638">
        <v>1</v>
      </c>
      <c r="H638">
        <v>138</v>
      </c>
      <c r="I638">
        <v>4.1095890410000004</v>
      </c>
      <c r="J638">
        <v>0.14299999999999999</v>
      </c>
      <c r="K638">
        <f t="shared" si="9"/>
        <v>1</v>
      </c>
      <c r="N638">
        <v>2</v>
      </c>
      <c r="O638">
        <v>2</v>
      </c>
    </row>
    <row r="639" spans="1:15" x14ac:dyDescent="0.2">
      <c r="A639" t="s">
        <v>2305</v>
      </c>
      <c r="B639">
        <v>9009184500</v>
      </c>
      <c r="C639" t="s">
        <v>2306</v>
      </c>
      <c r="D639">
        <v>2512</v>
      </c>
      <c r="E639">
        <v>2.011765692</v>
      </c>
      <c r="F639">
        <v>1248.6543590000001</v>
      </c>
      <c r="G639">
        <v>1</v>
      </c>
      <c r="H639">
        <v>107</v>
      </c>
      <c r="I639">
        <v>4.1650447640000001</v>
      </c>
      <c r="J639">
        <v>0.14399999999999999</v>
      </c>
      <c r="K639">
        <f t="shared" si="9"/>
        <v>1</v>
      </c>
      <c r="N639">
        <v>2</v>
      </c>
      <c r="O639">
        <v>2</v>
      </c>
    </row>
    <row r="640" spans="1:15" x14ac:dyDescent="0.2">
      <c r="A640" t="s">
        <v>2307</v>
      </c>
      <c r="B640">
        <v>9009184600</v>
      </c>
      <c r="C640" t="s">
        <v>2308</v>
      </c>
      <c r="D640">
        <v>2852</v>
      </c>
      <c r="E640">
        <v>4.8442274640000003</v>
      </c>
      <c r="F640">
        <v>588.74196589999997</v>
      </c>
      <c r="G640">
        <v>1</v>
      </c>
      <c r="H640">
        <v>75</v>
      </c>
      <c r="I640">
        <v>2.7472527470000001</v>
      </c>
      <c r="J640">
        <v>3.6999999999999998E-2</v>
      </c>
      <c r="K640">
        <f t="shared" si="9"/>
        <v>1</v>
      </c>
      <c r="N640">
        <v>1</v>
      </c>
      <c r="O640">
        <v>1</v>
      </c>
    </row>
    <row r="641" spans="1:15" x14ac:dyDescent="0.2">
      <c r="A641" t="s">
        <v>2309</v>
      </c>
      <c r="B641">
        <v>9009184700</v>
      </c>
      <c r="C641" t="s">
        <v>2310</v>
      </c>
      <c r="D641">
        <v>5908</v>
      </c>
      <c r="E641">
        <v>7.9670013920000002</v>
      </c>
      <c r="F641">
        <v>741.55880109999998</v>
      </c>
      <c r="G641">
        <v>1</v>
      </c>
      <c r="H641">
        <v>1027</v>
      </c>
      <c r="I641">
        <v>17.682506889999999</v>
      </c>
      <c r="J641">
        <v>0.745</v>
      </c>
      <c r="K641">
        <f t="shared" si="9"/>
        <v>4</v>
      </c>
      <c r="N641">
        <v>3.5</v>
      </c>
      <c r="O641">
        <v>4</v>
      </c>
    </row>
    <row r="642" spans="1:15" x14ac:dyDescent="0.2">
      <c r="A642" t="s">
        <v>2311</v>
      </c>
      <c r="B642">
        <v>9009186100</v>
      </c>
      <c r="C642" t="s">
        <v>2312</v>
      </c>
      <c r="D642">
        <v>7309</v>
      </c>
      <c r="E642">
        <v>7.6249839770000003</v>
      </c>
      <c r="F642">
        <v>958.55939139999998</v>
      </c>
      <c r="G642">
        <v>1</v>
      </c>
      <c r="H642">
        <v>524</v>
      </c>
      <c r="I642">
        <v>7.3194580250000003</v>
      </c>
      <c r="J642">
        <v>0.33600000000000002</v>
      </c>
      <c r="K642">
        <f t="shared" si="9"/>
        <v>2</v>
      </c>
      <c r="N642">
        <v>2.5</v>
      </c>
      <c r="O642">
        <v>3</v>
      </c>
    </row>
    <row r="643" spans="1:15" x14ac:dyDescent="0.2">
      <c r="A643" t="s">
        <v>2313</v>
      </c>
      <c r="B643">
        <v>9009186200</v>
      </c>
      <c r="C643" t="s">
        <v>2314</v>
      </c>
      <c r="D643">
        <v>7098</v>
      </c>
      <c r="E643">
        <v>17.132348100000002</v>
      </c>
      <c r="F643">
        <v>414.30397970000001</v>
      </c>
      <c r="G643">
        <v>1</v>
      </c>
      <c r="H643">
        <v>137</v>
      </c>
      <c r="I643">
        <v>1.9482366330000001</v>
      </c>
      <c r="J643">
        <v>2.1000000000000001E-2</v>
      </c>
      <c r="K643">
        <f t="shared" ref="K643:K706" si="10">IF(J643&lt;0.2,1,IF(J643&lt;0.4,2,IF(J643&lt;0.6,3,IF(J643&lt;0.8,4,5))))</f>
        <v>1</v>
      </c>
      <c r="N643">
        <v>1.5</v>
      </c>
      <c r="O643">
        <v>2</v>
      </c>
    </row>
    <row r="644" spans="1:15" x14ac:dyDescent="0.2">
      <c r="A644" t="s">
        <v>2315</v>
      </c>
      <c r="B644">
        <v>9009190100</v>
      </c>
      <c r="C644" t="s">
        <v>2316</v>
      </c>
      <c r="D644">
        <v>3340</v>
      </c>
      <c r="E644">
        <v>3.2021144499999998</v>
      </c>
      <c r="F644">
        <v>1043.0607809999999</v>
      </c>
      <c r="G644">
        <v>1</v>
      </c>
      <c r="H644">
        <v>202</v>
      </c>
      <c r="I644">
        <v>6.0569715139999998</v>
      </c>
      <c r="J644">
        <v>0.25800000000000001</v>
      </c>
      <c r="K644">
        <f t="shared" si="10"/>
        <v>2</v>
      </c>
      <c r="N644">
        <v>2.5</v>
      </c>
      <c r="O644">
        <v>3</v>
      </c>
    </row>
    <row r="645" spans="1:15" x14ac:dyDescent="0.2">
      <c r="A645" t="s">
        <v>2317</v>
      </c>
      <c r="B645">
        <v>9009190200</v>
      </c>
      <c r="C645" t="s">
        <v>2318</v>
      </c>
      <c r="D645">
        <v>3362</v>
      </c>
      <c r="E645">
        <v>7.8568696070000001</v>
      </c>
      <c r="F645">
        <v>427.90579050000002</v>
      </c>
      <c r="G645">
        <v>1</v>
      </c>
      <c r="H645">
        <v>418</v>
      </c>
      <c r="I645">
        <v>11.59500693</v>
      </c>
      <c r="J645">
        <v>0.55800000000000005</v>
      </c>
      <c r="K645">
        <f t="shared" si="10"/>
        <v>3</v>
      </c>
      <c r="N645">
        <v>2</v>
      </c>
      <c r="O645">
        <v>2</v>
      </c>
    </row>
    <row r="646" spans="1:15" x14ac:dyDescent="0.2">
      <c r="A646" t="s">
        <v>2319</v>
      </c>
      <c r="B646">
        <v>9009190301</v>
      </c>
      <c r="C646" t="s">
        <v>2320</v>
      </c>
      <c r="D646">
        <v>6791</v>
      </c>
      <c r="E646">
        <v>11.31647946</v>
      </c>
      <c r="F646">
        <v>600.09829249999996</v>
      </c>
      <c r="G646">
        <v>1</v>
      </c>
      <c r="H646">
        <v>581</v>
      </c>
      <c r="I646">
        <v>8.6496948039999992</v>
      </c>
      <c r="J646">
        <v>0.41599999999999998</v>
      </c>
      <c r="K646">
        <f t="shared" si="10"/>
        <v>3</v>
      </c>
      <c r="N646">
        <v>2</v>
      </c>
      <c r="O646">
        <v>2</v>
      </c>
    </row>
    <row r="647" spans="1:15" x14ac:dyDescent="0.2">
      <c r="A647" t="s">
        <v>2321</v>
      </c>
      <c r="B647">
        <v>9009190302</v>
      </c>
      <c r="C647" t="s">
        <v>2322</v>
      </c>
      <c r="D647">
        <v>5448</v>
      </c>
      <c r="E647">
        <v>7.7422057549999996</v>
      </c>
      <c r="F647">
        <v>703.67543460000002</v>
      </c>
      <c r="G647">
        <v>1</v>
      </c>
      <c r="H647">
        <v>329</v>
      </c>
      <c r="I647">
        <v>6.2846227319999999</v>
      </c>
      <c r="J647">
        <v>0.28399999999999997</v>
      </c>
      <c r="K647">
        <f t="shared" si="10"/>
        <v>2</v>
      </c>
      <c r="N647">
        <v>2</v>
      </c>
      <c r="O647">
        <v>2</v>
      </c>
    </row>
    <row r="648" spans="1:15" x14ac:dyDescent="0.2">
      <c r="A648" t="s">
        <v>2323</v>
      </c>
      <c r="B648">
        <v>9009190303</v>
      </c>
      <c r="C648" t="s">
        <v>2324</v>
      </c>
      <c r="D648">
        <v>3434</v>
      </c>
      <c r="E648">
        <v>17.000172589999998</v>
      </c>
      <c r="F648">
        <v>201.99794929999999</v>
      </c>
      <c r="G648">
        <v>1</v>
      </c>
      <c r="H648">
        <v>277</v>
      </c>
      <c r="I648">
        <v>8.3333333330000006</v>
      </c>
      <c r="J648">
        <v>0.39800000000000002</v>
      </c>
      <c r="K648">
        <f t="shared" si="10"/>
        <v>2</v>
      </c>
      <c r="N648">
        <v>2</v>
      </c>
      <c r="O648">
        <v>2</v>
      </c>
    </row>
    <row r="649" spans="1:15" x14ac:dyDescent="0.2">
      <c r="A649" t="s">
        <v>2325</v>
      </c>
      <c r="B649">
        <v>9009194100</v>
      </c>
      <c r="C649" t="s">
        <v>2326</v>
      </c>
      <c r="D649">
        <v>5154</v>
      </c>
      <c r="E649">
        <v>6.5418747110000002</v>
      </c>
      <c r="F649">
        <v>787.8475555</v>
      </c>
      <c r="G649">
        <v>1</v>
      </c>
      <c r="H649">
        <v>70</v>
      </c>
      <c r="I649">
        <v>1.419878296</v>
      </c>
      <c r="J649">
        <v>1.0999999999999999E-2</v>
      </c>
      <c r="K649">
        <f t="shared" si="10"/>
        <v>1</v>
      </c>
      <c r="N649">
        <v>2</v>
      </c>
      <c r="O649">
        <v>2</v>
      </c>
    </row>
    <row r="650" spans="1:15" x14ac:dyDescent="0.2">
      <c r="A650" t="s">
        <v>2327</v>
      </c>
      <c r="B650">
        <v>9009194201</v>
      </c>
      <c r="C650" t="s">
        <v>2328</v>
      </c>
      <c r="D650">
        <v>7837</v>
      </c>
      <c r="E650">
        <v>18.24780269</v>
      </c>
      <c r="F650">
        <v>429.47636670000003</v>
      </c>
      <c r="G650">
        <v>1</v>
      </c>
      <c r="H650">
        <v>718</v>
      </c>
      <c r="I650">
        <v>9.3404449070000002</v>
      </c>
      <c r="J650">
        <v>0.443</v>
      </c>
      <c r="K650">
        <f t="shared" si="10"/>
        <v>3</v>
      </c>
      <c r="N650">
        <v>2</v>
      </c>
      <c r="O650">
        <v>2</v>
      </c>
    </row>
    <row r="651" spans="1:15" x14ac:dyDescent="0.2">
      <c r="A651" t="s">
        <v>2329</v>
      </c>
      <c r="B651">
        <v>9009194202</v>
      </c>
      <c r="C651" t="s">
        <v>2330</v>
      </c>
      <c r="D651">
        <v>5278</v>
      </c>
      <c r="E651">
        <v>11.357661889999999</v>
      </c>
      <c r="F651">
        <v>464.7083222</v>
      </c>
      <c r="G651">
        <v>1</v>
      </c>
      <c r="H651">
        <v>545</v>
      </c>
      <c r="I651">
        <v>9.9163027659999994</v>
      </c>
      <c r="J651">
        <v>0.46200000000000002</v>
      </c>
      <c r="K651">
        <f t="shared" si="10"/>
        <v>3</v>
      </c>
      <c r="N651">
        <v>2</v>
      </c>
      <c r="O651">
        <v>2</v>
      </c>
    </row>
    <row r="652" spans="1:15" x14ac:dyDescent="0.2">
      <c r="A652" t="s">
        <v>2331</v>
      </c>
      <c r="B652">
        <v>9009341100</v>
      </c>
      <c r="C652" t="s">
        <v>2332</v>
      </c>
      <c r="D652">
        <v>6049</v>
      </c>
      <c r="E652">
        <v>9.6682957599999995</v>
      </c>
      <c r="F652">
        <v>625.65318130000003</v>
      </c>
      <c r="G652">
        <v>1</v>
      </c>
      <c r="H652">
        <v>261</v>
      </c>
      <c r="I652">
        <v>4.2315175099999998</v>
      </c>
      <c r="J652">
        <v>0.14299999999999999</v>
      </c>
      <c r="K652">
        <f t="shared" si="10"/>
        <v>1</v>
      </c>
      <c r="N652">
        <v>2</v>
      </c>
      <c r="O652">
        <v>2</v>
      </c>
    </row>
    <row r="653" spans="1:15" x14ac:dyDescent="0.2">
      <c r="A653" t="s">
        <v>2333</v>
      </c>
      <c r="B653">
        <v>9009343101</v>
      </c>
      <c r="C653" t="s">
        <v>2334</v>
      </c>
      <c r="D653">
        <v>5810</v>
      </c>
      <c r="E653">
        <v>6.5372051920000001</v>
      </c>
      <c r="F653">
        <v>888.75900779999995</v>
      </c>
      <c r="G653">
        <v>1</v>
      </c>
      <c r="H653">
        <v>1044</v>
      </c>
      <c r="I653">
        <v>17.493297590000001</v>
      </c>
      <c r="J653">
        <v>0.72799999999999998</v>
      </c>
      <c r="K653">
        <f t="shared" si="10"/>
        <v>4</v>
      </c>
      <c r="N653">
        <v>2.5</v>
      </c>
      <c r="O653">
        <v>3</v>
      </c>
    </row>
    <row r="654" spans="1:15" x14ac:dyDescent="0.2">
      <c r="A654" t="s">
        <v>2335</v>
      </c>
      <c r="B654">
        <v>9009343102</v>
      </c>
      <c r="C654" t="s">
        <v>2336</v>
      </c>
      <c r="D654">
        <v>3653</v>
      </c>
      <c r="E654">
        <v>4.5246479910000001</v>
      </c>
      <c r="F654">
        <v>807.35562359999994</v>
      </c>
      <c r="G654">
        <v>1</v>
      </c>
      <c r="H654">
        <v>354</v>
      </c>
      <c r="I654">
        <v>8.9893346879999996</v>
      </c>
      <c r="J654">
        <v>0.42399999999999999</v>
      </c>
      <c r="K654">
        <f t="shared" si="10"/>
        <v>3</v>
      </c>
      <c r="N654">
        <v>3</v>
      </c>
      <c r="O654">
        <v>3</v>
      </c>
    </row>
    <row r="655" spans="1:15" x14ac:dyDescent="0.2">
      <c r="A655" t="s">
        <v>2337</v>
      </c>
      <c r="B655">
        <v>9009343200</v>
      </c>
      <c r="C655" t="s">
        <v>2338</v>
      </c>
      <c r="D655">
        <v>6249</v>
      </c>
      <c r="E655">
        <v>8.6393099119999999</v>
      </c>
      <c r="F655">
        <v>723.3216615</v>
      </c>
      <c r="G655">
        <v>1</v>
      </c>
      <c r="H655">
        <v>646</v>
      </c>
      <c r="I655">
        <v>11.264167390000001</v>
      </c>
      <c r="J655">
        <v>0.53200000000000003</v>
      </c>
      <c r="K655">
        <f t="shared" si="10"/>
        <v>3</v>
      </c>
      <c r="N655">
        <v>2.5</v>
      </c>
      <c r="O655">
        <v>3</v>
      </c>
    </row>
    <row r="656" spans="1:15" x14ac:dyDescent="0.2">
      <c r="A656" t="s">
        <v>2339</v>
      </c>
      <c r="B656">
        <v>9009343300</v>
      </c>
      <c r="C656" t="s">
        <v>2340</v>
      </c>
      <c r="D656">
        <v>6809</v>
      </c>
      <c r="E656">
        <v>7.5639273229999997</v>
      </c>
      <c r="F656">
        <v>900.1937365</v>
      </c>
      <c r="G656">
        <v>1</v>
      </c>
      <c r="H656">
        <v>635</v>
      </c>
      <c r="I656">
        <v>9.0857061100000003</v>
      </c>
      <c r="J656">
        <v>0.435</v>
      </c>
      <c r="K656">
        <f t="shared" si="10"/>
        <v>3</v>
      </c>
      <c r="N656">
        <v>2.5</v>
      </c>
      <c r="O656">
        <v>3</v>
      </c>
    </row>
    <row r="657" spans="1:15" x14ac:dyDescent="0.2">
      <c r="A657" t="s">
        <v>2341</v>
      </c>
      <c r="B657">
        <v>9009343400</v>
      </c>
      <c r="C657" t="s">
        <v>2342</v>
      </c>
      <c r="D657">
        <v>6740</v>
      </c>
      <c r="E657">
        <v>5.804433457</v>
      </c>
      <c r="F657">
        <v>1161.1813709999999</v>
      </c>
      <c r="G657">
        <v>1</v>
      </c>
      <c r="H657">
        <v>1027</v>
      </c>
      <c r="I657">
        <v>15.75878472</v>
      </c>
      <c r="J657">
        <v>0.68</v>
      </c>
      <c r="K657">
        <f t="shared" si="10"/>
        <v>4</v>
      </c>
      <c r="N657">
        <v>3</v>
      </c>
      <c r="O657">
        <v>3</v>
      </c>
    </row>
    <row r="658" spans="1:15" x14ac:dyDescent="0.2">
      <c r="A658" t="s">
        <v>2343</v>
      </c>
      <c r="B658">
        <v>9009344100</v>
      </c>
      <c r="C658" t="s">
        <v>2344</v>
      </c>
      <c r="D658">
        <v>4856</v>
      </c>
      <c r="E658">
        <v>8.2378698279999991</v>
      </c>
      <c r="F658">
        <v>589.47277650000001</v>
      </c>
      <c r="G658">
        <v>1</v>
      </c>
      <c r="H658">
        <v>381</v>
      </c>
      <c r="I658">
        <v>7.7172371890000004</v>
      </c>
      <c r="J658">
        <v>0.35699999999999998</v>
      </c>
      <c r="K658">
        <f t="shared" si="10"/>
        <v>2</v>
      </c>
      <c r="N658">
        <v>2</v>
      </c>
      <c r="O658">
        <v>2</v>
      </c>
    </row>
    <row r="659" spans="1:15" x14ac:dyDescent="0.2">
      <c r="A659" t="s">
        <v>2345</v>
      </c>
      <c r="B659">
        <v>9009344200</v>
      </c>
      <c r="C659" t="s">
        <v>2346</v>
      </c>
      <c r="D659">
        <v>2719</v>
      </c>
      <c r="E659">
        <v>9.5131359680000003</v>
      </c>
      <c r="F659">
        <v>285.81531990000002</v>
      </c>
      <c r="G659">
        <v>1</v>
      </c>
      <c r="H659">
        <v>305</v>
      </c>
      <c r="I659">
        <v>10.88508208</v>
      </c>
      <c r="J659">
        <v>0.497</v>
      </c>
      <c r="K659">
        <f t="shared" si="10"/>
        <v>3</v>
      </c>
      <c r="N659">
        <v>2</v>
      </c>
      <c r="O659">
        <v>2</v>
      </c>
    </row>
    <row r="660" spans="1:15" x14ac:dyDescent="0.2">
      <c r="A660" t="s">
        <v>2347</v>
      </c>
      <c r="B660">
        <v>9009345100</v>
      </c>
      <c r="C660" t="s">
        <v>2348</v>
      </c>
      <c r="D660">
        <v>6979</v>
      </c>
      <c r="E660">
        <v>3.3230574810000002</v>
      </c>
      <c r="F660">
        <v>2100.1743240000001</v>
      </c>
      <c r="G660">
        <v>1</v>
      </c>
      <c r="H660">
        <v>557</v>
      </c>
      <c r="I660">
        <v>7.573079538</v>
      </c>
      <c r="J660">
        <v>0.34899999999999998</v>
      </c>
      <c r="K660">
        <f t="shared" si="10"/>
        <v>2</v>
      </c>
      <c r="N660">
        <v>3</v>
      </c>
      <c r="O660">
        <v>3</v>
      </c>
    </row>
    <row r="661" spans="1:15" x14ac:dyDescent="0.2">
      <c r="A661" t="s">
        <v>2349</v>
      </c>
      <c r="B661">
        <v>9009345201</v>
      </c>
      <c r="C661" t="s">
        <v>2350</v>
      </c>
      <c r="D661">
        <v>7065</v>
      </c>
      <c r="E661">
        <v>3.3367405560000001</v>
      </c>
      <c r="F661">
        <v>2117.3357299999998</v>
      </c>
      <c r="G661">
        <v>1</v>
      </c>
      <c r="H661">
        <v>1247</v>
      </c>
      <c r="I661">
        <v>16.644420719999999</v>
      </c>
      <c r="J661">
        <v>0.69599999999999995</v>
      </c>
      <c r="K661">
        <f t="shared" si="10"/>
        <v>4</v>
      </c>
      <c r="N661">
        <v>4</v>
      </c>
      <c r="O661">
        <v>4</v>
      </c>
    </row>
    <row r="662" spans="1:15" x14ac:dyDescent="0.2">
      <c r="A662" t="s">
        <v>2351</v>
      </c>
      <c r="B662">
        <v>9009345202</v>
      </c>
      <c r="C662" t="s">
        <v>2352</v>
      </c>
      <c r="D662">
        <v>4229</v>
      </c>
      <c r="E662">
        <v>1.803079783</v>
      </c>
      <c r="F662">
        <v>2345.4314340000001</v>
      </c>
      <c r="G662">
        <v>1</v>
      </c>
      <c r="H662">
        <v>379</v>
      </c>
      <c r="I662">
        <v>9.0930902109999998</v>
      </c>
      <c r="J662">
        <v>0.439</v>
      </c>
      <c r="K662">
        <f t="shared" si="10"/>
        <v>3</v>
      </c>
      <c r="N662">
        <v>3</v>
      </c>
      <c r="O662">
        <v>3</v>
      </c>
    </row>
    <row r="663" spans="1:15" x14ac:dyDescent="0.2">
      <c r="A663" t="s">
        <v>2353</v>
      </c>
      <c r="B663">
        <v>9009345300</v>
      </c>
      <c r="C663" t="s">
        <v>2354</v>
      </c>
      <c r="D663">
        <v>6455</v>
      </c>
      <c r="E663">
        <v>5.1045275109999997</v>
      </c>
      <c r="F663">
        <v>1264.563662</v>
      </c>
      <c r="G663">
        <v>1</v>
      </c>
      <c r="H663">
        <v>999</v>
      </c>
      <c r="I663">
        <v>16.633366630000001</v>
      </c>
      <c r="J663">
        <v>0.69299999999999995</v>
      </c>
      <c r="K663">
        <f t="shared" si="10"/>
        <v>4</v>
      </c>
      <c r="N663">
        <v>4.5</v>
      </c>
      <c r="O663">
        <v>5</v>
      </c>
    </row>
    <row r="664" spans="1:15" x14ac:dyDescent="0.2">
      <c r="A664" t="s">
        <v>2355</v>
      </c>
      <c r="B664">
        <v>9009345400</v>
      </c>
      <c r="C664" t="s">
        <v>2356</v>
      </c>
      <c r="D664">
        <v>7134</v>
      </c>
      <c r="E664">
        <v>2.7402798779999999</v>
      </c>
      <c r="F664">
        <v>2603.3837119999998</v>
      </c>
      <c r="G664">
        <v>1</v>
      </c>
      <c r="H664">
        <v>929</v>
      </c>
      <c r="I664">
        <v>14.68542523</v>
      </c>
      <c r="J664">
        <v>0.629</v>
      </c>
      <c r="K664">
        <f t="shared" si="10"/>
        <v>4</v>
      </c>
      <c r="N664">
        <v>4</v>
      </c>
      <c r="O664">
        <v>4</v>
      </c>
    </row>
    <row r="665" spans="1:15" x14ac:dyDescent="0.2">
      <c r="A665" t="s">
        <v>2357</v>
      </c>
      <c r="B665">
        <v>9009346101</v>
      </c>
      <c r="C665" t="s">
        <v>2358</v>
      </c>
      <c r="D665">
        <v>6674</v>
      </c>
      <c r="E665">
        <v>13.983450120000001</v>
      </c>
      <c r="F665">
        <v>477.27849309999999</v>
      </c>
      <c r="G665">
        <v>1</v>
      </c>
      <c r="H665">
        <v>204</v>
      </c>
      <c r="I665">
        <v>2.9445727480000001</v>
      </c>
      <c r="J665">
        <v>3.6999999999999998E-2</v>
      </c>
      <c r="K665">
        <f t="shared" si="10"/>
        <v>1</v>
      </c>
      <c r="N665">
        <v>1.5</v>
      </c>
      <c r="O665">
        <v>2</v>
      </c>
    </row>
    <row r="666" spans="1:15" x14ac:dyDescent="0.2">
      <c r="A666" t="s">
        <v>2359</v>
      </c>
      <c r="B666">
        <v>9009346102</v>
      </c>
      <c r="C666" t="s">
        <v>2360</v>
      </c>
      <c r="D666">
        <v>6009</v>
      </c>
      <c r="E666">
        <v>18.758535559999999</v>
      </c>
      <c r="F666">
        <v>320.33417429999997</v>
      </c>
      <c r="G666">
        <v>1</v>
      </c>
      <c r="H666">
        <v>420</v>
      </c>
      <c r="I666">
        <v>6.8203962330000003</v>
      </c>
      <c r="J666">
        <v>0.318</v>
      </c>
      <c r="K666">
        <f t="shared" si="10"/>
        <v>2</v>
      </c>
      <c r="N666">
        <v>2</v>
      </c>
      <c r="O666">
        <v>2</v>
      </c>
    </row>
    <row r="667" spans="1:15" x14ac:dyDescent="0.2">
      <c r="A667" t="s">
        <v>2361</v>
      </c>
      <c r="B667">
        <v>9009347100</v>
      </c>
      <c r="C667" t="s">
        <v>2362</v>
      </c>
      <c r="D667">
        <v>5527</v>
      </c>
      <c r="E667">
        <v>7.9956486279999996</v>
      </c>
      <c r="F667">
        <v>691.25098620000006</v>
      </c>
      <c r="G667">
        <v>1</v>
      </c>
      <c r="H667">
        <v>214</v>
      </c>
      <c r="I667">
        <v>3.672558778</v>
      </c>
      <c r="J667">
        <v>0.106</v>
      </c>
      <c r="K667">
        <f t="shared" si="10"/>
        <v>1</v>
      </c>
      <c r="N667">
        <v>2</v>
      </c>
      <c r="O667">
        <v>2</v>
      </c>
    </row>
    <row r="668" spans="1:15" x14ac:dyDescent="0.2">
      <c r="A668" t="s">
        <v>2363</v>
      </c>
      <c r="B668">
        <v>9009347200</v>
      </c>
      <c r="C668" t="s">
        <v>2364</v>
      </c>
      <c r="D668">
        <v>3878</v>
      </c>
      <c r="E668">
        <v>6.2296381299999997</v>
      </c>
      <c r="F668">
        <v>622.5080686</v>
      </c>
      <c r="G668">
        <v>1</v>
      </c>
      <c r="H668">
        <v>272</v>
      </c>
      <c r="I668">
        <v>7.0139247029999998</v>
      </c>
      <c r="J668">
        <v>0.32200000000000001</v>
      </c>
      <c r="K668">
        <f t="shared" si="10"/>
        <v>2</v>
      </c>
      <c r="N668">
        <v>2</v>
      </c>
      <c r="O668">
        <v>2</v>
      </c>
    </row>
    <row r="669" spans="1:15" x14ac:dyDescent="0.2">
      <c r="A669" t="s">
        <v>2365</v>
      </c>
      <c r="B669">
        <v>9009348111</v>
      </c>
      <c r="C669" t="s">
        <v>2366</v>
      </c>
      <c r="D669">
        <v>2902</v>
      </c>
      <c r="E669">
        <v>13.426967619999999</v>
      </c>
      <c r="F669">
        <v>216.1321963</v>
      </c>
      <c r="G669">
        <v>1</v>
      </c>
      <c r="H669">
        <v>169</v>
      </c>
      <c r="I669">
        <v>6.3845863239999998</v>
      </c>
      <c r="J669">
        <v>0.30499999999999999</v>
      </c>
      <c r="K669">
        <f t="shared" si="10"/>
        <v>2</v>
      </c>
      <c r="N669">
        <v>2</v>
      </c>
      <c r="O669">
        <v>2</v>
      </c>
    </row>
    <row r="670" spans="1:15" x14ac:dyDescent="0.2">
      <c r="A670" t="s">
        <v>2367</v>
      </c>
      <c r="B670">
        <v>9009348122</v>
      </c>
      <c r="C670" t="s">
        <v>2368</v>
      </c>
      <c r="D670">
        <v>4349</v>
      </c>
      <c r="E670">
        <v>7.7475146600000002</v>
      </c>
      <c r="F670">
        <v>561.34130630000004</v>
      </c>
      <c r="G670">
        <v>1</v>
      </c>
      <c r="H670">
        <v>201</v>
      </c>
      <c r="I670">
        <v>4.8166786479999999</v>
      </c>
      <c r="J670">
        <v>0.19800000000000001</v>
      </c>
      <c r="K670">
        <f t="shared" si="10"/>
        <v>1</v>
      </c>
      <c r="N670">
        <v>1</v>
      </c>
      <c r="O670">
        <v>1</v>
      </c>
    </row>
    <row r="671" spans="1:15" x14ac:dyDescent="0.2">
      <c r="A671" t="s">
        <v>2369</v>
      </c>
      <c r="B671">
        <v>9009348123</v>
      </c>
      <c r="C671" t="s">
        <v>2370</v>
      </c>
      <c r="D671">
        <v>5739</v>
      </c>
      <c r="E671">
        <v>10.82340497</v>
      </c>
      <c r="F671">
        <v>530.23979180000003</v>
      </c>
      <c r="G671">
        <v>1</v>
      </c>
      <c r="H671">
        <v>600</v>
      </c>
      <c r="I671">
        <v>10.05025126</v>
      </c>
      <c r="J671">
        <v>0.45800000000000002</v>
      </c>
      <c r="K671">
        <f t="shared" si="10"/>
        <v>3</v>
      </c>
      <c r="N671">
        <v>2</v>
      </c>
      <c r="O671">
        <v>2</v>
      </c>
    </row>
    <row r="672" spans="1:15" x14ac:dyDescent="0.2">
      <c r="A672" t="s">
        <v>2371</v>
      </c>
      <c r="B672">
        <v>9009348124</v>
      </c>
      <c r="C672" t="s">
        <v>2372</v>
      </c>
      <c r="D672">
        <v>2330</v>
      </c>
      <c r="E672">
        <v>3.094906231</v>
      </c>
      <c r="F672">
        <v>752.84994949999998</v>
      </c>
      <c r="G672">
        <v>1</v>
      </c>
      <c r="H672">
        <v>156</v>
      </c>
      <c r="I672">
        <v>6.2675773399999999</v>
      </c>
      <c r="J672">
        <v>0.29199999999999998</v>
      </c>
      <c r="K672">
        <f t="shared" si="10"/>
        <v>2</v>
      </c>
      <c r="N672">
        <v>3</v>
      </c>
      <c r="O672">
        <v>3</v>
      </c>
    </row>
    <row r="673" spans="1:15" x14ac:dyDescent="0.2">
      <c r="A673" t="s">
        <v>2373</v>
      </c>
      <c r="B673">
        <v>9009348125</v>
      </c>
      <c r="C673" t="s">
        <v>2374</v>
      </c>
      <c r="D673">
        <v>4584</v>
      </c>
      <c r="E673">
        <v>3.8996369870000001</v>
      </c>
      <c r="F673">
        <v>1175.4940309999999</v>
      </c>
      <c r="G673">
        <v>1</v>
      </c>
      <c r="H673">
        <v>113</v>
      </c>
      <c r="I673">
        <v>2.5670149929999999</v>
      </c>
      <c r="J673">
        <v>1.9E-2</v>
      </c>
      <c r="K673">
        <f t="shared" si="10"/>
        <v>1</v>
      </c>
      <c r="N673">
        <v>2</v>
      </c>
      <c r="O673">
        <v>2</v>
      </c>
    </row>
    <row r="674" spans="1:15" x14ac:dyDescent="0.2">
      <c r="A674" t="s">
        <v>2375</v>
      </c>
      <c r="B674">
        <v>9009350100</v>
      </c>
      <c r="C674" t="s">
        <v>2376</v>
      </c>
      <c r="D674">
        <v>4852</v>
      </c>
      <c r="E674">
        <v>0.44202598599999998</v>
      </c>
      <c r="F674">
        <v>10976.730219999999</v>
      </c>
      <c r="G674">
        <v>1</v>
      </c>
      <c r="H674">
        <v>889</v>
      </c>
      <c r="I674">
        <v>23.339459179999999</v>
      </c>
      <c r="J674">
        <v>0.80200000000000005</v>
      </c>
      <c r="K674">
        <f t="shared" si="10"/>
        <v>5</v>
      </c>
      <c r="N674">
        <v>5</v>
      </c>
      <c r="O674">
        <v>5</v>
      </c>
    </row>
    <row r="675" spans="1:15" x14ac:dyDescent="0.2">
      <c r="A675" t="s">
        <v>2377</v>
      </c>
      <c r="B675">
        <v>9009350200</v>
      </c>
      <c r="C675" t="s">
        <v>2378</v>
      </c>
      <c r="D675">
        <v>3355</v>
      </c>
      <c r="E675">
        <v>0.26204523000000002</v>
      </c>
      <c r="F675">
        <v>12803.13328</v>
      </c>
      <c r="G675">
        <v>1</v>
      </c>
      <c r="H675">
        <v>617</v>
      </c>
      <c r="I675">
        <v>21.39389736</v>
      </c>
      <c r="J675">
        <v>0.78100000000000003</v>
      </c>
      <c r="K675">
        <f t="shared" si="10"/>
        <v>4</v>
      </c>
      <c r="N675">
        <v>4.5</v>
      </c>
      <c r="O675">
        <v>5</v>
      </c>
    </row>
    <row r="676" spans="1:15" x14ac:dyDescent="0.2">
      <c r="A676" t="s">
        <v>2379</v>
      </c>
      <c r="B676">
        <v>9009350300</v>
      </c>
      <c r="C676" t="s">
        <v>2380</v>
      </c>
      <c r="D676">
        <v>1969</v>
      </c>
      <c r="E676">
        <v>0.187970369</v>
      </c>
      <c r="F676">
        <v>10475.055249999999</v>
      </c>
      <c r="G676">
        <v>1</v>
      </c>
      <c r="H676">
        <v>491</v>
      </c>
      <c r="I676">
        <v>26.214628940000001</v>
      </c>
      <c r="J676">
        <v>0.84599999999999997</v>
      </c>
      <c r="K676">
        <f t="shared" si="10"/>
        <v>5</v>
      </c>
      <c r="N676">
        <v>5</v>
      </c>
      <c r="O676">
        <v>5</v>
      </c>
    </row>
    <row r="677" spans="1:15" x14ac:dyDescent="0.2">
      <c r="A677" t="s">
        <v>2381</v>
      </c>
      <c r="B677">
        <v>9009350400</v>
      </c>
      <c r="C677" t="s">
        <v>2382</v>
      </c>
      <c r="D677">
        <v>2487</v>
      </c>
      <c r="E677">
        <v>0.200322164</v>
      </c>
      <c r="F677">
        <v>12415.001689999999</v>
      </c>
      <c r="G677">
        <v>1</v>
      </c>
      <c r="H677">
        <v>601</v>
      </c>
      <c r="I677">
        <v>25.618073320000001</v>
      </c>
      <c r="J677">
        <v>0.84499999999999997</v>
      </c>
      <c r="K677">
        <f t="shared" si="10"/>
        <v>5</v>
      </c>
      <c r="N677">
        <v>5</v>
      </c>
      <c r="O677">
        <v>5</v>
      </c>
    </row>
    <row r="678" spans="1:15" x14ac:dyDescent="0.2">
      <c r="A678" t="s">
        <v>2383</v>
      </c>
      <c r="B678">
        <v>9009350500</v>
      </c>
      <c r="C678" t="s">
        <v>2384</v>
      </c>
      <c r="D678">
        <v>2498</v>
      </c>
      <c r="E678">
        <v>0.31251843600000001</v>
      </c>
      <c r="F678">
        <v>7993.1284340000002</v>
      </c>
      <c r="G678">
        <v>1</v>
      </c>
      <c r="H678">
        <v>1205</v>
      </c>
      <c r="I678">
        <v>52.874067570000001</v>
      </c>
      <c r="J678">
        <v>1</v>
      </c>
      <c r="K678">
        <f t="shared" si="10"/>
        <v>5</v>
      </c>
      <c r="N678">
        <v>5</v>
      </c>
      <c r="O678">
        <v>5</v>
      </c>
    </row>
    <row r="679" spans="1:15" x14ac:dyDescent="0.2">
      <c r="A679" t="s">
        <v>2385</v>
      </c>
      <c r="B679">
        <v>9009350800</v>
      </c>
      <c r="C679" t="s">
        <v>2386</v>
      </c>
      <c r="D679">
        <v>5998</v>
      </c>
      <c r="E679">
        <v>0.42387841199999998</v>
      </c>
      <c r="F679">
        <v>14150.28422</v>
      </c>
      <c r="G679">
        <v>1</v>
      </c>
      <c r="H679">
        <v>758</v>
      </c>
      <c r="I679">
        <v>12.65653698</v>
      </c>
      <c r="J679">
        <v>0.59099999999999997</v>
      </c>
      <c r="K679">
        <f t="shared" si="10"/>
        <v>3</v>
      </c>
      <c r="N679">
        <v>4</v>
      </c>
      <c r="O679">
        <v>4</v>
      </c>
    </row>
    <row r="680" spans="1:15" x14ac:dyDescent="0.2">
      <c r="A680" t="s">
        <v>2387</v>
      </c>
      <c r="B680">
        <v>9009350900</v>
      </c>
      <c r="C680" t="s">
        <v>2388</v>
      </c>
      <c r="D680">
        <v>1987</v>
      </c>
      <c r="E680">
        <v>0.294017578</v>
      </c>
      <c r="F680">
        <v>6758.09933</v>
      </c>
      <c r="G680">
        <v>1</v>
      </c>
      <c r="H680">
        <v>262</v>
      </c>
      <c r="I680">
        <v>11.807120319999999</v>
      </c>
      <c r="J680">
        <v>0.54100000000000004</v>
      </c>
      <c r="K680">
        <f t="shared" si="10"/>
        <v>3</v>
      </c>
      <c r="N680">
        <v>3.5</v>
      </c>
      <c r="O680">
        <v>4</v>
      </c>
    </row>
    <row r="681" spans="1:15" x14ac:dyDescent="0.2">
      <c r="A681" t="s">
        <v>2389</v>
      </c>
      <c r="B681">
        <v>9009351000</v>
      </c>
      <c r="C681" t="s">
        <v>2390</v>
      </c>
      <c r="D681">
        <v>3678</v>
      </c>
      <c r="E681">
        <v>0.67972091000000001</v>
      </c>
      <c r="F681">
        <v>5411.0443660000001</v>
      </c>
      <c r="G681">
        <v>1</v>
      </c>
      <c r="H681">
        <v>689</v>
      </c>
      <c r="I681">
        <v>17.744012359999999</v>
      </c>
      <c r="J681">
        <v>0.71699999999999997</v>
      </c>
      <c r="K681">
        <f t="shared" si="10"/>
        <v>4</v>
      </c>
      <c r="N681">
        <v>4.5</v>
      </c>
      <c r="O681">
        <v>5</v>
      </c>
    </row>
    <row r="682" spans="1:15" x14ac:dyDescent="0.2">
      <c r="A682" t="s">
        <v>2391</v>
      </c>
      <c r="B682">
        <v>9009351100</v>
      </c>
      <c r="C682" t="s">
        <v>2392</v>
      </c>
      <c r="D682">
        <v>3928</v>
      </c>
      <c r="E682">
        <v>1.5363225620000001</v>
      </c>
      <c r="F682">
        <v>2556.7547450000002</v>
      </c>
      <c r="G682">
        <v>1</v>
      </c>
      <c r="H682">
        <v>1310</v>
      </c>
      <c r="I682">
        <v>34.582893349999999</v>
      </c>
      <c r="J682">
        <v>0.96499999999999997</v>
      </c>
      <c r="K682">
        <f t="shared" si="10"/>
        <v>5</v>
      </c>
      <c r="N682">
        <v>5</v>
      </c>
      <c r="O682">
        <v>5</v>
      </c>
    </row>
    <row r="683" spans="1:15" x14ac:dyDescent="0.2">
      <c r="A683" t="s">
        <v>2393</v>
      </c>
      <c r="B683">
        <v>9009351200</v>
      </c>
      <c r="C683" t="s">
        <v>2394</v>
      </c>
      <c r="D683">
        <v>3862</v>
      </c>
      <c r="E683">
        <v>0.69791095599999997</v>
      </c>
      <c r="F683">
        <v>5533.6572230000002</v>
      </c>
      <c r="G683">
        <v>1</v>
      </c>
      <c r="H683">
        <v>986</v>
      </c>
      <c r="I683">
        <v>24.64383904</v>
      </c>
      <c r="J683">
        <v>0.83199999999999996</v>
      </c>
      <c r="K683">
        <f t="shared" si="10"/>
        <v>5</v>
      </c>
      <c r="N683">
        <v>5</v>
      </c>
      <c r="O683">
        <v>5</v>
      </c>
    </row>
    <row r="684" spans="1:15" x14ac:dyDescent="0.2">
      <c r="A684" t="s">
        <v>2395</v>
      </c>
      <c r="B684">
        <v>9009351300</v>
      </c>
      <c r="C684" t="s">
        <v>2396</v>
      </c>
      <c r="D684">
        <v>5535</v>
      </c>
      <c r="E684">
        <v>0.87473146599999996</v>
      </c>
      <c r="F684">
        <v>6327.6562190000004</v>
      </c>
      <c r="G684">
        <v>1</v>
      </c>
      <c r="H684">
        <v>1642</v>
      </c>
      <c r="I684">
        <v>30.29520295</v>
      </c>
      <c r="J684">
        <v>0.92200000000000004</v>
      </c>
      <c r="K684">
        <f t="shared" si="10"/>
        <v>5</v>
      </c>
      <c r="N684">
        <v>5</v>
      </c>
      <c r="O684">
        <v>5</v>
      </c>
    </row>
    <row r="685" spans="1:15" x14ac:dyDescent="0.2">
      <c r="A685" t="s">
        <v>2397</v>
      </c>
      <c r="B685">
        <v>9009351400</v>
      </c>
      <c r="C685" t="s">
        <v>2398</v>
      </c>
      <c r="D685">
        <v>4352</v>
      </c>
      <c r="E685">
        <v>0.43980280999999999</v>
      </c>
      <c r="F685">
        <v>9895.3437819999999</v>
      </c>
      <c r="G685">
        <v>1</v>
      </c>
      <c r="H685">
        <v>1552</v>
      </c>
      <c r="I685">
        <v>36.698983210000002</v>
      </c>
      <c r="J685">
        <v>0.97099999999999997</v>
      </c>
      <c r="K685">
        <f t="shared" si="10"/>
        <v>5</v>
      </c>
      <c r="N685">
        <v>5</v>
      </c>
      <c r="O685">
        <v>5</v>
      </c>
    </row>
    <row r="686" spans="1:15" x14ac:dyDescent="0.2">
      <c r="A686" t="s">
        <v>2399</v>
      </c>
      <c r="B686">
        <v>9009351500</v>
      </c>
      <c r="C686" t="s">
        <v>2400</v>
      </c>
      <c r="D686">
        <v>4915</v>
      </c>
      <c r="E686">
        <v>1.0825876409999999</v>
      </c>
      <c r="F686">
        <v>4540.0481330000002</v>
      </c>
      <c r="G686">
        <v>1</v>
      </c>
      <c r="H686">
        <v>1268</v>
      </c>
      <c r="I686">
        <v>25.610987680000001</v>
      </c>
      <c r="J686">
        <v>0.86399999999999999</v>
      </c>
      <c r="K686">
        <f t="shared" si="10"/>
        <v>5</v>
      </c>
      <c r="N686">
        <v>4.5</v>
      </c>
      <c r="O686">
        <v>5</v>
      </c>
    </row>
    <row r="687" spans="1:15" x14ac:dyDescent="0.2">
      <c r="A687" t="s">
        <v>2401</v>
      </c>
      <c r="B687">
        <v>9009351601</v>
      </c>
      <c r="C687" t="s">
        <v>2402</v>
      </c>
      <c r="D687">
        <v>3281</v>
      </c>
      <c r="E687">
        <v>0.44680014000000001</v>
      </c>
      <c r="F687">
        <v>7343.3280549999999</v>
      </c>
      <c r="G687">
        <v>1</v>
      </c>
      <c r="H687">
        <v>306</v>
      </c>
      <c r="I687">
        <v>9.9804305279999994</v>
      </c>
      <c r="J687">
        <v>0.48899999999999999</v>
      </c>
      <c r="K687">
        <f t="shared" si="10"/>
        <v>3</v>
      </c>
      <c r="N687">
        <v>4</v>
      </c>
      <c r="O687">
        <v>4</v>
      </c>
    </row>
    <row r="688" spans="1:15" x14ac:dyDescent="0.2">
      <c r="A688" t="s">
        <v>2403</v>
      </c>
      <c r="B688">
        <v>9009351602</v>
      </c>
      <c r="C688" t="s">
        <v>2404</v>
      </c>
      <c r="D688">
        <v>6221</v>
      </c>
      <c r="E688">
        <v>1.612925234</v>
      </c>
      <c r="F688">
        <v>3856.9673720000001</v>
      </c>
      <c r="G688">
        <v>1</v>
      </c>
      <c r="H688">
        <v>303</v>
      </c>
      <c r="I688">
        <v>3.9894667539999999</v>
      </c>
      <c r="J688">
        <v>0.13700000000000001</v>
      </c>
      <c r="K688">
        <f t="shared" si="10"/>
        <v>1</v>
      </c>
      <c r="N688">
        <v>2.5</v>
      </c>
      <c r="O688">
        <v>3</v>
      </c>
    </row>
    <row r="689" spans="1:15" x14ac:dyDescent="0.2">
      <c r="A689" t="s">
        <v>2405</v>
      </c>
      <c r="B689">
        <v>9009351700</v>
      </c>
      <c r="C689" t="s">
        <v>2406</v>
      </c>
      <c r="D689">
        <v>2717</v>
      </c>
      <c r="E689">
        <v>0.252554838</v>
      </c>
      <c r="F689">
        <v>10758.059600000001</v>
      </c>
      <c r="G689">
        <v>1</v>
      </c>
      <c r="H689">
        <v>281</v>
      </c>
      <c r="I689">
        <v>9.0645161289999994</v>
      </c>
      <c r="J689">
        <v>0.45200000000000001</v>
      </c>
      <c r="K689">
        <f t="shared" si="10"/>
        <v>3</v>
      </c>
      <c r="N689">
        <v>4</v>
      </c>
      <c r="O689">
        <v>4</v>
      </c>
    </row>
    <row r="690" spans="1:15" x14ac:dyDescent="0.2">
      <c r="A690" t="s">
        <v>2407</v>
      </c>
      <c r="B690">
        <v>9009351800</v>
      </c>
      <c r="C690" t="s">
        <v>2408</v>
      </c>
      <c r="D690">
        <v>4252</v>
      </c>
      <c r="E690">
        <v>1.7574718490000001</v>
      </c>
      <c r="F690">
        <v>2419.3844140000001</v>
      </c>
      <c r="G690">
        <v>1</v>
      </c>
      <c r="H690">
        <v>383</v>
      </c>
      <c r="I690">
        <v>10.05513258</v>
      </c>
      <c r="J690">
        <v>0.48499999999999999</v>
      </c>
      <c r="K690">
        <f t="shared" si="10"/>
        <v>3</v>
      </c>
      <c r="N690">
        <v>4</v>
      </c>
      <c r="O690">
        <v>4</v>
      </c>
    </row>
    <row r="691" spans="1:15" x14ac:dyDescent="0.2">
      <c r="A691" t="s">
        <v>2409</v>
      </c>
      <c r="B691">
        <v>9009351900</v>
      </c>
      <c r="C691" t="s">
        <v>2410</v>
      </c>
      <c r="D691">
        <v>2456</v>
      </c>
      <c r="E691">
        <v>2.5294885539999998</v>
      </c>
      <c r="F691">
        <v>970.94726779999996</v>
      </c>
      <c r="G691">
        <v>1</v>
      </c>
      <c r="H691">
        <v>366</v>
      </c>
      <c r="I691">
        <v>16.37583893</v>
      </c>
      <c r="J691">
        <v>0.71099999999999997</v>
      </c>
      <c r="K691">
        <f t="shared" si="10"/>
        <v>4</v>
      </c>
      <c r="N691">
        <v>3.5</v>
      </c>
      <c r="O691">
        <v>4</v>
      </c>
    </row>
    <row r="692" spans="1:15" x14ac:dyDescent="0.2">
      <c r="A692" t="s">
        <v>2411</v>
      </c>
      <c r="B692">
        <v>9009352000</v>
      </c>
      <c r="C692" t="s">
        <v>2412</v>
      </c>
      <c r="D692">
        <v>4920</v>
      </c>
      <c r="E692">
        <v>1.7420107739999999</v>
      </c>
      <c r="F692">
        <v>2824.3223720000001</v>
      </c>
      <c r="G692">
        <v>1</v>
      </c>
      <c r="H692">
        <v>579</v>
      </c>
      <c r="I692">
        <v>12.644682250000001</v>
      </c>
      <c r="J692">
        <v>0.60399999999999998</v>
      </c>
      <c r="K692">
        <f t="shared" si="10"/>
        <v>4</v>
      </c>
      <c r="N692">
        <v>3.5</v>
      </c>
      <c r="O692">
        <v>4</v>
      </c>
    </row>
    <row r="693" spans="1:15" x14ac:dyDescent="0.2">
      <c r="A693" t="s">
        <v>2413</v>
      </c>
      <c r="B693">
        <v>9009352100</v>
      </c>
      <c r="C693" t="s">
        <v>2414</v>
      </c>
      <c r="D693">
        <v>4253</v>
      </c>
      <c r="E693">
        <v>0.75577454399999999</v>
      </c>
      <c r="F693">
        <v>5627.3395719999999</v>
      </c>
      <c r="G693">
        <v>1</v>
      </c>
      <c r="H693">
        <v>302</v>
      </c>
      <c r="I693">
        <v>7.0908664010000004</v>
      </c>
      <c r="J693">
        <v>0.35299999999999998</v>
      </c>
      <c r="K693">
        <f t="shared" si="10"/>
        <v>2</v>
      </c>
      <c r="N693">
        <v>3</v>
      </c>
      <c r="O693">
        <v>3</v>
      </c>
    </row>
    <row r="694" spans="1:15" x14ac:dyDescent="0.2">
      <c r="A694" t="s">
        <v>2415</v>
      </c>
      <c r="B694">
        <v>9009352200</v>
      </c>
      <c r="C694" t="s">
        <v>2416</v>
      </c>
      <c r="D694">
        <v>2689</v>
      </c>
      <c r="E694">
        <v>0.73173234799999998</v>
      </c>
      <c r="F694">
        <v>3674.8409550000001</v>
      </c>
      <c r="G694">
        <v>1</v>
      </c>
      <c r="H694">
        <v>411</v>
      </c>
      <c r="I694">
        <v>15.1604574</v>
      </c>
      <c r="J694">
        <v>0.65900000000000003</v>
      </c>
      <c r="K694">
        <f t="shared" si="10"/>
        <v>4</v>
      </c>
      <c r="N694">
        <v>4.5</v>
      </c>
      <c r="O694">
        <v>5</v>
      </c>
    </row>
    <row r="695" spans="1:15" x14ac:dyDescent="0.2">
      <c r="A695" t="s">
        <v>2417</v>
      </c>
      <c r="B695">
        <v>9009352300</v>
      </c>
      <c r="C695" t="s">
        <v>2418</v>
      </c>
      <c r="D695">
        <v>2815</v>
      </c>
      <c r="E695">
        <v>2.540453855</v>
      </c>
      <c r="F695">
        <v>1108.0697230000001</v>
      </c>
      <c r="G695">
        <v>1</v>
      </c>
      <c r="H695">
        <v>130</v>
      </c>
      <c r="I695">
        <v>4.9599389550000001</v>
      </c>
      <c r="J695">
        <v>0.22900000000000001</v>
      </c>
      <c r="K695">
        <f t="shared" si="10"/>
        <v>2</v>
      </c>
      <c r="N695">
        <v>3.5</v>
      </c>
      <c r="O695">
        <v>4</v>
      </c>
    </row>
    <row r="696" spans="1:15" x14ac:dyDescent="0.2">
      <c r="A696" t="s">
        <v>2419</v>
      </c>
      <c r="B696">
        <v>9009352400</v>
      </c>
      <c r="C696" t="s">
        <v>2420</v>
      </c>
      <c r="D696">
        <v>3437</v>
      </c>
      <c r="E696">
        <v>1.67018187</v>
      </c>
      <c r="F696">
        <v>2057.859723</v>
      </c>
      <c r="G696">
        <v>1</v>
      </c>
      <c r="H696">
        <v>587</v>
      </c>
      <c r="I696">
        <v>15.541435</v>
      </c>
      <c r="J696">
        <v>0.67600000000000005</v>
      </c>
      <c r="K696">
        <f t="shared" si="10"/>
        <v>4</v>
      </c>
      <c r="N696">
        <v>4.5</v>
      </c>
      <c r="O696">
        <v>5</v>
      </c>
    </row>
    <row r="697" spans="1:15" x14ac:dyDescent="0.2">
      <c r="A697" t="s">
        <v>2421</v>
      </c>
      <c r="B697">
        <v>9009352500</v>
      </c>
      <c r="C697" t="s">
        <v>2422</v>
      </c>
      <c r="D697">
        <v>2731</v>
      </c>
      <c r="E697">
        <v>1.27931558</v>
      </c>
      <c r="F697">
        <v>2134.7352000000001</v>
      </c>
      <c r="G697">
        <v>1</v>
      </c>
      <c r="H697">
        <v>284</v>
      </c>
      <c r="I697">
        <v>8.5234093640000008</v>
      </c>
      <c r="J697">
        <v>0.441</v>
      </c>
      <c r="K697">
        <f t="shared" si="10"/>
        <v>3</v>
      </c>
      <c r="N697">
        <v>4</v>
      </c>
      <c r="O697">
        <v>4</v>
      </c>
    </row>
    <row r="698" spans="1:15" x14ac:dyDescent="0.2">
      <c r="A698" t="s">
        <v>2423</v>
      </c>
      <c r="B698">
        <v>9009352600</v>
      </c>
      <c r="C698" t="s">
        <v>2424</v>
      </c>
      <c r="D698">
        <v>5395</v>
      </c>
      <c r="E698">
        <v>0.87557394099999997</v>
      </c>
      <c r="F698">
        <v>6161.6726449999996</v>
      </c>
      <c r="G698">
        <v>1</v>
      </c>
      <c r="H698">
        <v>574</v>
      </c>
      <c r="I698">
        <v>11.32820209</v>
      </c>
      <c r="J698">
        <v>0.54600000000000004</v>
      </c>
      <c r="K698">
        <f t="shared" si="10"/>
        <v>3</v>
      </c>
      <c r="N698">
        <v>4</v>
      </c>
      <c r="O698">
        <v>4</v>
      </c>
    </row>
    <row r="699" spans="1:15" x14ac:dyDescent="0.2">
      <c r="A699" t="s">
        <v>2425</v>
      </c>
      <c r="B699">
        <v>9009352701</v>
      </c>
      <c r="C699" t="s">
        <v>2426</v>
      </c>
      <c r="D699">
        <v>3386</v>
      </c>
      <c r="E699">
        <v>1.1184044099999999</v>
      </c>
      <c r="F699">
        <v>3027.5274049999998</v>
      </c>
      <c r="G699">
        <v>1</v>
      </c>
      <c r="H699">
        <v>570</v>
      </c>
      <c r="I699">
        <v>18.955769870000001</v>
      </c>
      <c r="J699">
        <v>0.77100000000000002</v>
      </c>
      <c r="K699">
        <f t="shared" si="10"/>
        <v>4</v>
      </c>
      <c r="N699">
        <v>4.5</v>
      </c>
      <c r="O699">
        <v>5</v>
      </c>
    </row>
    <row r="700" spans="1:15" x14ac:dyDescent="0.2">
      <c r="A700" t="s">
        <v>2427</v>
      </c>
      <c r="B700">
        <v>9009352702</v>
      </c>
      <c r="C700" t="s">
        <v>2428</v>
      </c>
      <c r="D700">
        <v>5852</v>
      </c>
      <c r="E700">
        <v>1.1099846790000001</v>
      </c>
      <c r="F700">
        <v>5272.1448399999999</v>
      </c>
      <c r="G700">
        <v>1</v>
      </c>
      <c r="H700">
        <v>963</v>
      </c>
      <c r="I700">
        <v>18.497887049999999</v>
      </c>
      <c r="J700">
        <v>0.753</v>
      </c>
      <c r="K700">
        <f t="shared" si="10"/>
        <v>4</v>
      </c>
      <c r="N700">
        <v>4</v>
      </c>
      <c r="O700">
        <v>4</v>
      </c>
    </row>
    <row r="701" spans="1:15" x14ac:dyDescent="0.2">
      <c r="A701" t="s">
        <v>2429</v>
      </c>
      <c r="B701">
        <v>9009352800</v>
      </c>
      <c r="C701" t="s">
        <v>2430</v>
      </c>
      <c r="D701">
        <v>6545</v>
      </c>
      <c r="E701">
        <v>2.6626455409999998</v>
      </c>
      <c r="F701">
        <v>2458.0815950000001</v>
      </c>
      <c r="G701">
        <v>1</v>
      </c>
      <c r="H701">
        <v>2118</v>
      </c>
      <c r="I701">
        <v>33.936869090000002</v>
      </c>
      <c r="J701">
        <v>0.96</v>
      </c>
      <c r="K701">
        <f t="shared" si="10"/>
        <v>5</v>
      </c>
      <c r="N701">
        <v>5</v>
      </c>
      <c r="O701">
        <v>5</v>
      </c>
    </row>
    <row r="702" spans="1:15" x14ac:dyDescent="0.2">
      <c r="A702" t="s">
        <v>2431</v>
      </c>
      <c r="B702">
        <v>9009361100</v>
      </c>
      <c r="C702" t="s">
        <v>2432</v>
      </c>
      <c r="D702">
        <v>6503</v>
      </c>
      <c r="E702">
        <v>9.3128593649999996</v>
      </c>
      <c r="F702">
        <v>698.28177849999997</v>
      </c>
      <c r="G702">
        <v>1</v>
      </c>
      <c r="H702">
        <v>423</v>
      </c>
      <c r="I702">
        <v>6.3637731310000003</v>
      </c>
      <c r="J702">
        <v>0.33800000000000002</v>
      </c>
      <c r="K702">
        <f t="shared" si="10"/>
        <v>2</v>
      </c>
      <c r="N702">
        <v>2.5</v>
      </c>
      <c r="O702">
        <v>3</v>
      </c>
    </row>
    <row r="703" spans="1:15" x14ac:dyDescent="0.2">
      <c r="A703" t="s">
        <v>2433</v>
      </c>
      <c r="B703">
        <v>9009361200</v>
      </c>
      <c r="C703" t="s">
        <v>2434</v>
      </c>
      <c r="D703">
        <v>5524</v>
      </c>
      <c r="E703">
        <v>3.7408709999999998</v>
      </c>
      <c r="F703">
        <v>1476.6614509999999</v>
      </c>
      <c r="G703">
        <v>1</v>
      </c>
      <c r="H703">
        <v>339</v>
      </c>
      <c r="I703">
        <v>6.0074428500000003</v>
      </c>
      <c r="J703">
        <v>0.29199999999999998</v>
      </c>
      <c r="K703">
        <f t="shared" si="10"/>
        <v>2</v>
      </c>
      <c r="N703">
        <v>2.5</v>
      </c>
      <c r="O703">
        <v>3</v>
      </c>
    </row>
    <row r="704" spans="1:15" x14ac:dyDescent="0.2">
      <c r="A704" t="s">
        <v>2435</v>
      </c>
      <c r="B704">
        <v>9009361300</v>
      </c>
      <c r="C704" t="s">
        <v>2436</v>
      </c>
      <c r="D704">
        <v>4653</v>
      </c>
      <c r="E704">
        <v>7.380804081</v>
      </c>
      <c r="F704">
        <v>630.41911819999996</v>
      </c>
      <c r="G704">
        <v>1</v>
      </c>
      <c r="H704">
        <v>147</v>
      </c>
      <c r="I704">
        <v>3.398843931</v>
      </c>
      <c r="J704">
        <v>9.8000000000000004E-2</v>
      </c>
      <c r="K704">
        <f t="shared" si="10"/>
        <v>1</v>
      </c>
      <c r="N704">
        <v>1.5</v>
      </c>
      <c r="O704">
        <v>2</v>
      </c>
    </row>
    <row r="705" spans="1:15" x14ac:dyDescent="0.2">
      <c r="A705" t="s">
        <v>2437</v>
      </c>
      <c r="B705">
        <v>9009361401</v>
      </c>
      <c r="C705" t="s">
        <v>2438</v>
      </c>
      <c r="D705">
        <v>4933</v>
      </c>
      <c r="E705">
        <v>0.163999215</v>
      </c>
      <c r="F705">
        <v>30079.412189999999</v>
      </c>
      <c r="G705">
        <v>1</v>
      </c>
      <c r="H705">
        <v>1163</v>
      </c>
      <c r="I705">
        <v>30.710324799999999</v>
      </c>
      <c r="J705">
        <v>0.95</v>
      </c>
      <c r="K705">
        <f t="shared" si="10"/>
        <v>5</v>
      </c>
      <c r="N705">
        <v>5</v>
      </c>
      <c r="O705">
        <v>5</v>
      </c>
    </row>
    <row r="706" spans="1:15" x14ac:dyDescent="0.2">
      <c r="A706" t="s">
        <v>2439</v>
      </c>
      <c r="B706">
        <v>9009361402</v>
      </c>
      <c r="C706" t="s">
        <v>2440</v>
      </c>
      <c r="D706">
        <v>3367</v>
      </c>
      <c r="E706">
        <v>0.29782454600000002</v>
      </c>
      <c r="F706">
        <v>11305.313969999999</v>
      </c>
      <c r="G706">
        <v>1</v>
      </c>
      <c r="H706">
        <v>806</v>
      </c>
      <c r="I706">
        <v>29.319752640000001</v>
      </c>
      <c r="J706">
        <v>0.92500000000000004</v>
      </c>
      <c r="K706">
        <f t="shared" si="10"/>
        <v>5</v>
      </c>
      <c r="N706">
        <v>4.5</v>
      </c>
      <c r="O706">
        <v>5</v>
      </c>
    </row>
    <row r="707" spans="1:15" x14ac:dyDescent="0.2">
      <c r="A707" t="s">
        <v>2441</v>
      </c>
      <c r="B707">
        <v>9009361500</v>
      </c>
      <c r="C707" t="s">
        <v>2442</v>
      </c>
      <c r="D707">
        <v>7607</v>
      </c>
      <c r="E707">
        <v>1.173429375</v>
      </c>
      <c r="F707">
        <v>6482.7080029999997</v>
      </c>
      <c r="G707">
        <v>1</v>
      </c>
      <c r="H707">
        <v>1699</v>
      </c>
      <c r="I707">
        <v>22.258613910000001</v>
      </c>
      <c r="J707">
        <v>0.84</v>
      </c>
      <c r="K707">
        <f t="shared" ref="K707:K770" si="11">IF(J707&lt;0.2,1,IF(J707&lt;0.4,2,IF(J707&lt;0.6,3,IF(J707&lt;0.8,4,5))))</f>
        <v>5</v>
      </c>
      <c r="N707">
        <v>4.5</v>
      </c>
      <c r="O707">
        <v>5</v>
      </c>
    </row>
    <row r="708" spans="1:15" x14ac:dyDescent="0.2">
      <c r="A708" t="s">
        <v>2443</v>
      </c>
      <c r="B708">
        <v>9011650100</v>
      </c>
      <c r="C708" t="s">
        <v>2444</v>
      </c>
      <c r="D708">
        <v>2406</v>
      </c>
      <c r="E708">
        <v>31.840444430000002</v>
      </c>
      <c r="F708">
        <v>75.564271880000007</v>
      </c>
      <c r="G708">
        <v>2</v>
      </c>
      <c r="H708">
        <v>67</v>
      </c>
      <c r="I708">
        <v>2.6810724289999999</v>
      </c>
      <c r="J708">
        <v>2.5000000000000001E-2</v>
      </c>
      <c r="K708">
        <f t="shared" si="11"/>
        <v>1</v>
      </c>
      <c r="N708">
        <v>1.5</v>
      </c>
      <c r="O708">
        <v>2</v>
      </c>
    </row>
    <row r="709" spans="1:15" x14ac:dyDescent="0.2">
      <c r="A709" t="s">
        <v>2445</v>
      </c>
      <c r="B709">
        <v>9011660101</v>
      </c>
      <c r="C709" t="s">
        <v>2446</v>
      </c>
      <c r="D709">
        <v>3356</v>
      </c>
      <c r="E709">
        <v>11.33900736</v>
      </c>
      <c r="F709">
        <v>295.96947010000002</v>
      </c>
      <c r="G709">
        <v>1</v>
      </c>
      <c r="H709">
        <v>155</v>
      </c>
      <c r="I709">
        <v>4.7957920789999999</v>
      </c>
      <c r="J709">
        <v>0.20499999999999999</v>
      </c>
      <c r="K709">
        <f t="shared" si="11"/>
        <v>2</v>
      </c>
      <c r="N709">
        <v>2</v>
      </c>
      <c r="O709">
        <v>2</v>
      </c>
    </row>
    <row r="710" spans="1:15" x14ac:dyDescent="0.2">
      <c r="A710" t="s">
        <v>2447</v>
      </c>
      <c r="B710">
        <v>9011660102</v>
      </c>
      <c r="C710" t="s">
        <v>2448</v>
      </c>
      <c r="D710">
        <v>4247</v>
      </c>
      <c r="E710">
        <v>11.67637727</v>
      </c>
      <c r="F710">
        <v>363.72582899999998</v>
      </c>
      <c r="G710">
        <v>1</v>
      </c>
      <c r="H710">
        <v>138</v>
      </c>
      <c r="I710">
        <v>3.314121037</v>
      </c>
      <c r="J710">
        <v>7.6999999999999999E-2</v>
      </c>
      <c r="K710">
        <f t="shared" si="11"/>
        <v>1</v>
      </c>
      <c r="N710">
        <v>2</v>
      </c>
      <c r="O710">
        <v>2</v>
      </c>
    </row>
    <row r="711" spans="1:15" x14ac:dyDescent="0.2">
      <c r="A711" t="s">
        <v>2449</v>
      </c>
      <c r="B711">
        <v>9011690300</v>
      </c>
      <c r="C711" t="s">
        <v>2450</v>
      </c>
      <c r="D711">
        <v>6280</v>
      </c>
      <c r="E711">
        <v>1.423164509</v>
      </c>
      <c r="F711">
        <v>4412.7013850000003</v>
      </c>
      <c r="G711">
        <v>1</v>
      </c>
      <c r="H711">
        <v>2160</v>
      </c>
      <c r="I711">
        <v>34.263959389999997</v>
      </c>
      <c r="J711">
        <v>0.96499999999999997</v>
      </c>
      <c r="K711">
        <f t="shared" si="11"/>
        <v>5</v>
      </c>
      <c r="N711">
        <v>5</v>
      </c>
      <c r="O711">
        <v>5</v>
      </c>
    </row>
    <row r="712" spans="1:15" x14ac:dyDescent="0.2">
      <c r="A712" t="s">
        <v>2451</v>
      </c>
      <c r="B712">
        <v>9011690400</v>
      </c>
      <c r="C712" t="s">
        <v>2452</v>
      </c>
      <c r="D712">
        <v>2055</v>
      </c>
      <c r="E712">
        <v>0.18917616600000001</v>
      </c>
      <c r="F712">
        <v>10862.89062</v>
      </c>
      <c r="G712">
        <v>1</v>
      </c>
      <c r="H712">
        <v>849</v>
      </c>
      <c r="I712">
        <v>41.843272550000002</v>
      </c>
      <c r="J712">
        <v>1</v>
      </c>
      <c r="K712">
        <f t="shared" si="11"/>
        <v>5</v>
      </c>
      <c r="N712">
        <v>5</v>
      </c>
      <c r="O712">
        <v>5</v>
      </c>
    </row>
    <row r="713" spans="1:15" x14ac:dyDescent="0.2">
      <c r="A713" t="s">
        <v>2453</v>
      </c>
      <c r="B713">
        <v>9011690500</v>
      </c>
      <c r="C713" t="s">
        <v>2454</v>
      </c>
      <c r="D713">
        <v>2827</v>
      </c>
      <c r="E713">
        <v>0.37402142399999999</v>
      </c>
      <c r="F713">
        <v>7558.3905580000001</v>
      </c>
      <c r="G713">
        <v>1</v>
      </c>
      <c r="H713">
        <v>776</v>
      </c>
      <c r="I713">
        <v>30.124223600000001</v>
      </c>
      <c r="J713">
        <v>0.94599999999999995</v>
      </c>
      <c r="K713">
        <f t="shared" si="11"/>
        <v>5</v>
      </c>
      <c r="N713">
        <v>5</v>
      </c>
      <c r="O713">
        <v>5</v>
      </c>
    </row>
    <row r="714" spans="1:15" x14ac:dyDescent="0.2">
      <c r="A714" t="s">
        <v>2455</v>
      </c>
      <c r="B714">
        <v>9011690700</v>
      </c>
      <c r="C714" t="s">
        <v>2456</v>
      </c>
      <c r="D714">
        <v>1295</v>
      </c>
      <c r="E714">
        <v>0.389669759</v>
      </c>
      <c r="F714">
        <v>3323.3269190000001</v>
      </c>
      <c r="G714">
        <v>1</v>
      </c>
      <c r="H714">
        <v>268</v>
      </c>
      <c r="I714">
        <v>21.788617890000001</v>
      </c>
      <c r="J714">
        <v>0.85699999999999998</v>
      </c>
      <c r="K714">
        <f t="shared" si="11"/>
        <v>5</v>
      </c>
      <c r="N714">
        <v>5</v>
      </c>
      <c r="O714">
        <v>5</v>
      </c>
    </row>
    <row r="715" spans="1:15" x14ac:dyDescent="0.2">
      <c r="A715" t="s">
        <v>2457</v>
      </c>
      <c r="B715">
        <v>9011690800</v>
      </c>
      <c r="C715" t="s">
        <v>2458</v>
      </c>
      <c r="D715">
        <v>3345</v>
      </c>
      <c r="E715">
        <v>0.47782653800000002</v>
      </c>
      <c r="F715">
        <v>7000.4483479999999</v>
      </c>
      <c r="G715">
        <v>1</v>
      </c>
      <c r="H715">
        <v>968</v>
      </c>
      <c r="I715">
        <v>28.912783749999999</v>
      </c>
      <c r="J715">
        <v>0.93600000000000005</v>
      </c>
      <c r="K715">
        <f t="shared" si="11"/>
        <v>5</v>
      </c>
      <c r="N715">
        <v>4.5</v>
      </c>
      <c r="O715">
        <v>5</v>
      </c>
    </row>
    <row r="716" spans="1:15" x14ac:dyDescent="0.2">
      <c r="A716" t="s">
        <v>2459</v>
      </c>
      <c r="B716">
        <v>9011690900</v>
      </c>
      <c r="C716" t="s">
        <v>2460</v>
      </c>
      <c r="D716">
        <v>5156</v>
      </c>
      <c r="E716">
        <v>1.2470845420000001</v>
      </c>
      <c r="F716">
        <v>4134.4430339999999</v>
      </c>
      <c r="G716">
        <v>1</v>
      </c>
      <c r="H716">
        <v>1089</v>
      </c>
      <c r="I716">
        <v>21.650099399999998</v>
      </c>
      <c r="J716">
        <v>0.86299999999999999</v>
      </c>
      <c r="K716">
        <f t="shared" si="11"/>
        <v>5</v>
      </c>
      <c r="N716">
        <v>4.5</v>
      </c>
      <c r="O716">
        <v>5</v>
      </c>
    </row>
    <row r="717" spans="1:15" x14ac:dyDescent="0.2">
      <c r="A717" t="s">
        <v>2461</v>
      </c>
      <c r="B717">
        <v>9011693300</v>
      </c>
      <c r="C717" t="s">
        <v>2462</v>
      </c>
      <c r="D717">
        <v>5752</v>
      </c>
      <c r="E717">
        <v>6.888018014</v>
      </c>
      <c r="F717">
        <v>835.07330969999998</v>
      </c>
      <c r="G717">
        <v>1</v>
      </c>
      <c r="H717">
        <v>675</v>
      </c>
      <c r="I717">
        <v>12.43093923</v>
      </c>
      <c r="J717">
        <v>0.623</v>
      </c>
      <c r="K717">
        <f t="shared" si="11"/>
        <v>4</v>
      </c>
      <c r="N717">
        <v>3.5</v>
      </c>
      <c r="O717">
        <v>4</v>
      </c>
    </row>
    <row r="718" spans="1:15" x14ac:dyDescent="0.2">
      <c r="A718" t="s">
        <v>2463</v>
      </c>
      <c r="B718">
        <v>9011693400</v>
      </c>
      <c r="C718" t="s">
        <v>2464</v>
      </c>
      <c r="D718">
        <v>4099</v>
      </c>
      <c r="E718">
        <v>3.1059356259999999</v>
      </c>
      <c r="F718">
        <v>1319.7311520000001</v>
      </c>
      <c r="G718">
        <v>1</v>
      </c>
      <c r="H718">
        <v>443</v>
      </c>
      <c r="I718">
        <v>10.976214069999999</v>
      </c>
      <c r="J718">
        <v>0.57399999999999995</v>
      </c>
      <c r="K718">
        <f t="shared" si="11"/>
        <v>3</v>
      </c>
      <c r="N718">
        <v>3.5</v>
      </c>
      <c r="O718">
        <v>4</v>
      </c>
    </row>
    <row r="719" spans="1:15" x14ac:dyDescent="0.2">
      <c r="A719" t="s">
        <v>2465</v>
      </c>
      <c r="B719">
        <v>9011693500</v>
      </c>
      <c r="C719" t="s">
        <v>2466</v>
      </c>
      <c r="D719">
        <v>3528</v>
      </c>
      <c r="E719">
        <v>5.0497550569999996</v>
      </c>
      <c r="F719">
        <v>698.64774829999999</v>
      </c>
      <c r="G719">
        <v>1</v>
      </c>
      <c r="H719">
        <v>115</v>
      </c>
      <c r="I719">
        <v>3.3372025540000001</v>
      </c>
      <c r="J719">
        <v>8.4000000000000005E-2</v>
      </c>
      <c r="K719">
        <f t="shared" si="11"/>
        <v>1</v>
      </c>
      <c r="N719">
        <v>1.5</v>
      </c>
      <c r="O719">
        <v>2</v>
      </c>
    </row>
    <row r="720" spans="1:15" x14ac:dyDescent="0.2">
      <c r="A720" t="s">
        <v>2467</v>
      </c>
      <c r="B720">
        <v>9011693600</v>
      </c>
      <c r="C720" t="s">
        <v>2468</v>
      </c>
      <c r="D720">
        <v>2805</v>
      </c>
      <c r="E720">
        <v>4.3256296939999999</v>
      </c>
      <c r="F720">
        <v>648.46050130000003</v>
      </c>
      <c r="G720">
        <v>1</v>
      </c>
      <c r="H720">
        <v>203</v>
      </c>
      <c r="I720">
        <v>6.9783430729999996</v>
      </c>
      <c r="J720">
        <v>0.34899999999999998</v>
      </c>
      <c r="K720">
        <f t="shared" si="11"/>
        <v>2</v>
      </c>
      <c r="N720">
        <v>2.5</v>
      </c>
      <c r="O720">
        <v>3</v>
      </c>
    </row>
    <row r="721" spans="1:15" x14ac:dyDescent="0.2">
      <c r="A721" t="s">
        <v>2469</v>
      </c>
      <c r="B721">
        <v>9011693700</v>
      </c>
      <c r="C721" t="s">
        <v>2470</v>
      </c>
      <c r="D721">
        <v>3333</v>
      </c>
      <c r="E721">
        <v>13.39833466</v>
      </c>
      <c r="F721">
        <v>248.76225919999999</v>
      </c>
      <c r="G721">
        <v>1</v>
      </c>
      <c r="H721">
        <v>393</v>
      </c>
      <c r="I721">
        <v>12.62042389</v>
      </c>
      <c r="J721">
        <v>0.628</v>
      </c>
      <c r="K721">
        <f t="shared" si="11"/>
        <v>4</v>
      </c>
      <c r="N721">
        <v>3.5</v>
      </c>
      <c r="O721">
        <v>4</v>
      </c>
    </row>
    <row r="722" spans="1:15" x14ac:dyDescent="0.2">
      <c r="A722" t="s">
        <v>2471</v>
      </c>
      <c r="B722">
        <v>9011695201</v>
      </c>
      <c r="C722" t="s">
        <v>2472</v>
      </c>
      <c r="D722">
        <v>5266</v>
      </c>
      <c r="E722">
        <v>16.098248720000001</v>
      </c>
      <c r="F722">
        <v>327.11632750000001</v>
      </c>
      <c r="G722">
        <v>1</v>
      </c>
      <c r="H722">
        <v>438</v>
      </c>
      <c r="I722">
        <v>8.1549059770000003</v>
      </c>
      <c r="J722">
        <v>0.42299999999999999</v>
      </c>
      <c r="K722">
        <f t="shared" si="11"/>
        <v>3</v>
      </c>
      <c r="N722">
        <v>3.5</v>
      </c>
      <c r="O722">
        <v>4</v>
      </c>
    </row>
    <row r="723" spans="1:15" x14ac:dyDescent="0.2">
      <c r="A723" t="s">
        <v>2473</v>
      </c>
      <c r="B723">
        <v>9011695202</v>
      </c>
      <c r="C723" t="s">
        <v>2474</v>
      </c>
      <c r="D723">
        <v>6203</v>
      </c>
      <c r="E723">
        <v>17.439198560000001</v>
      </c>
      <c r="F723">
        <v>355.69295110000002</v>
      </c>
      <c r="G723">
        <v>1</v>
      </c>
      <c r="H723">
        <v>592</v>
      </c>
      <c r="I723">
        <v>10.89236431</v>
      </c>
      <c r="J723">
        <v>0.54300000000000004</v>
      </c>
      <c r="K723">
        <f t="shared" si="11"/>
        <v>3</v>
      </c>
      <c r="N723">
        <v>3.5</v>
      </c>
      <c r="O723">
        <v>4</v>
      </c>
    </row>
    <row r="724" spans="1:15" x14ac:dyDescent="0.2">
      <c r="A724" t="s">
        <v>2475</v>
      </c>
      <c r="B724">
        <v>9011696100</v>
      </c>
      <c r="C724" t="s">
        <v>2476</v>
      </c>
      <c r="D724">
        <v>4917</v>
      </c>
      <c r="E724">
        <v>3.2012935969999998</v>
      </c>
      <c r="F724">
        <v>1535.941597</v>
      </c>
      <c r="G724">
        <v>1</v>
      </c>
      <c r="H724">
        <v>741</v>
      </c>
      <c r="I724">
        <v>15.74920298</v>
      </c>
      <c r="J724">
        <v>0.72499999999999998</v>
      </c>
      <c r="K724">
        <f t="shared" si="11"/>
        <v>4</v>
      </c>
      <c r="N724">
        <v>4.5</v>
      </c>
      <c r="O724">
        <v>5</v>
      </c>
    </row>
    <row r="725" spans="1:15" x14ac:dyDescent="0.2">
      <c r="A725" t="s">
        <v>2477</v>
      </c>
      <c r="B725">
        <v>9011696200</v>
      </c>
      <c r="C725" t="s">
        <v>2478</v>
      </c>
      <c r="D725">
        <v>4813</v>
      </c>
      <c r="E725">
        <v>10.524493939999999</v>
      </c>
      <c r="F725">
        <v>457.31415019999997</v>
      </c>
      <c r="G725">
        <v>1</v>
      </c>
      <c r="H725">
        <v>926</v>
      </c>
      <c r="I725">
        <v>19.811724430000002</v>
      </c>
      <c r="J725">
        <v>0.83099999999999996</v>
      </c>
      <c r="K725">
        <f t="shared" si="11"/>
        <v>5</v>
      </c>
      <c r="N725">
        <v>4.5</v>
      </c>
      <c r="O725">
        <v>5</v>
      </c>
    </row>
    <row r="726" spans="1:15" x14ac:dyDescent="0.2">
      <c r="A726" t="s">
        <v>2479</v>
      </c>
      <c r="B726">
        <v>9011696300</v>
      </c>
      <c r="C726" t="s">
        <v>2480</v>
      </c>
      <c r="D726">
        <v>2847</v>
      </c>
      <c r="E726">
        <v>3.5181298139999999</v>
      </c>
      <c r="F726">
        <v>809.23676799999998</v>
      </c>
      <c r="G726">
        <v>1</v>
      </c>
      <c r="H726">
        <v>298</v>
      </c>
      <c r="I726">
        <v>9.4483195940000009</v>
      </c>
      <c r="J726">
        <v>0.5</v>
      </c>
      <c r="K726">
        <f t="shared" si="11"/>
        <v>3</v>
      </c>
      <c r="N726">
        <v>3</v>
      </c>
      <c r="O726">
        <v>3</v>
      </c>
    </row>
    <row r="727" spans="1:15" x14ac:dyDescent="0.2">
      <c r="A727" t="s">
        <v>2481</v>
      </c>
      <c r="B727">
        <v>9011696400</v>
      </c>
      <c r="C727" t="s">
        <v>2482</v>
      </c>
      <c r="D727">
        <v>6052</v>
      </c>
      <c r="E727">
        <v>2.0512006230000002</v>
      </c>
      <c r="F727">
        <v>2950.467122</v>
      </c>
      <c r="G727">
        <v>1</v>
      </c>
      <c r="H727">
        <v>1422</v>
      </c>
      <c r="I727">
        <v>27.204897649999999</v>
      </c>
      <c r="J727">
        <v>0.92900000000000005</v>
      </c>
      <c r="K727">
        <f t="shared" si="11"/>
        <v>5</v>
      </c>
      <c r="N727">
        <v>5</v>
      </c>
      <c r="O727">
        <v>5</v>
      </c>
    </row>
    <row r="728" spans="1:15" x14ac:dyDescent="0.2">
      <c r="A728" t="s">
        <v>2483</v>
      </c>
      <c r="B728">
        <v>9011696500</v>
      </c>
      <c r="C728" t="s">
        <v>2484</v>
      </c>
      <c r="D728">
        <v>3134</v>
      </c>
      <c r="E728">
        <v>1.0894108389999999</v>
      </c>
      <c r="F728">
        <v>2876.784302</v>
      </c>
      <c r="G728">
        <v>1</v>
      </c>
      <c r="H728">
        <v>540</v>
      </c>
      <c r="I728">
        <v>18.486819579999999</v>
      </c>
      <c r="J728">
        <v>0.80600000000000005</v>
      </c>
      <c r="K728">
        <f t="shared" si="11"/>
        <v>5</v>
      </c>
      <c r="N728">
        <v>4.5</v>
      </c>
      <c r="O728">
        <v>5</v>
      </c>
    </row>
    <row r="729" spans="1:15" x14ac:dyDescent="0.2">
      <c r="A729" t="s">
        <v>2485</v>
      </c>
      <c r="B729">
        <v>9011696600</v>
      </c>
      <c r="C729" t="s">
        <v>2486</v>
      </c>
      <c r="D729">
        <v>4073</v>
      </c>
      <c r="E729">
        <v>3.0400194900000002</v>
      </c>
      <c r="F729">
        <v>1339.794042</v>
      </c>
      <c r="G729">
        <v>1</v>
      </c>
      <c r="H729">
        <v>1090</v>
      </c>
      <c r="I729">
        <v>26.768172889999999</v>
      </c>
      <c r="J729">
        <v>0.90700000000000003</v>
      </c>
      <c r="K729">
        <f t="shared" si="11"/>
        <v>5</v>
      </c>
      <c r="N729">
        <v>4.5</v>
      </c>
      <c r="O729">
        <v>5</v>
      </c>
    </row>
    <row r="730" spans="1:15" x14ac:dyDescent="0.2">
      <c r="A730" t="s">
        <v>2487</v>
      </c>
      <c r="B730">
        <v>9011696700</v>
      </c>
      <c r="C730" t="s">
        <v>2488</v>
      </c>
      <c r="D730">
        <v>5915</v>
      </c>
      <c r="E730">
        <v>2.003218162</v>
      </c>
      <c r="F730">
        <v>2952.7487890000002</v>
      </c>
      <c r="G730">
        <v>1</v>
      </c>
      <c r="H730">
        <v>1809</v>
      </c>
      <c r="I730">
        <v>30.377833750000001</v>
      </c>
      <c r="J730">
        <v>0.95799999999999996</v>
      </c>
      <c r="K730">
        <f t="shared" si="11"/>
        <v>5</v>
      </c>
      <c r="N730">
        <v>5</v>
      </c>
      <c r="O730">
        <v>5</v>
      </c>
    </row>
    <row r="731" spans="1:15" x14ac:dyDescent="0.2">
      <c r="A731" t="s">
        <v>2489</v>
      </c>
      <c r="B731">
        <v>9011696800</v>
      </c>
      <c r="C731" t="s">
        <v>2490</v>
      </c>
      <c r="D731">
        <v>3974</v>
      </c>
      <c r="E731">
        <v>0.43052709099999997</v>
      </c>
      <c r="F731">
        <v>9230.5457210000004</v>
      </c>
      <c r="G731">
        <v>1</v>
      </c>
      <c r="H731">
        <v>687</v>
      </c>
      <c r="I731">
        <v>21.348663770000002</v>
      </c>
      <c r="J731">
        <v>0.873</v>
      </c>
      <c r="K731">
        <f t="shared" si="11"/>
        <v>5</v>
      </c>
      <c r="N731">
        <v>5</v>
      </c>
      <c r="O731">
        <v>5</v>
      </c>
    </row>
    <row r="732" spans="1:15" x14ac:dyDescent="0.2">
      <c r="A732" t="s">
        <v>2491</v>
      </c>
      <c r="B732">
        <v>9011697000</v>
      </c>
      <c r="C732" t="s">
        <v>2492</v>
      </c>
      <c r="D732">
        <v>4768</v>
      </c>
      <c r="E732">
        <v>2.2036731440000001</v>
      </c>
      <c r="F732">
        <v>2163.6602560000001</v>
      </c>
      <c r="G732">
        <v>1</v>
      </c>
      <c r="H732">
        <v>1620</v>
      </c>
      <c r="I732">
        <v>30.371203600000001</v>
      </c>
      <c r="J732">
        <v>0.95699999999999996</v>
      </c>
      <c r="K732">
        <f t="shared" si="11"/>
        <v>5</v>
      </c>
      <c r="N732">
        <v>5</v>
      </c>
      <c r="O732">
        <v>5</v>
      </c>
    </row>
    <row r="733" spans="1:15" x14ac:dyDescent="0.2">
      <c r="A733" t="s">
        <v>2493</v>
      </c>
      <c r="B733">
        <v>9011700100</v>
      </c>
      <c r="C733" t="s">
        <v>2494</v>
      </c>
      <c r="D733">
        <v>4726</v>
      </c>
      <c r="E733">
        <v>30.815190650000002</v>
      </c>
      <c r="F733">
        <v>153.3659179</v>
      </c>
      <c r="G733">
        <v>2</v>
      </c>
      <c r="H733">
        <v>656</v>
      </c>
      <c r="I733">
        <v>14.08632167</v>
      </c>
      <c r="J733">
        <v>0.70899999999999996</v>
      </c>
      <c r="K733">
        <f t="shared" si="11"/>
        <v>4</v>
      </c>
      <c r="N733">
        <v>3.5</v>
      </c>
      <c r="O733">
        <v>4</v>
      </c>
    </row>
    <row r="734" spans="1:15" x14ac:dyDescent="0.2">
      <c r="A734" t="s">
        <v>2495</v>
      </c>
      <c r="B734">
        <v>9011701100</v>
      </c>
      <c r="C734" t="s">
        <v>2496</v>
      </c>
      <c r="D734">
        <v>7691</v>
      </c>
      <c r="E734">
        <v>26.848667249999998</v>
      </c>
      <c r="F734">
        <v>286.45742180000002</v>
      </c>
      <c r="G734">
        <v>1</v>
      </c>
      <c r="H734">
        <v>1216</v>
      </c>
      <c r="I734">
        <v>15.4158215</v>
      </c>
      <c r="J734">
        <v>0.76</v>
      </c>
      <c r="K734">
        <f t="shared" si="11"/>
        <v>4</v>
      </c>
      <c r="N734">
        <v>3.5</v>
      </c>
      <c r="O734">
        <v>4</v>
      </c>
    </row>
    <row r="735" spans="1:15" x14ac:dyDescent="0.2">
      <c r="A735" t="s">
        <v>2497</v>
      </c>
      <c r="B735">
        <v>9011701200</v>
      </c>
      <c r="C735" t="s">
        <v>2498</v>
      </c>
      <c r="D735">
        <v>7356</v>
      </c>
      <c r="E735">
        <v>10.918714680000001</v>
      </c>
      <c r="F735">
        <v>673.70567089999997</v>
      </c>
      <c r="G735">
        <v>1</v>
      </c>
      <c r="H735">
        <v>565</v>
      </c>
      <c r="I735">
        <v>8.2205732579999999</v>
      </c>
      <c r="J735">
        <v>0.49399999999999999</v>
      </c>
      <c r="K735">
        <f t="shared" si="11"/>
        <v>3</v>
      </c>
      <c r="N735">
        <v>3</v>
      </c>
      <c r="O735">
        <v>3</v>
      </c>
    </row>
    <row r="736" spans="1:15" x14ac:dyDescent="0.2">
      <c r="A736" t="s">
        <v>2499</v>
      </c>
      <c r="B736">
        <v>9011702100</v>
      </c>
      <c r="C736" t="s">
        <v>2500</v>
      </c>
      <c r="D736">
        <v>4496</v>
      </c>
      <c r="E736">
        <v>8.5523041030000009</v>
      </c>
      <c r="F736">
        <v>525.70628290000002</v>
      </c>
      <c r="G736">
        <v>1</v>
      </c>
      <c r="H736">
        <v>537</v>
      </c>
      <c r="I736">
        <v>13.0879844</v>
      </c>
      <c r="J736">
        <v>0.7</v>
      </c>
      <c r="K736">
        <f t="shared" si="11"/>
        <v>4</v>
      </c>
      <c r="N736">
        <v>3.5</v>
      </c>
      <c r="O736">
        <v>4</v>
      </c>
    </row>
    <row r="737" spans="1:15" x14ac:dyDescent="0.2">
      <c r="A737" t="s">
        <v>2501</v>
      </c>
      <c r="B737">
        <v>9011702300</v>
      </c>
      <c r="C737" t="s">
        <v>2502</v>
      </c>
      <c r="D737">
        <v>2163</v>
      </c>
      <c r="E737">
        <v>0.944344144</v>
      </c>
      <c r="F737">
        <v>2290.4785449999999</v>
      </c>
      <c r="G737">
        <v>1</v>
      </c>
      <c r="H737">
        <v>432</v>
      </c>
      <c r="I737">
        <v>18.453652290000001</v>
      </c>
      <c r="J737">
        <v>0.83099999999999996</v>
      </c>
      <c r="K737">
        <f t="shared" si="11"/>
        <v>5</v>
      </c>
      <c r="N737">
        <v>4</v>
      </c>
      <c r="O737">
        <v>4</v>
      </c>
    </row>
    <row r="738" spans="1:15" x14ac:dyDescent="0.2">
      <c r="A738" t="s">
        <v>2503</v>
      </c>
      <c r="B738">
        <v>9011702400</v>
      </c>
      <c r="C738" t="s">
        <v>2504</v>
      </c>
      <c r="D738">
        <v>3527</v>
      </c>
      <c r="E738">
        <v>1.1054074380000001</v>
      </c>
      <c r="F738">
        <v>3190.6787290000002</v>
      </c>
      <c r="G738">
        <v>1</v>
      </c>
      <c r="H738">
        <v>1326</v>
      </c>
      <c r="I738">
        <v>37.132455890000003</v>
      </c>
      <c r="J738">
        <v>0.97699999999999998</v>
      </c>
      <c r="K738">
        <f t="shared" si="11"/>
        <v>5</v>
      </c>
      <c r="N738">
        <v>4.5</v>
      </c>
      <c r="O738">
        <v>5</v>
      </c>
    </row>
    <row r="739" spans="1:15" x14ac:dyDescent="0.2">
      <c r="A739" t="s">
        <v>2505</v>
      </c>
      <c r="B739">
        <v>9011702500</v>
      </c>
      <c r="C739" t="s">
        <v>2506</v>
      </c>
      <c r="D739">
        <v>4748</v>
      </c>
      <c r="E739">
        <v>1.034820625</v>
      </c>
      <c r="F739">
        <v>4588.2347980000004</v>
      </c>
      <c r="G739">
        <v>1</v>
      </c>
      <c r="H739">
        <v>1151</v>
      </c>
      <c r="I739">
        <v>26.236608159999999</v>
      </c>
      <c r="J739">
        <v>0.93100000000000005</v>
      </c>
      <c r="K739">
        <f t="shared" si="11"/>
        <v>5</v>
      </c>
      <c r="N739">
        <v>5</v>
      </c>
      <c r="O739">
        <v>5</v>
      </c>
    </row>
    <row r="740" spans="1:15" x14ac:dyDescent="0.2">
      <c r="A740" t="s">
        <v>2507</v>
      </c>
      <c r="B740">
        <v>9011702600</v>
      </c>
      <c r="C740" t="s">
        <v>2508</v>
      </c>
      <c r="D740">
        <v>2114</v>
      </c>
      <c r="E740">
        <v>0.94352329000000001</v>
      </c>
      <c r="F740">
        <v>2240.538227</v>
      </c>
      <c r="G740">
        <v>1</v>
      </c>
      <c r="H740">
        <v>87</v>
      </c>
      <c r="I740">
        <v>8.1156716420000006</v>
      </c>
      <c r="J740">
        <v>0.5</v>
      </c>
      <c r="K740">
        <f t="shared" si="11"/>
        <v>3</v>
      </c>
      <c r="N740">
        <v>3</v>
      </c>
      <c r="O740">
        <v>3</v>
      </c>
    </row>
    <row r="741" spans="1:15" x14ac:dyDescent="0.2">
      <c r="A741" t="s">
        <v>2509</v>
      </c>
      <c r="B741">
        <v>9011702700</v>
      </c>
      <c r="C741" t="s">
        <v>2510</v>
      </c>
      <c r="D741">
        <v>4946</v>
      </c>
      <c r="E741">
        <v>3.1611497810000002</v>
      </c>
      <c r="F741">
        <v>1564.6205789999999</v>
      </c>
      <c r="G741">
        <v>1</v>
      </c>
      <c r="H741">
        <v>1349</v>
      </c>
      <c r="I741">
        <v>27.197580649999999</v>
      </c>
      <c r="J741">
        <v>0.94099999999999995</v>
      </c>
      <c r="K741">
        <f t="shared" si="11"/>
        <v>5</v>
      </c>
      <c r="N741">
        <v>4.5</v>
      </c>
      <c r="O741">
        <v>5</v>
      </c>
    </row>
    <row r="742" spans="1:15" x14ac:dyDescent="0.2">
      <c r="A742" t="s">
        <v>2511</v>
      </c>
      <c r="B742">
        <v>9011702800</v>
      </c>
      <c r="C742" t="s">
        <v>2512</v>
      </c>
      <c r="D742">
        <v>4079</v>
      </c>
      <c r="E742">
        <v>4.7347018600000004</v>
      </c>
      <c r="F742">
        <v>861.51147860000003</v>
      </c>
      <c r="G742">
        <v>1</v>
      </c>
      <c r="H742">
        <v>1256</v>
      </c>
      <c r="I742">
        <v>29.31155193</v>
      </c>
      <c r="J742">
        <v>0.96399999999999997</v>
      </c>
      <c r="K742">
        <f t="shared" si="11"/>
        <v>5</v>
      </c>
      <c r="N742">
        <v>4.5</v>
      </c>
      <c r="O742">
        <v>5</v>
      </c>
    </row>
    <row r="743" spans="1:15" x14ac:dyDescent="0.2">
      <c r="A743" t="s">
        <v>2513</v>
      </c>
      <c r="B743">
        <v>9011702900</v>
      </c>
      <c r="C743" t="s">
        <v>2514</v>
      </c>
      <c r="D743">
        <v>2473</v>
      </c>
      <c r="E743">
        <v>2.9708743819999999</v>
      </c>
      <c r="F743">
        <v>832.41486569999995</v>
      </c>
      <c r="G743">
        <v>1</v>
      </c>
      <c r="H743">
        <v>118</v>
      </c>
      <c r="I743">
        <v>5.3611994550000004</v>
      </c>
      <c r="J743">
        <v>0.32500000000000001</v>
      </c>
      <c r="K743">
        <f t="shared" si="11"/>
        <v>2</v>
      </c>
      <c r="N743">
        <v>2</v>
      </c>
      <c r="O743">
        <v>2</v>
      </c>
    </row>
    <row r="744" spans="1:15" x14ac:dyDescent="0.2">
      <c r="A744" t="s">
        <v>2515</v>
      </c>
      <c r="B744">
        <v>9011703000</v>
      </c>
      <c r="C744" t="s">
        <v>2516</v>
      </c>
      <c r="D744">
        <v>3919</v>
      </c>
      <c r="E744">
        <v>2.4008161430000001</v>
      </c>
      <c r="F744">
        <v>1632.3615669999999</v>
      </c>
      <c r="G744">
        <v>1</v>
      </c>
      <c r="H744">
        <v>155</v>
      </c>
      <c r="I744">
        <v>4.3187517409999998</v>
      </c>
      <c r="J744">
        <v>0.20699999999999999</v>
      </c>
      <c r="K744">
        <f t="shared" si="11"/>
        <v>2</v>
      </c>
      <c r="N744">
        <v>2</v>
      </c>
      <c r="O744">
        <v>2</v>
      </c>
    </row>
    <row r="745" spans="1:15" x14ac:dyDescent="0.2">
      <c r="A745" t="s">
        <v>2517</v>
      </c>
      <c r="B745">
        <v>9011705101</v>
      </c>
      <c r="C745" t="s">
        <v>2518</v>
      </c>
      <c r="D745">
        <v>4294</v>
      </c>
      <c r="E745">
        <v>6.0028459590000001</v>
      </c>
      <c r="F745">
        <v>715.32736790000001</v>
      </c>
      <c r="G745">
        <v>1</v>
      </c>
      <c r="H745">
        <v>140</v>
      </c>
      <c r="I745">
        <v>3.4313725490000002</v>
      </c>
      <c r="J745">
        <v>0.123</v>
      </c>
      <c r="K745">
        <f t="shared" si="11"/>
        <v>1</v>
      </c>
      <c r="N745">
        <v>2.5</v>
      </c>
      <c r="O745">
        <v>3</v>
      </c>
    </row>
    <row r="746" spans="1:15" x14ac:dyDescent="0.2">
      <c r="A746" t="s">
        <v>2519</v>
      </c>
      <c r="B746">
        <v>9011705102</v>
      </c>
      <c r="C746" t="s">
        <v>2520</v>
      </c>
      <c r="D746">
        <v>4343</v>
      </c>
      <c r="E746">
        <v>4.3007044820000004</v>
      </c>
      <c r="F746">
        <v>1009.834556</v>
      </c>
      <c r="G746">
        <v>1</v>
      </c>
      <c r="H746">
        <v>495</v>
      </c>
      <c r="I746">
        <v>11.84777405</v>
      </c>
      <c r="J746">
        <v>0.68700000000000006</v>
      </c>
      <c r="K746">
        <f t="shared" si="11"/>
        <v>4</v>
      </c>
      <c r="N746">
        <v>4.5</v>
      </c>
      <c r="O746">
        <v>5</v>
      </c>
    </row>
    <row r="747" spans="1:15" x14ac:dyDescent="0.2">
      <c r="A747" t="s">
        <v>2521</v>
      </c>
      <c r="B747">
        <v>9011705200</v>
      </c>
      <c r="C747" t="s">
        <v>2522</v>
      </c>
      <c r="D747">
        <v>3484</v>
      </c>
      <c r="E747">
        <v>8.8865712890000008</v>
      </c>
      <c r="F747">
        <v>392.05221979999999</v>
      </c>
      <c r="G747">
        <v>1</v>
      </c>
      <c r="H747">
        <v>163</v>
      </c>
      <c r="I747">
        <v>4.459644323</v>
      </c>
      <c r="J747">
        <v>0.215</v>
      </c>
      <c r="K747">
        <f t="shared" si="11"/>
        <v>2</v>
      </c>
      <c r="N747">
        <v>2</v>
      </c>
      <c r="O747">
        <v>2</v>
      </c>
    </row>
    <row r="748" spans="1:15" x14ac:dyDescent="0.2">
      <c r="A748" t="s">
        <v>2523</v>
      </c>
      <c r="B748">
        <v>9011705300</v>
      </c>
      <c r="C748" t="s">
        <v>2524</v>
      </c>
      <c r="D748">
        <v>3540</v>
      </c>
      <c r="E748">
        <v>4.4080347089999998</v>
      </c>
      <c r="F748">
        <v>803.07897590000005</v>
      </c>
      <c r="G748">
        <v>1</v>
      </c>
      <c r="H748">
        <v>292</v>
      </c>
      <c r="I748">
        <v>7.7721586370000004</v>
      </c>
      <c r="J748">
        <v>0.46100000000000002</v>
      </c>
      <c r="K748">
        <f t="shared" si="11"/>
        <v>3</v>
      </c>
      <c r="N748">
        <v>3</v>
      </c>
      <c r="O748">
        <v>3</v>
      </c>
    </row>
    <row r="749" spans="1:15" x14ac:dyDescent="0.2">
      <c r="A749" t="s">
        <v>2525</v>
      </c>
      <c r="B749">
        <v>9011705400</v>
      </c>
      <c r="C749" t="s">
        <v>2526</v>
      </c>
      <c r="D749">
        <v>2884</v>
      </c>
      <c r="E749">
        <v>15.058312239999999</v>
      </c>
      <c r="F749">
        <v>191.5221277</v>
      </c>
      <c r="G749">
        <v>1</v>
      </c>
      <c r="H749">
        <v>95</v>
      </c>
      <c r="I749">
        <v>3.423423423</v>
      </c>
      <c r="J749">
        <v>0.11600000000000001</v>
      </c>
      <c r="K749">
        <f t="shared" si="11"/>
        <v>1</v>
      </c>
      <c r="N749">
        <v>1.5</v>
      </c>
      <c r="O749">
        <v>2</v>
      </c>
    </row>
    <row r="750" spans="1:15" x14ac:dyDescent="0.2">
      <c r="A750" t="s">
        <v>2527</v>
      </c>
      <c r="B750">
        <v>9011707100</v>
      </c>
      <c r="C750" t="s">
        <v>2528</v>
      </c>
      <c r="D750">
        <v>5297</v>
      </c>
      <c r="E750">
        <v>54.248074510000002</v>
      </c>
      <c r="F750">
        <v>97.644018669999994</v>
      </c>
      <c r="G750">
        <v>2</v>
      </c>
      <c r="H750">
        <v>496</v>
      </c>
      <c r="I750">
        <v>9.4964579740000001</v>
      </c>
      <c r="J750">
        <v>0.56499999999999995</v>
      </c>
      <c r="K750">
        <f t="shared" si="11"/>
        <v>3</v>
      </c>
      <c r="N750">
        <v>3.5</v>
      </c>
      <c r="O750">
        <v>4</v>
      </c>
    </row>
    <row r="751" spans="1:15" x14ac:dyDescent="0.2">
      <c r="A751" t="s">
        <v>2529</v>
      </c>
      <c r="B751">
        <v>9011708100</v>
      </c>
      <c r="C751" t="s">
        <v>2530</v>
      </c>
      <c r="D751">
        <v>2603</v>
      </c>
      <c r="E751">
        <v>38.960857730000001</v>
      </c>
      <c r="F751">
        <v>66.810644100000005</v>
      </c>
      <c r="G751">
        <v>2</v>
      </c>
      <c r="H751">
        <v>114</v>
      </c>
      <c r="I751">
        <v>4.4970414200000004</v>
      </c>
      <c r="J751">
        <v>0.21299999999999999</v>
      </c>
      <c r="K751">
        <f t="shared" si="11"/>
        <v>2</v>
      </c>
      <c r="N751">
        <v>2.5</v>
      </c>
      <c r="O751">
        <v>3</v>
      </c>
    </row>
    <row r="752" spans="1:15" x14ac:dyDescent="0.2">
      <c r="A752" t="s">
        <v>2531</v>
      </c>
      <c r="B752">
        <v>9011709100</v>
      </c>
      <c r="C752" t="s">
        <v>2532</v>
      </c>
      <c r="D752">
        <v>6322</v>
      </c>
      <c r="E752">
        <v>29.76382516</v>
      </c>
      <c r="F752">
        <v>212.4054945</v>
      </c>
      <c r="G752">
        <v>2</v>
      </c>
      <c r="H752">
        <v>489</v>
      </c>
      <c r="I752">
        <v>8.4514344969999993</v>
      </c>
      <c r="J752">
        <v>0.51300000000000001</v>
      </c>
      <c r="K752">
        <f t="shared" si="11"/>
        <v>3</v>
      </c>
      <c r="N752">
        <v>3.5</v>
      </c>
      <c r="O752">
        <v>4</v>
      </c>
    </row>
    <row r="753" spans="1:15" x14ac:dyDescent="0.2">
      <c r="A753" t="s">
        <v>2533</v>
      </c>
      <c r="B753">
        <v>9011709200</v>
      </c>
      <c r="C753" t="s">
        <v>2534</v>
      </c>
      <c r="D753">
        <v>5629</v>
      </c>
      <c r="E753">
        <v>4.9427275340000003</v>
      </c>
      <c r="F753">
        <v>1138.844891</v>
      </c>
      <c r="G753">
        <v>2</v>
      </c>
      <c r="H753">
        <v>988</v>
      </c>
      <c r="I753">
        <v>16.929403700000002</v>
      </c>
      <c r="J753">
        <v>0.80800000000000005</v>
      </c>
      <c r="K753">
        <f t="shared" si="11"/>
        <v>5</v>
      </c>
      <c r="N753">
        <v>5</v>
      </c>
      <c r="O753">
        <v>5</v>
      </c>
    </row>
    <row r="754" spans="1:15" x14ac:dyDescent="0.2">
      <c r="A754" t="s">
        <v>2535</v>
      </c>
      <c r="B754">
        <v>9011710100</v>
      </c>
      <c r="C754" t="s">
        <v>2536</v>
      </c>
      <c r="D754">
        <v>4338</v>
      </c>
      <c r="E754">
        <v>16.28693569</v>
      </c>
      <c r="F754">
        <v>266.34844529999998</v>
      </c>
      <c r="G754">
        <v>2</v>
      </c>
      <c r="H754">
        <v>277</v>
      </c>
      <c r="I754">
        <v>6.5222510009999999</v>
      </c>
      <c r="J754">
        <v>0.41599999999999998</v>
      </c>
      <c r="K754">
        <f t="shared" si="11"/>
        <v>3</v>
      </c>
      <c r="N754">
        <v>3</v>
      </c>
      <c r="O754">
        <v>3</v>
      </c>
    </row>
    <row r="755" spans="1:15" x14ac:dyDescent="0.2">
      <c r="A755" t="s">
        <v>2537</v>
      </c>
      <c r="B755">
        <v>9011711100</v>
      </c>
      <c r="C755" t="s">
        <v>2538</v>
      </c>
      <c r="D755">
        <v>2984</v>
      </c>
      <c r="E755">
        <v>13.249206559999999</v>
      </c>
      <c r="F755">
        <v>225.22103390000001</v>
      </c>
      <c r="G755">
        <v>1</v>
      </c>
      <c r="H755">
        <v>372</v>
      </c>
      <c r="I755">
        <v>12.801101170000001</v>
      </c>
      <c r="J755">
        <v>0.70399999999999996</v>
      </c>
      <c r="K755">
        <f t="shared" si="11"/>
        <v>4</v>
      </c>
      <c r="N755">
        <v>4</v>
      </c>
      <c r="O755">
        <v>4</v>
      </c>
    </row>
    <row r="756" spans="1:15" x14ac:dyDescent="0.2">
      <c r="A756" t="s">
        <v>2539</v>
      </c>
      <c r="B756">
        <v>9011712100</v>
      </c>
      <c r="C756" t="s">
        <v>2540</v>
      </c>
      <c r="D756">
        <v>1922</v>
      </c>
      <c r="E756">
        <v>19.4889957</v>
      </c>
      <c r="F756">
        <v>98.619755960000006</v>
      </c>
      <c r="G756">
        <v>2</v>
      </c>
      <c r="H756">
        <v>71</v>
      </c>
      <c r="I756">
        <v>3.9932508439999999</v>
      </c>
      <c r="J756">
        <v>0.185</v>
      </c>
      <c r="K756">
        <f t="shared" si="11"/>
        <v>1</v>
      </c>
      <c r="N756">
        <v>2</v>
      </c>
      <c r="O756">
        <v>2</v>
      </c>
    </row>
    <row r="757" spans="1:15" x14ac:dyDescent="0.2">
      <c r="A757" t="s">
        <v>2541</v>
      </c>
      <c r="B757">
        <v>9011713100</v>
      </c>
      <c r="C757" t="s">
        <v>2542</v>
      </c>
      <c r="D757">
        <v>2627</v>
      </c>
      <c r="E757">
        <v>19.96461296</v>
      </c>
      <c r="F757">
        <v>131.58281629999999</v>
      </c>
      <c r="G757">
        <v>2</v>
      </c>
      <c r="H757">
        <v>214</v>
      </c>
      <c r="I757">
        <v>8.2657396680000002</v>
      </c>
      <c r="J757">
        <v>0.50700000000000001</v>
      </c>
      <c r="K757">
        <f t="shared" si="11"/>
        <v>3</v>
      </c>
      <c r="N757">
        <v>3.5</v>
      </c>
      <c r="O757">
        <v>4</v>
      </c>
    </row>
    <row r="758" spans="1:15" x14ac:dyDescent="0.2">
      <c r="A758" t="s">
        <v>2543</v>
      </c>
      <c r="B758">
        <v>9011714101</v>
      </c>
      <c r="C758" t="s">
        <v>2544</v>
      </c>
      <c r="D758">
        <v>3429</v>
      </c>
      <c r="E758">
        <v>3.0413808869999999</v>
      </c>
      <c r="F758">
        <v>1127.4483949999999</v>
      </c>
      <c r="G758">
        <v>2</v>
      </c>
      <c r="H758">
        <v>36</v>
      </c>
      <c r="I758">
        <v>1.1385199239999999</v>
      </c>
      <c r="J758">
        <v>0</v>
      </c>
      <c r="K758">
        <f t="shared" si="11"/>
        <v>1</v>
      </c>
      <c r="N758">
        <v>2</v>
      </c>
      <c r="O758">
        <v>2</v>
      </c>
    </row>
    <row r="759" spans="1:15" x14ac:dyDescent="0.2">
      <c r="A759" t="s">
        <v>2545</v>
      </c>
      <c r="B759">
        <v>9011714103</v>
      </c>
      <c r="C759" t="s">
        <v>2546</v>
      </c>
      <c r="D759">
        <v>7534</v>
      </c>
      <c r="E759">
        <v>25.82912662</v>
      </c>
      <c r="F759">
        <v>291.68620800000002</v>
      </c>
      <c r="G759">
        <v>2</v>
      </c>
      <c r="H759">
        <v>762</v>
      </c>
      <c r="I759">
        <v>10.350448249999999</v>
      </c>
      <c r="J759">
        <v>0.58199999999999996</v>
      </c>
      <c r="K759">
        <f t="shared" si="11"/>
        <v>3</v>
      </c>
      <c r="N759">
        <v>2.5</v>
      </c>
      <c r="O759">
        <v>3</v>
      </c>
    </row>
    <row r="760" spans="1:15" x14ac:dyDescent="0.2">
      <c r="A760" t="s">
        <v>2547</v>
      </c>
      <c r="B760">
        <v>9011714104</v>
      </c>
      <c r="C760" t="s">
        <v>2548</v>
      </c>
      <c r="D760">
        <v>5105</v>
      </c>
      <c r="E760">
        <v>20.112577739999999</v>
      </c>
      <c r="F760">
        <v>253.82126869999999</v>
      </c>
      <c r="G760">
        <v>2</v>
      </c>
      <c r="H760">
        <v>206</v>
      </c>
      <c r="I760">
        <v>3.860569715</v>
      </c>
      <c r="J760">
        <v>0.16600000000000001</v>
      </c>
      <c r="K760">
        <f t="shared" si="11"/>
        <v>1</v>
      </c>
      <c r="N760">
        <v>1.5</v>
      </c>
      <c r="O760">
        <v>2</v>
      </c>
    </row>
    <row r="761" spans="1:15" x14ac:dyDescent="0.2">
      <c r="A761" t="s">
        <v>2549</v>
      </c>
      <c r="B761">
        <v>9011715100</v>
      </c>
      <c r="C761" t="s">
        <v>2550</v>
      </c>
      <c r="D761">
        <v>4151</v>
      </c>
      <c r="E761">
        <v>28.918937459999999</v>
      </c>
      <c r="F761">
        <v>143.53916029999999</v>
      </c>
      <c r="G761">
        <v>2</v>
      </c>
      <c r="H761">
        <v>367</v>
      </c>
      <c r="I761">
        <v>8.9250972760000007</v>
      </c>
      <c r="J761">
        <v>0.52300000000000002</v>
      </c>
      <c r="K761">
        <f t="shared" si="11"/>
        <v>3</v>
      </c>
      <c r="N761">
        <v>2.5</v>
      </c>
      <c r="O761">
        <v>3</v>
      </c>
    </row>
    <row r="762" spans="1:15" x14ac:dyDescent="0.2">
      <c r="A762" t="s">
        <v>2551</v>
      </c>
      <c r="B762">
        <v>9011716101</v>
      </c>
      <c r="C762" t="s">
        <v>2552</v>
      </c>
      <c r="D762">
        <v>6109</v>
      </c>
      <c r="E762">
        <v>11.06302925</v>
      </c>
      <c r="F762">
        <v>552.19957050000005</v>
      </c>
      <c r="G762">
        <v>1</v>
      </c>
      <c r="H762">
        <v>1057</v>
      </c>
      <c r="I762">
        <v>18.807829179999999</v>
      </c>
      <c r="J762">
        <v>0.85899999999999999</v>
      </c>
      <c r="K762">
        <f t="shared" si="11"/>
        <v>5</v>
      </c>
      <c r="N762">
        <v>4</v>
      </c>
      <c r="O762">
        <v>4</v>
      </c>
    </row>
    <row r="763" spans="1:15" x14ac:dyDescent="0.2">
      <c r="A763" t="s">
        <v>2553</v>
      </c>
      <c r="B763">
        <v>9011716102</v>
      </c>
      <c r="C763" t="s">
        <v>2554</v>
      </c>
      <c r="D763">
        <v>5073</v>
      </c>
      <c r="E763">
        <v>15.65047328</v>
      </c>
      <c r="F763">
        <v>324.143552</v>
      </c>
      <c r="G763">
        <v>1</v>
      </c>
      <c r="H763">
        <v>838</v>
      </c>
      <c r="I763">
        <v>14.98837417</v>
      </c>
      <c r="J763">
        <v>0.73</v>
      </c>
      <c r="K763">
        <f t="shared" si="11"/>
        <v>4</v>
      </c>
      <c r="N763">
        <v>3</v>
      </c>
      <c r="O763">
        <v>3</v>
      </c>
    </row>
    <row r="764" spans="1:15" x14ac:dyDescent="0.2">
      <c r="A764" t="s">
        <v>2555</v>
      </c>
      <c r="B764">
        <v>9011870100</v>
      </c>
      <c r="C764" t="s">
        <v>2556</v>
      </c>
      <c r="D764">
        <v>7308</v>
      </c>
      <c r="E764">
        <v>54.098032889999999</v>
      </c>
      <c r="F764">
        <v>135.08809120000001</v>
      </c>
      <c r="G764">
        <v>2</v>
      </c>
      <c r="H764">
        <v>265</v>
      </c>
      <c r="I764">
        <v>3.672903673</v>
      </c>
      <c r="J764">
        <v>0.14499999999999999</v>
      </c>
      <c r="K764">
        <f t="shared" si="11"/>
        <v>1</v>
      </c>
      <c r="N764">
        <v>2</v>
      </c>
      <c r="O764">
        <v>2</v>
      </c>
    </row>
    <row r="765" spans="1:15" x14ac:dyDescent="0.2">
      <c r="A765" t="s">
        <v>2557</v>
      </c>
      <c r="B765">
        <v>9011870200</v>
      </c>
      <c r="C765" t="s">
        <v>2558</v>
      </c>
      <c r="D765">
        <v>5557</v>
      </c>
      <c r="E765">
        <v>4.6974418409999998</v>
      </c>
      <c r="F765">
        <v>1182.9843109999999</v>
      </c>
      <c r="G765">
        <v>1</v>
      </c>
      <c r="H765">
        <v>911</v>
      </c>
      <c r="I765">
        <v>16.041556610000001</v>
      </c>
      <c r="J765">
        <v>0.78600000000000003</v>
      </c>
      <c r="K765">
        <f t="shared" si="11"/>
        <v>4</v>
      </c>
      <c r="N765">
        <v>3.5</v>
      </c>
      <c r="O765">
        <v>4</v>
      </c>
    </row>
    <row r="766" spans="1:15" x14ac:dyDescent="0.2">
      <c r="A766" t="s">
        <v>2559</v>
      </c>
      <c r="B766">
        <v>9011870300</v>
      </c>
      <c r="C766" t="s">
        <v>2560</v>
      </c>
      <c r="D766">
        <v>6662</v>
      </c>
      <c r="E766">
        <v>1.514325549</v>
      </c>
      <c r="F766">
        <v>4399.3182340000003</v>
      </c>
      <c r="G766">
        <v>1</v>
      </c>
      <c r="H766">
        <v>1633</v>
      </c>
      <c r="I766">
        <v>25.32175531</v>
      </c>
      <c r="J766">
        <v>0.93300000000000005</v>
      </c>
      <c r="K766">
        <f t="shared" si="11"/>
        <v>5</v>
      </c>
      <c r="N766">
        <v>5</v>
      </c>
      <c r="O766">
        <v>5</v>
      </c>
    </row>
    <row r="767" spans="1:15" x14ac:dyDescent="0.2">
      <c r="A767" t="s">
        <v>2561</v>
      </c>
      <c r="B767">
        <v>9011870501</v>
      </c>
      <c r="C767" t="s">
        <v>2562</v>
      </c>
      <c r="D767">
        <v>4470</v>
      </c>
      <c r="E767">
        <v>5.2157430849999997</v>
      </c>
      <c r="F767">
        <v>857.02074040000002</v>
      </c>
      <c r="G767">
        <v>1</v>
      </c>
      <c r="H767">
        <v>1804</v>
      </c>
      <c r="I767">
        <v>41.04664391</v>
      </c>
      <c r="J767">
        <v>1</v>
      </c>
      <c r="K767">
        <f t="shared" si="11"/>
        <v>5</v>
      </c>
      <c r="N767">
        <v>4.5</v>
      </c>
      <c r="O767">
        <v>5</v>
      </c>
    </row>
    <row r="768" spans="1:15" x14ac:dyDescent="0.2">
      <c r="A768" t="s">
        <v>2563</v>
      </c>
      <c r="B768">
        <v>9011870502</v>
      </c>
      <c r="C768" t="s">
        <v>2564</v>
      </c>
      <c r="D768">
        <v>3632</v>
      </c>
      <c r="E768">
        <v>3.2010379969999998</v>
      </c>
      <c r="F768">
        <v>1134.6319550000001</v>
      </c>
      <c r="G768">
        <v>1</v>
      </c>
      <c r="H768">
        <v>707</v>
      </c>
      <c r="I768">
        <v>19.45514584</v>
      </c>
      <c r="J768">
        <v>0.89600000000000002</v>
      </c>
      <c r="K768">
        <f t="shared" si="11"/>
        <v>5</v>
      </c>
      <c r="N768">
        <v>4.5</v>
      </c>
      <c r="O768">
        <v>5</v>
      </c>
    </row>
    <row r="769" spans="1:15" x14ac:dyDescent="0.2">
      <c r="A769" t="s">
        <v>2565</v>
      </c>
      <c r="B769">
        <v>9011870701</v>
      </c>
      <c r="C769" t="s">
        <v>2566</v>
      </c>
      <c r="D769">
        <v>2156</v>
      </c>
      <c r="E769">
        <v>2.4951246880000002</v>
      </c>
      <c r="F769">
        <v>864.08507380000003</v>
      </c>
      <c r="G769">
        <v>1</v>
      </c>
      <c r="H769">
        <v>163</v>
      </c>
      <c r="I769">
        <v>7.8403078400000004</v>
      </c>
      <c r="J769">
        <v>0.50800000000000001</v>
      </c>
      <c r="K769">
        <f t="shared" si="11"/>
        <v>3</v>
      </c>
      <c r="N769">
        <v>3</v>
      </c>
      <c r="O769">
        <v>3</v>
      </c>
    </row>
    <row r="770" spans="1:15" x14ac:dyDescent="0.2">
      <c r="A770" t="s">
        <v>2567</v>
      </c>
      <c r="B770">
        <v>9011870703</v>
      </c>
      <c r="C770" t="s">
        <v>2568</v>
      </c>
      <c r="D770">
        <v>1749</v>
      </c>
      <c r="E770">
        <v>2.1851946799999999</v>
      </c>
      <c r="F770">
        <v>800.38635260000001</v>
      </c>
      <c r="G770">
        <v>1</v>
      </c>
      <c r="H770">
        <v>196</v>
      </c>
      <c r="I770">
        <v>11.757648469999999</v>
      </c>
      <c r="J770">
        <v>0.67800000000000005</v>
      </c>
      <c r="K770">
        <f t="shared" si="11"/>
        <v>4</v>
      </c>
      <c r="N770">
        <v>3.5</v>
      </c>
      <c r="O770">
        <v>4</v>
      </c>
    </row>
    <row r="771" spans="1:15" x14ac:dyDescent="0.2">
      <c r="A771" t="s">
        <v>2569</v>
      </c>
      <c r="B771">
        <v>9011870704</v>
      </c>
      <c r="C771" t="s">
        <v>2570</v>
      </c>
      <c r="D771">
        <v>4072</v>
      </c>
      <c r="E771">
        <v>2.602448737</v>
      </c>
      <c r="F771">
        <v>1564.680196</v>
      </c>
      <c r="G771">
        <v>1</v>
      </c>
      <c r="H771">
        <v>383</v>
      </c>
      <c r="I771">
        <v>10.167241840000001</v>
      </c>
      <c r="J771">
        <v>0.61799999999999999</v>
      </c>
      <c r="K771">
        <f t="shared" ref="K771:K823" si="12">IF(J771&lt;0.2,1,IF(J771&lt;0.4,2,IF(J771&lt;0.6,3,IF(J771&lt;0.8,4,5))))</f>
        <v>4</v>
      </c>
      <c r="N771">
        <v>3.5</v>
      </c>
      <c r="O771">
        <v>4</v>
      </c>
    </row>
    <row r="772" spans="1:15" x14ac:dyDescent="0.2">
      <c r="A772" t="s">
        <v>2571</v>
      </c>
      <c r="B772">
        <v>9013526101</v>
      </c>
      <c r="C772" t="s">
        <v>2572</v>
      </c>
      <c r="D772">
        <v>4630</v>
      </c>
      <c r="E772">
        <v>16.711880520000001</v>
      </c>
      <c r="F772">
        <v>277.04841440000001</v>
      </c>
      <c r="G772">
        <v>2</v>
      </c>
      <c r="H772">
        <v>210</v>
      </c>
      <c r="I772">
        <v>4.6728971960000001</v>
      </c>
      <c r="J772">
        <v>0.22600000000000001</v>
      </c>
      <c r="K772">
        <f t="shared" si="12"/>
        <v>2</v>
      </c>
      <c r="N772">
        <v>2</v>
      </c>
      <c r="O772">
        <v>2</v>
      </c>
    </row>
    <row r="773" spans="1:15" x14ac:dyDescent="0.2">
      <c r="A773" t="s">
        <v>2573</v>
      </c>
      <c r="B773">
        <v>9013526102</v>
      </c>
      <c r="C773" t="s">
        <v>2574</v>
      </c>
      <c r="D773">
        <v>5056</v>
      </c>
      <c r="E773">
        <v>20.225102969999998</v>
      </c>
      <c r="F773">
        <v>249.98636629999999</v>
      </c>
      <c r="G773">
        <v>2</v>
      </c>
      <c r="H773">
        <v>162</v>
      </c>
      <c r="I773">
        <v>3.2283778399999998</v>
      </c>
      <c r="J773">
        <v>0.115</v>
      </c>
      <c r="K773">
        <f t="shared" si="12"/>
        <v>1</v>
      </c>
      <c r="N773">
        <v>1.5</v>
      </c>
      <c r="O773">
        <v>2</v>
      </c>
    </row>
    <row r="774" spans="1:15" x14ac:dyDescent="0.2">
      <c r="A774" t="s">
        <v>2575</v>
      </c>
      <c r="B774">
        <v>9013528100</v>
      </c>
      <c r="C774" t="s">
        <v>2576</v>
      </c>
      <c r="D774">
        <v>3303</v>
      </c>
      <c r="E774">
        <v>15.447457289999999</v>
      </c>
      <c r="F774">
        <v>213.8215979</v>
      </c>
      <c r="G774">
        <v>2</v>
      </c>
      <c r="H774">
        <v>57</v>
      </c>
      <c r="I774">
        <v>1.7795816419999999</v>
      </c>
      <c r="J774">
        <v>1.9E-2</v>
      </c>
      <c r="K774">
        <f t="shared" si="12"/>
        <v>1</v>
      </c>
      <c r="N774">
        <v>2</v>
      </c>
      <c r="O774">
        <v>2</v>
      </c>
    </row>
    <row r="775" spans="1:15" x14ac:dyDescent="0.2">
      <c r="A775" t="s">
        <v>2577</v>
      </c>
      <c r="B775">
        <v>9013529100</v>
      </c>
      <c r="C775" t="s">
        <v>2578</v>
      </c>
      <c r="D775">
        <v>4980</v>
      </c>
      <c r="E775">
        <v>14.407233550000001</v>
      </c>
      <c r="F775">
        <v>345.65969819999998</v>
      </c>
      <c r="G775">
        <v>1</v>
      </c>
      <c r="H775">
        <v>255</v>
      </c>
      <c r="I775">
        <v>5.1924251679999998</v>
      </c>
      <c r="J775">
        <v>0.28000000000000003</v>
      </c>
      <c r="K775">
        <f t="shared" si="12"/>
        <v>2</v>
      </c>
      <c r="N775">
        <v>2</v>
      </c>
      <c r="O775">
        <v>2</v>
      </c>
    </row>
    <row r="776" spans="1:15" x14ac:dyDescent="0.2">
      <c r="A776" t="s">
        <v>2579</v>
      </c>
      <c r="B776">
        <v>9013530100</v>
      </c>
      <c r="C776" t="s">
        <v>2580</v>
      </c>
      <c r="D776">
        <v>2271</v>
      </c>
      <c r="E776">
        <v>0.95036347700000001</v>
      </c>
      <c r="F776">
        <v>2389.6120340000002</v>
      </c>
      <c r="G776">
        <v>1</v>
      </c>
      <c r="H776">
        <v>404</v>
      </c>
      <c r="I776">
        <v>18.165467629999998</v>
      </c>
      <c r="J776">
        <v>0.85699999999999998</v>
      </c>
      <c r="K776">
        <f t="shared" si="12"/>
        <v>5</v>
      </c>
      <c r="N776">
        <v>5</v>
      </c>
      <c r="O776">
        <v>5</v>
      </c>
    </row>
    <row r="777" spans="1:15" x14ac:dyDescent="0.2">
      <c r="A777" t="s">
        <v>2581</v>
      </c>
      <c r="B777">
        <v>9013530200</v>
      </c>
      <c r="C777" t="s">
        <v>2582</v>
      </c>
      <c r="D777">
        <v>6177</v>
      </c>
      <c r="E777">
        <v>1.234672902</v>
      </c>
      <c r="F777">
        <v>5002.9444970000004</v>
      </c>
      <c r="G777">
        <v>1</v>
      </c>
      <c r="H777">
        <v>810</v>
      </c>
      <c r="I777">
        <v>11.81446908</v>
      </c>
      <c r="J777">
        <v>0.68700000000000006</v>
      </c>
      <c r="K777">
        <f t="shared" si="12"/>
        <v>4</v>
      </c>
      <c r="N777">
        <v>4.5</v>
      </c>
      <c r="O777">
        <v>5</v>
      </c>
    </row>
    <row r="778" spans="1:15" x14ac:dyDescent="0.2">
      <c r="A778" t="s">
        <v>2583</v>
      </c>
      <c r="B778">
        <v>9013530301</v>
      </c>
      <c r="C778" t="s">
        <v>2584</v>
      </c>
      <c r="D778">
        <v>5533</v>
      </c>
      <c r="E778">
        <v>1.7299207560000001</v>
      </c>
      <c r="F778">
        <v>3198.412401</v>
      </c>
      <c r="G778">
        <v>1</v>
      </c>
      <c r="H778">
        <v>304</v>
      </c>
      <c r="I778">
        <v>6.026962728</v>
      </c>
      <c r="J778">
        <v>0.38200000000000001</v>
      </c>
      <c r="K778">
        <f t="shared" si="12"/>
        <v>2</v>
      </c>
      <c r="N778">
        <v>3.5</v>
      </c>
      <c r="O778">
        <v>4</v>
      </c>
    </row>
    <row r="779" spans="1:15" x14ac:dyDescent="0.2">
      <c r="A779" t="s">
        <v>2585</v>
      </c>
      <c r="B779">
        <v>9013530302</v>
      </c>
      <c r="C779" t="s">
        <v>2586</v>
      </c>
      <c r="D779">
        <v>5984</v>
      </c>
      <c r="E779">
        <v>3.1479296429999999</v>
      </c>
      <c r="F779">
        <v>1900.9319390000001</v>
      </c>
      <c r="G779">
        <v>1</v>
      </c>
      <c r="H779">
        <v>1491</v>
      </c>
      <c r="I779">
        <v>24.632413679999999</v>
      </c>
      <c r="J779">
        <v>0.91300000000000003</v>
      </c>
      <c r="K779">
        <f t="shared" si="12"/>
        <v>5</v>
      </c>
      <c r="N779">
        <v>4</v>
      </c>
      <c r="O779">
        <v>4</v>
      </c>
    </row>
    <row r="780" spans="1:15" x14ac:dyDescent="0.2">
      <c r="A780" t="s">
        <v>2587</v>
      </c>
      <c r="B780">
        <v>9013530400</v>
      </c>
      <c r="C780" t="s">
        <v>2588</v>
      </c>
      <c r="D780">
        <v>3273</v>
      </c>
      <c r="E780">
        <v>1.7177137499999999</v>
      </c>
      <c r="F780">
        <v>1905.4397160000001</v>
      </c>
      <c r="G780">
        <v>1</v>
      </c>
      <c r="H780">
        <v>671</v>
      </c>
      <c r="I780">
        <v>18.73778274</v>
      </c>
      <c r="J780">
        <v>0.88800000000000001</v>
      </c>
      <c r="K780">
        <f t="shared" si="12"/>
        <v>5</v>
      </c>
      <c r="N780">
        <v>4.5</v>
      </c>
      <c r="O780">
        <v>5</v>
      </c>
    </row>
    <row r="781" spans="1:15" x14ac:dyDescent="0.2">
      <c r="A781" t="s">
        <v>2589</v>
      </c>
      <c r="B781">
        <v>9013530500</v>
      </c>
      <c r="C781" t="s">
        <v>2590</v>
      </c>
      <c r="D781">
        <v>3243</v>
      </c>
      <c r="E781">
        <v>2.4744280669999998</v>
      </c>
      <c r="F781">
        <v>1310.6058909999999</v>
      </c>
      <c r="G781">
        <v>1</v>
      </c>
      <c r="H781">
        <v>289</v>
      </c>
      <c r="I781">
        <v>9.9210435980000007</v>
      </c>
      <c r="J781">
        <v>0.63600000000000001</v>
      </c>
      <c r="K781">
        <f t="shared" si="12"/>
        <v>4</v>
      </c>
      <c r="N781">
        <v>4</v>
      </c>
      <c r="O781">
        <v>4</v>
      </c>
    </row>
    <row r="782" spans="1:15" x14ac:dyDescent="0.2">
      <c r="A782" t="s">
        <v>2591</v>
      </c>
      <c r="B782">
        <v>9013530600</v>
      </c>
      <c r="C782" t="s">
        <v>2592</v>
      </c>
      <c r="D782">
        <v>2698</v>
      </c>
      <c r="E782">
        <v>6.4440912470000002</v>
      </c>
      <c r="F782">
        <v>418.67811870000003</v>
      </c>
      <c r="G782">
        <v>1</v>
      </c>
      <c r="H782">
        <v>223</v>
      </c>
      <c r="I782">
        <v>8.7075361190000002</v>
      </c>
      <c r="J782">
        <v>0.60399999999999998</v>
      </c>
      <c r="K782">
        <f t="shared" si="12"/>
        <v>4</v>
      </c>
      <c r="N782">
        <v>3</v>
      </c>
      <c r="O782">
        <v>3</v>
      </c>
    </row>
    <row r="783" spans="1:15" x14ac:dyDescent="0.2">
      <c r="A783" t="s">
        <v>2593</v>
      </c>
      <c r="B783">
        <v>9013533101</v>
      </c>
      <c r="C783" t="s">
        <v>2594</v>
      </c>
      <c r="D783">
        <v>9318</v>
      </c>
      <c r="E783">
        <v>25.62911836</v>
      </c>
      <c r="F783">
        <v>363.57083649999998</v>
      </c>
      <c r="G783">
        <v>1</v>
      </c>
      <c r="H783">
        <v>524</v>
      </c>
      <c r="I783">
        <v>5.7012294639999999</v>
      </c>
      <c r="J783">
        <v>0.35699999999999998</v>
      </c>
      <c r="K783">
        <f t="shared" si="12"/>
        <v>2</v>
      </c>
      <c r="N783">
        <v>2</v>
      </c>
      <c r="O783">
        <v>2</v>
      </c>
    </row>
    <row r="784" spans="1:15" x14ac:dyDescent="0.2">
      <c r="A784" t="s">
        <v>2595</v>
      </c>
      <c r="B784">
        <v>9013533102</v>
      </c>
      <c r="C784" t="s">
        <v>2596</v>
      </c>
      <c r="D784">
        <v>5734</v>
      </c>
      <c r="E784">
        <v>13.997890719999999</v>
      </c>
      <c r="F784">
        <v>409.63314500000001</v>
      </c>
      <c r="G784">
        <v>1</v>
      </c>
      <c r="H784">
        <v>602</v>
      </c>
      <c r="I784">
        <v>10.901847160000001</v>
      </c>
      <c r="J784">
        <v>0.63400000000000001</v>
      </c>
      <c r="K784">
        <f t="shared" si="12"/>
        <v>4</v>
      </c>
      <c r="N784">
        <v>3</v>
      </c>
      <c r="O784">
        <v>3</v>
      </c>
    </row>
    <row r="785" spans="1:15" x14ac:dyDescent="0.2">
      <c r="A785" t="s">
        <v>2597</v>
      </c>
      <c r="B785">
        <v>9013535100</v>
      </c>
      <c r="C785" t="s">
        <v>2598</v>
      </c>
      <c r="D785">
        <v>9161</v>
      </c>
      <c r="E785">
        <v>17.376222590000001</v>
      </c>
      <c r="F785">
        <v>527.21470109999996</v>
      </c>
      <c r="G785">
        <v>1</v>
      </c>
      <c r="H785">
        <v>915</v>
      </c>
      <c r="I785">
        <v>9.4857972220000004</v>
      </c>
      <c r="J785">
        <v>0.625</v>
      </c>
      <c r="K785">
        <f t="shared" si="12"/>
        <v>4</v>
      </c>
      <c r="N785">
        <v>3.5</v>
      </c>
      <c r="O785">
        <v>4</v>
      </c>
    </row>
    <row r="786" spans="1:15" x14ac:dyDescent="0.2">
      <c r="A786" t="s">
        <v>2599</v>
      </c>
      <c r="B786">
        <v>9013535200</v>
      </c>
      <c r="C786" t="s">
        <v>2600</v>
      </c>
      <c r="D786">
        <v>6441</v>
      </c>
      <c r="E786">
        <v>16.683871889999999</v>
      </c>
      <c r="F786">
        <v>386.0614635</v>
      </c>
      <c r="G786">
        <v>1</v>
      </c>
      <c r="H786">
        <v>1107</v>
      </c>
      <c r="I786">
        <v>16.968117719999999</v>
      </c>
      <c r="J786">
        <v>0.84599999999999997</v>
      </c>
      <c r="K786">
        <f t="shared" si="12"/>
        <v>5</v>
      </c>
      <c r="N786">
        <v>3.5</v>
      </c>
      <c r="O786">
        <v>4</v>
      </c>
    </row>
    <row r="787" spans="1:15" x14ac:dyDescent="0.2">
      <c r="A787" t="s">
        <v>2601</v>
      </c>
      <c r="B787">
        <v>9013538201</v>
      </c>
      <c r="C787" t="s">
        <v>2602</v>
      </c>
      <c r="D787">
        <v>5166</v>
      </c>
      <c r="E787">
        <v>14.88098053</v>
      </c>
      <c r="F787">
        <v>347.1545433</v>
      </c>
      <c r="G787">
        <v>1</v>
      </c>
      <c r="H787">
        <v>359</v>
      </c>
      <c r="I787">
        <v>7.035077405</v>
      </c>
      <c r="J787">
        <v>0.54</v>
      </c>
      <c r="K787">
        <f t="shared" si="12"/>
        <v>3</v>
      </c>
      <c r="N787">
        <v>2.5</v>
      </c>
      <c r="O787">
        <v>3</v>
      </c>
    </row>
    <row r="788" spans="1:15" x14ac:dyDescent="0.2">
      <c r="A788" t="s">
        <v>2603</v>
      </c>
      <c r="B788">
        <v>9013538202</v>
      </c>
      <c r="C788" t="s">
        <v>2604</v>
      </c>
      <c r="D788">
        <v>3939</v>
      </c>
      <c r="E788">
        <v>12.86606617</v>
      </c>
      <c r="F788">
        <v>306.15418469999997</v>
      </c>
      <c r="G788">
        <v>1</v>
      </c>
      <c r="H788">
        <v>52</v>
      </c>
      <c r="I788">
        <v>1.2392755</v>
      </c>
      <c r="J788">
        <v>0</v>
      </c>
      <c r="K788">
        <f t="shared" si="12"/>
        <v>1</v>
      </c>
      <c r="N788">
        <v>1</v>
      </c>
      <c r="O788">
        <v>1</v>
      </c>
    </row>
    <row r="789" spans="1:15" x14ac:dyDescent="0.2">
      <c r="A789" t="s">
        <v>2605</v>
      </c>
      <c r="B789">
        <v>9013840100</v>
      </c>
      <c r="C789" t="s">
        <v>2606</v>
      </c>
      <c r="D789">
        <v>6041</v>
      </c>
      <c r="E789">
        <v>33.293711790000003</v>
      </c>
      <c r="F789">
        <v>181.44567480000001</v>
      </c>
      <c r="G789">
        <v>2</v>
      </c>
      <c r="H789">
        <v>733</v>
      </c>
      <c r="I789">
        <v>12.438486340000001</v>
      </c>
      <c r="J789">
        <v>0.74199999999999999</v>
      </c>
      <c r="K789">
        <f t="shared" si="12"/>
        <v>4</v>
      </c>
      <c r="N789">
        <v>3.5</v>
      </c>
      <c r="O789">
        <v>4</v>
      </c>
    </row>
    <row r="790" spans="1:15" x14ac:dyDescent="0.2">
      <c r="A790" t="s">
        <v>2607</v>
      </c>
      <c r="B790">
        <v>9013850100</v>
      </c>
      <c r="C790" t="s">
        <v>2608</v>
      </c>
      <c r="D790">
        <v>5504</v>
      </c>
      <c r="E790">
        <v>19.212928399999999</v>
      </c>
      <c r="F790">
        <v>286.47376839999998</v>
      </c>
      <c r="G790">
        <v>2</v>
      </c>
      <c r="H790">
        <v>353</v>
      </c>
      <c r="I790">
        <v>6.0611263739999997</v>
      </c>
      <c r="J790">
        <v>0.47</v>
      </c>
      <c r="K790">
        <f t="shared" si="12"/>
        <v>3</v>
      </c>
      <c r="N790">
        <v>2.5</v>
      </c>
      <c r="O790">
        <v>3</v>
      </c>
    </row>
    <row r="791" spans="1:15" x14ac:dyDescent="0.2">
      <c r="A791" t="s">
        <v>2609</v>
      </c>
      <c r="B791">
        <v>9013850200</v>
      </c>
      <c r="C791" t="s">
        <v>2610</v>
      </c>
      <c r="D791">
        <v>6931</v>
      </c>
      <c r="E791">
        <v>18.35628543</v>
      </c>
      <c r="F791">
        <v>377.58183839999998</v>
      </c>
      <c r="G791">
        <v>2</v>
      </c>
      <c r="H791">
        <v>218</v>
      </c>
      <c r="I791">
        <v>3.2985323040000001</v>
      </c>
      <c r="J791">
        <v>0.121</v>
      </c>
      <c r="K791">
        <f t="shared" si="12"/>
        <v>1</v>
      </c>
      <c r="N791">
        <v>2</v>
      </c>
      <c r="O791">
        <v>2</v>
      </c>
    </row>
    <row r="792" spans="1:15" x14ac:dyDescent="0.2">
      <c r="A792" t="s">
        <v>2611</v>
      </c>
      <c r="B792">
        <v>9013860100</v>
      </c>
      <c r="C792" t="s">
        <v>2612</v>
      </c>
      <c r="D792">
        <v>5485</v>
      </c>
      <c r="E792">
        <v>21.372704039999999</v>
      </c>
      <c r="F792">
        <v>256.63575320000001</v>
      </c>
      <c r="G792">
        <v>2</v>
      </c>
      <c r="H792">
        <v>208</v>
      </c>
      <c r="I792">
        <v>3.8397637069999999</v>
      </c>
      <c r="J792">
        <v>0.156</v>
      </c>
      <c r="K792">
        <f t="shared" si="12"/>
        <v>1</v>
      </c>
      <c r="N792">
        <v>2</v>
      </c>
      <c r="O792">
        <v>2</v>
      </c>
    </row>
    <row r="793" spans="1:15" x14ac:dyDescent="0.2">
      <c r="A793" t="s">
        <v>2613</v>
      </c>
      <c r="B793">
        <v>9013881100</v>
      </c>
      <c r="C793" t="s">
        <v>2614</v>
      </c>
      <c r="D793">
        <v>4119</v>
      </c>
      <c r="E793">
        <v>22.311847</v>
      </c>
      <c r="F793">
        <v>184.61044480000001</v>
      </c>
      <c r="G793">
        <v>2</v>
      </c>
      <c r="H793">
        <v>652</v>
      </c>
      <c r="I793">
        <v>14.68468468</v>
      </c>
      <c r="J793">
        <v>0.77400000000000002</v>
      </c>
      <c r="K793">
        <f t="shared" si="12"/>
        <v>4</v>
      </c>
      <c r="N793">
        <v>3.5</v>
      </c>
      <c r="O793">
        <v>4</v>
      </c>
    </row>
    <row r="794" spans="1:15" x14ac:dyDescent="0.2">
      <c r="A794" t="s">
        <v>2615</v>
      </c>
      <c r="B794">
        <v>9013881200</v>
      </c>
      <c r="C794" t="s">
        <v>2616</v>
      </c>
      <c r="D794">
        <v>10289</v>
      </c>
      <c r="E794">
        <v>0.87737510799999996</v>
      </c>
      <c r="F794">
        <v>11727.02521</v>
      </c>
      <c r="G794">
        <v>1</v>
      </c>
      <c r="H794">
        <v>1715</v>
      </c>
      <c r="I794">
        <v>15.66067026</v>
      </c>
      <c r="J794">
        <v>0.83299999999999996</v>
      </c>
      <c r="K794">
        <f t="shared" si="12"/>
        <v>5</v>
      </c>
      <c r="N794">
        <v>4</v>
      </c>
      <c r="O794">
        <v>4</v>
      </c>
    </row>
    <row r="795" spans="1:15" x14ac:dyDescent="0.2">
      <c r="A795" t="s">
        <v>2617</v>
      </c>
      <c r="B795">
        <v>9013881300</v>
      </c>
      <c r="C795" t="s">
        <v>2618</v>
      </c>
      <c r="D795">
        <v>6189</v>
      </c>
      <c r="E795">
        <v>9.1518300470000007</v>
      </c>
      <c r="F795">
        <v>676.25818749999996</v>
      </c>
      <c r="G795">
        <v>1</v>
      </c>
      <c r="H795">
        <v>535</v>
      </c>
      <c r="I795">
        <v>12.09859792</v>
      </c>
      <c r="J795">
        <v>0.75800000000000001</v>
      </c>
      <c r="K795">
        <f t="shared" si="12"/>
        <v>4</v>
      </c>
      <c r="N795">
        <v>4.5</v>
      </c>
      <c r="O795">
        <v>5</v>
      </c>
    </row>
    <row r="796" spans="1:15" x14ac:dyDescent="0.2">
      <c r="A796" t="s">
        <v>2619</v>
      </c>
      <c r="B796">
        <v>9013881500</v>
      </c>
      <c r="C796" t="s">
        <v>2620</v>
      </c>
      <c r="D796">
        <v>5946</v>
      </c>
      <c r="E796">
        <v>12.258355249999999</v>
      </c>
      <c r="F796">
        <v>485.05691660000002</v>
      </c>
      <c r="G796">
        <v>2</v>
      </c>
      <c r="H796">
        <v>808</v>
      </c>
      <c r="I796">
        <v>13.49816238</v>
      </c>
      <c r="J796">
        <v>0.78500000000000003</v>
      </c>
      <c r="K796">
        <f t="shared" si="12"/>
        <v>4</v>
      </c>
      <c r="N796">
        <v>4</v>
      </c>
      <c r="O796">
        <v>4</v>
      </c>
    </row>
    <row r="797" spans="1:15" x14ac:dyDescent="0.2">
      <c r="A797" t="s">
        <v>2621</v>
      </c>
      <c r="B797">
        <v>9013890100</v>
      </c>
      <c r="C797" t="s">
        <v>2622</v>
      </c>
      <c r="D797">
        <v>3858</v>
      </c>
      <c r="E797">
        <v>3.4172285740000001</v>
      </c>
      <c r="F797">
        <v>1128.985058</v>
      </c>
      <c r="G797">
        <v>2</v>
      </c>
      <c r="H797">
        <v>170</v>
      </c>
      <c r="I797">
        <v>4.3545081970000004</v>
      </c>
      <c r="J797">
        <v>0.222</v>
      </c>
      <c r="K797">
        <f t="shared" si="12"/>
        <v>2</v>
      </c>
      <c r="N797">
        <v>3.5</v>
      </c>
      <c r="O797">
        <v>4</v>
      </c>
    </row>
    <row r="798" spans="1:15" x14ac:dyDescent="0.2">
      <c r="A798" t="s">
        <v>2623</v>
      </c>
      <c r="B798">
        <v>9013890201</v>
      </c>
      <c r="C798" t="s">
        <v>2624</v>
      </c>
      <c r="D798">
        <v>3878</v>
      </c>
      <c r="E798">
        <v>47.407410380000002</v>
      </c>
      <c r="F798">
        <v>81.801557369999998</v>
      </c>
      <c r="G798">
        <v>2</v>
      </c>
      <c r="H798">
        <v>282</v>
      </c>
      <c r="I798">
        <v>7.7133479210000004</v>
      </c>
      <c r="J798">
        <v>0.61499999999999999</v>
      </c>
      <c r="K798">
        <f t="shared" si="12"/>
        <v>4</v>
      </c>
      <c r="N798">
        <v>4</v>
      </c>
      <c r="O798">
        <v>4</v>
      </c>
    </row>
    <row r="799" spans="1:15" x14ac:dyDescent="0.2">
      <c r="A799" t="s">
        <v>2625</v>
      </c>
      <c r="B799">
        <v>9013890202</v>
      </c>
      <c r="C799" t="s">
        <v>2626</v>
      </c>
      <c r="D799">
        <v>5205</v>
      </c>
      <c r="E799">
        <v>36.007573010000002</v>
      </c>
      <c r="F799">
        <v>144.55292499999999</v>
      </c>
      <c r="G799">
        <v>2</v>
      </c>
      <c r="H799">
        <v>385</v>
      </c>
      <c r="I799">
        <v>7.3825503360000004</v>
      </c>
      <c r="J799">
        <v>0.6</v>
      </c>
      <c r="K799">
        <f t="shared" si="12"/>
        <v>4</v>
      </c>
      <c r="N799">
        <v>3</v>
      </c>
      <c r="O799">
        <v>3</v>
      </c>
    </row>
    <row r="800" spans="1:15" x14ac:dyDescent="0.2">
      <c r="A800" t="s">
        <v>2627</v>
      </c>
      <c r="B800">
        <v>9015800300</v>
      </c>
      <c r="C800" t="s">
        <v>2628</v>
      </c>
      <c r="D800">
        <v>6430</v>
      </c>
      <c r="E800">
        <v>1.6730324620000001</v>
      </c>
      <c r="F800">
        <v>3843.3205250000001</v>
      </c>
      <c r="G800">
        <v>2</v>
      </c>
      <c r="H800">
        <v>1209</v>
      </c>
      <c r="I800">
        <v>17.131925750000001</v>
      </c>
      <c r="J800">
        <v>0.83299999999999996</v>
      </c>
      <c r="K800">
        <f t="shared" si="12"/>
        <v>5</v>
      </c>
      <c r="N800">
        <v>5</v>
      </c>
      <c r="O800">
        <v>5</v>
      </c>
    </row>
    <row r="801" spans="1:15" x14ac:dyDescent="0.2">
      <c r="A801" t="s">
        <v>2629</v>
      </c>
      <c r="B801">
        <v>9015800400</v>
      </c>
      <c r="C801" t="s">
        <v>2630</v>
      </c>
      <c r="D801">
        <v>4040</v>
      </c>
      <c r="E801">
        <v>2.251941322</v>
      </c>
      <c r="F801">
        <v>1794.007668</v>
      </c>
      <c r="G801">
        <v>2</v>
      </c>
      <c r="H801">
        <v>1131</v>
      </c>
      <c r="I801">
        <v>32.868352219999998</v>
      </c>
      <c r="J801">
        <v>0.95599999999999996</v>
      </c>
      <c r="K801">
        <f t="shared" si="12"/>
        <v>5</v>
      </c>
      <c r="N801">
        <v>5</v>
      </c>
      <c r="O801">
        <v>5</v>
      </c>
    </row>
    <row r="802" spans="1:15" x14ac:dyDescent="0.2">
      <c r="A802" t="s">
        <v>2631</v>
      </c>
      <c r="B802">
        <v>9015800500</v>
      </c>
      <c r="C802" t="s">
        <v>2632</v>
      </c>
      <c r="D802">
        <v>7007</v>
      </c>
      <c r="E802">
        <v>21.79043532</v>
      </c>
      <c r="F802">
        <v>321.56310309999998</v>
      </c>
      <c r="G802">
        <v>2</v>
      </c>
      <c r="H802">
        <v>1355</v>
      </c>
      <c r="I802">
        <v>20.232940119999999</v>
      </c>
      <c r="J802">
        <v>0.90900000000000003</v>
      </c>
      <c r="K802">
        <f t="shared" si="12"/>
        <v>5</v>
      </c>
      <c r="N802">
        <v>4.5</v>
      </c>
      <c r="O802">
        <v>5</v>
      </c>
    </row>
    <row r="803" spans="1:15" x14ac:dyDescent="0.2">
      <c r="A803" t="s">
        <v>2633</v>
      </c>
      <c r="B803">
        <v>9015800600</v>
      </c>
      <c r="C803" t="s">
        <v>2634</v>
      </c>
      <c r="D803">
        <v>4394</v>
      </c>
      <c r="E803">
        <v>0.56322423099999996</v>
      </c>
      <c r="F803">
        <v>7801.5109380000004</v>
      </c>
      <c r="G803">
        <v>2</v>
      </c>
      <c r="H803">
        <v>1430</v>
      </c>
      <c r="I803">
        <v>37.395397490000001</v>
      </c>
      <c r="J803">
        <v>1</v>
      </c>
      <c r="K803">
        <f t="shared" si="12"/>
        <v>5</v>
      </c>
      <c r="N803">
        <v>5</v>
      </c>
      <c r="O803">
        <v>5</v>
      </c>
    </row>
    <row r="804" spans="1:15" x14ac:dyDescent="0.2">
      <c r="A804" t="s">
        <v>2635</v>
      </c>
      <c r="B804">
        <v>9015800700</v>
      </c>
      <c r="C804" t="s">
        <v>2636</v>
      </c>
      <c r="D804">
        <v>3397</v>
      </c>
      <c r="E804">
        <v>0.69366112899999999</v>
      </c>
      <c r="F804">
        <v>4897.2039199999999</v>
      </c>
      <c r="G804">
        <v>2</v>
      </c>
      <c r="H804">
        <v>989</v>
      </c>
      <c r="I804">
        <v>27.20022002</v>
      </c>
      <c r="J804">
        <v>1</v>
      </c>
      <c r="K804">
        <f t="shared" si="12"/>
        <v>5</v>
      </c>
      <c r="N804">
        <v>5</v>
      </c>
      <c r="O804">
        <v>5</v>
      </c>
    </row>
    <row r="805" spans="1:15" x14ac:dyDescent="0.2">
      <c r="A805" t="s">
        <v>2637</v>
      </c>
      <c r="B805">
        <v>9015815000</v>
      </c>
      <c r="C805" t="s">
        <v>2638</v>
      </c>
      <c r="D805">
        <v>2305</v>
      </c>
      <c r="E805">
        <v>19.427314339999999</v>
      </c>
      <c r="F805">
        <v>118.6473828</v>
      </c>
      <c r="G805">
        <v>2</v>
      </c>
      <c r="H805">
        <v>276</v>
      </c>
      <c r="I805">
        <v>11.088790680000001</v>
      </c>
      <c r="J805">
        <v>0.94699999999999995</v>
      </c>
      <c r="K805">
        <f t="shared" si="12"/>
        <v>5</v>
      </c>
      <c r="N805">
        <v>4.5</v>
      </c>
      <c r="O805">
        <v>5</v>
      </c>
    </row>
    <row r="806" spans="1:15" x14ac:dyDescent="0.2">
      <c r="A806" t="s">
        <v>2639</v>
      </c>
      <c r="B806">
        <v>9015820000</v>
      </c>
      <c r="C806" t="s">
        <v>2640</v>
      </c>
      <c r="D806">
        <v>1863</v>
      </c>
      <c r="E806">
        <v>25.092195019999998</v>
      </c>
      <c r="F806">
        <v>74.246194819999999</v>
      </c>
      <c r="G806">
        <v>2</v>
      </c>
      <c r="H806">
        <v>113</v>
      </c>
      <c r="I806">
        <v>6.1748633880000003</v>
      </c>
      <c r="J806">
        <v>0.77700000000000002</v>
      </c>
      <c r="K806">
        <f t="shared" si="12"/>
        <v>4</v>
      </c>
      <c r="N806">
        <v>3.5</v>
      </c>
      <c r="O806">
        <v>4</v>
      </c>
    </row>
    <row r="807" spans="1:15" x14ac:dyDescent="0.2">
      <c r="A807" t="s">
        <v>2641</v>
      </c>
      <c r="B807">
        <v>9015825000</v>
      </c>
      <c r="C807" t="s">
        <v>2642</v>
      </c>
      <c r="D807">
        <v>1726</v>
      </c>
      <c r="E807">
        <v>18.63232339</v>
      </c>
      <c r="F807">
        <v>92.634716760000003</v>
      </c>
      <c r="G807">
        <v>2</v>
      </c>
      <c r="H807">
        <v>56</v>
      </c>
      <c r="I807">
        <v>3.5691523260000002</v>
      </c>
      <c r="J807">
        <v>0.23499999999999999</v>
      </c>
      <c r="K807">
        <f t="shared" si="12"/>
        <v>2</v>
      </c>
      <c r="N807">
        <v>2.5</v>
      </c>
      <c r="O807">
        <v>3</v>
      </c>
    </row>
    <row r="808" spans="1:15" x14ac:dyDescent="0.2">
      <c r="A808" t="s">
        <v>2643</v>
      </c>
      <c r="B808">
        <v>9015830100</v>
      </c>
      <c r="C808" t="s">
        <v>2644</v>
      </c>
      <c r="D808">
        <v>4317</v>
      </c>
      <c r="E808">
        <v>38.76182206</v>
      </c>
      <c r="F808">
        <v>111.3724735</v>
      </c>
      <c r="G808">
        <v>2</v>
      </c>
      <c r="H808">
        <v>261</v>
      </c>
      <c r="I808">
        <v>6.1614730880000002</v>
      </c>
      <c r="J808">
        <v>0.75</v>
      </c>
      <c r="K808">
        <f t="shared" si="12"/>
        <v>4</v>
      </c>
      <c r="N808">
        <v>4</v>
      </c>
      <c r="O808">
        <v>4</v>
      </c>
    </row>
    <row r="809" spans="1:15" x14ac:dyDescent="0.2">
      <c r="A809" t="s">
        <v>2645</v>
      </c>
      <c r="B809">
        <v>9015900100</v>
      </c>
      <c r="C809" t="s">
        <v>2646</v>
      </c>
      <c r="D809">
        <v>4570</v>
      </c>
      <c r="E809">
        <v>26.86631869</v>
      </c>
      <c r="F809">
        <v>170.10145879999999</v>
      </c>
      <c r="G809">
        <v>2</v>
      </c>
      <c r="H809">
        <v>219</v>
      </c>
      <c r="I809">
        <v>4.8015786010000001</v>
      </c>
      <c r="J809">
        <v>0.33300000000000002</v>
      </c>
      <c r="K809">
        <f t="shared" si="12"/>
        <v>2</v>
      </c>
      <c r="N809">
        <v>3</v>
      </c>
      <c r="O809">
        <v>3</v>
      </c>
    </row>
    <row r="810" spans="1:15" x14ac:dyDescent="0.2">
      <c r="A810" t="s">
        <v>2647</v>
      </c>
      <c r="B810">
        <v>9015900200</v>
      </c>
      <c r="C810" t="s">
        <v>2648</v>
      </c>
      <c r="D810">
        <v>4888</v>
      </c>
      <c r="E810">
        <v>20.036518699999998</v>
      </c>
      <c r="F810">
        <v>243.95455480000001</v>
      </c>
      <c r="G810">
        <v>1</v>
      </c>
      <c r="H810">
        <v>230</v>
      </c>
      <c r="I810">
        <v>4.8016701460000002</v>
      </c>
      <c r="J810">
        <v>0.35699999999999998</v>
      </c>
      <c r="K810">
        <f t="shared" si="12"/>
        <v>2</v>
      </c>
      <c r="N810">
        <v>3</v>
      </c>
      <c r="O810">
        <v>3</v>
      </c>
    </row>
    <row r="811" spans="1:15" x14ac:dyDescent="0.2">
      <c r="A811" t="s">
        <v>2649</v>
      </c>
      <c r="B811">
        <v>9015901100</v>
      </c>
      <c r="C811" t="s">
        <v>2650</v>
      </c>
      <c r="D811">
        <v>7964</v>
      </c>
      <c r="E811">
        <v>60.645263610000001</v>
      </c>
      <c r="F811">
        <v>131.321055</v>
      </c>
      <c r="G811">
        <v>2</v>
      </c>
      <c r="H811">
        <v>219</v>
      </c>
      <c r="I811">
        <v>2.7947932619999998</v>
      </c>
      <c r="J811">
        <v>0</v>
      </c>
      <c r="K811">
        <f t="shared" si="12"/>
        <v>1</v>
      </c>
      <c r="N811">
        <v>2</v>
      </c>
      <c r="O811">
        <v>2</v>
      </c>
    </row>
    <row r="812" spans="1:15" x14ac:dyDescent="0.2">
      <c r="A812" t="s">
        <v>2651</v>
      </c>
      <c r="B812">
        <v>9015902200</v>
      </c>
      <c r="C812" t="s">
        <v>2652</v>
      </c>
      <c r="D812">
        <v>1749</v>
      </c>
      <c r="E812">
        <v>28.920844030000001</v>
      </c>
      <c r="F812">
        <v>60.475413439999997</v>
      </c>
      <c r="G812">
        <v>2</v>
      </c>
      <c r="H812">
        <v>69</v>
      </c>
      <c r="I812">
        <v>4.1742286750000002</v>
      </c>
      <c r="J812">
        <v>0.25</v>
      </c>
      <c r="K812">
        <f t="shared" si="12"/>
        <v>2</v>
      </c>
      <c r="N812">
        <v>2.5</v>
      </c>
      <c r="O812">
        <v>3</v>
      </c>
    </row>
    <row r="813" spans="1:15" x14ac:dyDescent="0.2">
      <c r="A813" t="s">
        <v>2653</v>
      </c>
      <c r="B813">
        <v>9015902500</v>
      </c>
      <c r="C813" t="s">
        <v>2654</v>
      </c>
      <c r="D813">
        <v>4247</v>
      </c>
      <c r="E813">
        <v>40.328865999999998</v>
      </c>
      <c r="F813">
        <v>105.3091847</v>
      </c>
      <c r="G813">
        <v>2</v>
      </c>
      <c r="H813">
        <v>204</v>
      </c>
      <c r="I813">
        <v>4.873387482</v>
      </c>
      <c r="J813">
        <v>0.27200000000000002</v>
      </c>
      <c r="K813">
        <f t="shared" si="12"/>
        <v>2</v>
      </c>
      <c r="N813">
        <v>2.5</v>
      </c>
      <c r="O813">
        <v>3</v>
      </c>
    </row>
    <row r="814" spans="1:15" x14ac:dyDescent="0.2">
      <c r="A814" t="s">
        <v>2655</v>
      </c>
      <c r="B814">
        <v>9015903100</v>
      </c>
      <c r="C814" t="s">
        <v>2656</v>
      </c>
      <c r="D814">
        <v>7240</v>
      </c>
      <c r="E814">
        <v>3.3297810650000002</v>
      </c>
      <c r="F814">
        <v>2174.3171280000001</v>
      </c>
      <c r="G814">
        <v>1</v>
      </c>
      <c r="H814">
        <v>221</v>
      </c>
      <c r="I814">
        <v>3.2192279680000002</v>
      </c>
      <c r="J814">
        <v>0.2</v>
      </c>
      <c r="K814">
        <f t="shared" si="12"/>
        <v>2</v>
      </c>
      <c r="N814">
        <v>3</v>
      </c>
      <c r="O814">
        <v>3</v>
      </c>
    </row>
    <row r="815" spans="1:15" x14ac:dyDescent="0.2">
      <c r="A815" t="s">
        <v>2657</v>
      </c>
      <c r="B815">
        <v>9015903200</v>
      </c>
      <c r="C815" t="s">
        <v>2658</v>
      </c>
      <c r="D815">
        <v>2344</v>
      </c>
      <c r="E815">
        <v>16.974579810000002</v>
      </c>
      <c r="F815">
        <v>138.08883800000001</v>
      </c>
      <c r="G815">
        <v>2</v>
      </c>
      <c r="H815">
        <v>144</v>
      </c>
      <c r="I815">
        <v>5.769230769</v>
      </c>
      <c r="J815">
        <v>0.44400000000000001</v>
      </c>
      <c r="K815">
        <f t="shared" si="12"/>
        <v>3</v>
      </c>
      <c r="N815">
        <v>3.5</v>
      </c>
      <c r="O815">
        <v>4</v>
      </c>
    </row>
    <row r="816" spans="1:15" x14ac:dyDescent="0.2">
      <c r="A816" t="s">
        <v>2659</v>
      </c>
      <c r="B816">
        <v>9015904100</v>
      </c>
      <c r="C816" t="s">
        <v>2660</v>
      </c>
      <c r="D816">
        <v>7466</v>
      </c>
      <c r="E816">
        <v>36.704049210000001</v>
      </c>
      <c r="F816">
        <v>203.41079970000001</v>
      </c>
      <c r="G816">
        <v>2</v>
      </c>
      <c r="H816">
        <v>402</v>
      </c>
      <c r="I816">
        <v>5.6318296439999997</v>
      </c>
      <c r="J816">
        <v>0.375</v>
      </c>
      <c r="K816">
        <f t="shared" si="12"/>
        <v>2</v>
      </c>
      <c r="N816">
        <v>3</v>
      </c>
      <c r="O816">
        <v>3</v>
      </c>
    </row>
    <row r="817" spans="1:15" x14ac:dyDescent="0.2">
      <c r="A817" t="s">
        <v>2661</v>
      </c>
      <c r="B817">
        <v>9015904400</v>
      </c>
      <c r="C817" t="s">
        <v>2662</v>
      </c>
      <c r="D817">
        <v>4085</v>
      </c>
      <c r="E817">
        <v>7.2519969199999998</v>
      </c>
      <c r="F817">
        <v>563.29312389999996</v>
      </c>
      <c r="G817">
        <v>1</v>
      </c>
      <c r="H817">
        <v>342</v>
      </c>
      <c r="I817">
        <v>7.9906542060000003</v>
      </c>
      <c r="J817">
        <v>0.57099999999999995</v>
      </c>
      <c r="K817">
        <f t="shared" si="12"/>
        <v>3</v>
      </c>
      <c r="N817">
        <v>4</v>
      </c>
      <c r="O817">
        <v>4</v>
      </c>
    </row>
    <row r="818" spans="1:15" x14ac:dyDescent="0.2">
      <c r="A818" t="s">
        <v>2663</v>
      </c>
      <c r="B818">
        <v>9015904500</v>
      </c>
      <c r="C818" t="s">
        <v>2664</v>
      </c>
      <c r="D818">
        <v>5819</v>
      </c>
      <c r="E818">
        <v>4.35022865</v>
      </c>
      <c r="F818">
        <v>1337.6308389999999</v>
      </c>
      <c r="G818">
        <v>1</v>
      </c>
      <c r="H818">
        <v>886</v>
      </c>
      <c r="I818">
        <v>15.24169964</v>
      </c>
      <c r="J818">
        <v>1</v>
      </c>
      <c r="K818">
        <f t="shared" si="12"/>
        <v>5</v>
      </c>
      <c r="N818">
        <v>5</v>
      </c>
      <c r="O818">
        <v>5</v>
      </c>
    </row>
    <row r="819" spans="1:15" x14ac:dyDescent="0.2">
      <c r="A819" t="s">
        <v>2665</v>
      </c>
      <c r="B819">
        <v>9015905100</v>
      </c>
      <c r="C819" t="s">
        <v>2666</v>
      </c>
      <c r="D819">
        <v>8210</v>
      </c>
      <c r="E819">
        <v>29.09115255</v>
      </c>
      <c r="F819">
        <v>282.21638819999998</v>
      </c>
      <c r="G819">
        <v>1</v>
      </c>
      <c r="H819">
        <v>495</v>
      </c>
      <c r="I819">
        <v>6.0087399850000001</v>
      </c>
      <c r="J819">
        <v>0.6</v>
      </c>
      <c r="K819">
        <f t="shared" si="12"/>
        <v>4</v>
      </c>
      <c r="N819">
        <v>3.5</v>
      </c>
      <c r="O819">
        <v>4</v>
      </c>
    </row>
    <row r="820" spans="1:15" x14ac:dyDescent="0.2">
      <c r="A820" t="s">
        <v>2667</v>
      </c>
      <c r="B820">
        <v>9015906100</v>
      </c>
      <c r="C820" t="s">
        <v>2668</v>
      </c>
      <c r="D820">
        <v>5132</v>
      </c>
      <c r="E820">
        <v>39.944780440000002</v>
      </c>
      <c r="F820">
        <v>128.47736159999999</v>
      </c>
      <c r="G820">
        <v>2</v>
      </c>
      <c r="H820">
        <v>160</v>
      </c>
      <c r="I820">
        <v>3.1564411130000001</v>
      </c>
      <c r="J820">
        <v>0</v>
      </c>
      <c r="K820">
        <f t="shared" si="12"/>
        <v>1</v>
      </c>
      <c r="N820">
        <v>1.5</v>
      </c>
      <c r="O820">
        <v>2</v>
      </c>
    </row>
    <row r="821" spans="1:15" x14ac:dyDescent="0.2">
      <c r="A821" t="s">
        <v>2669</v>
      </c>
      <c r="B821">
        <v>9015907100</v>
      </c>
      <c r="C821" t="s">
        <v>2670</v>
      </c>
      <c r="D821">
        <v>4413</v>
      </c>
      <c r="E821">
        <v>13.24820076</v>
      </c>
      <c r="F821">
        <v>333.10183610000001</v>
      </c>
      <c r="G821">
        <v>1</v>
      </c>
      <c r="H821">
        <v>377</v>
      </c>
      <c r="I821">
        <v>8.1637072330000002</v>
      </c>
      <c r="J821">
        <v>0.66600000000000004</v>
      </c>
      <c r="K821">
        <f t="shared" si="12"/>
        <v>4</v>
      </c>
      <c r="N821">
        <v>4</v>
      </c>
      <c r="O821">
        <v>4</v>
      </c>
    </row>
    <row r="822" spans="1:15" x14ac:dyDescent="0.2">
      <c r="A822" t="s">
        <v>2671</v>
      </c>
      <c r="B822">
        <v>9015907200</v>
      </c>
      <c r="C822" t="s">
        <v>2672</v>
      </c>
      <c r="D822">
        <v>5506</v>
      </c>
      <c r="E822">
        <v>13.477922680000001</v>
      </c>
      <c r="F822">
        <v>408.51992790000003</v>
      </c>
      <c r="G822">
        <v>1</v>
      </c>
      <c r="H822">
        <v>282</v>
      </c>
      <c r="I822">
        <v>5.0783360350000004</v>
      </c>
      <c r="J822">
        <v>0.5</v>
      </c>
      <c r="K822">
        <f t="shared" si="12"/>
        <v>3</v>
      </c>
      <c r="N822">
        <v>4</v>
      </c>
      <c r="O822">
        <v>4</v>
      </c>
    </row>
    <row r="823" spans="1:15" x14ac:dyDescent="0.2">
      <c r="A823" t="s">
        <v>2673</v>
      </c>
      <c r="B823">
        <v>9015907300</v>
      </c>
      <c r="C823" t="s">
        <v>2674</v>
      </c>
      <c r="D823">
        <v>5486</v>
      </c>
      <c r="E823">
        <v>15.63334772</v>
      </c>
      <c r="F823">
        <v>350.91652140000002</v>
      </c>
      <c r="G823">
        <v>2</v>
      </c>
      <c r="H823">
        <v>541</v>
      </c>
      <c r="I823">
        <v>10.9647345</v>
      </c>
      <c r="J823">
        <v>1</v>
      </c>
      <c r="K823">
        <f t="shared" si="12"/>
        <v>5</v>
      </c>
      <c r="N823">
        <v>5</v>
      </c>
      <c r="O823">
        <v>5</v>
      </c>
    </row>
  </sheetData>
  <sortState xmlns:xlrd2="http://schemas.microsoft.com/office/spreadsheetml/2017/richdata2" ref="O2:P823">
    <sortCondition ref="P2:P823"/>
  </sortState>
  <hyperlinks>
    <hyperlink ref="V2" r:id="rId1" display="https://www.ers.usda.gov/data-products/rural-urban-commuting-area-codes/" xr:uid="{96F92A2B-06FD-4596-AE83-83D4990E4213}"/>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F03B-0915-4479-9EEF-CFDECA6662F9}">
  <sheetPr>
    <tabColor theme="6" tint="0.59999389629810485"/>
  </sheetPr>
  <dimension ref="A1"/>
  <sheetViews>
    <sheetView workbookViewId="0">
      <selection activeCell="F27" sqref="F27"/>
    </sheetView>
  </sheetViews>
  <sheetFormatPr baseColWidth="10" defaultColWidth="8.83203125" defaultRowHeight="15" x14ac:dyDescent="0.2"/>
  <sheetData>
    <row r="1" spans="1:1" x14ac:dyDescent="0.2">
      <c r="A1" t="s">
        <v>2689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8C32-3EAD-4C71-B2C7-292595D99F18}">
  <sheetPr>
    <tabColor theme="6" tint="0.59999389629810485"/>
  </sheetPr>
  <dimension ref="A1:M914"/>
  <sheetViews>
    <sheetView topLeftCell="A741" workbookViewId="0">
      <selection activeCell="H906" sqref="H906"/>
    </sheetView>
  </sheetViews>
  <sheetFormatPr baseColWidth="10" defaultColWidth="8.83203125" defaultRowHeight="15" x14ac:dyDescent="0.2"/>
  <cols>
    <col min="1" max="1" width="21.6640625" bestFit="1" customWidth="1"/>
    <col min="2" max="2" width="11" bestFit="1" customWidth="1"/>
    <col min="3" max="3" width="50.83203125" bestFit="1" customWidth="1"/>
    <col min="4" max="4" width="27.5" customWidth="1"/>
    <col min="5" max="5" width="25.6640625" bestFit="1" customWidth="1"/>
  </cols>
  <sheetData>
    <row r="1" spans="1:13" x14ac:dyDescent="0.2">
      <c r="A1" t="s">
        <v>1011</v>
      </c>
      <c r="B1" t="s">
        <v>1012</v>
      </c>
      <c r="C1" t="s">
        <v>1013</v>
      </c>
      <c r="D1" t="s">
        <v>2690</v>
      </c>
      <c r="E1" t="s">
        <v>2691</v>
      </c>
      <c r="M1" t="s">
        <v>2692</v>
      </c>
    </row>
    <row r="2" spans="1:13" x14ac:dyDescent="0.2">
      <c r="A2" t="s">
        <v>1030</v>
      </c>
      <c r="B2">
        <v>9001010101</v>
      </c>
      <c r="C2" t="s">
        <v>1031</v>
      </c>
      <c r="D2">
        <v>2</v>
      </c>
      <c r="E2" t="s">
        <v>944</v>
      </c>
      <c r="M2" t="s">
        <v>2693</v>
      </c>
    </row>
    <row r="3" spans="1:13" x14ac:dyDescent="0.2">
      <c r="A3" t="s">
        <v>1343</v>
      </c>
      <c r="B3">
        <v>9001100100</v>
      </c>
      <c r="C3" t="s">
        <v>1344</v>
      </c>
      <c r="D3">
        <v>3</v>
      </c>
      <c r="E3" t="s">
        <v>944</v>
      </c>
    </row>
    <row r="4" spans="1:13" x14ac:dyDescent="0.2">
      <c r="A4" t="s">
        <v>1343</v>
      </c>
      <c r="B4">
        <v>9001100100</v>
      </c>
      <c r="C4" t="s">
        <v>1344</v>
      </c>
      <c r="D4">
        <v>3</v>
      </c>
      <c r="E4" t="s">
        <v>944</v>
      </c>
      <c r="M4" s="12" t="s">
        <v>2694</v>
      </c>
    </row>
    <row r="5" spans="1:13" x14ac:dyDescent="0.2">
      <c r="A5" t="s">
        <v>2575</v>
      </c>
      <c r="B5">
        <v>9013528100</v>
      </c>
      <c r="C5" t="s">
        <v>2576</v>
      </c>
      <c r="D5">
        <v>3</v>
      </c>
      <c r="E5" t="s">
        <v>944</v>
      </c>
    </row>
    <row r="6" spans="1:13" x14ac:dyDescent="0.2">
      <c r="A6" t="s">
        <v>2575</v>
      </c>
      <c r="B6">
        <v>9013528100</v>
      </c>
      <c r="C6" t="s">
        <v>2576</v>
      </c>
      <c r="D6">
        <v>3</v>
      </c>
      <c r="E6" t="s">
        <v>944</v>
      </c>
    </row>
    <row r="7" spans="1:13" x14ac:dyDescent="0.2">
      <c r="A7" t="s">
        <v>1345</v>
      </c>
      <c r="B7">
        <v>9001100200</v>
      </c>
      <c r="C7" t="s">
        <v>1346</v>
      </c>
      <c r="D7">
        <v>3</v>
      </c>
      <c r="E7" t="s">
        <v>944</v>
      </c>
    </row>
    <row r="8" spans="1:13" x14ac:dyDescent="0.2">
      <c r="A8" t="s">
        <v>1033</v>
      </c>
      <c r="B8">
        <v>9001010102</v>
      </c>
      <c r="C8" t="s">
        <v>1034</v>
      </c>
      <c r="D8">
        <v>2</v>
      </c>
      <c r="E8" t="s">
        <v>944</v>
      </c>
    </row>
    <row r="9" spans="1:13" x14ac:dyDescent="0.2">
      <c r="A9" t="s">
        <v>2577</v>
      </c>
      <c r="B9">
        <v>9013529100</v>
      </c>
      <c r="C9" t="s">
        <v>2578</v>
      </c>
      <c r="D9">
        <v>3</v>
      </c>
      <c r="E9" t="s">
        <v>944</v>
      </c>
    </row>
    <row r="10" spans="1:13" x14ac:dyDescent="0.2">
      <c r="A10" t="s">
        <v>2577</v>
      </c>
      <c r="B10">
        <v>9013529100</v>
      </c>
      <c r="C10" t="s">
        <v>2578</v>
      </c>
      <c r="D10">
        <v>3</v>
      </c>
      <c r="E10" t="s">
        <v>944</v>
      </c>
    </row>
    <row r="11" spans="1:13" x14ac:dyDescent="0.2">
      <c r="A11" t="s">
        <v>1035</v>
      </c>
      <c r="B11">
        <v>9001010201</v>
      </c>
      <c r="C11" t="s">
        <v>1036</v>
      </c>
      <c r="D11">
        <v>2</v>
      </c>
      <c r="E11" t="s">
        <v>944</v>
      </c>
    </row>
    <row r="12" spans="1:13" x14ac:dyDescent="0.2">
      <c r="A12" t="s">
        <v>1037</v>
      </c>
      <c r="B12">
        <v>9001010202</v>
      </c>
      <c r="C12" t="s">
        <v>1038</v>
      </c>
      <c r="D12">
        <v>2</v>
      </c>
      <c r="E12" t="s">
        <v>944</v>
      </c>
    </row>
    <row r="13" spans="1:13" x14ac:dyDescent="0.2">
      <c r="A13" t="s">
        <v>1037</v>
      </c>
      <c r="B13">
        <v>9001010202</v>
      </c>
      <c r="C13" t="s">
        <v>1038</v>
      </c>
      <c r="D13">
        <v>2</v>
      </c>
      <c r="E13" t="s">
        <v>944</v>
      </c>
    </row>
    <row r="14" spans="1:13" x14ac:dyDescent="0.2">
      <c r="A14" t="s">
        <v>1039</v>
      </c>
      <c r="B14">
        <v>9001010300</v>
      </c>
      <c r="C14" t="s">
        <v>1040</v>
      </c>
      <c r="D14">
        <v>2</v>
      </c>
      <c r="E14" t="s">
        <v>944</v>
      </c>
    </row>
    <row r="15" spans="1:13" x14ac:dyDescent="0.2">
      <c r="A15" t="s">
        <v>2607</v>
      </c>
      <c r="B15">
        <v>9013850100</v>
      </c>
      <c r="C15" t="s">
        <v>2608</v>
      </c>
      <c r="D15">
        <v>3</v>
      </c>
      <c r="E15" t="s">
        <v>944</v>
      </c>
    </row>
    <row r="16" spans="1:13" x14ac:dyDescent="0.2">
      <c r="A16" t="s">
        <v>2607</v>
      </c>
      <c r="B16">
        <v>9013850100</v>
      </c>
      <c r="C16" t="s">
        <v>2608</v>
      </c>
      <c r="D16">
        <v>3</v>
      </c>
      <c r="E16" t="s">
        <v>944</v>
      </c>
    </row>
    <row r="17" spans="1:5" x14ac:dyDescent="0.2">
      <c r="A17" t="s">
        <v>1351</v>
      </c>
      <c r="B17">
        <v>9001105200</v>
      </c>
      <c r="C17" t="s">
        <v>1352</v>
      </c>
      <c r="D17">
        <v>2</v>
      </c>
      <c r="E17" t="s">
        <v>944</v>
      </c>
    </row>
    <row r="18" spans="1:5" x14ac:dyDescent="0.2">
      <c r="A18" t="s">
        <v>1043</v>
      </c>
      <c r="B18">
        <v>9001010500</v>
      </c>
      <c r="C18" t="s">
        <v>1044</v>
      </c>
      <c r="D18">
        <v>3</v>
      </c>
      <c r="E18" t="s">
        <v>944</v>
      </c>
    </row>
    <row r="19" spans="1:5" x14ac:dyDescent="0.2">
      <c r="A19" t="s">
        <v>1045</v>
      </c>
      <c r="B19">
        <v>9001010600</v>
      </c>
      <c r="C19" t="s">
        <v>1046</v>
      </c>
      <c r="D19">
        <v>1</v>
      </c>
      <c r="E19" t="s">
        <v>944</v>
      </c>
    </row>
    <row r="20" spans="1:5" x14ac:dyDescent="0.2">
      <c r="A20" t="s">
        <v>2643</v>
      </c>
      <c r="B20">
        <v>9015830100</v>
      </c>
      <c r="C20" t="s">
        <v>2644</v>
      </c>
      <c r="D20">
        <v>4</v>
      </c>
      <c r="E20" t="s">
        <v>944</v>
      </c>
    </row>
    <row r="21" spans="1:5" x14ac:dyDescent="0.2">
      <c r="A21" t="s">
        <v>1047</v>
      </c>
      <c r="B21">
        <v>9001010700</v>
      </c>
      <c r="C21" t="s">
        <v>1048</v>
      </c>
      <c r="D21">
        <v>2</v>
      </c>
      <c r="E21" t="s">
        <v>944</v>
      </c>
    </row>
    <row r="22" spans="1:5" x14ac:dyDescent="0.2">
      <c r="A22" t="s">
        <v>1049</v>
      </c>
      <c r="B22">
        <v>9001010800</v>
      </c>
      <c r="C22" t="s">
        <v>1050</v>
      </c>
      <c r="D22">
        <v>2</v>
      </c>
      <c r="E22" t="s">
        <v>944</v>
      </c>
    </row>
    <row r="23" spans="1:5" x14ac:dyDescent="0.2">
      <c r="A23" t="s">
        <v>2651</v>
      </c>
      <c r="B23">
        <v>9015902200</v>
      </c>
      <c r="C23" t="s">
        <v>2652</v>
      </c>
      <c r="D23">
        <v>4</v>
      </c>
      <c r="E23" t="s">
        <v>944</v>
      </c>
    </row>
    <row r="24" spans="1:5" x14ac:dyDescent="0.2">
      <c r="A24" t="s">
        <v>2651</v>
      </c>
      <c r="B24">
        <v>9015902200</v>
      </c>
      <c r="C24" t="s">
        <v>2652</v>
      </c>
      <c r="D24">
        <v>4</v>
      </c>
      <c r="E24" t="s">
        <v>944</v>
      </c>
    </row>
    <row r="25" spans="1:5" x14ac:dyDescent="0.2">
      <c r="A25" t="s">
        <v>2651</v>
      </c>
      <c r="B25">
        <v>9015902200</v>
      </c>
      <c r="C25" t="s">
        <v>2652</v>
      </c>
      <c r="D25">
        <v>4</v>
      </c>
      <c r="E25" t="s">
        <v>944</v>
      </c>
    </row>
    <row r="26" spans="1:5" x14ac:dyDescent="0.2">
      <c r="A26" t="s">
        <v>1051</v>
      </c>
      <c r="B26">
        <v>9001010900</v>
      </c>
      <c r="C26" t="s">
        <v>1052</v>
      </c>
      <c r="D26">
        <v>2</v>
      </c>
      <c r="E26" t="s">
        <v>944</v>
      </c>
    </row>
    <row r="27" spans="1:5" x14ac:dyDescent="0.2">
      <c r="A27" t="s">
        <v>1041</v>
      </c>
      <c r="B27">
        <v>9001010400</v>
      </c>
      <c r="C27" t="s">
        <v>1042</v>
      </c>
      <c r="D27">
        <v>2</v>
      </c>
      <c r="E27" t="s">
        <v>944</v>
      </c>
    </row>
    <row r="28" spans="1:5" x14ac:dyDescent="0.2">
      <c r="A28" t="s">
        <v>1563</v>
      </c>
      <c r="B28">
        <v>9003460301</v>
      </c>
      <c r="C28" t="s">
        <v>1564</v>
      </c>
      <c r="D28">
        <v>3</v>
      </c>
      <c r="E28" t="s">
        <v>944</v>
      </c>
    </row>
    <row r="29" spans="1:5" x14ac:dyDescent="0.2">
      <c r="A29" t="s">
        <v>1563</v>
      </c>
      <c r="B29">
        <v>9003460301</v>
      </c>
      <c r="C29" t="s">
        <v>1564</v>
      </c>
      <c r="D29">
        <v>3</v>
      </c>
      <c r="E29" t="s">
        <v>944</v>
      </c>
    </row>
    <row r="30" spans="1:5" x14ac:dyDescent="0.2">
      <c r="A30" t="s">
        <v>1365</v>
      </c>
      <c r="B30">
        <v>9001110500</v>
      </c>
      <c r="C30" t="s">
        <v>1366</v>
      </c>
      <c r="D30">
        <v>3</v>
      </c>
      <c r="E30" t="s">
        <v>944</v>
      </c>
    </row>
    <row r="31" spans="1:5" x14ac:dyDescent="0.2">
      <c r="A31" t="s">
        <v>1565</v>
      </c>
      <c r="B31">
        <v>9003460302</v>
      </c>
      <c r="C31" t="s">
        <v>1566</v>
      </c>
      <c r="D31">
        <v>3</v>
      </c>
      <c r="E31" t="s">
        <v>944</v>
      </c>
    </row>
    <row r="32" spans="1:5" x14ac:dyDescent="0.2">
      <c r="A32" t="s">
        <v>1565</v>
      </c>
      <c r="B32">
        <v>9003460302</v>
      </c>
      <c r="C32" t="s">
        <v>1566</v>
      </c>
      <c r="D32">
        <v>3</v>
      </c>
      <c r="E32" t="s">
        <v>944</v>
      </c>
    </row>
    <row r="33" spans="1:5" x14ac:dyDescent="0.2">
      <c r="A33" t="s">
        <v>1565</v>
      </c>
      <c r="B33">
        <v>9003460302</v>
      </c>
      <c r="C33" t="s">
        <v>1566</v>
      </c>
      <c r="D33">
        <v>3</v>
      </c>
      <c r="E33" t="s">
        <v>944</v>
      </c>
    </row>
    <row r="34" spans="1:5" x14ac:dyDescent="0.2">
      <c r="A34" t="s">
        <v>1053</v>
      </c>
      <c r="B34">
        <v>9001011000</v>
      </c>
      <c r="C34" t="s">
        <v>1054</v>
      </c>
      <c r="D34">
        <v>2</v>
      </c>
      <c r="E34" t="s">
        <v>944</v>
      </c>
    </row>
    <row r="35" spans="1:5" x14ac:dyDescent="0.2">
      <c r="A35" t="s">
        <v>1055</v>
      </c>
      <c r="B35">
        <v>9001011100</v>
      </c>
      <c r="C35" t="s">
        <v>1056</v>
      </c>
      <c r="D35">
        <v>2</v>
      </c>
      <c r="E35" t="s">
        <v>944</v>
      </c>
    </row>
    <row r="36" spans="1:5" x14ac:dyDescent="0.2">
      <c r="A36" t="s">
        <v>1057</v>
      </c>
      <c r="B36">
        <v>9001011200</v>
      </c>
      <c r="C36" t="s">
        <v>1058</v>
      </c>
      <c r="D36">
        <v>2</v>
      </c>
      <c r="E36" t="s">
        <v>944</v>
      </c>
    </row>
    <row r="37" spans="1:5" x14ac:dyDescent="0.2">
      <c r="A37" t="s">
        <v>1059</v>
      </c>
      <c r="B37">
        <v>9001011300</v>
      </c>
      <c r="C37" t="s">
        <v>1060</v>
      </c>
      <c r="D37">
        <v>2</v>
      </c>
      <c r="E37" t="s">
        <v>944</v>
      </c>
    </row>
    <row r="38" spans="1:5" x14ac:dyDescent="0.2">
      <c r="A38" t="s">
        <v>1567</v>
      </c>
      <c r="B38">
        <v>9003462101</v>
      </c>
      <c r="C38" t="s">
        <v>1568</v>
      </c>
      <c r="D38">
        <v>2</v>
      </c>
      <c r="E38" t="s">
        <v>944</v>
      </c>
    </row>
    <row r="39" spans="1:5" x14ac:dyDescent="0.2">
      <c r="A39" t="s">
        <v>1567</v>
      </c>
      <c r="B39">
        <v>9003462101</v>
      </c>
      <c r="C39" t="s">
        <v>1568</v>
      </c>
      <c r="D39">
        <v>2</v>
      </c>
      <c r="E39" t="s">
        <v>944</v>
      </c>
    </row>
    <row r="40" spans="1:5" x14ac:dyDescent="0.2">
      <c r="A40" t="s">
        <v>2067</v>
      </c>
      <c r="B40">
        <v>9009120200</v>
      </c>
      <c r="C40" t="s">
        <v>2068</v>
      </c>
      <c r="D40">
        <v>6</v>
      </c>
      <c r="E40" t="s">
        <v>936</v>
      </c>
    </row>
    <row r="41" spans="1:5" x14ac:dyDescent="0.2">
      <c r="A41" t="s">
        <v>2077</v>
      </c>
      <c r="B41">
        <v>9009130101</v>
      </c>
      <c r="C41" t="s">
        <v>2078</v>
      </c>
      <c r="D41">
        <v>4</v>
      </c>
      <c r="E41" t="s">
        <v>944</v>
      </c>
    </row>
    <row r="42" spans="1:5" x14ac:dyDescent="0.2">
      <c r="A42" t="s">
        <v>2077</v>
      </c>
      <c r="B42">
        <v>9009130101</v>
      </c>
      <c r="C42" t="s">
        <v>2078</v>
      </c>
      <c r="D42">
        <v>4</v>
      </c>
      <c r="E42" t="s">
        <v>944</v>
      </c>
    </row>
    <row r="43" spans="1:5" x14ac:dyDescent="0.2">
      <c r="A43" t="s">
        <v>1569</v>
      </c>
      <c r="B43">
        <v>9003462102</v>
      </c>
      <c r="C43" t="s">
        <v>1570</v>
      </c>
      <c r="D43">
        <v>2</v>
      </c>
      <c r="E43" t="s">
        <v>944</v>
      </c>
    </row>
    <row r="44" spans="1:5" x14ac:dyDescent="0.2">
      <c r="A44" t="s">
        <v>2079</v>
      </c>
      <c r="B44">
        <v>9009130102</v>
      </c>
      <c r="C44" t="s">
        <v>2080</v>
      </c>
      <c r="D44">
        <v>4</v>
      </c>
      <c r="E44" t="s">
        <v>944</v>
      </c>
    </row>
    <row r="45" spans="1:5" x14ac:dyDescent="0.2">
      <c r="A45" t="s">
        <v>1571</v>
      </c>
      <c r="B45">
        <v>9003462201</v>
      </c>
      <c r="C45" t="s">
        <v>1572</v>
      </c>
      <c r="D45">
        <v>3</v>
      </c>
      <c r="E45" t="s">
        <v>944</v>
      </c>
    </row>
    <row r="46" spans="1:5" x14ac:dyDescent="0.2">
      <c r="A46" t="s">
        <v>1573</v>
      </c>
      <c r="B46">
        <v>9003462202</v>
      </c>
      <c r="C46" t="s">
        <v>1574</v>
      </c>
      <c r="D46">
        <v>2</v>
      </c>
      <c r="E46" t="s">
        <v>944</v>
      </c>
    </row>
    <row r="47" spans="1:5" x14ac:dyDescent="0.2">
      <c r="A47" t="s">
        <v>2219</v>
      </c>
      <c r="B47">
        <v>9009166002</v>
      </c>
      <c r="C47" t="s">
        <v>2220</v>
      </c>
      <c r="D47">
        <v>3</v>
      </c>
      <c r="E47" t="s">
        <v>944</v>
      </c>
    </row>
    <row r="48" spans="1:5" x14ac:dyDescent="0.2">
      <c r="A48" t="s">
        <v>1449</v>
      </c>
      <c r="B48">
        <v>9003330100</v>
      </c>
      <c r="C48" t="s">
        <v>1450</v>
      </c>
      <c r="D48">
        <v>3</v>
      </c>
      <c r="E48" t="s">
        <v>944</v>
      </c>
    </row>
    <row r="49" spans="1:5" x14ac:dyDescent="0.2">
      <c r="A49" t="s">
        <v>1449</v>
      </c>
      <c r="B49">
        <v>9003330100</v>
      </c>
      <c r="C49" t="s">
        <v>1450</v>
      </c>
      <c r="D49">
        <v>3</v>
      </c>
      <c r="E49" t="s">
        <v>944</v>
      </c>
    </row>
    <row r="50" spans="1:5" x14ac:dyDescent="0.2">
      <c r="A50" t="s">
        <v>1449</v>
      </c>
      <c r="B50">
        <v>9003330100</v>
      </c>
      <c r="C50" t="s">
        <v>1450</v>
      </c>
      <c r="D50">
        <v>3</v>
      </c>
      <c r="E50" t="s">
        <v>944</v>
      </c>
    </row>
    <row r="51" spans="1:5" x14ac:dyDescent="0.2">
      <c r="A51" t="s">
        <v>2231</v>
      </c>
      <c r="B51">
        <v>9009170200</v>
      </c>
      <c r="C51" t="s">
        <v>2232</v>
      </c>
      <c r="D51">
        <v>5</v>
      </c>
      <c r="E51" t="s">
        <v>944</v>
      </c>
    </row>
    <row r="52" spans="1:5" x14ac:dyDescent="0.2">
      <c r="A52" t="s">
        <v>2233</v>
      </c>
      <c r="B52">
        <v>9009170300</v>
      </c>
      <c r="C52" t="s">
        <v>2234</v>
      </c>
      <c r="D52">
        <v>5</v>
      </c>
      <c r="E52" t="s">
        <v>944</v>
      </c>
    </row>
    <row r="53" spans="1:5" x14ac:dyDescent="0.2">
      <c r="A53" t="s">
        <v>2235</v>
      </c>
      <c r="B53">
        <v>9009170400</v>
      </c>
      <c r="C53" t="s">
        <v>2236</v>
      </c>
      <c r="D53">
        <v>4</v>
      </c>
      <c r="E53" t="s">
        <v>944</v>
      </c>
    </row>
    <row r="54" spans="1:5" x14ac:dyDescent="0.2">
      <c r="A54" t="s">
        <v>1921</v>
      </c>
      <c r="B54">
        <v>9005290100</v>
      </c>
      <c r="C54" t="s">
        <v>1922</v>
      </c>
      <c r="D54">
        <v>3</v>
      </c>
      <c r="E54" t="s">
        <v>944</v>
      </c>
    </row>
    <row r="55" spans="1:5" x14ac:dyDescent="0.2">
      <c r="A55" t="s">
        <v>1921</v>
      </c>
      <c r="B55">
        <v>9005290100</v>
      </c>
      <c r="C55" t="s">
        <v>1922</v>
      </c>
      <c r="D55">
        <v>3</v>
      </c>
      <c r="E55" t="s">
        <v>944</v>
      </c>
    </row>
    <row r="56" spans="1:5" x14ac:dyDescent="0.2">
      <c r="A56" t="s">
        <v>2275</v>
      </c>
      <c r="B56">
        <v>9009175700</v>
      </c>
      <c r="C56" t="s">
        <v>2276</v>
      </c>
      <c r="D56">
        <v>3</v>
      </c>
      <c r="E56" t="s">
        <v>944</v>
      </c>
    </row>
    <row r="57" spans="1:5" x14ac:dyDescent="0.2">
      <c r="A57" t="s">
        <v>1963</v>
      </c>
      <c r="B57">
        <v>9005320100</v>
      </c>
      <c r="C57" t="s">
        <v>1964</v>
      </c>
      <c r="D57">
        <v>4</v>
      </c>
      <c r="E57" t="s">
        <v>944</v>
      </c>
    </row>
    <row r="58" spans="1:5" x14ac:dyDescent="0.2">
      <c r="A58" t="s">
        <v>1963</v>
      </c>
      <c r="B58">
        <v>9005320100</v>
      </c>
      <c r="C58" t="s">
        <v>1964</v>
      </c>
      <c r="D58">
        <v>4</v>
      </c>
      <c r="E58" t="s">
        <v>944</v>
      </c>
    </row>
    <row r="59" spans="1:5" x14ac:dyDescent="0.2">
      <c r="A59" t="s">
        <v>1061</v>
      </c>
      <c r="B59">
        <v>9001020100</v>
      </c>
      <c r="C59" t="s">
        <v>1062</v>
      </c>
      <c r="D59">
        <v>2</v>
      </c>
      <c r="E59" t="s">
        <v>944</v>
      </c>
    </row>
    <row r="60" spans="1:5" x14ac:dyDescent="0.2">
      <c r="A60" t="s">
        <v>2331</v>
      </c>
      <c r="B60">
        <v>9009341100</v>
      </c>
      <c r="C60" t="s">
        <v>2332</v>
      </c>
      <c r="D60">
        <v>3</v>
      </c>
      <c r="E60" t="s">
        <v>944</v>
      </c>
    </row>
    <row r="61" spans="1:5" x14ac:dyDescent="0.2">
      <c r="A61" t="s">
        <v>2297</v>
      </c>
      <c r="B61">
        <v>9009184100</v>
      </c>
      <c r="C61" t="s">
        <v>2298</v>
      </c>
      <c r="D61">
        <v>4</v>
      </c>
      <c r="E61" t="s">
        <v>944</v>
      </c>
    </row>
    <row r="62" spans="1:5" x14ac:dyDescent="0.2">
      <c r="A62" t="s">
        <v>1063</v>
      </c>
      <c r="B62">
        <v>9001020200</v>
      </c>
      <c r="C62" t="s">
        <v>1064</v>
      </c>
      <c r="D62">
        <v>2</v>
      </c>
      <c r="E62" t="s">
        <v>944</v>
      </c>
    </row>
    <row r="63" spans="1:5" x14ac:dyDescent="0.2">
      <c r="A63" t="s">
        <v>1063</v>
      </c>
      <c r="B63">
        <v>9001020200</v>
      </c>
      <c r="C63" t="s">
        <v>1064</v>
      </c>
      <c r="D63">
        <v>2</v>
      </c>
      <c r="E63" t="s">
        <v>944</v>
      </c>
    </row>
    <row r="64" spans="1:5" x14ac:dyDescent="0.2">
      <c r="A64" t="s">
        <v>2303</v>
      </c>
      <c r="B64">
        <v>9009184400</v>
      </c>
      <c r="C64" t="s">
        <v>2304</v>
      </c>
      <c r="D64">
        <v>3</v>
      </c>
      <c r="E64" t="s">
        <v>944</v>
      </c>
    </row>
    <row r="65" spans="1:5" x14ac:dyDescent="0.2">
      <c r="A65" t="s">
        <v>2305</v>
      </c>
      <c r="B65">
        <v>9009184500</v>
      </c>
      <c r="C65" t="s">
        <v>2306</v>
      </c>
      <c r="D65">
        <v>3</v>
      </c>
      <c r="E65" t="s">
        <v>944</v>
      </c>
    </row>
    <row r="66" spans="1:5" x14ac:dyDescent="0.2">
      <c r="A66" t="s">
        <v>1451</v>
      </c>
      <c r="B66">
        <v>9003400100</v>
      </c>
      <c r="C66" t="s">
        <v>1452</v>
      </c>
      <c r="D66">
        <v>3</v>
      </c>
      <c r="E66" t="s">
        <v>944</v>
      </c>
    </row>
    <row r="67" spans="1:5" x14ac:dyDescent="0.2">
      <c r="A67" t="s">
        <v>1451</v>
      </c>
      <c r="B67">
        <v>9003400100</v>
      </c>
      <c r="C67" t="s">
        <v>1452</v>
      </c>
      <c r="D67">
        <v>3</v>
      </c>
      <c r="E67" t="s">
        <v>944</v>
      </c>
    </row>
    <row r="68" spans="1:5" x14ac:dyDescent="0.2">
      <c r="A68" t="s">
        <v>2307</v>
      </c>
      <c r="B68">
        <v>9009184600</v>
      </c>
      <c r="C68" t="s">
        <v>2308</v>
      </c>
      <c r="D68">
        <v>3</v>
      </c>
      <c r="E68" t="s">
        <v>944</v>
      </c>
    </row>
    <row r="69" spans="1:5" x14ac:dyDescent="0.2">
      <c r="A69" t="s">
        <v>2309</v>
      </c>
      <c r="B69">
        <v>9009184700</v>
      </c>
      <c r="C69" t="s">
        <v>2310</v>
      </c>
      <c r="D69">
        <v>3</v>
      </c>
      <c r="E69" t="s">
        <v>944</v>
      </c>
    </row>
    <row r="70" spans="1:5" x14ac:dyDescent="0.2">
      <c r="A70" t="s">
        <v>1065</v>
      </c>
      <c r="B70">
        <v>9001020300</v>
      </c>
      <c r="C70" t="s">
        <v>1066</v>
      </c>
      <c r="D70">
        <v>2</v>
      </c>
      <c r="E70" t="s">
        <v>944</v>
      </c>
    </row>
    <row r="71" spans="1:5" x14ac:dyDescent="0.2">
      <c r="A71" t="s">
        <v>2323</v>
      </c>
      <c r="B71">
        <v>9009190303</v>
      </c>
      <c r="C71" t="s">
        <v>2324</v>
      </c>
      <c r="D71">
        <v>3</v>
      </c>
      <c r="E71" t="s">
        <v>944</v>
      </c>
    </row>
    <row r="72" spans="1:5" x14ac:dyDescent="0.2">
      <c r="A72" t="s">
        <v>2323</v>
      </c>
      <c r="B72">
        <v>9009190303</v>
      </c>
      <c r="C72" t="s">
        <v>2324</v>
      </c>
      <c r="D72">
        <v>3</v>
      </c>
      <c r="E72" t="s">
        <v>944</v>
      </c>
    </row>
    <row r="73" spans="1:5" x14ac:dyDescent="0.2">
      <c r="A73" t="s">
        <v>1453</v>
      </c>
      <c r="B73">
        <v>9003400200</v>
      </c>
      <c r="C73" t="s">
        <v>1454</v>
      </c>
      <c r="D73">
        <v>3</v>
      </c>
      <c r="E73" t="s">
        <v>944</v>
      </c>
    </row>
    <row r="74" spans="1:5" x14ac:dyDescent="0.2">
      <c r="A74" t="s">
        <v>2329</v>
      </c>
      <c r="B74">
        <v>9009194202</v>
      </c>
      <c r="C74" t="s">
        <v>2330</v>
      </c>
      <c r="D74">
        <v>3</v>
      </c>
      <c r="E74" t="s">
        <v>944</v>
      </c>
    </row>
    <row r="75" spans="1:5" x14ac:dyDescent="0.2">
      <c r="A75" t="s">
        <v>1067</v>
      </c>
      <c r="B75">
        <v>9001020400</v>
      </c>
      <c r="C75" t="s">
        <v>1068</v>
      </c>
      <c r="D75">
        <v>2</v>
      </c>
      <c r="E75" t="s">
        <v>944</v>
      </c>
    </row>
    <row r="76" spans="1:5" x14ac:dyDescent="0.2">
      <c r="A76" t="s">
        <v>1369</v>
      </c>
      <c r="B76">
        <v>9001200100</v>
      </c>
      <c r="C76" t="s">
        <v>1370</v>
      </c>
      <c r="D76">
        <v>3</v>
      </c>
      <c r="E76" t="s">
        <v>944</v>
      </c>
    </row>
    <row r="77" spans="1:5" x14ac:dyDescent="0.2">
      <c r="A77" t="s">
        <v>1369</v>
      </c>
      <c r="B77">
        <v>9001200100</v>
      </c>
      <c r="C77" t="s">
        <v>1370</v>
      </c>
      <c r="D77">
        <v>3</v>
      </c>
      <c r="E77" t="s">
        <v>944</v>
      </c>
    </row>
    <row r="78" spans="1:5" x14ac:dyDescent="0.2">
      <c r="A78" t="s">
        <v>1455</v>
      </c>
      <c r="B78">
        <v>9003400300</v>
      </c>
      <c r="C78" t="s">
        <v>1456</v>
      </c>
      <c r="D78">
        <v>3</v>
      </c>
      <c r="E78" t="s">
        <v>944</v>
      </c>
    </row>
    <row r="79" spans="1:5" x14ac:dyDescent="0.2">
      <c r="A79" t="s">
        <v>1455</v>
      </c>
      <c r="B79">
        <v>9003400300</v>
      </c>
      <c r="C79" t="s">
        <v>1456</v>
      </c>
      <c r="D79">
        <v>3</v>
      </c>
      <c r="E79" t="s">
        <v>944</v>
      </c>
    </row>
    <row r="80" spans="1:5" x14ac:dyDescent="0.2">
      <c r="A80" t="s">
        <v>1371</v>
      </c>
      <c r="B80">
        <v>9001200200</v>
      </c>
      <c r="C80" t="s">
        <v>1372</v>
      </c>
      <c r="D80">
        <v>4</v>
      </c>
      <c r="E80" t="s">
        <v>944</v>
      </c>
    </row>
    <row r="81" spans="1:5" x14ac:dyDescent="0.2">
      <c r="A81" t="s">
        <v>1373</v>
      </c>
      <c r="B81">
        <v>9001200301</v>
      </c>
      <c r="C81" t="s">
        <v>1374</v>
      </c>
      <c r="D81">
        <v>3</v>
      </c>
      <c r="E81" t="s">
        <v>944</v>
      </c>
    </row>
    <row r="82" spans="1:5" x14ac:dyDescent="0.2">
      <c r="A82" t="s">
        <v>1373</v>
      </c>
      <c r="B82">
        <v>9001200301</v>
      </c>
      <c r="C82" t="s">
        <v>1374</v>
      </c>
      <c r="D82">
        <v>3</v>
      </c>
      <c r="E82" t="s">
        <v>944</v>
      </c>
    </row>
    <row r="83" spans="1:5" x14ac:dyDescent="0.2">
      <c r="A83" t="s">
        <v>1069</v>
      </c>
      <c r="B83">
        <v>9001020500</v>
      </c>
      <c r="C83" t="s">
        <v>1070</v>
      </c>
      <c r="D83">
        <v>2</v>
      </c>
      <c r="E83" t="s">
        <v>944</v>
      </c>
    </row>
    <row r="84" spans="1:5" x14ac:dyDescent="0.2">
      <c r="A84" t="s">
        <v>1675</v>
      </c>
      <c r="B84">
        <v>9003490302</v>
      </c>
      <c r="C84" t="s">
        <v>1676</v>
      </c>
      <c r="D84">
        <v>3</v>
      </c>
      <c r="E84" t="s">
        <v>944</v>
      </c>
    </row>
    <row r="85" spans="1:5" x14ac:dyDescent="0.2">
      <c r="A85" t="s">
        <v>1675</v>
      </c>
      <c r="B85">
        <v>9003490302</v>
      </c>
      <c r="C85" t="s">
        <v>1676</v>
      </c>
      <c r="D85">
        <v>3</v>
      </c>
      <c r="E85" t="s">
        <v>944</v>
      </c>
    </row>
    <row r="86" spans="1:5" x14ac:dyDescent="0.2">
      <c r="A86" t="s">
        <v>1071</v>
      </c>
      <c r="B86">
        <v>9001020600</v>
      </c>
      <c r="C86" t="s">
        <v>1072</v>
      </c>
      <c r="D86">
        <v>2</v>
      </c>
      <c r="E86" t="s">
        <v>944</v>
      </c>
    </row>
    <row r="87" spans="1:5" x14ac:dyDescent="0.2">
      <c r="A87" t="s">
        <v>1377</v>
      </c>
      <c r="B87">
        <v>9001205100</v>
      </c>
      <c r="C87" t="s">
        <v>1378</v>
      </c>
      <c r="D87">
        <v>3</v>
      </c>
      <c r="E87" t="s">
        <v>944</v>
      </c>
    </row>
    <row r="88" spans="1:5" x14ac:dyDescent="0.2">
      <c r="A88" t="s">
        <v>2259</v>
      </c>
      <c r="B88">
        <v>9009171600</v>
      </c>
      <c r="C88" t="s">
        <v>2260</v>
      </c>
      <c r="D88">
        <v>4</v>
      </c>
      <c r="E88" t="s">
        <v>944</v>
      </c>
    </row>
    <row r="89" spans="1:5" x14ac:dyDescent="0.2">
      <c r="A89" t="s">
        <v>2259</v>
      </c>
      <c r="B89">
        <v>9009171600</v>
      </c>
      <c r="C89" t="s">
        <v>2260</v>
      </c>
      <c r="D89">
        <v>4</v>
      </c>
      <c r="E89" t="s">
        <v>944</v>
      </c>
    </row>
    <row r="90" spans="1:5" x14ac:dyDescent="0.2">
      <c r="A90" t="s">
        <v>1379</v>
      </c>
      <c r="B90">
        <v>9001205200</v>
      </c>
      <c r="C90" t="s">
        <v>1380</v>
      </c>
      <c r="D90">
        <v>3</v>
      </c>
      <c r="E90" t="s">
        <v>944</v>
      </c>
    </row>
    <row r="91" spans="1:5" x14ac:dyDescent="0.2">
      <c r="A91" t="s">
        <v>1379</v>
      </c>
      <c r="B91">
        <v>9001205200</v>
      </c>
      <c r="C91" t="s">
        <v>1380</v>
      </c>
      <c r="D91">
        <v>3</v>
      </c>
      <c r="E91" t="s">
        <v>944</v>
      </c>
    </row>
    <row r="92" spans="1:5" x14ac:dyDescent="0.2">
      <c r="A92" t="s">
        <v>1381</v>
      </c>
      <c r="B92">
        <v>9001205300</v>
      </c>
      <c r="C92" t="s">
        <v>1382</v>
      </c>
      <c r="D92">
        <v>3</v>
      </c>
      <c r="E92" t="s">
        <v>944</v>
      </c>
    </row>
    <row r="93" spans="1:5" x14ac:dyDescent="0.2">
      <c r="A93" t="s">
        <v>1381</v>
      </c>
      <c r="B93">
        <v>9001205300</v>
      </c>
      <c r="C93" t="s">
        <v>1382</v>
      </c>
      <c r="D93">
        <v>3</v>
      </c>
      <c r="E93" t="s">
        <v>944</v>
      </c>
    </row>
    <row r="94" spans="1:5" x14ac:dyDescent="0.2">
      <c r="A94" t="s">
        <v>1381</v>
      </c>
      <c r="B94">
        <v>9001205300</v>
      </c>
      <c r="C94" t="s">
        <v>1382</v>
      </c>
      <c r="D94">
        <v>3</v>
      </c>
      <c r="E94" t="s">
        <v>944</v>
      </c>
    </row>
    <row r="95" spans="1:5" x14ac:dyDescent="0.2">
      <c r="A95" t="s">
        <v>1073</v>
      </c>
      <c r="B95">
        <v>9001020700</v>
      </c>
      <c r="C95" t="s">
        <v>1074</v>
      </c>
      <c r="D95">
        <v>2</v>
      </c>
      <c r="E95" t="s">
        <v>944</v>
      </c>
    </row>
    <row r="96" spans="1:5" x14ac:dyDescent="0.2">
      <c r="A96" t="s">
        <v>2195</v>
      </c>
      <c r="B96">
        <v>9009161100</v>
      </c>
      <c r="C96" t="s">
        <v>2196</v>
      </c>
      <c r="D96">
        <v>3</v>
      </c>
      <c r="E96" t="s">
        <v>944</v>
      </c>
    </row>
    <row r="97" spans="1:5" x14ac:dyDescent="0.2">
      <c r="A97" t="s">
        <v>1075</v>
      </c>
      <c r="B97">
        <v>9001020800</v>
      </c>
      <c r="C97" t="s">
        <v>1076</v>
      </c>
      <c r="D97">
        <v>2</v>
      </c>
      <c r="E97" t="s">
        <v>944</v>
      </c>
    </row>
    <row r="98" spans="1:5" x14ac:dyDescent="0.2">
      <c r="A98" t="s">
        <v>1077</v>
      </c>
      <c r="B98">
        <v>9001020900</v>
      </c>
      <c r="C98" t="s">
        <v>1078</v>
      </c>
      <c r="D98">
        <v>3</v>
      </c>
      <c r="E98" t="s">
        <v>944</v>
      </c>
    </row>
    <row r="99" spans="1:5" x14ac:dyDescent="0.2">
      <c r="A99" t="s">
        <v>1383</v>
      </c>
      <c r="B99">
        <v>9001210100</v>
      </c>
      <c r="C99" t="s">
        <v>1384</v>
      </c>
      <c r="D99">
        <v>5</v>
      </c>
      <c r="E99" t="s">
        <v>944</v>
      </c>
    </row>
    <row r="100" spans="1:5" x14ac:dyDescent="0.2">
      <c r="A100" t="s">
        <v>1385</v>
      </c>
      <c r="B100">
        <v>9001210200</v>
      </c>
      <c r="C100" t="s">
        <v>1386</v>
      </c>
      <c r="D100">
        <v>6</v>
      </c>
      <c r="E100" t="s">
        <v>936</v>
      </c>
    </row>
    <row r="101" spans="1:5" x14ac:dyDescent="0.2">
      <c r="A101" t="s">
        <v>1391</v>
      </c>
      <c r="B101">
        <v>9001210500</v>
      </c>
      <c r="C101" t="s">
        <v>1392</v>
      </c>
      <c r="D101">
        <v>3</v>
      </c>
      <c r="E101" t="s">
        <v>944</v>
      </c>
    </row>
    <row r="102" spans="1:5" x14ac:dyDescent="0.2">
      <c r="A102" t="s">
        <v>1391</v>
      </c>
      <c r="B102">
        <v>9001210500</v>
      </c>
      <c r="C102" t="s">
        <v>1392</v>
      </c>
      <c r="D102">
        <v>3</v>
      </c>
      <c r="E102" t="s">
        <v>944</v>
      </c>
    </row>
    <row r="103" spans="1:5" x14ac:dyDescent="0.2">
      <c r="A103" t="s">
        <v>1391</v>
      </c>
      <c r="B103">
        <v>9001210500</v>
      </c>
      <c r="C103" t="s">
        <v>1392</v>
      </c>
      <c r="D103">
        <v>3</v>
      </c>
      <c r="E103" t="s">
        <v>944</v>
      </c>
    </row>
    <row r="104" spans="1:5" x14ac:dyDescent="0.2">
      <c r="A104" t="s">
        <v>1079</v>
      </c>
      <c r="B104">
        <v>9001021000</v>
      </c>
      <c r="C104" t="s">
        <v>1080</v>
      </c>
      <c r="D104">
        <v>2</v>
      </c>
      <c r="E104" t="s">
        <v>944</v>
      </c>
    </row>
    <row r="105" spans="1:5" x14ac:dyDescent="0.2">
      <c r="A105" t="s">
        <v>1393</v>
      </c>
      <c r="B105">
        <v>9001210600</v>
      </c>
      <c r="C105" t="s">
        <v>1394</v>
      </c>
      <c r="D105">
        <v>5</v>
      </c>
      <c r="E105" t="s">
        <v>944</v>
      </c>
    </row>
    <row r="106" spans="1:5" x14ac:dyDescent="0.2">
      <c r="A106" t="s">
        <v>1399</v>
      </c>
      <c r="B106">
        <v>9001210800</v>
      </c>
      <c r="C106" t="s">
        <v>1400</v>
      </c>
      <c r="D106">
        <v>3</v>
      </c>
      <c r="E106" t="s">
        <v>944</v>
      </c>
    </row>
    <row r="107" spans="1:5" x14ac:dyDescent="0.2">
      <c r="A107" t="s">
        <v>1401</v>
      </c>
      <c r="B107">
        <v>9001210900</v>
      </c>
      <c r="C107" t="s">
        <v>1402</v>
      </c>
      <c r="D107">
        <v>3</v>
      </c>
      <c r="E107" t="s">
        <v>944</v>
      </c>
    </row>
    <row r="108" spans="1:5" x14ac:dyDescent="0.2">
      <c r="A108" t="s">
        <v>1401</v>
      </c>
      <c r="B108">
        <v>9001210900</v>
      </c>
      <c r="C108" t="s">
        <v>1402</v>
      </c>
      <c r="D108">
        <v>3</v>
      </c>
      <c r="E108" t="s">
        <v>944</v>
      </c>
    </row>
    <row r="109" spans="1:5" x14ac:dyDescent="0.2">
      <c r="A109" t="s">
        <v>1081</v>
      </c>
      <c r="B109">
        <v>9001021100</v>
      </c>
      <c r="C109" t="s">
        <v>1082</v>
      </c>
      <c r="D109">
        <v>2</v>
      </c>
      <c r="E109" t="s">
        <v>944</v>
      </c>
    </row>
    <row r="110" spans="1:5" x14ac:dyDescent="0.2">
      <c r="A110" t="s">
        <v>1375</v>
      </c>
      <c r="B110">
        <v>9001200302</v>
      </c>
      <c r="C110" t="s">
        <v>1376</v>
      </c>
      <c r="D110">
        <v>3</v>
      </c>
      <c r="E110" t="s">
        <v>944</v>
      </c>
    </row>
    <row r="111" spans="1:5" x14ac:dyDescent="0.2">
      <c r="A111" t="s">
        <v>1375</v>
      </c>
      <c r="B111">
        <v>9001200302</v>
      </c>
      <c r="C111" t="s">
        <v>1376</v>
      </c>
      <c r="D111">
        <v>3</v>
      </c>
      <c r="E111" t="s">
        <v>944</v>
      </c>
    </row>
    <row r="112" spans="1:5" x14ac:dyDescent="0.2">
      <c r="A112" t="s">
        <v>1403</v>
      </c>
      <c r="B112">
        <v>9001211000</v>
      </c>
      <c r="C112" t="s">
        <v>1404</v>
      </c>
      <c r="D112">
        <v>4</v>
      </c>
      <c r="E112" t="s">
        <v>944</v>
      </c>
    </row>
    <row r="113" spans="1:5" x14ac:dyDescent="0.2">
      <c r="A113" t="s">
        <v>1403</v>
      </c>
      <c r="B113">
        <v>9001211000</v>
      </c>
      <c r="C113" t="s">
        <v>1404</v>
      </c>
      <c r="D113">
        <v>4</v>
      </c>
      <c r="E113" t="s">
        <v>944</v>
      </c>
    </row>
    <row r="114" spans="1:5" x14ac:dyDescent="0.2">
      <c r="A114" t="s">
        <v>1405</v>
      </c>
      <c r="B114">
        <v>9001211200</v>
      </c>
      <c r="C114" t="s">
        <v>1406</v>
      </c>
      <c r="D114">
        <v>4</v>
      </c>
      <c r="E114" t="s">
        <v>944</v>
      </c>
    </row>
    <row r="115" spans="1:5" x14ac:dyDescent="0.2">
      <c r="A115" t="s">
        <v>1083</v>
      </c>
      <c r="B115">
        <v>9001021200</v>
      </c>
      <c r="C115" t="s">
        <v>1084</v>
      </c>
      <c r="D115">
        <v>2</v>
      </c>
      <c r="E115" t="s">
        <v>944</v>
      </c>
    </row>
    <row r="116" spans="1:5" x14ac:dyDescent="0.2">
      <c r="A116" t="s">
        <v>1087</v>
      </c>
      <c r="B116">
        <v>9001021400</v>
      </c>
      <c r="C116" t="s">
        <v>1088</v>
      </c>
      <c r="D116">
        <v>4</v>
      </c>
      <c r="E116" t="s">
        <v>944</v>
      </c>
    </row>
    <row r="117" spans="1:5" x14ac:dyDescent="0.2">
      <c r="A117" t="s">
        <v>1087</v>
      </c>
      <c r="B117">
        <v>9001021400</v>
      </c>
      <c r="C117" t="s">
        <v>1088</v>
      </c>
      <c r="D117">
        <v>4</v>
      </c>
      <c r="E117" t="s">
        <v>944</v>
      </c>
    </row>
    <row r="118" spans="1:5" x14ac:dyDescent="0.2">
      <c r="A118" t="s">
        <v>1413</v>
      </c>
      <c r="B118">
        <v>9001220200</v>
      </c>
      <c r="C118" t="s">
        <v>1414</v>
      </c>
      <c r="D118">
        <v>3</v>
      </c>
      <c r="E118" t="s">
        <v>944</v>
      </c>
    </row>
    <row r="119" spans="1:5" x14ac:dyDescent="0.2">
      <c r="A119" t="s">
        <v>1413</v>
      </c>
      <c r="B119">
        <v>9001220200</v>
      </c>
      <c r="C119" t="s">
        <v>1414</v>
      </c>
      <c r="D119">
        <v>3</v>
      </c>
      <c r="E119" t="s">
        <v>944</v>
      </c>
    </row>
    <row r="120" spans="1:5" x14ac:dyDescent="0.2">
      <c r="A120" t="s">
        <v>1413</v>
      </c>
      <c r="B120">
        <v>9001220200</v>
      </c>
      <c r="C120" t="s">
        <v>1414</v>
      </c>
      <c r="D120">
        <v>3</v>
      </c>
      <c r="E120" t="s">
        <v>944</v>
      </c>
    </row>
    <row r="121" spans="1:5" x14ac:dyDescent="0.2">
      <c r="A121" t="s">
        <v>1417</v>
      </c>
      <c r="B121">
        <v>9001230100</v>
      </c>
      <c r="C121" t="s">
        <v>1418</v>
      </c>
      <c r="D121">
        <v>3</v>
      </c>
      <c r="E121" t="s">
        <v>944</v>
      </c>
    </row>
    <row r="122" spans="1:5" x14ac:dyDescent="0.2">
      <c r="A122" t="s">
        <v>1085</v>
      </c>
      <c r="B122">
        <v>9001021300</v>
      </c>
      <c r="C122" t="s">
        <v>1086</v>
      </c>
      <c r="D122">
        <v>2</v>
      </c>
      <c r="E122" t="s">
        <v>944</v>
      </c>
    </row>
    <row r="123" spans="1:5" x14ac:dyDescent="0.2">
      <c r="A123" t="s">
        <v>1419</v>
      </c>
      <c r="B123">
        <v>9001230200</v>
      </c>
      <c r="C123" t="s">
        <v>1420</v>
      </c>
      <c r="D123">
        <v>3</v>
      </c>
      <c r="E123" t="s">
        <v>944</v>
      </c>
    </row>
    <row r="124" spans="1:5" x14ac:dyDescent="0.2">
      <c r="A124" t="s">
        <v>1389</v>
      </c>
      <c r="B124">
        <v>9001210400</v>
      </c>
      <c r="C124" t="s">
        <v>1390</v>
      </c>
      <c r="D124">
        <v>3</v>
      </c>
      <c r="E124" t="s">
        <v>944</v>
      </c>
    </row>
    <row r="125" spans="1:5" x14ac:dyDescent="0.2">
      <c r="A125" t="s">
        <v>1389</v>
      </c>
      <c r="B125">
        <v>9001210400</v>
      </c>
      <c r="C125" t="s">
        <v>1390</v>
      </c>
      <c r="D125">
        <v>3</v>
      </c>
      <c r="E125" t="s">
        <v>944</v>
      </c>
    </row>
    <row r="126" spans="1:5" x14ac:dyDescent="0.2">
      <c r="A126" t="s">
        <v>1421</v>
      </c>
      <c r="B126">
        <v>9001230300</v>
      </c>
      <c r="C126" t="s">
        <v>1422</v>
      </c>
      <c r="D126">
        <v>3</v>
      </c>
      <c r="E126" t="s">
        <v>944</v>
      </c>
    </row>
    <row r="127" spans="1:5" x14ac:dyDescent="0.2">
      <c r="A127" t="s">
        <v>1423</v>
      </c>
      <c r="B127">
        <v>9001230400</v>
      </c>
      <c r="C127" t="s">
        <v>1424</v>
      </c>
      <c r="D127">
        <v>3</v>
      </c>
      <c r="E127" t="s">
        <v>944</v>
      </c>
    </row>
    <row r="128" spans="1:5" x14ac:dyDescent="0.2">
      <c r="A128" t="s">
        <v>1423</v>
      </c>
      <c r="B128">
        <v>9001230400</v>
      </c>
      <c r="C128" t="s">
        <v>1424</v>
      </c>
      <c r="D128">
        <v>3</v>
      </c>
      <c r="E128" t="s">
        <v>944</v>
      </c>
    </row>
    <row r="129" spans="1:5" x14ac:dyDescent="0.2">
      <c r="A129" t="s">
        <v>1423</v>
      </c>
      <c r="B129">
        <v>9001230400</v>
      </c>
      <c r="C129" t="s">
        <v>1424</v>
      </c>
      <c r="D129">
        <v>3</v>
      </c>
      <c r="E129" t="s">
        <v>944</v>
      </c>
    </row>
    <row r="130" spans="1:5" x14ac:dyDescent="0.2">
      <c r="A130" t="s">
        <v>1425</v>
      </c>
      <c r="B130">
        <v>9001230501</v>
      </c>
      <c r="C130" t="s">
        <v>1426</v>
      </c>
      <c r="D130">
        <v>3</v>
      </c>
      <c r="E130" t="s">
        <v>944</v>
      </c>
    </row>
    <row r="131" spans="1:5" x14ac:dyDescent="0.2">
      <c r="A131" t="s">
        <v>1427</v>
      </c>
      <c r="B131">
        <v>9001230502</v>
      </c>
      <c r="C131" t="s">
        <v>1428</v>
      </c>
      <c r="D131">
        <v>3</v>
      </c>
      <c r="E131" t="s">
        <v>944</v>
      </c>
    </row>
    <row r="132" spans="1:5" x14ac:dyDescent="0.2">
      <c r="A132" t="s">
        <v>1429</v>
      </c>
      <c r="B132">
        <v>9001240100</v>
      </c>
      <c r="C132" t="s">
        <v>1430</v>
      </c>
      <c r="D132">
        <v>3</v>
      </c>
      <c r="E132" t="s">
        <v>944</v>
      </c>
    </row>
    <row r="133" spans="1:5" x14ac:dyDescent="0.2">
      <c r="A133" t="s">
        <v>1429</v>
      </c>
      <c r="B133">
        <v>9001240100</v>
      </c>
      <c r="C133" t="s">
        <v>1430</v>
      </c>
      <c r="D133">
        <v>3</v>
      </c>
      <c r="E133" t="s">
        <v>944</v>
      </c>
    </row>
    <row r="134" spans="1:5" x14ac:dyDescent="0.2">
      <c r="A134" t="s">
        <v>1429</v>
      </c>
      <c r="B134">
        <v>9001240100</v>
      </c>
      <c r="C134" t="s">
        <v>1430</v>
      </c>
      <c r="D134">
        <v>3</v>
      </c>
      <c r="E134" t="s">
        <v>944</v>
      </c>
    </row>
    <row r="135" spans="1:5" x14ac:dyDescent="0.2">
      <c r="A135" t="s">
        <v>1431</v>
      </c>
      <c r="B135">
        <v>9001240200</v>
      </c>
      <c r="C135" t="s">
        <v>1432</v>
      </c>
      <c r="D135">
        <v>3</v>
      </c>
      <c r="E135" t="s">
        <v>944</v>
      </c>
    </row>
    <row r="136" spans="1:5" x14ac:dyDescent="0.2">
      <c r="A136" t="s">
        <v>1433</v>
      </c>
      <c r="B136">
        <v>9001245100</v>
      </c>
      <c r="C136" t="s">
        <v>1434</v>
      </c>
      <c r="D136">
        <v>2</v>
      </c>
      <c r="E136" t="s">
        <v>944</v>
      </c>
    </row>
    <row r="137" spans="1:5" x14ac:dyDescent="0.2">
      <c r="A137" t="s">
        <v>1089</v>
      </c>
      <c r="B137">
        <v>9001021500</v>
      </c>
      <c r="C137" t="s">
        <v>1090</v>
      </c>
      <c r="D137">
        <v>4</v>
      </c>
      <c r="E137" t="s">
        <v>944</v>
      </c>
    </row>
    <row r="138" spans="1:5" x14ac:dyDescent="0.2">
      <c r="A138" t="s">
        <v>1435</v>
      </c>
      <c r="B138">
        <v>9001245200</v>
      </c>
      <c r="C138" t="s">
        <v>1436</v>
      </c>
      <c r="D138">
        <v>2</v>
      </c>
      <c r="E138" t="s">
        <v>944</v>
      </c>
    </row>
    <row r="139" spans="1:5" x14ac:dyDescent="0.2">
      <c r="A139" t="s">
        <v>1435</v>
      </c>
      <c r="B139">
        <v>9001245200</v>
      </c>
      <c r="C139" t="s">
        <v>1436</v>
      </c>
      <c r="D139">
        <v>2</v>
      </c>
      <c r="E139" t="s">
        <v>944</v>
      </c>
    </row>
    <row r="140" spans="1:5" x14ac:dyDescent="0.2">
      <c r="A140" t="s">
        <v>1435</v>
      </c>
      <c r="B140">
        <v>9001245200</v>
      </c>
      <c r="C140" t="s">
        <v>1436</v>
      </c>
      <c r="D140">
        <v>2</v>
      </c>
      <c r="E140" t="s">
        <v>944</v>
      </c>
    </row>
    <row r="141" spans="1:5" x14ac:dyDescent="0.2">
      <c r="A141" t="s">
        <v>1439</v>
      </c>
      <c r="B141">
        <v>9001245400</v>
      </c>
      <c r="C141" t="s">
        <v>1440</v>
      </c>
      <c r="D141">
        <v>2</v>
      </c>
      <c r="E141" t="s">
        <v>944</v>
      </c>
    </row>
    <row r="142" spans="1:5" x14ac:dyDescent="0.2">
      <c r="A142" t="s">
        <v>1441</v>
      </c>
      <c r="B142">
        <v>9001245500</v>
      </c>
      <c r="C142" t="s">
        <v>1442</v>
      </c>
      <c r="D142">
        <v>2</v>
      </c>
      <c r="E142" t="s">
        <v>944</v>
      </c>
    </row>
    <row r="143" spans="1:5" x14ac:dyDescent="0.2">
      <c r="A143" t="s">
        <v>1443</v>
      </c>
      <c r="B143">
        <v>9001245600</v>
      </c>
      <c r="C143" t="s">
        <v>1444</v>
      </c>
      <c r="D143">
        <v>2</v>
      </c>
      <c r="E143" t="s">
        <v>944</v>
      </c>
    </row>
    <row r="144" spans="1:5" x14ac:dyDescent="0.2">
      <c r="A144" t="s">
        <v>1443</v>
      </c>
      <c r="B144">
        <v>9001245600</v>
      </c>
      <c r="C144" t="s">
        <v>1444</v>
      </c>
      <c r="D144">
        <v>2</v>
      </c>
      <c r="E144" t="s">
        <v>944</v>
      </c>
    </row>
    <row r="145" spans="1:5" x14ac:dyDescent="0.2">
      <c r="A145" t="s">
        <v>1091</v>
      </c>
      <c r="B145">
        <v>9001021600</v>
      </c>
      <c r="C145" t="s">
        <v>1092</v>
      </c>
      <c r="D145">
        <v>2</v>
      </c>
      <c r="E145" t="s">
        <v>944</v>
      </c>
    </row>
    <row r="146" spans="1:5" x14ac:dyDescent="0.2">
      <c r="A146" t="s">
        <v>1895</v>
      </c>
      <c r="B146">
        <v>9005253200</v>
      </c>
      <c r="C146" t="s">
        <v>1896</v>
      </c>
      <c r="D146">
        <v>3</v>
      </c>
      <c r="E146" t="s">
        <v>944</v>
      </c>
    </row>
    <row r="147" spans="1:5" x14ac:dyDescent="0.2">
      <c r="A147" t="s">
        <v>1937</v>
      </c>
      <c r="B147">
        <v>9005303100</v>
      </c>
      <c r="C147" t="s">
        <v>1938</v>
      </c>
      <c r="D147">
        <v>4</v>
      </c>
      <c r="E147" t="s">
        <v>944</v>
      </c>
    </row>
    <row r="148" spans="1:5" x14ac:dyDescent="0.2">
      <c r="A148" t="s">
        <v>1937</v>
      </c>
      <c r="B148">
        <v>9005303100</v>
      </c>
      <c r="C148" t="s">
        <v>1938</v>
      </c>
      <c r="D148">
        <v>4</v>
      </c>
      <c r="E148" t="s">
        <v>944</v>
      </c>
    </row>
    <row r="149" spans="1:5" x14ac:dyDescent="0.2">
      <c r="A149" t="s">
        <v>1937</v>
      </c>
      <c r="B149">
        <v>9005303100</v>
      </c>
      <c r="C149" t="s">
        <v>1938</v>
      </c>
      <c r="D149">
        <v>4</v>
      </c>
      <c r="E149" t="s">
        <v>944</v>
      </c>
    </row>
    <row r="150" spans="1:5" x14ac:dyDescent="0.2">
      <c r="A150" t="s">
        <v>1899</v>
      </c>
      <c r="B150">
        <v>9005253400</v>
      </c>
      <c r="C150" t="s">
        <v>1900</v>
      </c>
      <c r="D150">
        <v>3</v>
      </c>
      <c r="E150" t="s">
        <v>944</v>
      </c>
    </row>
    <row r="151" spans="1:5" x14ac:dyDescent="0.2">
      <c r="A151" t="s">
        <v>1899</v>
      </c>
      <c r="B151">
        <v>9005253400</v>
      </c>
      <c r="C151" t="s">
        <v>1900</v>
      </c>
      <c r="D151">
        <v>3</v>
      </c>
      <c r="E151" t="s">
        <v>944</v>
      </c>
    </row>
    <row r="152" spans="1:5" x14ac:dyDescent="0.2">
      <c r="A152" t="s">
        <v>1899</v>
      </c>
      <c r="B152">
        <v>9005253400</v>
      </c>
      <c r="C152" t="s">
        <v>1900</v>
      </c>
      <c r="D152">
        <v>3</v>
      </c>
      <c r="E152" t="s">
        <v>944</v>
      </c>
    </row>
    <row r="153" spans="1:5" x14ac:dyDescent="0.2">
      <c r="A153" t="s">
        <v>1901</v>
      </c>
      <c r="B153">
        <v>9005253500</v>
      </c>
      <c r="C153" t="s">
        <v>1902</v>
      </c>
      <c r="D153">
        <v>3</v>
      </c>
      <c r="E153" t="s">
        <v>944</v>
      </c>
    </row>
    <row r="154" spans="1:5" x14ac:dyDescent="0.2">
      <c r="A154" t="s">
        <v>1901</v>
      </c>
      <c r="B154">
        <v>9005253500</v>
      </c>
      <c r="C154" t="s">
        <v>1902</v>
      </c>
      <c r="D154">
        <v>3</v>
      </c>
      <c r="E154" t="s">
        <v>944</v>
      </c>
    </row>
    <row r="155" spans="1:5" x14ac:dyDescent="0.2">
      <c r="A155" t="s">
        <v>1901</v>
      </c>
      <c r="B155">
        <v>9005253500</v>
      </c>
      <c r="C155" t="s">
        <v>1902</v>
      </c>
      <c r="D155">
        <v>3</v>
      </c>
      <c r="E155" t="s">
        <v>944</v>
      </c>
    </row>
    <row r="156" spans="1:5" x14ac:dyDescent="0.2">
      <c r="A156" t="s">
        <v>1445</v>
      </c>
      <c r="B156">
        <v>9001257100</v>
      </c>
      <c r="C156" t="s">
        <v>1446</v>
      </c>
      <c r="D156">
        <v>3</v>
      </c>
      <c r="E156" t="s">
        <v>944</v>
      </c>
    </row>
    <row r="157" spans="1:5" x14ac:dyDescent="0.2">
      <c r="A157" t="s">
        <v>1445</v>
      </c>
      <c r="B157">
        <v>9001257100</v>
      </c>
      <c r="C157" t="s">
        <v>1446</v>
      </c>
      <c r="D157">
        <v>3</v>
      </c>
      <c r="E157" t="s">
        <v>944</v>
      </c>
    </row>
    <row r="158" spans="1:5" x14ac:dyDescent="0.2">
      <c r="A158" t="s">
        <v>1093</v>
      </c>
      <c r="B158">
        <v>9001021700</v>
      </c>
      <c r="C158" t="s">
        <v>1094</v>
      </c>
      <c r="D158">
        <v>2</v>
      </c>
      <c r="E158" t="s">
        <v>944</v>
      </c>
    </row>
    <row r="159" spans="1:5" x14ac:dyDescent="0.2">
      <c r="A159" t="s">
        <v>1907</v>
      </c>
      <c r="B159">
        <v>9005261100</v>
      </c>
      <c r="C159" t="s">
        <v>1908</v>
      </c>
      <c r="D159">
        <v>4</v>
      </c>
      <c r="E159" t="s">
        <v>944</v>
      </c>
    </row>
    <row r="160" spans="1:5" x14ac:dyDescent="0.2">
      <c r="A160" t="s">
        <v>1907</v>
      </c>
      <c r="B160">
        <v>9005261100</v>
      </c>
      <c r="C160" t="s">
        <v>1908</v>
      </c>
      <c r="D160">
        <v>4</v>
      </c>
      <c r="E160" t="s">
        <v>944</v>
      </c>
    </row>
    <row r="161" spans="1:5" x14ac:dyDescent="0.2">
      <c r="A161" t="s">
        <v>1967</v>
      </c>
      <c r="B161">
        <v>9005342100</v>
      </c>
      <c r="C161" t="s">
        <v>1968</v>
      </c>
      <c r="D161">
        <v>4</v>
      </c>
      <c r="E161" t="s">
        <v>944</v>
      </c>
    </row>
    <row r="162" spans="1:5" x14ac:dyDescent="0.2">
      <c r="A162" t="s">
        <v>1967</v>
      </c>
      <c r="B162">
        <v>9005342100</v>
      </c>
      <c r="C162" t="s">
        <v>1968</v>
      </c>
      <c r="D162">
        <v>4</v>
      </c>
      <c r="E162" t="s">
        <v>944</v>
      </c>
    </row>
    <row r="163" spans="1:5" x14ac:dyDescent="0.2">
      <c r="A163" t="s">
        <v>1911</v>
      </c>
      <c r="B163">
        <v>9005263200</v>
      </c>
      <c r="C163" t="s">
        <v>1912</v>
      </c>
      <c r="D163">
        <v>5</v>
      </c>
      <c r="E163" t="s">
        <v>944</v>
      </c>
    </row>
    <row r="164" spans="1:5" x14ac:dyDescent="0.2">
      <c r="A164" t="s">
        <v>1911</v>
      </c>
      <c r="B164">
        <v>9005263200</v>
      </c>
      <c r="C164" t="s">
        <v>1912</v>
      </c>
      <c r="D164">
        <v>5</v>
      </c>
      <c r="E164" t="s">
        <v>944</v>
      </c>
    </row>
    <row r="165" spans="1:5" x14ac:dyDescent="0.2">
      <c r="A165" t="s">
        <v>1911</v>
      </c>
      <c r="B165">
        <v>9005263200</v>
      </c>
      <c r="C165" t="s">
        <v>1912</v>
      </c>
      <c r="D165">
        <v>5</v>
      </c>
      <c r="E165" t="s">
        <v>944</v>
      </c>
    </row>
    <row r="166" spans="1:5" x14ac:dyDescent="0.2">
      <c r="A166" t="s">
        <v>1925</v>
      </c>
      <c r="B166">
        <v>9005296100</v>
      </c>
      <c r="C166" t="s">
        <v>1926</v>
      </c>
      <c r="D166">
        <v>4</v>
      </c>
      <c r="E166" t="s">
        <v>944</v>
      </c>
    </row>
    <row r="167" spans="1:5" x14ac:dyDescent="0.2">
      <c r="A167" t="s">
        <v>1925</v>
      </c>
      <c r="B167">
        <v>9005296100</v>
      </c>
      <c r="C167" t="s">
        <v>1926</v>
      </c>
      <c r="D167">
        <v>4</v>
      </c>
      <c r="E167" t="s">
        <v>944</v>
      </c>
    </row>
    <row r="168" spans="1:5" x14ac:dyDescent="0.2">
      <c r="A168" t="s">
        <v>1925</v>
      </c>
      <c r="B168">
        <v>9005296100</v>
      </c>
      <c r="C168" t="s">
        <v>1926</v>
      </c>
      <c r="D168">
        <v>4</v>
      </c>
      <c r="E168" t="s">
        <v>944</v>
      </c>
    </row>
    <row r="169" spans="1:5" x14ac:dyDescent="0.2">
      <c r="A169" t="s">
        <v>1095</v>
      </c>
      <c r="B169">
        <v>9001021801</v>
      </c>
      <c r="C169" t="s">
        <v>1096</v>
      </c>
      <c r="D169">
        <v>2</v>
      </c>
      <c r="E169" t="s">
        <v>944</v>
      </c>
    </row>
    <row r="170" spans="1:5" x14ac:dyDescent="0.2">
      <c r="A170" t="s">
        <v>1931</v>
      </c>
      <c r="B170">
        <v>9005300100</v>
      </c>
      <c r="C170" t="s">
        <v>1932</v>
      </c>
      <c r="D170">
        <v>4</v>
      </c>
      <c r="E170" t="s">
        <v>944</v>
      </c>
    </row>
    <row r="171" spans="1:5" x14ac:dyDescent="0.2">
      <c r="A171" t="s">
        <v>1931</v>
      </c>
      <c r="B171">
        <v>9005300100</v>
      </c>
      <c r="C171" t="s">
        <v>1932</v>
      </c>
      <c r="D171">
        <v>4</v>
      </c>
      <c r="E171" t="s">
        <v>944</v>
      </c>
    </row>
    <row r="172" spans="1:5" x14ac:dyDescent="0.2">
      <c r="A172" t="s">
        <v>1983</v>
      </c>
      <c r="B172">
        <v>9005362102</v>
      </c>
      <c r="C172" t="s">
        <v>1984</v>
      </c>
      <c r="D172">
        <v>4</v>
      </c>
      <c r="E172" t="s">
        <v>944</v>
      </c>
    </row>
    <row r="173" spans="1:5" x14ac:dyDescent="0.2">
      <c r="A173" t="s">
        <v>1983</v>
      </c>
      <c r="B173">
        <v>9005362102</v>
      </c>
      <c r="C173" t="s">
        <v>1984</v>
      </c>
      <c r="D173">
        <v>4</v>
      </c>
      <c r="E173" t="s">
        <v>944</v>
      </c>
    </row>
    <row r="174" spans="1:5" x14ac:dyDescent="0.2">
      <c r="A174" t="s">
        <v>1983</v>
      </c>
      <c r="B174">
        <v>9005362102</v>
      </c>
      <c r="C174" t="s">
        <v>1984</v>
      </c>
      <c r="D174">
        <v>4</v>
      </c>
      <c r="E174" t="s">
        <v>944</v>
      </c>
    </row>
    <row r="175" spans="1:5" x14ac:dyDescent="0.2">
      <c r="A175" t="s">
        <v>1933</v>
      </c>
      <c r="B175">
        <v>9005300400</v>
      </c>
      <c r="C175" t="s">
        <v>1934</v>
      </c>
      <c r="D175">
        <v>4</v>
      </c>
      <c r="E175" t="s">
        <v>944</v>
      </c>
    </row>
    <row r="176" spans="1:5" x14ac:dyDescent="0.2">
      <c r="A176" t="s">
        <v>1933</v>
      </c>
      <c r="B176">
        <v>9005300400</v>
      </c>
      <c r="C176" t="s">
        <v>1934</v>
      </c>
      <c r="D176">
        <v>4</v>
      </c>
      <c r="E176" t="s">
        <v>944</v>
      </c>
    </row>
    <row r="177" spans="1:5" x14ac:dyDescent="0.2">
      <c r="A177" t="s">
        <v>1935</v>
      </c>
      <c r="B177">
        <v>9005300500</v>
      </c>
      <c r="C177" t="s">
        <v>1936</v>
      </c>
      <c r="D177">
        <v>4</v>
      </c>
      <c r="E177" t="s">
        <v>944</v>
      </c>
    </row>
    <row r="178" spans="1:5" x14ac:dyDescent="0.2">
      <c r="A178" t="s">
        <v>1935</v>
      </c>
      <c r="B178">
        <v>9005300500</v>
      </c>
      <c r="C178" t="s">
        <v>1936</v>
      </c>
      <c r="D178">
        <v>4</v>
      </c>
      <c r="E178" t="s">
        <v>944</v>
      </c>
    </row>
    <row r="179" spans="1:5" x14ac:dyDescent="0.2">
      <c r="A179" t="s">
        <v>1111</v>
      </c>
      <c r="B179">
        <v>9001030100</v>
      </c>
      <c r="C179" t="s">
        <v>1112</v>
      </c>
      <c r="D179">
        <v>2</v>
      </c>
      <c r="E179" t="s">
        <v>944</v>
      </c>
    </row>
    <row r="180" spans="1:5" x14ac:dyDescent="0.2">
      <c r="A180" t="s">
        <v>1097</v>
      </c>
      <c r="B180">
        <v>9001021802</v>
      </c>
      <c r="C180" t="s">
        <v>1098</v>
      </c>
      <c r="D180">
        <v>3</v>
      </c>
      <c r="E180" t="s">
        <v>944</v>
      </c>
    </row>
    <row r="181" spans="1:5" x14ac:dyDescent="0.2">
      <c r="A181" t="s">
        <v>1113</v>
      </c>
      <c r="B181">
        <v>9001030200</v>
      </c>
      <c r="C181" t="s">
        <v>1114</v>
      </c>
      <c r="D181">
        <v>2</v>
      </c>
      <c r="E181" t="s">
        <v>944</v>
      </c>
    </row>
    <row r="182" spans="1:5" x14ac:dyDescent="0.2">
      <c r="A182" t="s">
        <v>1597</v>
      </c>
      <c r="B182">
        <v>9003471100</v>
      </c>
      <c r="C182" t="s">
        <v>1598</v>
      </c>
      <c r="D182">
        <v>4</v>
      </c>
      <c r="E182" t="s">
        <v>944</v>
      </c>
    </row>
    <row r="183" spans="1:5" x14ac:dyDescent="0.2">
      <c r="A183" t="s">
        <v>1597</v>
      </c>
      <c r="B183">
        <v>9003471100</v>
      </c>
      <c r="C183" t="s">
        <v>1598</v>
      </c>
      <c r="D183">
        <v>4</v>
      </c>
      <c r="E183" t="s">
        <v>944</v>
      </c>
    </row>
    <row r="184" spans="1:5" x14ac:dyDescent="0.2">
      <c r="A184" t="s">
        <v>1119</v>
      </c>
      <c r="B184">
        <v>9001030500</v>
      </c>
      <c r="C184" t="s">
        <v>1120</v>
      </c>
      <c r="D184">
        <v>2</v>
      </c>
      <c r="E184" t="s">
        <v>944</v>
      </c>
    </row>
    <row r="185" spans="1:5" x14ac:dyDescent="0.2">
      <c r="A185" t="s">
        <v>1939</v>
      </c>
      <c r="B185">
        <v>9005306100</v>
      </c>
      <c r="C185" t="s">
        <v>1940</v>
      </c>
      <c r="D185">
        <v>3</v>
      </c>
      <c r="E185" t="s">
        <v>944</v>
      </c>
    </row>
    <row r="186" spans="1:5" x14ac:dyDescent="0.2">
      <c r="A186" t="s">
        <v>1939</v>
      </c>
      <c r="B186">
        <v>9005306100</v>
      </c>
      <c r="C186" t="s">
        <v>1940</v>
      </c>
      <c r="D186">
        <v>3</v>
      </c>
      <c r="E186" t="s">
        <v>944</v>
      </c>
    </row>
    <row r="187" spans="1:5" x14ac:dyDescent="0.2">
      <c r="A187" t="s">
        <v>1939</v>
      </c>
      <c r="B187">
        <v>9005306100</v>
      </c>
      <c r="C187" t="s">
        <v>1940</v>
      </c>
      <c r="D187">
        <v>3</v>
      </c>
      <c r="E187" t="s">
        <v>944</v>
      </c>
    </row>
    <row r="188" spans="1:5" x14ac:dyDescent="0.2">
      <c r="A188" t="s">
        <v>1099</v>
      </c>
      <c r="B188">
        <v>9001021900</v>
      </c>
      <c r="C188" t="s">
        <v>1100</v>
      </c>
      <c r="D188">
        <v>3</v>
      </c>
      <c r="E188" t="s">
        <v>944</v>
      </c>
    </row>
    <row r="189" spans="1:5" x14ac:dyDescent="0.2">
      <c r="A189" t="s">
        <v>1951</v>
      </c>
      <c r="B189">
        <v>9005310601</v>
      </c>
      <c r="C189" t="s">
        <v>1952</v>
      </c>
      <c r="D189">
        <v>3</v>
      </c>
      <c r="E189" t="s">
        <v>944</v>
      </c>
    </row>
    <row r="190" spans="1:5" x14ac:dyDescent="0.2">
      <c r="A190" t="s">
        <v>1599</v>
      </c>
      <c r="B190">
        <v>9003471200</v>
      </c>
      <c r="C190" t="s">
        <v>1600</v>
      </c>
      <c r="D190">
        <v>4</v>
      </c>
      <c r="E190" t="s">
        <v>944</v>
      </c>
    </row>
    <row r="191" spans="1:5" x14ac:dyDescent="0.2">
      <c r="A191" t="s">
        <v>1101</v>
      </c>
      <c r="B191">
        <v>9001022000</v>
      </c>
      <c r="C191" t="s">
        <v>1102</v>
      </c>
      <c r="D191">
        <v>4</v>
      </c>
      <c r="E191" t="s">
        <v>944</v>
      </c>
    </row>
    <row r="192" spans="1:5" x14ac:dyDescent="0.2">
      <c r="A192" t="s">
        <v>1601</v>
      </c>
      <c r="B192">
        <v>9003471300</v>
      </c>
      <c r="C192" t="s">
        <v>1602</v>
      </c>
      <c r="D192">
        <v>3</v>
      </c>
      <c r="E192" t="s">
        <v>944</v>
      </c>
    </row>
    <row r="193" spans="1:5" x14ac:dyDescent="0.2">
      <c r="A193" t="s">
        <v>2337</v>
      </c>
      <c r="B193">
        <v>9009343200</v>
      </c>
      <c r="C193" t="s">
        <v>2338</v>
      </c>
      <c r="D193">
        <v>3</v>
      </c>
      <c r="E193" t="s">
        <v>944</v>
      </c>
    </row>
    <row r="194" spans="1:5" x14ac:dyDescent="0.2">
      <c r="A194" t="s">
        <v>1103</v>
      </c>
      <c r="B194">
        <v>9001022100</v>
      </c>
      <c r="C194" t="s">
        <v>1104</v>
      </c>
      <c r="D194">
        <v>3</v>
      </c>
      <c r="E194" t="s">
        <v>944</v>
      </c>
    </row>
    <row r="195" spans="1:5" x14ac:dyDescent="0.2">
      <c r="A195" t="s">
        <v>2359</v>
      </c>
      <c r="B195">
        <v>9009346102</v>
      </c>
      <c r="C195" t="s">
        <v>2360</v>
      </c>
      <c r="D195">
        <v>3</v>
      </c>
      <c r="E195" t="s">
        <v>944</v>
      </c>
    </row>
    <row r="196" spans="1:5" x14ac:dyDescent="0.2">
      <c r="A196" t="s">
        <v>2359</v>
      </c>
      <c r="B196">
        <v>9009346102</v>
      </c>
      <c r="C196" t="s">
        <v>2360</v>
      </c>
      <c r="D196">
        <v>3</v>
      </c>
      <c r="E196" t="s">
        <v>944</v>
      </c>
    </row>
    <row r="197" spans="1:5" x14ac:dyDescent="0.2">
      <c r="A197" t="s">
        <v>2359</v>
      </c>
      <c r="B197">
        <v>9009346102</v>
      </c>
      <c r="C197" t="s">
        <v>2360</v>
      </c>
      <c r="D197">
        <v>3</v>
      </c>
      <c r="E197" t="s">
        <v>944</v>
      </c>
    </row>
    <row r="198" spans="1:5" x14ac:dyDescent="0.2">
      <c r="A198" t="s">
        <v>1603</v>
      </c>
      <c r="B198">
        <v>9003471400</v>
      </c>
      <c r="C198" t="s">
        <v>1604</v>
      </c>
      <c r="D198">
        <v>3</v>
      </c>
      <c r="E198" t="s">
        <v>944</v>
      </c>
    </row>
    <row r="199" spans="1:5" x14ac:dyDescent="0.2">
      <c r="A199" t="s">
        <v>1603</v>
      </c>
      <c r="B199">
        <v>9003471400</v>
      </c>
      <c r="C199" t="s">
        <v>1604</v>
      </c>
      <c r="D199">
        <v>3</v>
      </c>
      <c r="E199" t="s">
        <v>944</v>
      </c>
    </row>
    <row r="200" spans="1:5" x14ac:dyDescent="0.2">
      <c r="A200" t="s">
        <v>1969</v>
      </c>
      <c r="B200">
        <v>9005349100</v>
      </c>
      <c r="C200" t="s">
        <v>1970</v>
      </c>
      <c r="D200">
        <v>4</v>
      </c>
      <c r="E200" t="s">
        <v>944</v>
      </c>
    </row>
    <row r="201" spans="1:5" x14ac:dyDescent="0.2">
      <c r="A201" t="s">
        <v>1969</v>
      </c>
      <c r="B201">
        <v>9005349100</v>
      </c>
      <c r="C201" t="s">
        <v>1970</v>
      </c>
      <c r="D201">
        <v>4</v>
      </c>
      <c r="E201" t="s">
        <v>944</v>
      </c>
    </row>
    <row r="202" spans="1:5" x14ac:dyDescent="0.2">
      <c r="A202" t="s">
        <v>1969</v>
      </c>
      <c r="B202">
        <v>9005349100</v>
      </c>
      <c r="C202" t="s">
        <v>1970</v>
      </c>
      <c r="D202">
        <v>4</v>
      </c>
      <c r="E202" t="s">
        <v>944</v>
      </c>
    </row>
    <row r="203" spans="1:5" x14ac:dyDescent="0.2">
      <c r="A203" t="s">
        <v>1971</v>
      </c>
      <c r="B203">
        <v>9005349200</v>
      </c>
      <c r="C203" t="s">
        <v>1972</v>
      </c>
      <c r="D203">
        <v>5</v>
      </c>
      <c r="E203" t="s">
        <v>944</v>
      </c>
    </row>
    <row r="204" spans="1:5" x14ac:dyDescent="0.2">
      <c r="A204" t="s">
        <v>1971</v>
      </c>
      <c r="B204">
        <v>9005349200</v>
      </c>
      <c r="C204" t="s">
        <v>1972</v>
      </c>
      <c r="D204">
        <v>5</v>
      </c>
      <c r="E204" t="s">
        <v>944</v>
      </c>
    </row>
    <row r="205" spans="1:5" x14ac:dyDescent="0.2">
      <c r="A205" t="s">
        <v>1971</v>
      </c>
      <c r="B205">
        <v>9005349200</v>
      </c>
      <c r="C205" t="s">
        <v>1972</v>
      </c>
      <c r="D205">
        <v>5</v>
      </c>
      <c r="E205" t="s">
        <v>944</v>
      </c>
    </row>
    <row r="206" spans="1:5" x14ac:dyDescent="0.2">
      <c r="A206" t="s">
        <v>1105</v>
      </c>
      <c r="B206">
        <v>9001022200</v>
      </c>
      <c r="C206" t="s">
        <v>1106</v>
      </c>
      <c r="D206">
        <v>2</v>
      </c>
      <c r="E206" t="s">
        <v>944</v>
      </c>
    </row>
    <row r="207" spans="1:5" x14ac:dyDescent="0.2">
      <c r="A207" t="s">
        <v>1605</v>
      </c>
      <c r="B207">
        <v>9003471500</v>
      </c>
      <c r="C207" t="s">
        <v>1606</v>
      </c>
      <c r="D207">
        <v>3</v>
      </c>
      <c r="E207" t="s">
        <v>944</v>
      </c>
    </row>
    <row r="208" spans="1:5" x14ac:dyDescent="0.2">
      <c r="A208" t="s">
        <v>1107</v>
      </c>
      <c r="B208">
        <v>9001022300</v>
      </c>
      <c r="C208" t="s">
        <v>1108</v>
      </c>
      <c r="D208">
        <v>3</v>
      </c>
      <c r="E208" t="s">
        <v>944</v>
      </c>
    </row>
    <row r="209" spans="1:5" x14ac:dyDescent="0.2">
      <c r="A209" t="s">
        <v>2379</v>
      </c>
      <c r="B209">
        <v>9009350300</v>
      </c>
      <c r="C209" t="s">
        <v>2380</v>
      </c>
      <c r="D209">
        <v>8</v>
      </c>
      <c r="E209" t="s">
        <v>936</v>
      </c>
    </row>
    <row r="210" spans="1:5" x14ac:dyDescent="0.2">
      <c r="A210" t="s">
        <v>1607</v>
      </c>
      <c r="B210">
        <v>9003473100</v>
      </c>
      <c r="C210" t="s">
        <v>1608</v>
      </c>
      <c r="D210">
        <v>3</v>
      </c>
      <c r="E210" t="s">
        <v>944</v>
      </c>
    </row>
    <row r="211" spans="1:5" x14ac:dyDescent="0.2">
      <c r="A211" t="s">
        <v>2381</v>
      </c>
      <c r="B211">
        <v>9009350400</v>
      </c>
      <c r="C211" t="s">
        <v>2382</v>
      </c>
      <c r="D211">
        <v>10</v>
      </c>
      <c r="E211" t="s">
        <v>936</v>
      </c>
    </row>
    <row r="212" spans="1:5" x14ac:dyDescent="0.2">
      <c r="A212" t="s">
        <v>1109</v>
      </c>
      <c r="B212">
        <v>9001022400</v>
      </c>
      <c r="C212" t="s">
        <v>1110</v>
      </c>
      <c r="D212">
        <v>2</v>
      </c>
      <c r="E212" t="s">
        <v>944</v>
      </c>
    </row>
    <row r="213" spans="1:5" x14ac:dyDescent="0.2">
      <c r="A213" t="s">
        <v>2383</v>
      </c>
      <c r="B213">
        <v>9009350500</v>
      </c>
      <c r="C213" t="s">
        <v>2384</v>
      </c>
      <c r="D213">
        <v>8</v>
      </c>
      <c r="E213" t="s">
        <v>936</v>
      </c>
    </row>
    <row r="214" spans="1:5" x14ac:dyDescent="0.2">
      <c r="A214" t="s">
        <v>1611</v>
      </c>
      <c r="B214">
        <v>9003473501</v>
      </c>
      <c r="C214" t="s">
        <v>1612</v>
      </c>
      <c r="D214">
        <v>3</v>
      </c>
      <c r="E214" t="s">
        <v>944</v>
      </c>
    </row>
    <row r="215" spans="1:5" x14ac:dyDescent="0.2">
      <c r="A215" t="s">
        <v>2385</v>
      </c>
      <c r="B215">
        <v>9009350800</v>
      </c>
      <c r="C215" t="s">
        <v>2386</v>
      </c>
      <c r="D215">
        <v>7</v>
      </c>
      <c r="E215" t="s">
        <v>936</v>
      </c>
    </row>
    <row r="216" spans="1:5" x14ac:dyDescent="0.2">
      <c r="A216" t="s">
        <v>2387</v>
      </c>
      <c r="B216">
        <v>9009350900</v>
      </c>
      <c r="C216" t="s">
        <v>2388</v>
      </c>
      <c r="D216">
        <v>5</v>
      </c>
      <c r="E216" t="s">
        <v>944</v>
      </c>
    </row>
    <row r="217" spans="1:5" x14ac:dyDescent="0.2">
      <c r="A217" t="s">
        <v>1789</v>
      </c>
      <c r="B217">
        <v>9003503900</v>
      </c>
      <c r="C217" t="s">
        <v>1790</v>
      </c>
      <c r="D217">
        <v>5</v>
      </c>
      <c r="E217" t="s">
        <v>944</v>
      </c>
    </row>
    <row r="218" spans="1:5" x14ac:dyDescent="0.2">
      <c r="A218" t="s">
        <v>1789</v>
      </c>
      <c r="B218">
        <v>9003503900</v>
      </c>
      <c r="C218" t="s">
        <v>1790</v>
      </c>
      <c r="D218">
        <v>5</v>
      </c>
      <c r="E218" t="s">
        <v>944</v>
      </c>
    </row>
    <row r="219" spans="1:5" x14ac:dyDescent="0.2">
      <c r="A219" t="s">
        <v>2389</v>
      </c>
      <c r="B219">
        <v>9009351000</v>
      </c>
      <c r="C219" t="s">
        <v>2390</v>
      </c>
      <c r="D219">
        <v>5</v>
      </c>
      <c r="E219" t="s">
        <v>944</v>
      </c>
    </row>
    <row r="220" spans="1:5" x14ac:dyDescent="0.2">
      <c r="A220" t="s">
        <v>2391</v>
      </c>
      <c r="B220">
        <v>9009351100</v>
      </c>
      <c r="C220" t="s">
        <v>2392</v>
      </c>
      <c r="D220">
        <v>7</v>
      </c>
      <c r="E220" t="s">
        <v>936</v>
      </c>
    </row>
    <row r="221" spans="1:5" x14ac:dyDescent="0.2">
      <c r="A221" t="s">
        <v>2393</v>
      </c>
      <c r="B221">
        <v>9009351200</v>
      </c>
      <c r="C221" t="s">
        <v>2394</v>
      </c>
      <c r="D221">
        <v>7</v>
      </c>
      <c r="E221" t="s">
        <v>936</v>
      </c>
    </row>
    <row r="222" spans="1:5" x14ac:dyDescent="0.2">
      <c r="A222" t="s">
        <v>1851</v>
      </c>
      <c r="B222">
        <v>9003514900</v>
      </c>
      <c r="C222" t="s">
        <v>1852</v>
      </c>
      <c r="D222">
        <v>4</v>
      </c>
      <c r="E222" t="s">
        <v>944</v>
      </c>
    </row>
    <row r="223" spans="1:5" x14ac:dyDescent="0.2">
      <c r="A223" t="s">
        <v>1851</v>
      </c>
      <c r="B223">
        <v>9003514900</v>
      </c>
      <c r="C223" t="s">
        <v>1852</v>
      </c>
      <c r="D223">
        <v>4</v>
      </c>
      <c r="E223" t="s">
        <v>944</v>
      </c>
    </row>
    <row r="224" spans="1:5" x14ac:dyDescent="0.2">
      <c r="A224" t="s">
        <v>2395</v>
      </c>
      <c r="B224">
        <v>9009351300</v>
      </c>
      <c r="C224" t="s">
        <v>2396</v>
      </c>
      <c r="D224">
        <v>6</v>
      </c>
      <c r="E224" t="s">
        <v>936</v>
      </c>
    </row>
    <row r="225" spans="1:5" x14ac:dyDescent="0.2">
      <c r="A225" t="s">
        <v>2397</v>
      </c>
      <c r="B225">
        <v>9009351400</v>
      </c>
      <c r="C225" t="s">
        <v>2398</v>
      </c>
      <c r="D225">
        <v>7</v>
      </c>
      <c r="E225" t="s">
        <v>936</v>
      </c>
    </row>
    <row r="226" spans="1:5" x14ac:dyDescent="0.2">
      <c r="A226" t="s">
        <v>1115</v>
      </c>
      <c r="B226">
        <v>9001030300</v>
      </c>
      <c r="C226" t="s">
        <v>1116</v>
      </c>
      <c r="D226">
        <v>2</v>
      </c>
      <c r="E226" t="s">
        <v>944</v>
      </c>
    </row>
    <row r="227" spans="1:5" x14ac:dyDescent="0.2">
      <c r="A227" t="s">
        <v>2407</v>
      </c>
      <c r="B227">
        <v>9009351800</v>
      </c>
      <c r="C227" t="s">
        <v>2408</v>
      </c>
      <c r="D227">
        <v>5</v>
      </c>
      <c r="E227" t="s">
        <v>944</v>
      </c>
    </row>
    <row r="228" spans="1:5" x14ac:dyDescent="0.2">
      <c r="A228" t="s">
        <v>2573</v>
      </c>
      <c r="B228">
        <v>9013526102</v>
      </c>
      <c r="C228" t="s">
        <v>2574</v>
      </c>
      <c r="D228">
        <v>3</v>
      </c>
      <c r="E228" t="s">
        <v>944</v>
      </c>
    </row>
    <row r="229" spans="1:5" x14ac:dyDescent="0.2">
      <c r="A229" t="s">
        <v>2573</v>
      </c>
      <c r="B229">
        <v>9013526102</v>
      </c>
      <c r="C229" t="s">
        <v>2574</v>
      </c>
      <c r="D229">
        <v>3</v>
      </c>
      <c r="E229" t="s">
        <v>944</v>
      </c>
    </row>
    <row r="230" spans="1:5" x14ac:dyDescent="0.2">
      <c r="A230" t="s">
        <v>2573</v>
      </c>
      <c r="B230">
        <v>9013526102</v>
      </c>
      <c r="C230" t="s">
        <v>2574</v>
      </c>
      <c r="D230">
        <v>3</v>
      </c>
      <c r="E230" t="s">
        <v>944</v>
      </c>
    </row>
    <row r="231" spans="1:5" x14ac:dyDescent="0.2">
      <c r="A231" t="s">
        <v>1121</v>
      </c>
      <c r="B231">
        <v>9001035100</v>
      </c>
      <c r="C231" t="s">
        <v>1122</v>
      </c>
      <c r="D231">
        <v>2</v>
      </c>
      <c r="E231" t="s">
        <v>944</v>
      </c>
    </row>
    <row r="232" spans="1:5" x14ac:dyDescent="0.2">
      <c r="A232" t="s">
        <v>1121</v>
      </c>
      <c r="B232">
        <v>9001035100</v>
      </c>
      <c r="C232" t="s">
        <v>1122</v>
      </c>
      <c r="D232">
        <v>2</v>
      </c>
      <c r="E232" t="s">
        <v>944</v>
      </c>
    </row>
    <row r="233" spans="1:5" x14ac:dyDescent="0.2">
      <c r="A233" t="s">
        <v>2425</v>
      </c>
      <c r="B233">
        <v>9009352701</v>
      </c>
      <c r="C233" t="s">
        <v>2426</v>
      </c>
      <c r="D233">
        <v>6</v>
      </c>
      <c r="E233" t="s">
        <v>936</v>
      </c>
    </row>
    <row r="234" spans="1:5" x14ac:dyDescent="0.2">
      <c r="A234" t="s">
        <v>2427</v>
      </c>
      <c r="B234">
        <v>9009352702</v>
      </c>
      <c r="C234" t="s">
        <v>2428</v>
      </c>
      <c r="D234">
        <v>4</v>
      </c>
      <c r="E234" t="s">
        <v>944</v>
      </c>
    </row>
    <row r="235" spans="1:5" x14ac:dyDescent="0.2">
      <c r="A235" t="s">
        <v>1117</v>
      </c>
      <c r="B235">
        <v>9001030400</v>
      </c>
      <c r="C235" t="s">
        <v>1118</v>
      </c>
      <c r="D235">
        <v>2</v>
      </c>
      <c r="E235" t="s">
        <v>944</v>
      </c>
    </row>
    <row r="236" spans="1:5" x14ac:dyDescent="0.2">
      <c r="A236" t="s">
        <v>2429</v>
      </c>
      <c r="B236">
        <v>9009352800</v>
      </c>
      <c r="C236" t="s">
        <v>2430</v>
      </c>
      <c r="D236">
        <v>5</v>
      </c>
      <c r="E236" t="s">
        <v>944</v>
      </c>
    </row>
    <row r="237" spans="1:5" x14ac:dyDescent="0.2">
      <c r="A237" t="s">
        <v>2429</v>
      </c>
      <c r="B237">
        <v>9009352800</v>
      </c>
      <c r="C237" t="s">
        <v>2430</v>
      </c>
      <c r="D237">
        <v>5</v>
      </c>
      <c r="E237" t="s">
        <v>944</v>
      </c>
    </row>
    <row r="238" spans="1:5" x14ac:dyDescent="0.2">
      <c r="A238" t="s">
        <v>1123</v>
      </c>
      <c r="B238">
        <v>9001035200</v>
      </c>
      <c r="C238" t="s">
        <v>1124</v>
      </c>
      <c r="D238">
        <v>2</v>
      </c>
      <c r="E238" t="s">
        <v>944</v>
      </c>
    </row>
    <row r="239" spans="1:5" x14ac:dyDescent="0.2">
      <c r="A239" t="s">
        <v>1127</v>
      </c>
      <c r="B239">
        <v>9001035400</v>
      </c>
      <c r="C239" t="s">
        <v>1128</v>
      </c>
      <c r="D239">
        <v>2</v>
      </c>
      <c r="E239" t="s">
        <v>944</v>
      </c>
    </row>
    <row r="240" spans="1:5" x14ac:dyDescent="0.2">
      <c r="A240" t="s">
        <v>1127</v>
      </c>
      <c r="B240">
        <v>9001035400</v>
      </c>
      <c r="C240" t="s">
        <v>1128</v>
      </c>
      <c r="D240">
        <v>2</v>
      </c>
      <c r="E240" t="s">
        <v>944</v>
      </c>
    </row>
    <row r="241" spans="1:5" x14ac:dyDescent="0.2">
      <c r="A241" t="s">
        <v>2591</v>
      </c>
      <c r="B241">
        <v>9013530600</v>
      </c>
      <c r="C241" t="s">
        <v>2592</v>
      </c>
      <c r="D241">
        <v>3</v>
      </c>
      <c r="E241" t="s">
        <v>944</v>
      </c>
    </row>
    <row r="242" spans="1:5" x14ac:dyDescent="0.2">
      <c r="A242" t="s">
        <v>2591</v>
      </c>
      <c r="B242">
        <v>9013530600</v>
      </c>
      <c r="C242" t="s">
        <v>2592</v>
      </c>
      <c r="D242">
        <v>3</v>
      </c>
      <c r="E242" t="s">
        <v>944</v>
      </c>
    </row>
    <row r="243" spans="1:5" x14ac:dyDescent="0.2">
      <c r="A243" t="s">
        <v>2591</v>
      </c>
      <c r="B243">
        <v>9013530600</v>
      </c>
      <c r="C243" t="s">
        <v>2592</v>
      </c>
      <c r="D243">
        <v>3</v>
      </c>
      <c r="E243" t="s">
        <v>944</v>
      </c>
    </row>
    <row r="244" spans="1:5" x14ac:dyDescent="0.2">
      <c r="A244" t="s">
        <v>1129</v>
      </c>
      <c r="B244">
        <v>9001042500</v>
      </c>
      <c r="C244" t="s">
        <v>1130</v>
      </c>
      <c r="D244">
        <v>2</v>
      </c>
      <c r="E244" t="s">
        <v>944</v>
      </c>
    </row>
    <row r="245" spans="1:5" x14ac:dyDescent="0.2">
      <c r="A245" t="s">
        <v>1133</v>
      </c>
      <c r="B245">
        <v>9001042700</v>
      </c>
      <c r="C245" t="s">
        <v>1134</v>
      </c>
      <c r="D245">
        <v>2</v>
      </c>
      <c r="E245" t="s">
        <v>944</v>
      </c>
    </row>
    <row r="246" spans="1:5" x14ac:dyDescent="0.2">
      <c r="A246" t="s">
        <v>1135</v>
      </c>
      <c r="B246">
        <v>9001042800</v>
      </c>
      <c r="C246" t="s">
        <v>1136</v>
      </c>
      <c r="D246">
        <v>3</v>
      </c>
      <c r="E246" t="s">
        <v>944</v>
      </c>
    </row>
    <row r="247" spans="1:5" x14ac:dyDescent="0.2">
      <c r="A247" t="s">
        <v>1141</v>
      </c>
      <c r="B247">
        <v>9001043100</v>
      </c>
      <c r="C247" t="s">
        <v>1142</v>
      </c>
      <c r="D247">
        <v>2</v>
      </c>
      <c r="E247" t="s">
        <v>944</v>
      </c>
    </row>
    <row r="248" spans="1:5" x14ac:dyDescent="0.2">
      <c r="A248" t="s">
        <v>1143</v>
      </c>
      <c r="B248">
        <v>9001043200</v>
      </c>
      <c r="C248" t="s">
        <v>1144</v>
      </c>
      <c r="D248">
        <v>3</v>
      </c>
      <c r="E248" t="s">
        <v>944</v>
      </c>
    </row>
    <row r="249" spans="1:5" x14ac:dyDescent="0.2">
      <c r="A249" t="s">
        <v>1125</v>
      </c>
      <c r="B249">
        <v>9001035300</v>
      </c>
      <c r="C249" t="s">
        <v>1126</v>
      </c>
      <c r="D249">
        <v>2</v>
      </c>
      <c r="E249" t="s">
        <v>944</v>
      </c>
    </row>
    <row r="250" spans="1:5" x14ac:dyDescent="0.2">
      <c r="A250" t="s">
        <v>1125</v>
      </c>
      <c r="B250">
        <v>9001035300</v>
      </c>
      <c r="C250" t="s">
        <v>1126</v>
      </c>
      <c r="D250">
        <v>2</v>
      </c>
      <c r="E250" t="s">
        <v>944</v>
      </c>
    </row>
    <row r="251" spans="1:5" x14ac:dyDescent="0.2">
      <c r="A251" t="s">
        <v>1145</v>
      </c>
      <c r="B251">
        <v>9001043300</v>
      </c>
      <c r="C251" t="s">
        <v>1146</v>
      </c>
      <c r="D251">
        <v>3</v>
      </c>
      <c r="E251" t="s">
        <v>944</v>
      </c>
    </row>
    <row r="252" spans="1:5" x14ac:dyDescent="0.2">
      <c r="A252" t="s">
        <v>1175</v>
      </c>
      <c r="B252">
        <v>9001045102</v>
      </c>
      <c r="C252" t="s">
        <v>1176</v>
      </c>
      <c r="D252">
        <v>2</v>
      </c>
      <c r="E252" t="s">
        <v>944</v>
      </c>
    </row>
    <row r="253" spans="1:5" x14ac:dyDescent="0.2">
      <c r="A253" t="s">
        <v>2299</v>
      </c>
      <c r="B253">
        <v>9009184200</v>
      </c>
      <c r="C253" t="s">
        <v>2300</v>
      </c>
      <c r="D253">
        <v>4</v>
      </c>
      <c r="E253" t="s">
        <v>944</v>
      </c>
    </row>
    <row r="254" spans="1:5" x14ac:dyDescent="0.2">
      <c r="A254" t="s">
        <v>1181</v>
      </c>
      <c r="B254">
        <v>9001045400</v>
      </c>
      <c r="C254" t="s">
        <v>1182</v>
      </c>
      <c r="D254">
        <v>2</v>
      </c>
      <c r="E254" t="s">
        <v>944</v>
      </c>
    </row>
    <row r="255" spans="1:5" x14ac:dyDescent="0.2">
      <c r="A255" t="s">
        <v>2301</v>
      </c>
      <c r="B255">
        <v>9009184300</v>
      </c>
      <c r="C255" t="s">
        <v>2302</v>
      </c>
      <c r="D255">
        <v>3</v>
      </c>
      <c r="E255" t="s">
        <v>944</v>
      </c>
    </row>
    <row r="256" spans="1:5" x14ac:dyDescent="0.2">
      <c r="A256" t="s">
        <v>1195</v>
      </c>
      <c r="B256">
        <v>9001055100</v>
      </c>
      <c r="C256" t="s">
        <v>1196</v>
      </c>
      <c r="D256">
        <v>2</v>
      </c>
      <c r="E256" t="s">
        <v>944</v>
      </c>
    </row>
    <row r="257" spans="1:5" x14ac:dyDescent="0.2">
      <c r="A257" t="s">
        <v>1131</v>
      </c>
      <c r="B257">
        <v>9001042600</v>
      </c>
      <c r="C257" t="s">
        <v>1132</v>
      </c>
      <c r="D257">
        <v>3</v>
      </c>
      <c r="E257" t="s">
        <v>944</v>
      </c>
    </row>
    <row r="258" spans="1:5" x14ac:dyDescent="0.2">
      <c r="A258" t="s">
        <v>1137</v>
      </c>
      <c r="B258">
        <v>9001042900</v>
      </c>
      <c r="C258" t="s">
        <v>1138</v>
      </c>
      <c r="D258">
        <v>2</v>
      </c>
      <c r="E258" t="s">
        <v>944</v>
      </c>
    </row>
    <row r="259" spans="1:5" x14ac:dyDescent="0.2">
      <c r="A259" t="s">
        <v>1891</v>
      </c>
      <c r="B259">
        <v>9005250100</v>
      </c>
      <c r="C259" t="s">
        <v>1892</v>
      </c>
      <c r="D259">
        <v>3</v>
      </c>
      <c r="E259" t="s">
        <v>944</v>
      </c>
    </row>
    <row r="260" spans="1:5" x14ac:dyDescent="0.2">
      <c r="A260" t="s">
        <v>1139</v>
      </c>
      <c r="B260">
        <v>9001043000</v>
      </c>
      <c r="C260" t="s">
        <v>1140</v>
      </c>
      <c r="D260">
        <v>3</v>
      </c>
      <c r="E260" t="s">
        <v>944</v>
      </c>
    </row>
    <row r="261" spans="1:5" x14ac:dyDescent="0.2">
      <c r="A261" t="s">
        <v>1919</v>
      </c>
      <c r="B261">
        <v>9005268100</v>
      </c>
      <c r="C261" t="s">
        <v>1920</v>
      </c>
      <c r="D261">
        <v>3</v>
      </c>
      <c r="E261" t="s">
        <v>944</v>
      </c>
    </row>
    <row r="262" spans="1:5" x14ac:dyDescent="0.2">
      <c r="A262" t="s">
        <v>1919</v>
      </c>
      <c r="B262">
        <v>9005268100</v>
      </c>
      <c r="C262" t="s">
        <v>1920</v>
      </c>
      <c r="D262">
        <v>3</v>
      </c>
      <c r="E262" t="s">
        <v>944</v>
      </c>
    </row>
    <row r="263" spans="1:5" x14ac:dyDescent="0.2">
      <c r="A263" t="s">
        <v>1919</v>
      </c>
      <c r="B263">
        <v>9005268100</v>
      </c>
      <c r="C263" t="s">
        <v>1920</v>
      </c>
      <c r="D263">
        <v>3</v>
      </c>
      <c r="E263" t="s">
        <v>944</v>
      </c>
    </row>
    <row r="264" spans="1:5" x14ac:dyDescent="0.2">
      <c r="A264" t="s">
        <v>1457</v>
      </c>
      <c r="B264">
        <v>9003405100</v>
      </c>
      <c r="C264" t="s">
        <v>1458</v>
      </c>
      <c r="D264">
        <v>4</v>
      </c>
      <c r="E264" t="s">
        <v>944</v>
      </c>
    </row>
    <row r="265" spans="1:5" x14ac:dyDescent="0.2">
      <c r="A265" t="s">
        <v>1459</v>
      </c>
      <c r="B265">
        <v>9003405200</v>
      </c>
      <c r="C265" t="s">
        <v>1460</v>
      </c>
      <c r="D265">
        <v>4</v>
      </c>
      <c r="E265" t="s">
        <v>944</v>
      </c>
    </row>
    <row r="266" spans="1:5" x14ac:dyDescent="0.2">
      <c r="A266" t="s">
        <v>2645</v>
      </c>
      <c r="B266">
        <v>9015900100</v>
      </c>
      <c r="C266" t="s">
        <v>2646</v>
      </c>
      <c r="D266">
        <v>4</v>
      </c>
      <c r="E266" t="s">
        <v>944</v>
      </c>
    </row>
    <row r="267" spans="1:5" x14ac:dyDescent="0.2">
      <c r="A267" t="s">
        <v>1461</v>
      </c>
      <c r="B267">
        <v>9003405300</v>
      </c>
      <c r="C267" t="s">
        <v>1462</v>
      </c>
      <c r="D267">
        <v>4</v>
      </c>
      <c r="E267" t="s">
        <v>944</v>
      </c>
    </row>
    <row r="268" spans="1:5" x14ac:dyDescent="0.2">
      <c r="A268" t="s">
        <v>2649</v>
      </c>
      <c r="B268">
        <v>9015901100</v>
      </c>
      <c r="C268" t="s">
        <v>2650</v>
      </c>
      <c r="D268">
        <v>4</v>
      </c>
      <c r="E268" t="s">
        <v>944</v>
      </c>
    </row>
    <row r="269" spans="1:5" x14ac:dyDescent="0.2">
      <c r="A269" t="s">
        <v>2649</v>
      </c>
      <c r="B269">
        <v>9015901100</v>
      </c>
      <c r="C269" t="s">
        <v>2650</v>
      </c>
      <c r="D269">
        <v>4</v>
      </c>
      <c r="E269" t="s">
        <v>944</v>
      </c>
    </row>
    <row r="270" spans="1:5" x14ac:dyDescent="0.2">
      <c r="A270" t="s">
        <v>2649</v>
      </c>
      <c r="B270">
        <v>9015901100</v>
      </c>
      <c r="C270" t="s">
        <v>2650</v>
      </c>
      <c r="D270">
        <v>4</v>
      </c>
      <c r="E270" t="s">
        <v>944</v>
      </c>
    </row>
    <row r="271" spans="1:5" x14ac:dyDescent="0.2">
      <c r="A271" t="s">
        <v>1147</v>
      </c>
      <c r="B271">
        <v>9001043400</v>
      </c>
      <c r="C271" t="s">
        <v>1148</v>
      </c>
      <c r="D271">
        <v>3</v>
      </c>
      <c r="E271" t="s">
        <v>944</v>
      </c>
    </row>
    <row r="272" spans="1:5" x14ac:dyDescent="0.2">
      <c r="A272" t="s">
        <v>1463</v>
      </c>
      <c r="B272">
        <v>9003405401</v>
      </c>
      <c r="C272" t="s">
        <v>1464</v>
      </c>
      <c r="D272">
        <v>3</v>
      </c>
      <c r="E272" t="s">
        <v>944</v>
      </c>
    </row>
    <row r="273" spans="1:5" x14ac:dyDescent="0.2">
      <c r="A273" t="s">
        <v>1463</v>
      </c>
      <c r="B273">
        <v>9003405401</v>
      </c>
      <c r="C273" t="s">
        <v>1464</v>
      </c>
      <c r="D273">
        <v>3</v>
      </c>
      <c r="E273" t="s">
        <v>944</v>
      </c>
    </row>
    <row r="274" spans="1:5" x14ac:dyDescent="0.2">
      <c r="A274" t="s">
        <v>2653</v>
      </c>
      <c r="B274">
        <v>9015902500</v>
      </c>
      <c r="C274" t="s">
        <v>2654</v>
      </c>
      <c r="D274">
        <v>3</v>
      </c>
      <c r="E274" t="s">
        <v>944</v>
      </c>
    </row>
    <row r="275" spans="1:5" x14ac:dyDescent="0.2">
      <c r="A275" t="s">
        <v>2653</v>
      </c>
      <c r="B275">
        <v>9015902500</v>
      </c>
      <c r="C275" t="s">
        <v>2654</v>
      </c>
      <c r="D275">
        <v>3</v>
      </c>
      <c r="E275" t="s">
        <v>944</v>
      </c>
    </row>
    <row r="276" spans="1:5" x14ac:dyDescent="0.2">
      <c r="A276" t="s">
        <v>2653</v>
      </c>
      <c r="B276">
        <v>9015902500</v>
      </c>
      <c r="C276" t="s">
        <v>2654</v>
      </c>
      <c r="D276">
        <v>3</v>
      </c>
      <c r="E276" t="s">
        <v>944</v>
      </c>
    </row>
    <row r="277" spans="1:5" x14ac:dyDescent="0.2">
      <c r="A277" t="s">
        <v>1149</v>
      </c>
      <c r="B277">
        <v>9001043500</v>
      </c>
      <c r="C277" t="s">
        <v>1150</v>
      </c>
      <c r="D277">
        <v>3</v>
      </c>
      <c r="E277" t="s">
        <v>944</v>
      </c>
    </row>
    <row r="278" spans="1:5" x14ac:dyDescent="0.2">
      <c r="A278" t="s">
        <v>2655</v>
      </c>
      <c r="B278">
        <v>9015903100</v>
      </c>
      <c r="C278" t="s">
        <v>2656</v>
      </c>
      <c r="D278">
        <v>5</v>
      </c>
      <c r="E278" t="s">
        <v>944</v>
      </c>
    </row>
    <row r="279" spans="1:5" x14ac:dyDescent="0.2">
      <c r="A279" t="s">
        <v>1465</v>
      </c>
      <c r="B279">
        <v>9003405402</v>
      </c>
      <c r="C279" t="s">
        <v>1466</v>
      </c>
      <c r="D279">
        <v>3</v>
      </c>
      <c r="E279" t="s">
        <v>944</v>
      </c>
    </row>
    <row r="280" spans="1:5" x14ac:dyDescent="0.2">
      <c r="A280" t="s">
        <v>2659</v>
      </c>
      <c r="B280">
        <v>9015904100</v>
      </c>
      <c r="C280" t="s">
        <v>2660</v>
      </c>
      <c r="D280">
        <v>4</v>
      </c>
      <c r="E280" t="s">
        <v>944</v>
      </c>
    </row>
    <row r="281" spans="1:5" x14ac:dyDescent="0.2">
      <c r="A281" t="s">
        <v>2659</v>
      </c>
      <c r="B281">
        <v>9015904100</v>
      </c>
      <c r="C281" t="s">
        <v>2660</v>
      </c>
      <c r="D281">
        <v>4</v>
      </c>
      <c r="E281" t="s">
        <v>944</v>
      </c>
    </row>
    <row r="282" spans="1:5" x14ac:dyDescent="0.2">
      <c r="A282" t="s">
        <v>1151</v>
      </c>
      <c r="B282">
        <v>9001043600</v>
      </c>
      <c r="C282" t="s">
        <v>1152</v>
      </c>
      <c r="D282">
        <v>3</v>
      </c>
      <c r="E282" t="s">
        <v>944</v>
      </c>
    </row>
    <row r="283" spans="1:5" x14ac:dyDescent="0.2">
      <c r="A283" t="s">
        <v>2663</v>
      </c>
      <c r="B283">
        <v>9015904500</v>
      </c>
      <c r="C283" t="s">
        <v>2664</v>
      </c>
      <c r="D283">
        <v>5</v>
      </c>
      <c r="E283" t="s">
        <v>944</v>
      </c>
    </row>
    <row r="284" spans="1:5" x14ac:dyDescent="0.2">
      <c r="A284" t="s">
        <v>1467</v>
      </c>
      <c r="B284">
        <v>9003405500</v>
      </c>
      <c r="C284" t="s">
        <v>1468</v>
      </c>
      <c r="D284">
        <v>4</v>
      </c>
      <c r="E284" t="s">
        <v>944</v>
      </c>
    </row>
    <row r="285" spans="1:5" x14ac:dyDescent="0.2">
      <c r="A285" t="s">
        <v>1153</v>
      </c>
      <c r="B285">
        <v>9001043700</v>
      </c>
      <c r="C285" t="s">
        <v>1154</v>
      </c>
      <c r="D285">
        <v>2</v>
      </c>
      <c r="E285" t="s">
        <v>944</v>
      </c>
    </row>
    <row r="286" spans="1:5" x14ac:dyDescent="0.2">
      <c r="A286" t="s">
        <v>2665</v>
      </c>
      <c r="B286">
        <v>9015905100</v>
      </c>
      <c r="C286" t="s">
        <v>2666</v>
      </c>
      <c r="D286">
        <v>4</v>
      </c>
      <c r="E286" t="s">
        <v>944</v>
      </c>
    </row>
    <row r="287" spans="1:5" x14ac:dyDescent="0.2">
      <c r="A287" t="s">
        <v>2665</v>
      </c>
      <c r="B287">
        <v>9015905100</v>
      </c>
      <c r="C287" t="s">
        <v>2666</v>
      </c>
      <c r="D287">
        <v>4</v>
      </c>
      <c r="E287" t="s">
        <v>944</v>
      </c>
    </row>
    <row r="288" spans="1:5" x14ac:dyDescent="0.2">
      <c r="A288" t="s">
        <v>2665</v>
      </c>
      <c r="B288">
        <v>9015905100</v>
      </c>
      <c r="C288" t="s">
        <v>2666</v>
      </c>
      <c r="D288">
        <v>4</v>
      </c>
      <c r="E288" t="s">
        <v>944</v>
      </c>
    </row>
    <row r="289" spans="1:5" x14ac:dyDescent="0.2">
      <c r="A289" t="s">
        <v>1469</v>
      </c>
      <c r="B289">
        <v>9003405600</v>
      </c>
      <c r="C289" t="s">
        <v>1470</v>
      </c>
      <c r="D289">
        <v>5</v>
      </c>
      <c r="E289" t="s">
        <v>944</v>
      </c>
    </row>
    <row r="290" spans="1:5" x14ac:dyDescent="0.2">
      <c r="A290" t="s">
        <v>1155</v>
      </c>
      <c r="B290">
        <v>9001043800</v>
      </c>
      <c r="C290" t="s">
        <v>1156</v>
      </c>
      <c r="D290">
        <v>3</v>
      </c>
      <c r="E290" t="s">
        <v>944</v>
      </c>
    </row>
    <row r="291" spans="1:5" x14ac:dyDescent="0.2">
      <c r="A291" t="s">
        <v>1471</v>
      </c>
      <c r="B291">
        <v>9003405700</v>
      </c>
      <c r="C291" t="s">
        <v>1472</v>
      </c>
      <c r="D291">
        <v>6</v>
      </c>
      <c r="E291" t="s">
        <v>936</v>
      </c>
    </row>
    <row r="292" spans="1:5" x14ac:dyDescent="0.2">
      <c r="A292" t="s">
        <v>2669</v>
      </c>
      <c r="B292">
        <v>9015907100</v>
      </c>
      <c r="C292" t="s">
        <v>2670</v>
      </c>
      <c r="D292">
        <v>5</v>
      </c>
      <c r="E292" t="s">
        <v>944</v>
      </c>
    </row>
    <row r="293" spans="1:5" x14ac:dyDescent="0.2">
      <c r="A293" t="s">
        <v>2669</v>
      </c>
      <c r="B293">
        <v>9015907100</v>
      </c>
      <c r="C293" t="s">
        <v>2670</v>
      </c>
      <c r="D293">
        <v>5</v>
      </c>
      <c r="E293" t="s">
        <v>944</v>
      </c>
    </row>
    <row r="294" spans="1:5" x14ac:dyDescent="0.2">
      <c r="A294" t="s">
        <v>1157</v>
      </c>
      <c r="B294">
        <v>9001043900</v>
      </c>
      <c r="C294" t="s">
        <v>1158</v>
      </c>
      <c r="D294">
        <v>3</v>
      </c>
      <c r="E294" t="s">
        <v>944</v>
      </c>
    </row>
    <row r="295" spans="1:5" x14ac:dyDescent="0.2">
      <c r="A295" t="s">
        <v>1347</v>
      </c>
      <c r="B295">
        <v>9001100300</v>
      </c>
      <c r="C295" t="s">
        <v>1348</v>
      </c>
      <c r="D295">
        <v>3</v>
      </c>
      <c r="E295" t="s">
        <v>944</v>
      </c>
    </row>
    <row r="296" spans="1:5" x14ac:dyDescent="0.2">
      <c r="A296" t="s">
        <v>1347</v>
      </c>
      <c r="B296">
        <v>9001100300</v>
      </c>
      <c r="C296" t="s">
        <v>1348</v>
      </c>
      <c r="D296">
        <v>3</v>
      </c>
      <c r="E296" t="s">
        <v>944</v>
      </c>
    </row>
    <row r="297" spans="1:5" x14ac:dyDescent="0.2">
      <c r="A297" t="s">
        <v>1473</v>
      </c>
      <c r="B297">
        <v>9003405800</v>
      </c>
      <c r="C297" t="s">
        <v>1474</v>
      </c>
      <c r="D297">
        <v>3</v>
      </c>
      <c r="E297" t="s">
        <v>944</v>
      </c>
    </row>
    <row r="298" spans="1:5" x14ac:dyDescent="0.2">
      <c r="A298" t="s">
        <v>1159</v>
      </c>
      <c r="B298">
        <v>9001044000</v>
      </c>
      <c r="C298" t="s">
        <v>1160</v>
      </c>
      <c r="D298">
        <v>4</v>
      </c>
      <c r="E298" t="s">
        <v>944</v>
      </c>
    </row>
    <row r="299" spans="1:5" x14ac:dyDescent="0.2">
      <c r="A299" t="s">
        <v>1475</v>
      </c>
      <c r="B299">
        <v>9003405900</v>
      </c>
      <c r="C299" t="s">
        <v>1476</v>
      </c>
      <c r="D299">
        <v>3</v>
      </c>
      <c r="E299" t="s">
        <v>944</v>
      </c>
    </row>
    <row r="300" spans="1:5" x14ac:dyDescent="0.2">
      <c r="A300" t="s">
        <v>1477</v>
      </c>
      <c r="B300">
        <v>9003406001</v>
      </c>
      <c r="C300" t="s">
        <v>1478</v>
      </c>
      <c r="D300">
        <v>5</v>
      </c>
      <c r="E300" t="s">
        <v>944</v>
      </c>
    </row>
    <row r="301" spans="1:5" x14ac:dyDescent="0.2">
      <c r="A301" t="s">
        <v>1477</v>
      </c>
      <c r="B301">
        <v>9003406001</v>
      </c>
      <c r="C301" t="s">
        <v>1478</v>
      </c>
      <c r="D301">
        <v>5</v>
      </c>
      <c r="E301" t="s">
        <v>944</v>
      </c>
    </row>
    <row r="302" spans="1:5" x14ac:dyDescent="0.2">
      <c r="A302" t="s">
        <v>1163</v>
      </c>
      <c r="B302">
        <v>9001044200</v>
      </c>
      <c r="C302" t="s">
        <v>1164</v>
      </c>
      <c r="D302">
        <v>2</v>
      </c>
      <c r="E302" t="s">
        <v>944</v>
      </c>
    </row>
    <row r="303" spans="1:5" x14ac:dyDescent="0.2">
      <c r="A303" t="s">
        <v>2073</v>
      </c>
      <c r="B303">
        <v>9009125300</v>
      </c>
      <c r="C303" t="s">
        <v>2074</v>
      </c>
      <c r="D303">
        <v>5</v>
      </c>
      <c r="E303" t="s">
        <v>944</v>
      </c>
    </row>
    <row r="304" spans="1:5" x14ac:dyDescent="0.2">
      <c r="A304" t="s">
        <v>1479</v>
      </c>
      <c r="B304">
        <v>9003406002</v>
      </c>
      <c r="C304" t="s">
        <v>1480</v>
      </c>
      <c r="D304">
        <v>3</v>
      </c>
      <c r="E304" t="s">
        <v>944</v>
      </c>
    </row>
    <row r="305" spans="1:5" x14ac:dyDescent="0.2">
      <c r="A305" t="s">
        <v>1479</v>
      </c>
      <c r="B305">
        <v>9003406002</v>
      </c>
      <c r="C305" t="s">
        <v>1480</v>
      </c>
      <c r="D305">
        <v>3</v>
      </c>
      <c r="E305" t="s">
        <v>944</v>
      </c>
    </row>
    <row r="306" spans="1:5" x14ac:dyDescent="0.2">
      <c r="A306" t="s">
        <v>2075</v>
      </c>
      <c r="B306">
        <v>9009125400</v>
      </c>
      <c r="C306" t="s">
        <v>2076</v>
      </c>
      <c r="D306">
        <v>5</v>
      </c>
      <c r="E306" t="s">
        <v>944</v>
      </c>
    </row>
    <row r="307" spans="1:5" x14ac:dyDescent="0.2">
      <c r="A307" t="s">
        <v>2081</v>
      </c>
      <c r="B307">
        <v>9009130200</v>
      </c>
      <c r="C307" t="s">
        <v>2082</v>
      </c>
      <c r="D307">
        <v>4</v>
      </c>
      <c r="E307" t="s">
        <v>944</v>
      </c>
    </row>
    <row r="308" spans="1:5" x14ac:dyDescent="0.2">
      <c r="A308" t="s">
        <v>1165</v>
      </c>
      <c r="B308">
        <v>9001044300</v>
      </c>
      <c r="C308" t="s">
        <v>1166</v>
      </c>
      <c r="D308">
        <v>2</v>
      </c>
      <c r="E308" t="s">
        <v>944</v>
      </c>
    </row>
    <row r="309" spans="1:5" x14ac:dyDescent="0.2">
      <c r="A309" t="s">
        <v>1481</v>
      </c>
      <c r="B309">
        <v>9003406100</v>
      </c>
      <c r="C309" t="s">
        <v>1482</v>
      </c>
      <c r="D309">
        <v>5</v>
      </c>
      <c r="E309" t="s">
        <v>944</v>
      </c>
    </row>
    <row r="310" spans="1:5" x14ac:dyDescent="0.2">
      <c r="A310" t="s">
        <v>1167</v>
      </c>
      <c r="B310">
        <v>9001044400</v>
      </c>
      <c r="C310" t="s">
        <v>1168</v>
      </c>
      <c r="D310">
        <v>2</v>
      </c>
      <c r="E310" t="s">
        <v>944</v>
      </c>
    </row>
    <row r="311" spans="1:5" x14ac:dyDescent="0.2">
      <c r="A311" t="s">
        <v>1483</v>
      </c>
      <c r="B311">
        <v>9003410101</v>
      </c>
      <c r="C311" t="s">
        <v>1484</v>
      </c>
      <c r="D311">
        <v>3</v>
      </c>
      <c r="E311" t="s">
        <v>944</v>
      </c>
    </row>
    <row r="312" spans="1:5" x14ac:dyDescent="0.2">
      <c r="A312" t="s">
        <v>1483</v>
      </c>
      <c r="B312">
        <v>9003410101</v>
      </c>
      <c r="C312" t="s">
        <v>1484</v>
      </c>
      <c r="D312">
        <v>3</v>
      </c>
      <c r="E312" t="s">
        <v>944</v>
      </c>
    </row>
    <row r="313" spans="1:5" x14ac:dyDescent="0.2">
      <c r="A313" t="s">
        <v>1483</v>
      </c>
      <c r="B313">
        <v>9003410101</v>
      </c>
      <c r="C313" t="s">
        <v>1484</v>
      </c>
      <c r="D313">
        <v>3</v>
      </c>
      <c r="E313" t="s">
        <v>944</v>
      </c>
    </row>
    <row r="314" spans="1:5" x14ac:dyDescent="0.2">
      <c r="A314" t="s">
        <v>1169</v>
      </c>
      <c r="B314">
        <v>9001044500</v>
      </c>
      <c r="C314" t="s">
        <v>1170</v>
      </c>
      <c r="D314">
        <v>2</v>
      </c>
      <c r="E314" t="s">
        <v>944</v>
      </c>
    </row>
    <row r="315" spans="1:5" x14ac:dyDescent="0.2">
      <c r="A315" t="s">
        <v>1529</v>
      </c>
      <c r="B315">
        <v>9003420500</v>
      </c>
      <c r="C315" t="s">
        <v>1530</v>
      </c>
      <c r="D315">
        <v>4</v>
      </c>
      <c r="E315" t="s">
        <v>944</v>
      </c>
    </row>
    <row r="316" spans="1:5" x14ac:dyDescent="0.2">
      <c r="A316" t="s">
        <v>1529</v>
      </c>
      <c r="B316">
        <v>9003420500</v>
      </c>
      <c r="C316" t="s">
        <v>1530</v>
      </c>
      <c r="D316">
        <v>4</v>
      </c>
      <c r="E316" t="s">
        <v>944</v>
      </c>
    </row>
    <row r="317" spans="1:5" x14ac:dyDescent="0.2">
      <c r="A317" t="s">
        <v>1171</v>
      </c>
      <c r="B317">
        <v>9001044600</v>
      </c>
      <c r="C317" t="s">
        <v>1172</v>
      </c>
      <c r="D317">
        <v>2</v>
      </c>
      <c r="E317" t="s">
        <v>944</v>
      </c>
    </row>
    <row r="318" spans="1:5" x14ac:dyDescent="0.2">
      <c r="A318" t="s">
        <v>1551</v>
      </c>
      <c r="B318">
        <v>9003430601</v>
      </c>
      <c r="C318" t="s">
        <v>1552</v>
      </c>
      <c r="D318">
        <v>4</v>
      </c>
      <c r="E318" t="s">
        <v>944</v>
      </c>
    </row>
    <row r="319" spans="1:5" x14ac:dyDescent="0.2">
      <c r="A319" t="s">
        <v>1551</v>
      </c>
      <c r="B319">
        <v>9003430601</v>
      </c>
      <c r="C319" t="s">
        <v>1552</v>
      </c>
      <c r="D319">
        <v>4</v>
      </c>
      <c r="E319" t="s">
        <v>944</v>
      </c>
    </row>
    <row r="320" spans="1:5" x14ac:dyDescent="0.2">
      <c r="A320" t="s">
        <v>1987</v>
      </c>
      <c r="B320">
        <v>9005425400</v>
      </c>
      <c r="C320" t="s">
        <v>1988</v>
      </c>
      <c r="D320">
        <v>4</v>
      </c>
      <c r="E320" t="s">
        <v>944</v>
      </c>
    </row>
    <row r="321" spans="1:5" x14ac:dyDescent="0.2">
      <c r="A321" t="s">
        <v>1987</v>
      </c>
      <c r="B321">
        <v>9005425400</v>
      </c>
      <c r="C321" t="s">
        <v>1988</v>
      </c>
      <c r="D321">
        <v>4</v>
      </c>
      <c r="E321" t="s">
        <v>944</v>
      </c>
    </row>
    <row r="322" spans="1:5" x14ac:dyDescent="0.2">
      <c r="A322" t="s">
        <v>1179</v>
      </c>
      <c r="B322">
        <v>9001045300</v>
      </c>
      <c r="C322" t="s">
        <v>1180</v>
      </c>
      <c r="D322">
        <v>2</v>
      </c>
      <c r="E322" t="s">
        <v>944</v>
      </c>
    </row>
    <row r="323" spans="1:5" x14ac:dyDescent="0.2">
      <c r="A323" t="s">
        <v>1409</v>
      </c>
      <c r="B323">
        <v>9001211400</v>
      </c>
      <c r="C323" t="s">
        <v>1410</v>
      </c>
      <c r="D323">
        <v>3</v>
      </c>
      <c r="E323" t="s">
        <v>944</v>
      </c>
    </row>
    <row r="324" spans="1:5" x14ac:dyDescent="0.2">
      <c r="A324" t="s">
        <v>1409</v>
      </c>
      <c r="B324">
        <v>9001211400</v>
      </c>
      <c r="C324" t="s">
        <v>1410</v>
      </c>
      <c r="D324">
        <v>3</v>
      </c>
      <c r="E324" t="s">
        <v>944</v>
      </c>
    </row>
    <row r="325" spans="1:5" x14ac:dyDescent="0.2">
      <c r="A325" t="s">
        <v>1189</v>
      </c>
      <c r="B325">
        <v>9001050400</v>
      </c>
      <c r="C325" t="s">
        <v>1190</v>
      </c>
      <c r="D325">
        <v>3</v>
      </c>
      <c r="E325" t="s">
        <v>944</v>
      </c>
    </row>
    <row r="326" spans="1:5" x14ac:dyDescent="0.2">
      <c r="A326" t="s">
        <v>1485</v>
      </c>
      <c r="B326">
        <v>9003410102</v>
      </c>
      <c r="C326" t="s">
        <v>1486</v>
      </c>
      <c r="D326">
        <v>3</v>
      </c>
      <c r="E326" t="s">
        <v>944</v>
      </c>
    </row>
    <row r="327" spans="1:5" x14ac:dyDescent="0.2">
      <c r="A327" t="s">
        <v>1485</v>
      </c>
      <c r="B327">
        <v>9003410102</v>
      </c>
      <c r="C327" t="s">
        <v>1486</v>
      </c>
      <c r="D327">
        <v>3</v>
      </c>
      <c r="E327" t="s">
        <v>944</v>
      </c>
    </row>
    <row r="328" spans="1:5" x14ac:dyDescent="0.2">
      <c r="A328" t="s">
        <v>1485</v>
      </c>
      <c r="B328">
        <v>9003410102</v>
      </c>
      <c r="C328" t="s">
        <v>1486</v>
      </c>
      <c r="D328">
        <v>3</v>
      </c>
      <c r="E328" t="s">
        <v>944</v>
      </c>
    </row>
    <row r="329" spans="1:5" x14ac:dyDescent="0.2">
      <c r="A329" t="s">
        <v>1905</v>
      </c>
      <c r="B329">
        <v>9005260200</v>
      </c>
      <c r="C329" t="s">
        <v>1906</v>
      </c>
      <c r="D329">
        <v>4</v>
      </c>
      <c r="E329" t="s">
        <v>944</v>
      </c>
    </row>
    <row r="330" spans="1:5" x14ac:dyDescent="0.2">
      <c r="A330" t="s">
        <v>1905</v>
      </c>
      <c r="B330">
        <v>9005260200</v>
      </c>
      <c r="C330" t="s">
        <v>1906</v>
      </c>
      <c r="D330">
        <v>4</v>
      </c>
      <c r="E330" t="s">
        <v>944</v>
      </c>
    </row>
    <row r="331" spans="1:5" x14ac:dyDescent="0.2">
      <c r="A331" t="s">
        <v>1991</v>
      </c>
      <c r="B331">
        <v>9005425600</v>
      </c>
      <c r="C331" t="s">
        <v>1992</v>
      </c>
      <c r="D331">
        <v>4</v>
      </c>
      <c r="E331" t="s">
        <v>944</v>
      </c>
    </row>
    <row r="332" spans="1:5" x14ac:dyDescent="0.2">
      <c r="A332" t="s">
        <v>1991</v>
      </c>
      <c r="B332">
        <v>9005425600</v>
      </c>
      <c r="C332" t="s">
        <v>1992</v>
      </c>
      <c r="D332">
        <v>4</v>
      </c>
      <c r="E332" t="s">
        <v>944</v>
      </c>
    </row>
    <row r="333" spans="1:5" x14ac:dyDescent="0.2">
      <c r="A333" t="s">
        <v>2641</v>
      </c>
      <c r="B333">
        <v>9015825000</v>
      </c>
      <c r="C333" t="s">
        <v>2642</v>
      </c>
      <c r="D333">
        <v>4</v>
      </c>
      <c r="E333" t="s">
        <v>944</v>
      </c>
    </row>
    <row r="334" spans="1:5" x14ac:dyDescent="0.2">
      <c r="A334" t="s">
        <v>2641</v>
      </c>
      <c r="B334">
        <v>9015825000</v>
      </c>
      <c r="C334" t="s">
        <v>2642</v>
      </c>
      <c r="D334">
        <v>4</v>
      </c>
      <c r="E334" t="s">
        <v>944</v>
      </c>
    </row>
    <row r="335" spans="1:5" x14ac:dyDescent="0.2">
      <c r="A335" t="s">
        <v>2641</v>
      </c>
      <c r="B335">
        <v>9015825000</v>
      </c>
      <c r="C335" t="s">
        <v>2642</v>
      </c>
      <c r="D335">
        <v>4</v>
      </c>
      <c r="E335" t="s">
        <v>944</v>
      </c>
    </row>
    <row r="336" spans="1:5" x14ac:dyDescent="0.2">
      <c r="A336" t="s">
        <v>2667</v>
      </c>
      <c r="B336">
        <v>9015906100</v>
      </c>
      <c r="C336" t="s">
        <v>2668</v>
      </c>
      <c r="D336">
        <v>4</v>
      </c>
      <c r="E336" t="s">
        <v>944</v>
      </c>
    </row>
    <row r="337" spans="1:5" x14ac:dyDescent="0.2">
      <c r="A337" t="s">
        <v>2667</v>
      </c>
      <c r="B337">
        <v>9015906100</v>
      </c>
      <c r="C337" t="s">
        <v>2668</v>
      </c>
      <c r="D337">
        <v>4</v>
      </c>
      <c r="E337" t="s">
        <v>944</v>
      </c>
    </row>
    <row r="338" spans="1:5" x14ac:dyDescent="0.2">
      <c r="A338" t="s">
        <v>1575</v>
      </c>
      <c r="B338">
        <v>9003464101</v>
      </c>
      <c r="C338" t="s">
        <v>1576</v>
      </c>
      <c r="D338">
        <v>3</v>
      </c>
      <c r="E338" t="s">
        <v>944</v>
      </c>
    </row>
    <row r="339" spans="1:5" x14ac:dyDescent="0.2">
      <c r="A339" t="s">
        <v>1575</v>
      </c>
      <c r="B339">
        <v>9003464101</v>
      </c>
      <c r="C339" t="s">
        <v>1576</v>
      </c>
      <c r="D339">
        <v>3</v>
      </c>
      <c r="E339" t="s">
        <v>944</v>
      </c>
    </row>
    <row r="340" spans="1:5" x14ac:dyDescent="0.2">
      <c r="A340" t="s">
        <v>1577</v>
      </c>
      <c r="B340">
        <v>9003464102</v>
      </c>
      <c r="C340" t="s">
        <v>1578</v>
      </c>
      <c r="D340">
        <v>3</v>
      </c>
      <c r="E340" t="s">
        <v>944</v>
      </c>
    </row>
    <row r="341" spans="1:5" x14ac:dyDescent="0.2">
      <c r="A341" t="s">
        <v>1581</v>
      </c>
      <c r="B341">
        <v>9003466102</v>
      </c>
      <c r="C341" t="s">
        <v>1582</v>
      </c>
      <c r="D341">
        <v>2</v>
      </c>
      <c r="E341" t="s">
        <v>944</v>
      </c>
    </row>
    <row r="342" spans="1:5" x14ac:dyDescent="0.2">
      <c r="A342" t="s">
        <v>1581</v>
      </c>
      <c r="B342">
        <v>9003466102</v>
      </c>
      <c r="C342" t="s">
        <v>1582</v>
      </c>
      <c r="D342">
        <v>2</v>
      </c>
      <c r="E342" t="s">
        <v>944</v>
      </c>
    </row>
    <row r="343" spans="1:5" x14ac:dyDescent="0.2">
      <c r="A343" t="s">
        <v>1585</v>
      </c>
      <c r="B343">
        <v>9003466202</v>
      </c>
      <c r="C343" t="s">
        <v>1586</v>
      </c>
      <c r="D343">
        <v>2</v>
      </c>
      <c r="E343" t="s">
        <v>944</v>
      </c>
    </row>
    <row r="344" spans="1:5" x14ac:dyDescent="0.2">
      <c r="A344" t="s">
        <v>1585</v>
      </c>
      <c r="B344">
        <v>9003466202</v>
      </c>
      <c r="C344" t="s">
        <v>1586</v>
      </c>
      <c r="D344">
        <v>2</v>
      </c>
      <c r="E344" t="s">
        <v>944</v>
      </c>
    </row>
    <row r="345" spans="1:5" x14ac:dyDescent="0.2">
      <c r="A345" t="s">
        <v>2613</v>
      </c>
      <c r="B345">
        <v>9013881100</v>
      </c>
      <c r="C345" t="s">
        <v>2614</v>
      </c>
      <c r="D345">
        <v>3</v>
      </c>
      <c r="E345" t="s">
        <v>944</v>
      </c>
    </row>
    <row r="346" spans="1:5" x14ac:dyDescent="0.2">
      <c r="A346" t="s">
        <v>2613</v>
      </c>
      <c r="B346">
        <v>9013881100</v>
      </c>
      <c r="C346" t="s">
        <v>2614</v>
      </c>
      <c r="D346">
        <v>3</v>
      </c>
      <c r="E346" t="s">
        <v>944</v>
      </c>
    </row>
    <row r="347" spans="1:5" x14ac:dyDescent="0.2">
      <c r="A347" t="s">
        <v>2637</v>
      </c>
      <c r="B347">
        <v>9015815000</v>
      </c>
      <c r="C347" t="s">
        <v>2638</v>
      </c>
      <c r="D347">
        <v>4</v>
      </c>
      <c r="E347" t="s">
        <v>944</v>
      </c>
    </row>
    <row r="348" spans="1:5" x14ac:dyDescent="0.2">
      <c r="A348" t="s">
        <v>2637</v>
      </c>
      <c r="B348">
        <v>9015815000</v>
      </c>
      <c r="C348" t="s">
        <v>2638</v>
      </c>
      <c r="D348">
        <v>4</v>
      </c>
      <c r="E348" t="s">
        <v>944</v>
      </c>
    </row>
    <row r="349" spans="1:5" x14ac:dyDescent="0.2">
      <c r="A349" t="s">
        <v>2333</v>
      </c>
      <c r="B349">
        <v>9009343101</v>
      </c>
      <c r="C349" t="s">
        <v>2334</v>
      </c>
      <c r="D349">
        <v>3</v>
      </c>
      <c r="E349" t="s">
        <v>944</v>
      </c>
    </row>
    <row r="350" spans="1:5" x14ac:dyDescent="0.2">
      <c r="A350" t="s">
        <v>2333</v>
      </c>
      <c r="B350">
        <v>9009343101</v>
      </c>
      <c r="C350" t="s">
        <v>2334</v>
      </c>
      <c r="D350">
        <v>3</v>
      </c>
      <c r="E350" t="s">
        <v>944</v>
      </c>
    </row>
    <row r="351" spans="1:5" x14ac:dyDescent="0.2">
      <c r="A351" t="s">
        <v>2333</v>
      </c>
      <c r="B351">
        <v>9009343101</v>
      </c>
      <c r="C351" t="s">
        <v>2334</v>
      </c>
      <c r="D351">
        <v>3</v>
      </c>
      <c r="E351" t="s">
        <v>944</v>
      </c>
    </row>
    <row r="352" spans="1:5" x14ac:dyDescent="0.2">
      <c r="A352" t="s">
        <v>2335</v>
      </c>
      <c r="B352">
        <v>9009343102</v>
      </c>
      <c r="C352" t="s">
        <v>2336</v>
      </c>
      <c r="D352">
        <v>3</v>
      </c>
      <c r="E352" t="s">
        <v>944</v>
      </c>
    </row>
    <row r="353" spans="1:5" x14ac:dyDescent="0.2">
      <c r="A353" t="s">
        <v>2339</v>
      </c>
      <c r="B353">
        <v>9009343300</v>
      </c>
      <c r="C353" t="s">
        <v>2340</v>
      </c>
      <c r="D353">
        <v>3</v>
      </c>
      <c r="E353" t="s">
        <v>944</v>
      </c>
    </row>
    <row r="354" spans="1:5" x14ac:dyDescent="0.2">
      <c r="A354" t="s">
        <v>2341</v>
      </c>
      <c r="B354">
        <v>9009343400</v>
      </c>
      <c r="C354" t="s">
        <v>2342</v>
      </c>
      <c r="D354">
        <v>3</v>
      </c>
      <c r="E354" t="s">
        <v>944</v>
      </c>
    </row>
    <row r="355" spans="1:5" x14ac:dyDescent="0.2">
      <c r="A355" t="s">
        <v>2237</v>
      </c>
      <c r="B355">
        <v>9009170500</v>
      </c>
      <c r="C355" t="s">
        <v>2238</v>
      </c>
      <c r="D355">
        <v>3</v>
      </c>
      <c r="E355" t="s">
        <v>944</v>
      </c>
    </row>
    <row r="356" spans="1:5" x14ac:dyDescent="0.2">
      <c r="A356" t="s">
        <v>2361</v>
      </c>
      <c r="B356">
        <v>9009347100</v>
      </c>
      <c r="C356" t="s">
        <v>2362</v>
      </c>
      <c r="D356">
        <v>3</v>
      </c>
      <c r="E356" t="s">
        <v>944</v>
      </c>
    </row>
    <row r="357" spans="1:5" x14ac:dyDescent="0.2">
      <c r="A357" t="s">
        <v>2361</v>
      </c>
      <c r="B357">
        <v>9009347100</v>
      </c>
      <c r="C357" t="s">
        <v>2362</v>
      </c>
      <c r="D357">
        <v>3</v>
      </c>
      <c r="E357" t="s">
        <v>944</v>
      </c>
    </row>
    <row r="358" spans="1:5" x14ac:dyDescent="0.2">
      <c r="A358" t="s">
        <v>2361</v>
      </c>
      <c r="B358">
        <v>9009347100</v>
      </c>
      <c r="C358" t="s">
        <v>2362</v>
      </c>
      <c r="D358">
        <v>3</v>
      </c>
      <c r="E358" t="s">
        <v>944</v>
      </c>
    </row>
    <row r="359" spans="1:5" x14ac:dyDescent="0.2">
      <c r="A359" t="s">
        <v>2239</v>
      </c>
      <c r="B359">
        <v>9009170600</v>
      </c>
      <c r="C359" t="s">
        <v>2240</v>
      </c>
      <c r="D359">
        <v>4</v>
      </c>
      <c r="E359" t="s">
        <v>944</v>
      </c>
    </row>
    <row r="360" spans="1:5" x14ac:dyDescent="0.2">
      <c r="A360" t="s">
        <v>2241</v>
      </c>
      <c r="B360">
        <v>9009170700</v>
      </c>
      <c r="C360" t="s">
        <v>2242</v>
      </c>
      <c r="D360">
        <v>4</v>
      </c>
      <c r="E360" t="s">
        <v>944</v>
      </c>
    </row>
    <row r="361" spans="1:5" x14ac:dyDescent="0.2">
      <c r="A361" t="s">
        <v>2243</v>
      </c>
      <c r="B361">
        <v>9009170800</v>
      </c>
      <c r="C361" t="s">
        <v>2244</v>
      </c>
      <c r="D361">
        <v>4</v>
      </c>
      <c r="E361" t="s">
        <v>944</v>
      </c>
    </row>
    <row r="362" spans="1:5" x14ac:dyDescent="0.2">
      <c r="A362" t="s">
        <v>2041</v>
      </c>
      <c r="B362">
        <v>9007600100</v>
      </c>
      <c r="C362" t="s">
        <v>2042</v>
      </c>
      <c r="D362">
        <v>4</v>
      </c>
      <c r="E362" t="s">
        <v>944</v>
      </c>
    </row>
    <row r="363" spans="1:5" x14ac:dyDescent="0.2">
      <c r="A363" t="s">
        <v>2245</v>
      </c>
      <c r="B363">
        <v>9009170900</v>
      </c>
      <c r="C363" t="s">
        <v>2246</v>
      </c>
      <c r="D363">
        <v>5</v>
      </c>
      <c r="E363" t="s">
        <v>944</v>
      </c>
    </row>
    <row r="364" spans="1:5" x14ac:dyDescent="0.2">
      <c r="A364" t="s">
        <v>2043</v>
      </c>
      <c r="B364">
        <v>9007610100</v>
      </c>
      <c r="C364" t="s">
        <v>2044</v>
      </c>
      <c r="D364">
        <v>4</v>
      </c>
      <c r="E364" t="s">
        <v>944</v>
      </c>
    </row>
    <row r="365" spans="1:5" x14ac:dyDescent="0.2">
      <c r="A365" t="s">
        <v>2247</v>
      </c>
      <c r="B365">
        <v>9009171000</v>
      </c>
      <c r="C365" t="s">
        <v>2248</v>
      </c>
      <c r="D365">
        <v>5</v>
      </c>
      <c r="E365" t="s">
        <v>944</v>
      </c>
    </row>
    <row r="366" spans="1:5" x14ac:dyDescent="0.2">
      <c r="A366" t="s">
        <v>2045</v>
      </c>
      <c r="B366">
        <v>9007610200</v>
      </c>
      <c r="C366" t="s">
        <v>2046</v>
      </c>
      <c r="D366">
        <v>4</v>
      </c>
      <c r="E366" t="s">
        <v>944</v>
      </c>
    </row>
    <row r="367" spans="1:5" x14ac:dyDescent="0.2">
      <c r="A367" t="s">
        <v>2249</v>
      </c>
      <c r="B367">
        <v>9009171100</v>
      </c>
      <c r="C367" t="s">
        <v>2250</v>
      </c>
      <c r="D367">
        <v>4</v>
      </c>
      <c r="E367" t="s">
        <v>944</v>
      </c>
    </row>
    <row r="368" spans="1:5" x14ac:dyDescent="0.2">
      <c r="A368" t="s">
        <v>2047</v>
      </c>
      <c r="B368">
        <v>9007610300</v>
      </c>
      <c r="C368" t="s">
        <v>2048</v>
      </c>
      <c r="D368">
        <v>3</v>
      </c>
      <c r="E368" t="s">
        <v>944</v>
      </c>
    </row>
    <row r="369" spans="1:5" x14ac:dyDescent="0.2">
      <c r="A369" t="s">
        <v>2251</v>
      </c>
      <c r="B369">
        <v>9009171200</v>
      </c>
      <c r="C369" t="s">
        <v>2252</v>
      </c>
      <c r="D369">
        <v>3</v>
      </c>
      <c r="E369" t="s">
        <v>944</v>
      </c>
    </row>
    <row r="370" spans="1:5" x14ac:dyDescent="0.2">
      <c r="A370" t="s">
        <v>2049</v>
      </c>
      <c r="B370">
        <v>9007610400</v>
      </c>
      <c r="C370" t="s">
        <v>2050</v>
      </c>
      <c r="D370">
        <v>3</v>
      </c>
      <c r="E370" t="s">
        <v>944</v>
      </c>
    </row>
    <row r="371" spans="1:5" x14ac:dyDescent="0.2">
      <c r="A371" t="s">
        <v>2253</v>
      </c>
      <c r="B371">
        <v>9009171300</v>
      </c>
      <c r="C371" t="s">
        <v>2254</v>
      </c>
      <c r="D371">
        <v>4</v>
      </c>
      <c r="E371" t="s">
        <v>944</v>
      </c>
    </row>
    <row r="372" spans="1:5" x14ac:dyDescent="0.2">
      <c r="A372" t="s">
        <v>2017</v>
      </c>
      <c r="B372">
        <v>9007550201</v>
      </c>
      <c r="C372" t="s">
        <v>2018</v>
      </c>
      <c r="D372">
        <v>3</v>
      </c>
      <c r="E372" t="s">
        <v>944</v>
      </c>
    </row>
    <row r="373" spans="1:5" x14ac:dyDescent="0.2">
      <c r="A373" t="s">
        <v>2017</v>
      </c>
      <c r="B373">
        <v>9007550201</v>
      </c>
      <c r="C373" t="s">
        <v>2018</v>
      </c>
      <c r="D373">
        <v>3</v>
      </c>
      <c r="E373" t="s">
        <v>944</v>
      </c>
    </row>
    <row r="374" spans="1:5" x14ac:dyDescent="0.2">
      <c r="A374" t="s">
        <v>2255</v>
      </c>
      <c r="B374">
        <v>9009171400</v>
      </c>
      <c r="C374" t="s">
        <v>2256</v>
      </c>
      <c r="D374">
        <v>5</v>
      </c>
      <c r="E374" t="s">
        <v>944</v>
      </c>
    </row>
    <row r="375" spans="1:5" x14ac:dyDescent="0.2">
      <c r="A375" t="s">
        <v>2257</v>
      </c>
      <c r="B375">
        <v>9009171500</v>
      </c>
      <c r="C375" t="s">
        <v>2258</v>
      </c>
      <c r="D375">
        <v>5</v>
      </c>
      <c r="E375" t="s">
        <v>944</v>
      </c>
    </row>
    <row r="376" spans="1:5" x14ac:dyDescent="0.2">
      <c r="A376" t="s">
        <v>2037</v>
      </c>
      <c r="B376">
        <v>9007595101</v>
      </c>
      <c r="C376" t="s">
        <v>2038</v>
      </c>
      <c r="D376">
        <v>4</v>
      </c>
      <c r="E376" t="s">
        <v>944</v>
      </c>
    </row>
    <row r="377" spans="1:5" x14ac:dyDescent="0.2">
      <c r="A377" t="s">
        <v>2037</v>
      </c>
      <c r="B377">
        <v>9007595101</v>
      </c>
      <c r="C377" t="s">
        <v>2038</v>
      </c>
      <c r="D377">
        <v>4</v>
      </c>
      <c r="E377" t="s">
        <v>944</v>
      </c>
    </row>
    <row r="378" spans="1:5" x14ac:dyDescent="0.2">
      <c r="A378" t="s">
        <v>2037</v>
      </c>
      <c r="B378">
        <v>9007595101</v>
      </c>
      <c r="C378" t="s">
        <v>2038</v>
      </c>
      <c r="D378">
        <v>4</v>
      </c>
      <c r="E378" t="s">
        <v>944</v>
      </c>
    </row>
    <row r="379" spans="1:5" x14ac:dyDescent="0.2">
      <c r="A379" t="s">
        <v>2261</v>
      </c>
      <c r="B379">
        <v>9009171700</v>
      </c>
      <c r="C379" t="s">
        <v>2262</v>
      </c>
      <c r="D379">
        <v>3</v>
      </c>
      <c r="E379" t="s">
        <v>944</v>
      </c>
    </row>
    <row r="380" spans="1:5" x14ac:dyDescent="0.2">
      <c r="A380" t="s">
        <v>2543</v>
      </c>
      <c r="B380">
        <v>9011714101</v>
      </c>
      <c r="C380" t="s">
        <v>2544</v>
      </c>
      <c r="D380">
        <v>4</v>
      </c>
      <c r="E380" t="s">
        <v>944</v>
      </c>
    </row>
    <row r="381" spans="1:5" x14ac:dyDescent="0.2">
      <c r="A381" t="s">
        <v>2545</v>
      </c>
      <c r="B381">
        <v>9011714103</v>
      </c>
      <c r="C381" t="s">
        <v>2546</v>
      </c>
      <c r="D381">
        <v>3</v>
      </c>
      <c r="E381" t="s">
        <v>944</v>
      </c>
    </row>
    <row r="382" spans="1:5" x14ac:dyDescent="0.2">
      <c r="A382" t="s">
        <v>2547</v>
      </c>
      <c r="B382">
        <v>9011714104</v>
      </c>
      <c r="C382" t="s">
        <v>2548</v>
      </c>
      <c r="D382">
        <v>4</v>
      </c>
      <c r="E382" t="s">
        <v>944</v>
      </c>
    </row>
    <row r="383" spans="1:5" x14ac:dyDescent="0.2">
      <c r="A383" t="s">
        <v>2547</v>
      </c>
      <c r="B383">
        <v>9011714104</v>
      </c>
      <c r="C383" t="s">
        <v>2548</v>
      </c>
      <c r="D383">
        <v>4</v>
      </c>
      <c r="E383" t="s">
        <v>944</v>
      </c>
    </row>
    <row r="384" spans="1:5" x14ac:dyDescent="0.2">
      <c r="A384" t="s">
        <v>2547</v>
      </c>
      <c r="B384">
        <v>9011714104</v>
      </c>
      <c r="C384" t="s">
        <v>2548</v>
      </c>
      <c r="D384">
        <v>4</v>
      </c>
      <c r="E384" t="s">
        <v>944</v>
      </c>
    </row>
    <row r="385" spans="1:5" x14ac:dyDescent="0.2">
      <c r="A385" t="s">
        <v>2269</v>
      </c>
      <c r="B385">
        <v>9009175400</v>
      </c>
      <c r="C385" t="s">
        <v>2270</v>
      </c>
      <c r="D385">
        <v>3</v>
      </c>
      <c r="E385" t="s">
        <v>944</v>
      </c>
    </row>
    <row r="386" spans="1:5" x14ac:dyDescent="0.2">
      <c r="A386" t="s">
        <v>2549</v>
      </c>
      <c r="B386">
        <v>9011715100</v>
      </c>
      <c r="C386" t="s">
        <v>2550</v>
      </c>
      <c r="D386">
        <v>3</v>
      </c>
      <c r="E386" t="s">
        <v>944</v>
      </c>
    </row>
    <row r="387" spans="1:5" x14ac:dyDescent="0.2">
      <c r="A387" t="s">
        <v>2549</v>
      </c>
      <c r="B387">
        <v>9011715100</v>
      </c>
      <c r="C387" t="s">
        <v>2550</v>
      </c>
      <c r="D387">
        <v>3</v>
      </c>
      <c r="E387" t="s">
        <v>944</v>
      </c>
    </row>
    <row r="388" spans="1:5" x14ac:dyDescent="0.2">
      <c r="A388" t="s">
        <v>2549</v>
      </c>
      <c r="B388">
        <v>9011715100</v>
      </c>
      <c r="C388" t="s">
        <v>2550</v>
      </c>
      <c r="D388">
        <v>3</v>
      </c>
      <c r="E388" t="s">
        <v>944</v>
      </c>
    </row>
    <row r="389" spans="1:5" x14ac:dyDescent="0.2">
      <c r="A389" t="s">
        <v>2555</v>
      </c>
      <c r="B389">
        <v>9011870100</v>
      </c>
      <c r="C389" t="s">
        <v>2556</v>
      </c>
      <c r="D389">
        <v>3</v>
      </c>
      <c r="E389" t="s">
        <v>944</v>
      </c>
    </row>
    <row r="390" spans="1:5" x14ac:dyDescent="0.2">
      <c r="A390" t="s">
        <v>2555</v>
      </c>
      <c r="B390">
        <v>9011870100</v>
      </c>
      <c r="C390" t="s">
        <v>2556</v>
      </c>
      <c r="D390">
        <v>3</v>
      </c>
      <c r="E390" t="s">
        <v>944</v>
      </c>
    </row>
    <row r="391" spans="1:5" x14ac:dyDescent="0.2">
      <c r="A391" t="s">
        <v>2555</v>
      </c>
      <c r="B391">
        <v>9011870100</v>
      </c>
      <c r="C391" t="s">
        <v>2556</v>
      </c>
      <c r="D391">
        <v>3</v>
      </c>
      <c r="E391" t="s">
        <v>944</v>
      </c>
    </row>
    <row r="392" spans="1:5" x14ac:dyDescent="0.2">
      <c r="A392" t="s">
        <v>2571</v>
      </c>
      <c r="B392">
        <v>9013526101</v>
      </c>
      <c r="C392" t="s">
        <v>2572</v>
      </c>
      <c r="D392">
        <v>3</v>
      </c>
      <c r="E392" t="s">
        <v>944</v>
      </c>
    </row>
    <row r="393" spans="1:5" x14ac:dyDescent="0.2">
      <c r="A393" t="s">
        <v>2571</v>
      </c>
      <c r="B393">
        <v>9013526101</v>
      </c>
      <c r="C393" t="s">
        <v>2572</v>
      </c>
      <c r="D393">
        <v>3</v>
      </c>
      <c r="E393" t="s">
        <v>944</v>
      </c>
    </row>
    <row r="394" spans="1:5" x14ac:dyDescent="0.2">
      <c r="A394" t="s">
        <v>2571</v>
      </c>
      <c r="B394">
        <v>9013526101</v>
      </c>
      <c r="C394" t="s">
        <v>2572</v>
      </c>
      <c r="D394">
        <v>3</v>
      </c>
      <c r="E394" t="s">
        <v>944</v>
      </c>
    </row>
    <row r="395" spans="1:5" x14ac:dyDescent="0.2">
      <c r="A395" t="s">
        <v>2315</v>
      </c>
      <c r="B395">
        <v>9009190100</v>
      </c>
      <c r="C395" t="s">
        <v>2316</v>
      </c>
      <c r="D395">
        <v>3</v>
      </c>
      <c r="E395" t="s">
        <v>944</v>
      </c>
    </row>
    <row r="396" spans="1:5" x14ac:dyDescent="0.2">
      <c r="A396" t="s">
        <v>2317</v>
      </c>
      <c r="B396">
        <v>9009190200</v>
      </c>
      <c r="C396" t="s">
        <v>2318</v>
      </c>
      <c r="D396">
        <v>3</v>
      </c>
      <c r="E396" t="s">
        <v>944</v>
      </c>
    </row>
    <row r="397" spans="1:5" x14ac:dyDescent="0.2">
      <c r="A397" t="s">
        <v>2319</v>
      </c>
      <c r="B397">
        <v>9009190301</v>
      </c>
      <c r="C397" t="s">
        <v>2320</v>
      </c>
      <c r="D397">
        <v>3</v>
      </c>
      <c r="E397" t="s">
        <v>944</v>
      </c>
    </row>
    <row r="398" spans="1:5" x14ac:dyDescent="0.2">
      <c r="A398" t="s">
        <v>2319</v>
      </c>
      <c r="B398">
        <v>9009190301</v>
      </c>
      <c r="C398" t="s">
        <v>2320</v>
      </c>
      <c r="D398">
        <v>3</v>
      </c>
      <c r="E398" t="s">
        <v>944</v>
      </c>
    </row>
    <row r="399" spans="1:5" x14ac:dyDescent="0.2">
      <c r="A399" t="s">
        <v>1923</v>
      </c>
      <c r="B399">
        <v>9005293100</v>
      </c>
      <c r="C399" t="s">
        <v>1924</v>
      </c>
      <c r="D399">
        <v>4</v>
      </c>
      <c r="E399" t="s">
        <v>944</v>
      </c>
    </row>
    <row r="400" spans="1:5" x14ac:dyDescent="0.2">
      <c r="A400" t="s">
        <v>2321</v>
      </c>
      <c r="B400">
        <v>9009190302</v>
      </c>
      <c r="C400" t="s">
        <v>2322</v>
      </c>
      <c r="D400">
        <v>3</v>
      </c>
      <c r="E400" t="s">
        <v>944</v>
      </c>
    </row>
    <row r="401" spans="1:5" x14ac:dyDescent="0.2">
      <c r="A401" t="s">
        <v>2609</v>
      </c>
      <c r="B401">
        <v>9013850200</v>
      </c>
      <c r="C401" t="s">
        <v>2610</v>
      </c>
      <c r="D401">
        <v>3</v>
      </c>
      <c r="E401" t="s">
        <v>944</v>
      </c>
    </row>
    <row r="402" spans="1:5" x14ac:dyDescent="0.2">
      <c r="A402" t="s">
        <v>2609</v>
      </c>
      <c r="B402">
        <v>9013850200</v>
      </c>
      <c r="C402" t="s">
        <v>2610</v>
      </c>
      <c r="D402">
        <v>3</v>
      </c>
      <c r="E402" t="s">
        <v>944</v>
      </c>
    </row>
    <row r="403" spans="1:5" x14ac:dyDescent="0.2">
      <c r="A403" t="s">
        <v>2609</v>
      </c>
      <c r="B403">
        <v>9013850200</v>
      </c>
      <c r="C403" t="s">
        <v>2610</v>
      </c>
      <c r="D403">
        <v>3</v>
      </c>
      <c r="E403" t="s">
        <v>944</v>
      </c>
    </row>
    <row r="404" spans="1:5" x14ac:dyDescent="0.2">
      <c r="A404" t="s">
        <v>2325</v>
      </c>
      <c r="B404">
        <v>9009194100</v>
      </c>
      <c r="C404" t="s">
        <v>2326</v>
      </c>
      <c r="D404">
        <v>4</v>
      </c>
      <c r="E404" t="s">
        <v>944</v>
      </c>
    </row>
    <row r="405" spans="1:5" x14ac:dyDescent="0.2">
      <c r="A405" t="s">
        <v>2327</v>
      </c>
      <c r="B405">
        <v>9009194201</v>
      </c>
      <c r="C405" t="s">
        <v>2328</v>
      </c>
      <c r="D405">
        <v>3</v>
      </c>
      <c r="E405" t="s">
        <v>944</v>
      </c>
    </row>
    <row r="406" spans="1:5" x14ac:dyDescent="0.2">
      <c r="A406" t="s">
        <v>2327</v>
      </c>
      <c r="B406">
        <v>9009194201</v>
      </c>
      <c r="C406" t="s">
        <v>2328</v>
      </c>
      <c r="D406">
        <v>3</v>
      </c>
      <c r="E406" t="s">
        <v>944</v>
      </c>
    </row>
    <row r="407" spans="1:5" x14ac:dyDescent="0.2">
      <c r="A407" t="s">
        <v>2611</v>
      </c>
      <c r="B407">
        <v>9013860100</v>
      </c>
      <c r="C407" t="s">
        <v>2612</v>
      </c>
      <c r="D407">
        <v>3</v>
      </c>
      <c r="E407" t="s">
        <v>944</v>
      </c>
    </row>
    <row r="408" spans="1:5" x14ac:dyDescent="0.2">
      <c r="A408" t="s">
        <v>2611</v>
      </c>
      <c r="B408">
        <v>9013860100</v>
      </c>
      <c r="C408" t="s">
        <v>2612</v>
      </c>
      <c r="D408">
        <v>3</v>
      </c>
      <c r="E408" t="s">
        <v>944</v>
      </c>
    </row>
    <row r="409" spans="1:5" x14ac:dyDescent="0.2">
      <c r="A409" t="s">
        <v>1909</v>
      </c>
      <c r="B409">
        <v>9005262100</v>
      </c>
      <c r="C409" t="s">
        <v>1910</v>
      </c>
      <c r="D409">
        <v>4</v>
      </c>
      <c r="E409" t="s">
        <v>944</v>
      </c>
    </row>
    <row r="410" spans="1:5" x14ac:dyDescent="0.2">
      <c r="A410" t="s">
        <v>1909</v>
      </c>
      <c r="B410">
        <v>9005262100</v>
      </c>
      <c r="C410" t="s">
        <v>1910</v>
      </c>
      <c r="D410">
        <v>4</v>
      </c>
      <c r="E410" t="s">
        <v>944</v>
      </c>
    </row>
    <row r="411" spans="1:5" x14ac:dyDescent="0.2">
      <c r="A411" t="s">
        <v>1909</v>
      </c>
      <c r="B411">
        <v>9005262100</v>
      </c>
      <c r="C411" t="s">
        <v>1910</v>
      </c>
      <c r="D411">
        <v>4</v>
      </c>
      <c r="E411" t="s">
        <v>944</v>
      </c>
    </row>
    <row r="412" spans="1:5" x14ac:dyDescent="0.2">
      <c r="A412" t="s">
        <v>1387</v>
      </c>
      <c r="B412">
        <v>9001210300</v>
      </c>
      <c r="C412" t="s">
        <v>1388</v>
      </c>
      <c r="D412">
        <v>4</v>
      </c>
      <c r="E412" t="s">
        <v>944</v>
      </c>
    </row>
    <row r="413" spans="1:5" x14ac:dyDescent="0.2">
      <c r="A413" t="s">
        <v>1395</v>
      </c>
      <c r="B413">
        <v>9001210701</v>
      </c>
      <c r="C413" t="s">
        <v>1396</v>
      </c>
      <c r="D413">
        <v>5</v>
      </c>
      <c r="E413" t="s">
        <v>944</v>
      </c>
    </row>
    <row r="414" spans="1:5" x14ac:dyDescent="0.2">
      <c r="A414" t="s">
        <v>1913</v>
      </c>
      <c r="B414">
        <v>9005265100</v>
      </c>
      <c r="C414" t="s">
        <v>1914</v>
      </c>
      <c r="D414">
        <v>4</v>
      </c>
      <c r="E414" t="s">
        <v>944</v>
      </c>
    </row>
    <row r="415" spans="1:5" x14ac:dyDescent="0.2">
      <c r="A415" t="s">
        <v>1913</v>
      </c>
      <c r="B415">
        <v>9005265100</v>
      </c>
      <c r="C415" t="s">
        <v>1914</v>
      </c>
      <c r="D415">
        <v>4</v>
      </c>
      <c r="E415" t="s">
        <v>944</v>
      </c>
    </row>
    <row r="416" spans="1:5" x14ac:dyDescent="0.2">
      <c r="A416" t="s">
        <v>1913</v>
      </c>
      <c r="B416">
        <v>9005265100</v>
      </c>
      <c r="C416" t="s">
        <v>1914</v>
      </c>
      <c r="D416">
        <v>4</v>
      </c>
      <c r="E416" t="s">
        <v>944</v>
      </c>
    </row>
    <row r="417" spans="1:5" x14ac:dyDescent="0.2">
      <c r="A417" t="s">
        <v>1913</v>
      </c>
      <c r="B417">
        <v>9005265100</v>
      </c>
      <c r="C417" t="s">
        <v>1914</v>
      </c>
      <c r="D417">
        <v>4</v>
      </c>
      <c r="E417" t="s">
        <v>944</v>
      </c>
    </row>
    <row r="418" spans="1:5" x14ac:dyDescent="0.2">
      <c r="A418" t="s">
        <v>1397</v>
      </c>
      <c r="B418">
        <v>9001210702</v>
      </c>
      <c r="C418" t="s">
        <v>1398</v>
      </c>
      <c r="D418">
        <v>5</v>
      </c>
      <c r="E418" t="s">
        <v>944</v>
      </c>
    </row>
    <row r="419" spans="1:5" x14ac:dyDescent="0.2">
      <c r="A419" t="s">
        <v>1407</v>
      </c>
      <c r="B419">
        <v>9001211300</v>
      </c>
      <c r="C419" t="s">
        <v>1408</v>
      </c>
      <c r="D419">
        <v>3</v>
      </c>
      <c r="E419" t="s">
        <v>944</v>
      </c>
    </row>
    <row r="420" spans="1:5" x14ac:dyDescent="0.2">
      <c r="A420" t="s">
        <v>1915</v>
      </c>
      <c r="B420">
        <v>9005266100</v>
      </c>
      <c r="C420" t="s">
        <v>1916</v>
      </c>
      <c r="D420">
        <v>4</v>
      </c>
      <c r="E420" t="s">
        <v>944</v>
      </c>
    </row>
    <row r="421" spans="1:5" x14ac:dyDescent="0.2">
      <c r="A421" t="s">
        <v>1915</v>
      </c>
      <c r="B421">
        <v>9005266100</v>
      </c>
      <c r="C421" t="s">
        <v>1916</v>
      </c>
      <c r="D421">
        <v>4</v>
      </c>
      <c r="E421" t="s">
        <v>944</v>
      </c>
    </row>
    <row r="422" spans="1:5" x14ac:dyDescent="0.2">
      <c r="A422" t="s">
        <v>1915</v>
      </c>
      <c r="B422">
        <v>9005266100</v>
      </c>
      <c r="C422" t="s">
        <v>1916</v>
      </c>
      <c r="D422">
        <v>4</v>
      </c>
      <c r="E422" t="s">
        <v>944</v>
      </c>
    </row>
    <row r="423" spans="1:5" x14ac:dyDescent="0.2">
      <c r="A423" t="s">
        <v>1915</v>
      </c>
      <c r="B423">
        <v>9005266100</v>
      </c>
      <c r="C423" t="s">
        <v>1916</v>
      </c>
      <c r="D423">
        <v>4</v>
      </c>
      <c r="E423" t="s">
        <v>944</v>
      </c>
    </row>
    <row r="424" spans="1:5" x14ac:dyDescent="0.2">
      <c r="A424" t="s">
        <v>1915</v>
      </c>
      <c r="B424">
        <v>9005266100</v>
      </c>
      <c r="C424" t="s">
        <v>1916</v>
      </c>
      <c r="D424">
        <v>4</v>
      </c>
      <c r="E424" t="s">
        <v>944</v>
      </c>
    </row>
    <row r="425" spans="1:5" x14ac:dyDescent="0.2">
      <c r="A425" t="s">
        <v>2025</v>
      </c>
      <c r="B425">
        <v>9007570100</v>
      </c>
      <c r="C425" t="s">
        <v>2026</v>
      </c>
      <c r="D425">
        <v>3</v>
      </c>
      <c r="E425" t="s">
        <v>944</v>
      </c>
    </row>
    <row r="426" spans="1:5" x14ac:dyDescent="0.2">
      <c r="A426" t="s">
        <v>2027</v>
      </c>
      <c r="B426">
        <v>9007570200</v>
      </c>
      <c r="C426" t="s">
        <v>2028</v>
      </c>
      <c r="D426">
        <v>3</v>
      </c>
      <c r="E426" t="s">
        <v>944</v>
      </c>
    </row>
    <row r="427" spans="1:5" x14ac:dyDescent="0.2">
      <c r="A427" t="s">
        <v>1411</v>
      </c>
      <c r="B427">
        <v>9001220100</v>
      </c>
      <c r="C427" t="s">
        <v>1412</v>
      </c>
      <c r="D427">
        <v>3</v>
      </c>
      <c r="E427" t="s">
        <v>944</v>
      </c>
    </row>
    <row r="428" spans="1:5" x14ac:dyDescent="0.2">
      <c r="A428" t="s">
        <v>2029</v>
      </c>
      <c r="B428">
        <v>9007570300</v>
      </c>
      <c r="C428" t="s">
        <v>2030</v>
      </c>
      <c r="D428">
        <v>3</v>
      </c>
      <c r="E428" t="s">
        <v>944</v>
      </c>
    </row>
    <row r="429" spans="1:5" x14ac:dyDescent="0.2">
      <c r="A429" t="s">
        <v>1415</v>
      </c>
      <c r="B429">
        <v>9001220300</v>
      </c>
      <c r="C429" t="s">
        <v>1416</v>
      </c>
      <c r="D429">
        <v>4</v>
      </c>
      <c r="E429" t="s">
        <v>944</v>
      </c>
    </row>
    <row r="430" spans="1:5" x14ac:dyDescent="0.2">
      <c r="A430" t="s">
        <v>1415</v>
      </c>
      <c r="B430">
        <v>9001220300</v>
      </c>
      <c r="C430" t="s">
        <v>1416</v>
      </c>
      <c r="D430">
        <v>4</v>
      </c>
      <c r="E430" t="s">
        <v>944</v>
      </c>
    </row>
    <row r="431" spans="1:5" x14ac:dyDescent="0.2">
      <c r="A431" t="s">
        <v>1415</v>
      </c>
      <c r="B431">
        <v>9001220300</v>
      </c>
      <c r="C431" t="s">
        <v>1416</v>
      </c>
      <c r="D431">
        <v>4</v>
      </c>
      <c r="E431" t="s">
        <v>944</v>
      </c>
    </row>
    <row r="432" spans="1:5" x14ac:dyDescent="0.2">
      <c r="A432" t="s">
        <v>1437</v>
      </c>
      <c r="B432">
        <v>9001245300</v>
      </c>
      <c r="C432" t="s">
        <v>1438</v>
      </c>
      <c r="D432">
        <v>2</v>
      </c>
      <c r="E432" t="s">
        <v>944</v>
      </c>
    </row>
    <row r="433" spans="1:5" x14ac:dyDescent="0.2">
      <c r="A433" t="s">
        <v>1893</v>
      </c>
      <c r="B433">
        <v>9005253100</v>
      </c>
      <c r="C433" t="s">
        <v>1894</v>
      </c>
      <c r="D433">
        <v>4</v>
      </c>
      <c r="E433" t="s">
        <v>944</v>
      </c>
    </row>
    <row r="434" spans="1:5" x14ac:dyDescent="0.2">
      <c r="A434" t="s">
        <v>1897</v>
      </c>
      <c r="B434">
        <v>9005253300</v>
      </c>
      <c r="C434" t="s">
        <v>1898</v>
      </c>
      <c r="D434">
        <v>4</v>
      </c>
      <c r="E434" t="s">
        <v>944</v>
      </c>
    </row>
    <row r="435" spans="1:5" x14ac:dyDescent="0.2">
      <c r="A435" t="s">
        <v>1903</v>
      </c>
      <c r="B435">
        <v>9005253600</v>
      </c>
      <c r="C435" t="s">
        <v>1904</v>
      </c>
      <c r="D435">
        <v>5</v>
      </c>
      <c r="E435" t="s">
        <v>944</v>
      </c>
    </row>
    <row r="436" spans="1:5" x14ac:dyDescent="0.2">
      <c r="A436" t="s">
        <v>1917</v>
      </c>
      <c r="B436">
        <v>9005267100</v>
      </c>
      <c r="C436" t="s">
        <v>1918</v>
      </c>
      <c r="D436">
        <v>4</v>
      </c>
      <c r="E436" t="s">
        <v>944</v>
      </c>
    </row>
    <row r="437" spans="1:5" x14ac:dyDescent="0.2">
      <c r="A437" t="s">
        <v>1917</v>
      </c>
      <c r="B437">
        <v>9005267100</v>
      </c>
      <c r="C437" t="s">
        <v>1918</v>
      </c>
      <c r="D437">
        <v>4</v>
      </c>
      <c r="E437" t="s">
        <v>944</v>
      </c>
    </row>
    <row r="438" spans="1:5" x14ac:dyDescent="0.2">
      <c r="A438" t="s">
        <v>1917</v>
      </c>
      <c r="B438">
        <v>9005267100</v>
      </c>
      <c r="C438" t="s">
        <v>1918</v>
      </c>
      <c r="D438">
        <v>4</v>
      </c>
      <c r="E438" t="s">
        <v>944</v>
      </c>
    </row>
    <row r="439" spans="1:5" x14ac:dyDescent="0.2">
      <c r="A439" t="s">
        <v>1927</v>
      </c>
      <c r="B439">
        <v>9005298300</v>
      </c>
      <c r="C439" t="s">
        <v>1928</v>
      </c>
      <c r="D439">
        <v>3</v>
      </c>
      <c r="E439" t="s">
        <v>944</v>
      </c>
    </row>
    <row r="440" spans="1:5" x14ac:dyDescent="0.2">
      <c r="A440" t="s">
        <v>1929</v>
      </c>
      <c r="B440">
        <v>9005298400</v>
      </c>
      <c r="C440" t="s">
        <v>1930</v>
      </c>
      <c r="D440">
        <v>3</v>
      </c>
      <c r="E440" t="s">
        <v>944</v>
      </c>
    </row>
    <row r="441" spans="1:5" x14ac:dyDescent="0.2">
      <c r="A441" t="s">
        <v>1941</v>
      </c>
      <c r="B441">
        <v>9005310100</v>
      </c>
      <c r="C441" t="s">
        <v>1942</v>
      </c>
      <c r="D441">
        <v>5</v>
      </c>
      <c r="E441" t="s">
        <v>944</v>
      </c>
    </row>
    <row r="442" spans="1:5" x14ac:dyDescent="0.2">
      <c r="A442" t="s">
        <v>1943</v>
      </c>
      <c r="B442">
        <v>9005310200</v>
      </c>
      <c r="C442" t="s">
        <v>1944</v>
      </c>
      <c r="D442">
        <v>5</v>
      </c>
      <c r="E442" t="s">
        <v>944</v>
      </c>
    </row>
    <row r="443" spans="1:5" x14ac:dyDescent="0.2">
      <c r="A443" t="s">
        <v>1945</v>
      </c>
      <c r="B443">
        <v>9005310300</v>
      </c>
      <c r="C443" t="s">
        <v>1946</v>
      </c>
      <c r="D443">
        <v>6</v>
      </c>
      <c r="E443" t="s">
        <v>936</v>
      </c>
    </row>
    <row r="444" spans="1:5" x14ac:dyDescent="0.2">
      <c r="A444" t="s">
        <v>1947</v>
      </c>
      <c r="B444">
        <v>9005310400</v>
      </c>
      <c r="C444" t="s">
        <v>1948</v>
      </c>
      <c r="D444">
        <v>4</v>
      </c>
      <c r="E444" t="s">
        <v>944</v>
      </c>
    </row>
    <row r="445" spans="1:5" x14ac:dyDescent="0.2">
      <c r="A445" t="s">
        <v>1947</v>
      </c>
      <c r="B445">
        <v>9005310400</v>
      </c>
      <c r="C445" t="s">
        <v>1948</v>
      </c>
      <c r="D445">
        <v>4</v>
      </c>
      <c r="E445" t="s">
        <v>944</v>
      </c>
    </row>
    <row r="446" spans="1:5" x14ac:dyDescent="0.2">
      <c r="A446" t="s">
        <v>1949</v>
      </c>
      <c r="B446">
        <v>9005310500</v>
      </c>
      <c r="C446" t="s">
        <v>1950</v>
      </c>
      <c r="D446">
        <v>5</v>
      </c>
      <c r="E446" t="s">
        <v>944</v>
      </c>
    </row>
    <row r="447" spans="1:5" x14ac:dyDescent="0.2">
      <c r="A447" t="s">
        <v>1953</v>
      </c>
      <c r="B447">
        <v>9005310602</v>
      </c>
      <c r="C447" t="s">
        <v>1954</v>
      </c>
      <c r="D447">
        <v>4</v>
      </c>
      <c r="E447" t="s">
        <v>944</v>
      </c>
    </row>
    <row r="448" spans="1:5" x14ac:dyDescent="0.2">
      <c r="A448" t="s">
        <v>1955</v>
      </c>
      <c r="B448">
        <v>9005310700</v>
      </c>
      <c r="C448" t="s">
        <v>1956</v>
      </c>
      <c r="D448">
        <v>5</v>
      </c>
      <c r="E448" t="s">
        <v>944</v>
      </c>
    </row>
    <row r="449" spans="1:5" x14ac:dyDescent="0.2">
      <c r="A449" t="s">
        <v>2051</v>
      </c>
      <c r="B449">
        <v>9007620100</v>
      </c>
      <c r="C449" t="s">
        <v>2052</v>
      </c>
      <c r="D449">
        <v>4</v>
      </c>
      <c r="E449" t="s">
        <v>944</v>
      </c>
    </row>
    <row r="450" spans="1:5" x14ac:dyDescent="0.2">
      <c r="A450" t="s">
        <v>1957</v>
      </c>
      <c r="B450">
        <v>9005310801</v>
      </c>
      <c r="C450" t="s">
        <v>1958</v>
      </c>
      <c r="D450">
        <v>5</v>
      </c>
      <c r="E450" t="s">
        <v>944</v>
      </c>
    </row>
    <row r="451" spans="1:5" x14ac:dyDescent="0.2">
      <c r="A451" t="s">
        <v>1959</v>
      </c>
      <c r="B451">
        <v>9005310803</v>
      </c>
      <c r="C451" t="s">
        <v>1960</v>
      </c>
      <c r="D451">
        <v>6</v>
      </c>
      <c r="E451" t="s">
        <v>936</v>
      </c>
    </row>
    <row r="452" spans="1:5" x14ac:dyDescent="0.2">
      <c r="A452" t="s">
        <v>1961</v>
      </c>
      <c r="B452">
        <v>9005310804</v>
      </c>
      <c r="C452" t="s">
        <v>1962</v>
      </c>
      <c r="D452">
        <v>4</v>
      </c>
      <c r="E452" t="s">
        <v>944</v>
      </c>
    </row>
    <row r="453" spans="1:5" x14ac:dyDescent="0.2">
      <c r="A453" t="s">
        <v>2033</v>
      </c>
      <c r="B453">
        <v>9007585100</v>
      </c>
      <c r="C453" t="s">
        <v>2034</v>
      </c>
      <c r="D453">
        <v>3</v>
      </c>
      <c r="E453" t="s">
        <v>944</v>
      </c>
    </row>
    <row r="454" spans="1:5" x14ac:dyDescent="0.2">
      <c r="A454" t="s">
        <v>2033</v>
      </c>
      <c r="B454">
        <v>9007585100</v>
      </c>
      <c r="C454" t="s">
        <v>2034</v>
      </c>
      <c r="D454">
        <v>3</v>
      </c>
      <c r="E454" t="s">
        <v>944</v>
      </c>
    </row>
    <row r="455" spans="1:5" x14ac:dyDescent="0.2">
      <c r="A455" t="s">
        <v>1965</v>
      </c>
      <c r="B455">
        <v>9005320200</v>
      </c>
      <c r="C455" t="s">
        <v>1966</v>
      </c>
      <c r="D455">
        <v>4</v>
      </c>
      <c r="E455" t="s">
        <v>944</v>
      </c>
    </row>
    <row r="456" spans="1:5" x14ac:dyDescent="0.2">
      <c r="A456" t="s">
        <v>1595</v>
      </c>
      <c r="B456">
        <v>9003470100</v>
      </c>
      <c r="C456" t="s">
        <v>1596</v>
      </c>
      <c r="D456">
        <v>3</v>
      </c>
      <c r="E456" t="s">
        <v>944</v>
      </c>
    </row>
    <row r="457" spans="1:5" x14ac:dyDescent="0.2">
      <c r="A457" t="s">
        <v>1595</v>
      </c>
      <c r="B457">
        <v>9003470100</v>
      </c>
      <c r="C457" t="s">
        <v>1596</v>
      </c>
      <c r="D457">
        <v>3</v>
      </c>
      <c r="E457" t="s">
        <v>944</v>
      </c>
    </row>
    <row r="458" spans="1:5" x14ac:dyDescent="0.2">
      <c r="A458" t="s">
        <v>1595</v>
      </c>
      <c r="B458">
        <v>9003470100</v>
      </c>
      <c r="C458" t="s">
        <v>1596</v>
      </c>
      <c r="D458">
        <v>3</v>
      </c>
      <c r="E458" t="s">
        <v>944</v>
      </c>
    </row>
    <row r="459" spans="1:5" x14ac:dyDescent="0.2">
      <c r="A459" t="s">
        <v>2343</v>
      </c>
      <c r="B459">
        <v>9009344100</v>
      </c>
      <c r="C459" t="s">
        <v>2344</v>
      </c>
      <c r="D459">
        <v>3</v>
      </c>
      <c r="E459" t="s">
        <v>944</v>
      </c>
    </row>
    <row r="460" spans="1:5" x14ac:dyDescent="0.2">
      <c r="A460" t="s">
        <v>2343</v>
      </c>
      <c r="B460">
        <v>9009344100</v>
      </c>
      <c r="C460" t="s">
        <v>2344</v>
      </c>
      <c r="D460">
        <v>3</v>
      </c>
      <c r="E460" t="s">
        <v>944</v>
      </c>
    </row>
    <row r="461" spans="1:5" x14ac:dyDescent="0.2">
      <c r="A461" t="s">
        <v>2345</v>
      </c>
      <c r="B461">
        <v>9009344200</v>
      </c>
      <c r="C461" t="s">
        <v>2346</v>
      </c>
      <c r="D461">
        <v>3</v>
      </c>
      <c r="E461" t="s">
        <v>944</v>
      </c>
    </row>
    <row r="462" spans="1:5" x14ac:dyDescent="0.2">
      <c r="A462" t="s">
        <v>2345</v>
      </c>
      <c r="B462">
        <v>9009344200</v>
      </c>
      <c r="C462" t="s">
        <v>2346</v>
      </c>
      <c r="D462">
        <v>3</v>
      </c>
      <c r="E462" t="s">
        <v>944</v>
      </c>
    </row>
    <row r="463" spans="1:5" x14ac:dyDescent="0.2">
      <c r="A463" t="s">
        <v>2347</v>
      </c>
      <c r="B463">
        <v>9009345100</v>
      </c>
      <c r="C463" t="s">
        <v>2348</v>
      </c>
      <c r="D463">
        <v>4</v>
      </c>
      <c r="E463" t="s">
        <v>944</v>
      </c>
    </row>
    <row r="464" spans="1:5" x14ac:dyDescent="0.2">
      <c r="A464" t="s">
        <v>2347</v>
      </c>
      <c r="B464">
        <v>9009345100</v>
      </c>
      <c r="C464" t="s">
        <v>2348</v>
      </c>
      <c r="D464">
        <v>4</v>
      </c>
      <c r="E464" t="s">
        <v>944</v>
      </c>
    </row>
    <row r="465" spans="1:5" x14ac:dyDescent="0.2">
      <c r="A465" t="s">
        <v>1629</v>
      </c>
      <c r="B465">
        <v>9003477101</v>
      </c>
      <c r="C465" t="s">
        <v>1630</v>
      </c>
      <c r="D465">
        <v>3</v>
      </c>
      <c r="E465" t="s">
        <v>944</v>
      </c>
    </row>
    <row r="466" spans="1:5" x14ac:dyDescent="0.2">
      <c r="A466" t="s">
        <v>1629</v>
      </c>
      <c r="B466">
        <v>9003477101</v>
      </c>
      <c r="C466" t="s">
        <v>1630</v>
      </c>
      <c r="D466">
        <v>3</v>
      </c>
      <c r="E466" t="s">
        <v>944</v>
      </c>
    </row>
    <row r="467" spans="1:5" x14ac:dyDescent="0.2">
      <c r="A467" t="s">
        <v>2349</v>
      </c>
      <c r="B467">
        <v>9009345201</v>
      </c>
      <c r="C467" t="s">
        <v>2350</v>
      </c>
      <c r="D467">
        <v>4</v>
      </c>
      <c r="E467" t="s">
        <v>944</v>
      </c>
    </row>
    <row r="468" spans="1:5" x14ac:dyDescent="0.2">
      <c r="A468" t="s">
        <v>2351</v>
      </c>
      <c r="B468">
        <v>9009345202</v>
      </c>
      <c r="C468" t="s">
        <v>2352</v>
      </c>
      <c r="D468">
        <v>3</v>
      </c>
      <c r="E468" t="s">
        <v>944</v>
      </c>
    </row>
    <row r="469" spans="1:5" x14ac:dyDescent="0.2">
      <c r="A469" t="s">
        <v>2353</v>
      </c>
      <c r="B469">
        <v>9009345300</v>
      </c>
      <c r="C469" t="s">
        <v>2354</v>
      </c>
      <c r="D469">
        <v>4</v>
      </c>
      <c r="E469" t="s">
        <v>944</v>
      </c>
    </row>
    <row r="470" spans="1:5" x14ac:dyDescent="0.2">
      <c r="A470" t="s">
        <v>2353</v>
      </c>
      <c r="B470">
        <v>9009345300</v>
      </c>
      <c r="C470" t="s">
        <v>2354</v>
      </c>
      <c r="D470">
        <v>4</v>
      </c>
      <c r="E470" t="s">
        <v>944</v>
      </c>
    </row>
    <row r="471" spans="1:5" x14ac:dyDescent="0.2">
      <c r="A471" t="s">
        <v>1633</v>
      </c>
      <c r="B471">
        <v>9003477200</v>
      </c>
      <c r="C471" t="s">
        <v>1634</v>
      </c>
      <c r="D471">
        <v>3</v>
      </c>
      <c r="E471" t="s">
        <v>944</v>
      </c>
    </row>
    <row r="472" spans="1:5" x14ac:dyDescent="0.2">
      <c r="A472" t="s">
        <v>1633</v>
      </c>
      <c r="B472">
        <v>9003477200</v>
      </c>
      <c r="C472" t="s">
        <v>1634</v>
      </c>
      <c r="D472">
        <v>3</v>
      </c>
      <c r="E472" t="s">
        <v>944</v>
      </c>
    </row>
    <row r="473" spans="1:5" x14ac:dyDescent="0.2">
      <c r="A473" t="s">
        <v>2355</v>
      </c>
      <c r="B473">
        <v>9009345400</v>
      </c>
      <c r="C473" t="s">
        <v>2356</v>
      </c>
      <c r="D473">
        <v>4</v>
      </c>
      <c r="E473" t="s">
        <v>944</v>
      </c>
    </row>
    <row r="474" spans="1:5" x14ac:dyDescent="0.2">
      <c r="A474" t="s">
        <v>2355</v>
      </c>
      <c r="B474">
        <v>9009345400</v>
      </c>
      <c r="C474" t="s">
        <v>2356</v>
      </c>
      <c r="D474">
        <v>4</v>
      </c>
      <c r="E474" t="s">
        <v>944</v>
      </c>
    </row>
    <row r="475" spans="1:5" x14ac:dyDescent="0.2">
      <c r="A475" t="s">
        <v>2357</v>
      </c>
      <c r="B475">
        <v>9009346101</v>
      </c>
      <c r="C475" t="s">
        <v>2358</v>
      </c>
      <c r="D475">
        <v>3</v>
      </c>
      <c r="E475" t="s">
        <v>944</v>
      </c>
    </row>
    <row r="476" spans="1:5" x14ac:dyDescent="0.2">
      <c r="A476" t="s">
        <v>2039</v>
      </c>
      <c r="B476">
        <v>9007595102</v>
      </c>
      <c r="C476" t="s">
        <v>2040</v>
      </c>
      <c r="D476">
        <v>4</v>
      </c>
      <c r="E476" t="s">
        <v>944</v>
      </c>
    </row>
    <row r="477" spans="1:5" x14ac:dyDescent="0.2">
      <c r="A477" t="s">
        <v>2015</v>
      </c>
      <c r="B477">
        <v>9007550100</v>
      </c>
      <c r="C477" t="s">
        <v>2016</v>
      </c>
      <c r="D477">
        <v>4</v>
      </c>
      <c r="E477" t="s">
        <v>944</v>
      </c>
    </row>
    <row r="478" spans="1:5" x14ac:dyDescent="0.2">
      <c r="A478" t="s">
        <v>2363</v>
      </c>
      <c r="B478">
        <v>9009347200</v>
      </c>
      <c r="C478" t="s">
        <v>2364</v>
      </c>
      <c r="D478">
        <v>3</v>
      </c>
      <c r="E478" t="s">
        <v>944</v>
      </c>
    </row>
    <row r="479" spans="1:5" x14ac:dyDescent="0.2">
      <c r="A479" t="s">
        <v>2363</v>
      </c>
      <c r="B479">
        <v>9009347200</v>
      </c>
      <c r="C479" t="s">
        <v>2364</v>
      </c>
      <c r="D479">
        <v>3</v>
      </c>
      <c r="E479" t="s">
        <v>944</v>
      </c>
    </row>
    <row r="480" spans="1:5" x14ac:dyDescent="0.2">
      <c r="A480" t="s">
        <v>2019</v>
      </c>
      <c r="B480">
        <v>9007550202</v>
      </c>
      <c r="C480" t="s">
        <v>2020</v>
      </c>
      <c r="D480">
        <v>4</v>
      </c>
      <c r="E480" t="s">
        <v>944</v>
      </c>
    </row>
    <row r="481" spans="1:5" x14ac:dyDescent="0.2">
      <c r="A481" t="s">
        <v>2365</v>
      </c>
      <c r="B481">
        <v>9009348111</v>
      </c>
      <c r="C481" t="s">
        <v>2366</v>
      </c>
      <c r="D481">
        <v>3</v>
      </c>
      <c r="E481" t="s">
        <v>944</v>
      </c>
    </row>
    <row r="482" spans="1:5" x14ac:dyDescent="0.2">
      <c r="A482" t="s">
        <v>2035</v>
      </c>
      <c r="B482">
        <v>9007590100</v>
      </c>
      <c r="C482" t="s">
        <v>2036</v>
      </c>
      <c r="D482">
        <v>3</v>
      </c>
      <c r="E482" t="s">
        <v>944</v>
      </c>
    </row>
    <row r="483" spans="1:5" x14ac:dyDescent="0.2">
      <c r="A483" t="s">
        <v>2035</v>
      </c>
      <c r="B483">
        <v>9007590100</v>
      </c>
      <c r="C483" t="s">
        <v>2036</v>
      </c>
      <c r="D483">
        <v>3</v>
      </c>
      <c r="E483" t="s">
        <v>944</v>
      </c>
    </row>
    <row r="484" spans="1:5" x14ac:dyDescent="0.2">
      <c r="A484" t="s">
        <v>2035</v>
      </c>
      <c r="B484">
        <v>9007590100</v>
      </c>
      <c r="C484" t="s">
        <v>2036</v>
      </c>
      <c r="D484">
        <v>3</v>
      </c>
      <c r="E484" t="s">
        <v>944</v>
      </c>
    </row>
    <row r="485" spans="1:5" x14ac:dyDescent="0.2">
      <c r="A485" t="s">
        <v>2035</v>
      </c>
      <c r="B485">
        <v>9007590100</v>
      </c>
      <c r="C485" t="s">
        <v>2036</v>
      </c>
      <c r="D485">
        <v>3</v>
      </c>
      <c r="E485" t="s">
        <v>944</v>
      </c>
    </row>
    <row r="486" spans="1:5" x14ac:dyDescent="0.2">
      <c r="A486" t="s">
        <v>2367</v>
      </c>
      <c r="B486">
        <v>9009348122</v>
      </c>
      <c r="C486" t="s">
        <v>2368</v>
      </c>
      <c r="D486">
        <v>3</v>
      </c>
      <c r="E486" t="s">
        <v>944</v>
      </c>
    </row>
    <row r="487" spans="1:5" x14ac:dyDescent="0.2">
      <c r="A487" t="s">
        <v>2369</v>
      </c>
      <c r="B487">
        <v>9009348123</v>
      </c>
      <c r="C487" t="s">
        <v>2370</v>
      </c>
      <c r="D487">
        <v>3</v>
      </c>
      <c r="E487" t="s">
        <v>944</v>
      </c>
    </row>
    <row r="488" spans="1:5" x14ac:dyDescent="0.2">
      <c r="A488" t="s">
        <v>2371</v>
      </c>
      <c r="B488">
        <v>9009348124</v>
      </c>
      <c r="C488" t="s">
        <v>2372</v>
      </c>
      <c r="D488">
        <v>4</v>
      </c>
      <c r="E488" t="s">
        <v>944</v>
      </c>
    </row>
    <row r="489" spans="1:5" x14ac:dyDescent="0.2">
      <c r="A489" t="s">
        <v>2373</v>
      </c>
      <c r="B489">
        <v>9009348125</v>
      </c>
      <c r="C489" t="s">
        <v>2374</v>
      </c>
      <c r="D489">
        <v>4</v>
      </c>
      <c r="E489" t="s">
        <v>944</v>
      </c>
    </row>
    <row r="490" spans="1:5" x14ac:dyDescent="0.2">
      <c r="A490" t="s">
        <v>2403</v>
      </c>
      <c r="B490">
        <v>9009351602</v>
      </c>
      <c r="C490" t="s">
        <v>2404</v>
      </c>
      <c r="D490">
        <v>5</v>
      </c>
      <c r="E490" t="s">
        <v>944</v>
      </c>
    </row>
    <row r="491" spans="1:5" x14ac:dyDescent="0.2">
      <c r="A491" t="s">
        <v>1719</v>
      </c>
      <c r="B491">
        <v>9003496900</v>
      </c>
      <c r="C491" t="s">
        <v>1720</v>
      </c>
      <c r="D491">
        <v>3</v>
      </c>
      <c r="E491" t="s">
        <v>944</v>
      </c>
    </row>
    <row r="492" spans="1:5" x14ac:dyDescent="0.2">
      <c r="A492" t="s">
        <v>1719</v>
      </c>
      <c r="B492">
        <v>9003496900</v>
      </c>
      <c r="C492" t="s">
        <v>1720</v>
      </c>
      <c r="D492">
        <v>3</v>
      </c>
      <c r="E492" t="s">
        <v>944</v>
      </c>
    </row>
    <row r="493" spans="1:5" x14ac:dyDescent="0.2">
      <c r="A493" t="s">
        <v>1719</v>
      </c>
      <c r="B493">
        <v>9003496900</v>
      </c>
      <c r="C493" t="s">
        <v>1720</v>
      </c>
      <c r="D493">
        <v>3</v>
      </c>
      <c r="E493" t="s">
        <v>944</v>
      </c>
    </row>
    <row r="494" spans="1:5" x14ac:dyDescent="0.2">
      <c r="A494" t="s">
        <v>2405</v>
      </c>
      <c r="B494">
        <v>9009351700</v>
      </c>
      <c r="C494" t="s">
        <v>2406</v>
      </c>
      <c r="D494">
        <v>9</v>
      </c>
      <c r="E494" t="s">
        <v>936</v>
      </c>
    </row>
    <row r="495" spans="1:5" x14ac:dyDescent="0.2">
      <c r="A495" t="s">
        <v>2409</v>
      </c>
      <c r="B495">
        <v>9009351900</v>
      </c>
      <c r="C495" t="s">
        <v>2410</v>
      </c>
      <c r="D495">
        <v>4</v>
      </c>
      <c r="E495" t="s">
        <v>944</v>
      </c>
    </row>
    <row r="496" spans="1:5" x14ac:dyDescent="0.2">
      <c r="A496" t="s">
        <v>2409</v>
      </c>
      <c r="B496">
        <v>9009351900</v>
      </c>
      <c r="C496" t="s">
        <v>2410</v>
      </c>
      <c r="D496">
        <v>4</v>
      </c>
      <c r="E496" t="s">
        <v>944</v>
      </c>
    </row>
    <row r="497" spans="1:5" x14ac:dyDescent="0.2">
      <c r="A497" t="s">
        <v>1805</v>
      </c>
      <c r="B497">
        <v>9003510100</v>
      </c>
      <c r="C497" t="s">
        <v>1806</v>
      </c>
      <c r="D497">
        <v>4</v>
      </c>
      <c r="E497" t="s">
        <v>944</v>
      </c>
    </row>
    <row r="498" spans="1:5" x14ac:dyDescent="0.2">
      <c r="A498" t="s">
        <v>2411</v>
      </c>
      <c r="B498">
        <v>9009352000</v>
      </c>
      <c r="C498" t="s">
        <v>2412</v>
      </c>
      <c r="D498">
        <v>4</v>
      </c>
      <c r="E498" t="s">
        <v>944</v>
      </c>
    </row>
    <row r="499" spans="1:5" x14ac:dyDescent="0.2">
      <c r="A499" t="s">
        <v>1807</v>
      </c>
      <c r="B499">
        <v>9003510200</v>
      </c>
      <c r="C499" t="s">
        <v>1808</v>
      </c>
      <c r="D499">
        <v>4</v>
      </c>
      <c r="E499" t="s">
        <v>944</v>
      </c>
    </row>
    <row r="500" spans="1:5" x14ac:dyDescent="0.2">
      <c r="A500" t="s">
        <v>2413</v>
      </c>
      <c r="B500">
        <v>9009352100</v>
      </c>
      <c r="C500" t="s">
        <v>2414</v>
      </c>
      <c r="D500">
        <v>5</v>
      </c>
      <c r="E500" t="s">
        <v>944</v>
      </c>
    </row>
    <row r="501" spans="1:5" x14ac:dyDescent="0.2">
      <c r="A501" t="s">
        <v>2413</v>
      </c>
      <c r="B501">
        <v>9009352100</v>
      </c>
      <c r="C501" t="s">
        <v>2414</v>
      </c>
      <c r="D501">
        <v>5</v>
      </c>
      <c r="E501" t="s">
        <v>944</v>
      </c>
    </row>
    <row r="502" spans="1:5" x14ac:dyDescent="0.2">
      <c r="A502" t="s">
        <v>1809</v>
      </c>
      <c r="B502">
        <v>9003510300</v>
      </c>
      <c r="C502" t="s">
        <v>1810</v>
      </c>
      <c r="D502">
        <v>5</v>
      </c>
      <c r="E502" t="s">
        <v>944</v>
      </c>
    </row>
    <row r="503" spans="1:5" x14ac:dyDescent="0.2">
      <c r="A503" t="s">
        <v>2415</v>
      </c>
      <c r="B503">
        <v>9009352200</v>
      </c>
      <c r="C503" t="s">
        <v>2416</v>
      </c>
      <c r="D503">
        <v>8</v>
      </c>
      <c r="E503" t="s">
        <v>936</v>
      </c>
    </row>
    <row r="504" spans="1:5" x14ac:dyDescent="0.2">
      <c r="A504" t="s">
        <v>1811</v>
      </c>
      <c r="B504">
        <v>9003510400</v>
      </c>
      <c r="C504" t="s">
        <v>1812</v>
      </c>
      <c r="D504">
        <v>5</v>
      </c>
      <c r="E504" t="s">
        <v>944</v>
      </c>
    </row>
    <row r="505" spans="1:5" x14ac:dyDescent="0.2">
      <c r="A505" t="s">
        <v>2417</v>
      </c>
      <c r="B505">
        <v>9009352300</v>
      </c>
      <c r="C505" t="s">
        <v>2418</v>
      </c>
      <c r="D505">
        <v>6</v>
      </c>
      <c r="E505" t="s">
        <v>936</v>
      </c>
    </row>
    <row r="506" spans="1:5" x14ac:dyDescent="0.2">
      <c r="A506" t="s">
        <v>1813</v>
      </c>
      <c r="B506">
        <v>9003510500</v>
      </c>
      <c r="C506" t="s">
        <v>1814</v>
      </c>
      <c r="D506">
        <v>4</v>
      </c>
      <c r="E506" t="s">
        <v>944</v>
      </c>
    </row>
    <row r="507" spans="1:5" x14ac:dyDescent="0.2">
      <c r="A507" t="s">
        <v>2419</v>
      </c>
      <c r="B507">
        <v>9009352400</v>
      </c>
      <c r="C507" t="s">
        <v>2420</v>
      </c>
      <c r="D507">
        <v>6</v>
      </c>
      <c r="E507" t="s">
        <v>936</v>
      </c>
    </row>
    <row r="508" spans="1:5" x14ac:dyDescent="0.2">
      <c r="A508" t="s">
        <v>1815</v>
      </c>
      <c r="B508">
        <v>9003510600</v>
      </c>
      <c r="C508" t="s">
        <v>1816</v>
      </c>
      <c r="D508">
        <v>5</v>
      </c>
      <c r="E508" t="s">
        <v>944</v>
      </c>
    </row>
    <row r="509" spans="1:5" x14ac:dyDescent="0.2">
      <c r="A509" t="s">
        <v>2421</v>
      </c>
      <c r="B509">
        <v>9009352500</v>
      </c>
      <c r="C509" t="s">
        <v>2422</v>
      </c>
      <c r="D509">
        <v>5</v>
      </c>
      <c r="E509" t="s">
        <v>944</v>
      </c>
    </row>
    <row r="510" spans="1:5" x14ac:dyDescent="0.2">
      <c r="A510" t="s">
        <v>1817</v>
      </c>
      <c r="B510">
        <v>9003510700</v>
      </c>
      <c r="C510" t="s">
        <v>1818</v>
      </c>
      <c r="D510">
        <v>5</v>
      </c>
      <c r="E510" t="s">
        <v>944</v>
      </c>
    </row>
    <row r="511" spans="1:5" x14ac:dyDescent="0.2">
      <c r="A511" t="s">
        <v>1817</v>
      </c>
      <c r="B511">
        <v>9003510700</v>
      </c>
      <c r="C511" t="s">
        <v>1818</v>
      </c>
      <c r="D511">
        <v>5</v>
      </c>
      <c r="E511" t="s">
        <v>944</v>
      </c>
    </row>
    <row r="512" spans="1:5" x14ac:dyDescent="0.2">
      <c r="A512" t="s">
        <v>2423</v>
      </c>
      <c r="B512">
        <v>9009352600</v>
      </c>
      <c r="C512" t="s">
        <v>2424</v>
      </c>
      <c r="D512">
        <v>6</v>
      </c>
      <c r="E512" t="s">
        <v>936</v>
      </c>
    </row>
    <row r="513" spans="1:5" x14ac:dyDescent="0.2">
      <c r="A513" t="s">
        <v>1975</v>
      </c>
      <c r="B513">
        <v>9005360200</v>
      </c>
      <c r="C513" t="s">
        <v>1976</v>
      </c>
      <c r="D513">
        <v>3</v>
      </c>
      <c r="E513" t="s">
        <v>944</v>
      </c>
    </row>
    <row r="514" spans="1:5" x14ac:dyDescent="0.2">
      <c r="A514" t="s">
        <v>1819</v>
      </c>
      <c r="B514">
        <v>9003510800</v>
      </c>
      <c r="C514" t="s">
        <v>1820</v>
      </c>
      <c r="D514">
        <v>5</v>
      </c>
      <c r="E514" t="s">
        <v>944</v>
      </c>
    </row>
    <row r="515" spans="1:5" x14ac:dyDescent="0.2">
      <c r="A515" t="s">
        <v>1977</v>
      </c>
      <c r="B515">
        <v>9005360300</v>
      </c>
      <c r="C515" t="s">
        <v>1978</v>
      </c>
      <c r="D515">
        <v>4</v>
      </c>
      <c r="E515" t="s">
        <v>944</v>
      </c>
    </row>
    <row r="516" spans="1:5" x14ac:dyDescent="0.2">
      <c r="A516" t="s">
        <v>1821</v>
      </c>
      <c r="B516">
        <v>9003510900</v>
      </c>
      <c r="C516" t="s">
        <v>1822</v>
      </c>
      <c r="D516">
        <v>4</v>
      </c>
      <c r="E516" t="s">
        <v>944</v>
      </c>
    </row>
    <row r="517" spans="1:5" x14ac:dyDescent="0.2">
      <c r="A517" t="s">
        <v>1979</v>
      </c>
      <c r="B517">
        <v>9005360400</v>
      </c>
      <c r="C517" t="s">
        <v>1980</v>
      </c>
      <c r="D517">
        <v>5</v>
      </c>
      <c r="E517" t="s">
        <v>944</v>
      </c>
    </row>
    <row r="518" spans="1:5" x14ac:dyDescent="0.2">
      <c r="A518" t="s">
        <v>1823</v>
      </c>
      <c r="B518">
        <v>9003511000</v>
      </c>
      <c r="C518" t="s">
        <v>1824</v>
      </c>
      <c r="D518">
        <v>4</v>
      </c>
      <c r="E518" t="s">
        <v>944</v>
      </c>
    </row>
    <row r="519" spans="1:5" x14ac:dyDescent="0.2">
      <c r="A519" t="s">
        <v>2431</v>
      </c>
      <c r="B519">
        <v>9009361100</v>
      </c>
      <c r="C519" t="s">
        <v>2432</v>
      </c>
      <c r="D519">
        <v>4</v>
      </c>
      <c r="E519" t="s">
        <v>944</v>
      </c>
    </row>
    <row r="520" spans="1:5" x14ac:dyDescent="0.2">
      <c r="A520" t="s">
        <v>1825</v>
      </c>
      <c r="B520">
        <v>9003511100</v>
      </c>
      <c r="C520" t="s">
        <v>1826</v>
      </c>
      <c r="D520">
        <v>4</v>
      </c>
      <c r="E520" t="s">
        <v>944</v>
      </c>
    </row>
    <row r="521" spans="1:5" x14ac:dyDescent="0.2">
      <c r="A521" t="s">
        <v>1827</v>
      </c>
      <c r="B521">
        <v>9003511200</v>
      </c>
      <c r="C521" t="s">
        <v>1828</v>
      </c>
      <c r="D521">
        <v>5</v>
      </c>
      <c r="E521" t="s">
        <v>944</v>
      </c>
    </row>
    <row r="522" spans="1:5" x14ac:dyDescent="0.2">
      <c r="A522" t="s">
        <v>1829</v>
      </c>
      <c r="B522">
        <v>9003511300</v>
      </c>
      <c r="C522" t="s">
        <v>1830</v>
      </c>
      <c r="D522">
        <v>4</v>
      </c>
      <c r="E522" t="s">
        <v>944</v>
      </c>
    </row>
    <row r="523" spans="1:5" x14ac:dyDescent="0.2">
      <c r="A523" t="s">
        <v>1831</v>
      </c>
      <c r="B523">
        <v>9003511400</v>
      </c>
      <c r="C523" t="s">
        <v>1832</v>
      </c>
      <c r="D523">
        <v>4</v>
      </c>
      <c r="E523" t="s">
        <v>944</v>
      </c>
    </row>
    <row r="524" spans="1:5" x14ac:dyDescent="0.2">
      <c r="A524" t="s">
        <v>1835</v>
      </c>
      <c r="B524">
        <v>9003514102</v>
      </c>
      <c r="C524" t="s">
        <v>1836</v>
      </c>
      <c r="D524">
        <v>3</v>
      </c>
      <c r="E524" t="s">
        <v>944</v>
      </c>
    </row>
    <row r="525" spans="1:5" x14ac:dyDescent="0.2">
      <c r="A525" t="s">
        <v>1835</v>
      </c>
      <c r="B525">
        <v>9003514102</v>
      </c>
      <c r="C525" t="s">
        <v>1836</v>
      </c>
      <c r="D525">
        <v>3</v>
      </c>
      <c r="E525" t="s">
        <v>944</v>
      </c>
    </row>
    <row r="526" spans="1:5" x14ac:dyDescent="0.2">
      <c r="A526" t="s">
        <v>1835</v>
      </c>
      <c r="B526">
        <v>9003514102</v>
      </c>
      <c r="C526" t="s">
        <v>1836</v>
      </c>
      <c r="D526">
        <v>3</v>
      </c>
      <c r="E526" t="s">
        <v>944</v>
      </c>
    </row>
    <row r="527" spans="1:5" x14ac:dyDescent="0.2">
      <c r="A527" t="s">
        <v>2473</v>
      </c>
      <c r="B527">
        <v>9011695202</v>
      </c>
      <c r="C527" t="s">
        <v>2474</v>
      </c>
      <c r="D527">
        <v>3</v>
      </c>
      <c r="E527" t="s">
        <v>944</v>
      </c>
    </row>
    <row r="528" spans="1:5" x14ac:dyDescent="0.2">
      <c r="A528" t="s">
        <v>2473</v>
      </c>
      <c r="B528">
        <v>9011695202</v>
      </c>
      <c r="C528" t="s">
        <v>2474</v>
      </c>
      <c r="D528">
        <v>3</v>
      </c>
      <c r="E528" t="s">
        <v>944</v>
      </c>
    </row>
    <row r="529" spans="1:5" x14ac:dyDescent="0.2">
      <c r="A529" t="s">
        <v>2551</v>
      </c>
      <c r="B529">
        <v>9011716101</v>
      </c>
      <c r="C529" t="s">
        <v>2552</v>
      </c>
      <c r="D529">
        <v>3</v>
      </c>
      <c r="E529" t="s">
        <v>944</v>
      </c>
    </row>
    <row r="530" spans="1:5" x14ac:dyDescent="0.2">
      <c r="A530" t="s">
        <v>2553</v>
      </c>
      <c r="B530">
        <v>9011716102</v>
      </c>
      <c r="C530" t="s">
        <v>2554</v>
      </c>
      <c r="D530">
        <v>3</v>
      </c>
      <c r="E530" t="s">
        <v>944</v>
      </c>
    </row>
    <row r="531" spans="1:5" x14ac:dyDescent="0.2">
      <c r="A531" t="s">
        <v>2553</v>
      </c>
      <c r="B531">
        <v>9011716102</v>
      </c>
      <c r="C531" t="s">
        <v>2554</v>
      </c>
      <c r="D531">
        <v>3</v>
      </c>
      <c r="E531" t="s">
        <v>944</v>
      </c>
    </row>
    <row r="532" spans="1:5" x14ac:dyDescent="0.2">
      <c r="A532" t="s">
        <v>2553</v>
      </c>
      <c r="B532">
        <v>9011716102</v>
      </c>
      <c r="C532" t="s">
        <v>2554</v>
      </c>
      <c r="D532">
        <v>3</v>
      </c>
      <c r="E532" t="s">
        <v>944</v>
      </c>
    </row>
    <row r="533" spans="1:5" x14ac:dyDescent="0.2">
      <c r="A533" t="s">
        <v>2565</v>
      </c>
      <c r="B533">
        <v>9011870701</v>
      </c>
      <c r="C533" t="s">
        <v>2566</v>
      </c>
      <c r="D533">
        <v>3</v>
      </c>
      <c r="E533" t="s">
        <v>944</v>
      </c>
    </row>
    <row r="534" spans="1:5" x14ac:dyDescent="0.2">
      <c r="A534" t="s">
        <v>1489</v>
      </c>
      <c r="B534">
        <v>9003415400</v>
      </c>
      <c r="C534" t="s">
        <v>1490</v>
      </c>
      <c r="D534">
        <v>6</v>
      </c>
      <c r="E534" t="s">
        <v>936</v>
      </c>
    </row>
    <row r="535" spans="1:5" x14ac:dyDescent="0.2">
      <c r="A535" t="s">
        <v>2567</v>
      </c>
      <c r="B535">
        <v>9011870703</v>
      </c>
      <c r="C535" t="s">
        <v>2568</v>
      </c>
      <c r="D535">
        <v>4</v>
      </c>
      <c r="E535" t="s">
        <v>944</v>
      </c>
    </row>
    <row r="536" spans="1:5" x14ac:dyDescent="0.2">
      <c r="A536" t="s">
        <v>1511</v>
      </c>
      <c r="B536">
        <v>9003416500</v>
      </c>
      <c r="C536" t="s">
        <v>1512</v>
      </c>
      <c r="D536">
        <v>4</v>
      </c>
      <c r="E536" t="s">
        <v>944</v>
      </c>
    </row>
    <row r="537" spans="1:5" x14ac:dyDescent="0.2">
      <c r="A537" t="s">
        <v>2569</v>
      </c>
      <c r="B537">
        <v>9011870704</v>
      </c>
      <c r="C537" t="s">
        <v>2570</v>
      </c>
      <c r="D537">
        <v>4</v>
      </c>
      <c r="E537" t="s">
        <v>944</v>
      </c>
    </row>
    <row r="538" spans="1:5" x14ac:dyDescent="0.2">
      <c r="A538" t="s">
        <v>1531</v>
      </c>
      <c r="B538">
        <v>9003420600</v>
      </c>
      <c r="C538" t="s">
        <v>1532</v>
      </c>
      <c r="D538">
        <v>4</v>
      </c>
      <c r="E538" t="s">
        <v>944</v>
      </c>
    </row>
    <row r="539" spans="1:5" x14ac:dyDescent="0.2">
      <c r="A539" t="s">
        <v>1531</v>
      </c>
      <c r="B539">
        <v>9003420600</v>
      </c>
      <c r="C539" t="s">
        <v>1532</v>
      </c>
      <c r="D539">
        <v>4</v>
      </c>
      <c r="E539" t="s">
        <v>944</v>
      </c>
    </row>
    <row r="540" spans="1:5" x14ac:dyDescent="0.2">
      <c r="A540" t="s">
        <v>1657</v>
      </c>
      <c r="B540">
        <v>9003484100</v>
      </c>
      <c r="C540" t="s">
        <v>1658</v>
      </c>
      <c r="D540">
        <v>4</v>
      </c>
      <c r="E540" t="s">
        <v>944</v>
      </c>
    </row>
    <row r="541" spans="1:5" x14ac:dyDescent="0.2">
      <c r="A541" t="s">
        <v>1533</v>
      </c>
      <c r="B541">
        <v>9003420700</v>
      </c>
      <c r="C541" t="s">
        <v>1534</v>
      </c>
      <c r="D541">
        <v>4</v>
      </c>
      <c r="E541" t="s">
        <v>944</v>
      </c>
    </row>
    <row r="542" spans="1:5" x14ac:dyDescent="0.2">
      <c r="A542" t="s">
        <v>1659</v>
      </c>
      <c r="B542">
        <v>9003484200</v>
      </c>
      <c r="C542" t="s">
        <v>1660</v>
      </c>
      <c r="D542">
        <v>3</v>
      </c>
      <c r="E542" t="s">
        <v>944</v>
      </c>
    </row>
    <row r="543" spans="1:5" x14ac:dyDescent="0.2">
      <c r="A543" t="s">
        <v>1659</v>
      </c>
      <c r="B543">
        <v>9003484200</v>
      </c>
      <c r="C543" t="s">
        <v>1660</v>
      </c>
      <c r="D543">
        <v>3</v>
      </c>
      <c r="E543" t="s">
        <v>944</v>
      </c>
    </row>
    <row r="544" spans="1:5" x14ac:dyDescent="0.2">
      <c r="A544" t="s">
        <v>1659</v>
      </c>
      <c r="B544">
        <v>9003484200</v>
      </c>
      <c r="C544" t="s">
        <v>1660</v>
      </c>
      <c r="D544">
        <v>3</v>
      </c>
      <c r="E544" t="s">
        <v>944</v>
      </c>
    </row>
    <row r="545" spans="1:5" x14ac:dyDescent="0.2">
      <c r="A545" t="s">
        <v>1989</v>
      </c>
      <c r="B545">
        <v>9005425500</v>
      </c>
      <c r="C545" t="s">
        <v>1990</v>
      </c>
      <c r="D545">
        <v>4</v>
      </c>
      <c r="E545" t="s">
        <v>944</v>
      </c>
    </row>
    <row r="546" spans="1:5" x14ac:dyDescent="0.2">
      <c r="A546" t="s">
        <v>1661</v>
      </c>
      <c r="B546">
        <v>9003487100</v>
      </c>
      <c r="C546" t="s">
        <v>1662</v>
      </c>
      <c r="D546">
        <v>2</v>
      </c>
      <c r="E546" t="s">
        <v>944</v>
      </c>
    </row>
    <row r="547" spans="1:5" x14ac:dyDescent="0.2">
      <c r="A547" t="s">
        <v>1661</v>
      </c>
      <c r="B547">
        <v>9003487100</v>
      </c>
      <c r="C547" t="s">
        <v>1662</v>
      </c>
      <c r="D547">
        <v>2</v>
      </c>
      <c r="E547" t="s">
        <v>944</v>
      </c>
    </row>
    <row r="548" spans="1:5" x14ac:dyDescent="0.2">
      <c r="A548" t="s">
        <v>1535</v>
      </c>
      <c r="B548">
        <v>9003430100</v>
      </c>
      <c r="C548" t="s">
        <v>1536</v>
      </c>
      <c r="D548">
        <v>3</v>
      </c>
      <c r="E548" t="s">
        <v>944</v>
      </c>
    </row>
    <row r="549" spans="1:5" x14ac:dyDescent="0.2">
      <c r="A549" t="s">
        <v>1539</v>
      </c>
      <c r="B549">
        <v>9003430202</v>
      </c>
      <c r="C549" t="s">
        <v>1540</v>
      </c>
      <c r="D549">
        <v>3</v>
      </c>
      <c r="E549" t="s">
        <v>944</v>
      </c>
    </row>
    <row r="550" spans="1:5" x14ac:dyDescent="0.2">
      <c r="A550" t="s">
        <v>2579</v>
      </c>
      <c r="B550">
        <v>9013530100</v>
      </c>
      <c r="C550" t="s">
        <v>2580</v>
      </c>
      <c r="D550">
        <v>4</v>
      </c>
      <c r="E550" t="s">
        <v>944</v>
      </c>
    </row>
    <row r="551" spans="1:5" x14ac:dyDescent="0.2">
      <c r="A551" t="s">
        <v>2579</v>
      </c>
      <c r="B551">
        <v>9013530100</v>
      </c>
      <c r="C551" t="s">
        <v>2580</v>
      </c>
      <c r="D551">
        <v>4</v>
      </c>
      <c r="E551" t="s">
        <v>944</v>
      </c>
    </row>
    <row r="552" spans="1:5" x14ac:dyDescent="0.2">
      <c r="A552" t="s">
        <v>1543</v>
      </c>
      <c r="B552">
        <v>9003430301</v>
      </c>
      <c r="C552" t="s">
        <v>1544</v>
      </c>
      <c r="D552">
        <v>3</v>
      </c>
      <c r="E552" t="s">
        <v>944</v>
      </c>
    </row>
    <row r="553" spans="1:5" x14ac:dyDescent="0.2">
      <c r="A553" t="s">
        <v>1543</v>
      </c>
      <c r="B553">
        <v>9003430301</v>
      </c>
      <c r="C553" t="s">
        <v>1544</v>
      </c>
      <c r="D553">
        <v>3</v>
      </c>
      <c r="E553" t="s">
        <v>944</v>
      </c>
    </row>
    <row r="554" spans="1:5" x14ac:dyDescent="0.2">
      <c r="A554" t="s">
        <v>1547</v>
      </c>
      <c r="B554">
        <v>9003430400</v>
      </c>
      <c r="C554" t="s">
        <v>1548</v>
      </c>
      <c r="D554">
        <v>4</v>
      </c>
      <c r="E554" t="s">
        <v>944</v>
      </c>
    </row>
    <row r="555" spans="1:5" x14ac:dyDescent="0.2">
      <c r="A555" t="s">
        <v>1549</v>
      </c>
      <c r="B555">
        <v>9003430500</v>
      </c>
      <c r="C555" t="s">
        <v>1550</v>
      </c>
      <c r="D555">
        <v>3</v>
      </c>
      <c r="E555" t="s">
        <v>944</v>
      </c>
    </row>
    <row r="556" spans="1:5" x14ac:dyDescent="0.2">
      <c r="A556" t="s">
        <v>2597</v>
      </c>
      <c r="B556">
        <v>9013535100</v>
      </c>
      <c r="C556" t="s">
        <v>2598</v>
      </c>
      <c r="D556">
        <v>3</v>
      </c>
      <c r="E556" t="s">
        <v>944</v>
      </c>
    </row>
    <row r="557" spans="1:5" x14ac:dyDescent="0.2">
      <c r="A557" t="s">
        <v>2597</v>
      </c>
      <c r="B557">
        <v>9013535100</v>
      </c>
      <c r="C557" t="s">
        <v>2598</v>
      </c>
      <c r="D557">
        <v>3</v>
      </c>
      <c r="E557" t="s">
        <v>944</v>
      </c>
    </row>
    <row r="558" spans="1:5" x14ac:dyDescent="0.2">
      <c r="A558" t="s">
        <v>2599</v>
      </c>
      <c r="B558">
        <v>9013535200</v>
      </c>
      <c r="C558" t="s">
        <v>2600</v>
      </c>
      <c r="D558">
        <v>3</v>
      </c>
      <c r="E558" t="s">
        <v>944</v>
      </c>
    </row>
    <row r="559" spans="1:5" x14ac:dyDescent="0.2">
      <c r="A559" t="s">
        <v>2599</v>
      </c>
      <c r="B559">
        <v>9013535200</v>
      </c>
      <c r="C559" t="s">
        <v>2600</v>
      </c>
      <c r="D559">
        <v>3</v>
      </c>
      <c r="E559" t="s">
        <v>944</v>
      </c>
    </row>
    <row r="560" spans="1:5" x14ac:dyDescent="0.2">
      <c r="A560" t="s">
        <v>2599</v>
      </c>
      <c r="B560">
        <v>9013535200</v>
      </c>
      <c r="C560" t="s">
        <v>2600</v>
      </c>
      <c r="D560">
        <v>3</v>
      </c>
      <c r="E560" t="s">
        <v>944</v>
      </c>
    </row>
    <row r="561" spans="1:5" x14ac:dyDescent="0.2">
      <c r="A561" t="s">
        <v>2601</v>
      </c>
      <c r="B561">
        <v>9013538201</v>
      </c>
      <c r="C561" t="s">
        <v>2602</v>
      </c>
      <c r="D561">
        <v>3</v>
      </c>
      <c r="E561" t="s">
        <v>944</v>
      </c>
    </row>
    <row r="562" spans="1:5" x14ac:dyDescent="0.2">
      <c r="A562" t="s">
        <v>2601</v>
      </c>
      <c r="B562">
        <v>9013538201</v>
      </c>
      <c r="C562" t="s">
        <v>2602</v>
      </c>
      <c r="D562">
        <v>3</v>
      </c>
      <c r="E562" t="s">
        <v>944</v>
      </c>
    </row>
    <row r="563" spans="1:5" x14ac:dyDescent="0.2">
      <c r="A563" t="s">
        <v>2603</v>
      </c>
      <c r="B563">
        <v>9013538202</v>
      </c>
      <c r="C563" t="s">
        <v>2604</v>
      </c>
      <c r="D563">
        <v>3</v>
      </c>
      <c r="E563" t="s">
        <v>944</v>
      </c>
    </row>
    <row r="564" spans="1:5" x14ac:dyDescent="0.2">
      <c r="A564" t="s">
        <v>2603</v>
      </c>
      <c r="B564">
        <v>9013538202</v>
      </c>
      <c r="C564" t="s">
        <v>2604</v>
      </c>
      <c r="D564">
        <v>3</v>
      </c>
      <c r="E564" t="s">
        <v>944</v>
      </c>
    </row>
    <row r="565" spans="1:5" x14ac:dyDescent="0.2">
      <c r="A565" t="s">
        <v>1635</v>
      </c>
      <c r="B565">
        <v>9003480300</v>
      </c>
      <c r="C565" t="s">
        <v>1636</v>
      </c>
      <c r="D565">
        <v>4</v>
      </c>
      <c r="E565" t="s">
        <v>944</v>
      </c>
    </row>
    <row r="566" spans="1:5" x14ac:dyDescent="0.2">
      <c r="A566" t="s">
        <v>1637</v>
      </c>
      <c r="B566">
        <v>9003480400</v>
      </c>
      <c r="C566" t="s">
        <v>1638</v>
      </c>
      <c r="D566">
        <v>3</v>
      </c>
      <c r="E566" t="s">
        <v>944</v>
      </c>
    </row>
    <row r="567" spans="1:5" x14ac:dyDescent="0.2">
      <c r="A567" t="s">
        <v>1639</v>
      </c>
      <c r="B567">
        <v>9003480500</v>
      </c>
      <c r="C567" t="s">
        <v>1640</v>
      </c>
      <c r="D567">
        <v>4</v>
      </c>
      <c r="E567" t="s">
        <v>944</v>
      </c>
    </row>
    <row r="568" spans="1:5" x14ac:dyDescent="0.2">
      <c r="A568" t="s">
        <v>1557</v>
      </c>
      <c r="B568">
        <v>9003460202</v>
      </c>
      <c r="C568" t="s">
        <v>1558</v>
      </c>
      <c r="D568">
        <v>2</v>
      </c>
      <c r="E568" t="s">
        <v>944</v>
      </c>
    </row>
    <row r="569" spans="1:5" x14ac:dyDescent="0.2">
      <c r="A569" t="s">
        <v>1557</v>
      </c>
      <c r="B569">
        <v>9003460202</v>
      </c>
      <c r="C569" t="s">
        <v>1558</v>
      </c>
      <c r="D569">
        <v>2</v>
      </c>
      <c r="E569" t="s">
        <v>944</v>
      </c>
    </row>
    <row r="570" spans="1:5" x14ac:dyDescent="0.2">
      <c r="A570" t="s">
        <v>1641</v>
      </c>
      <c r="B570">
        <v>9003480600</v>
      </c>
      <c r="C570" t="s">
        <v>1642</v>
      </c>
      <c r="D570">
        <v>5</v>
      </c>
      <c r="E570" t="s">
        <v>944</v>
      </c>
    </row>
    <row r="571" spans="1:5" x14ac:dyDescent="0.2">
      <c r="A571" t="s">
        <v>1561</v>
      </c>
      <c r="B571">
        <v>9003460204</v>
      </c>
      <c r="C571" t="s">
        <v>1562</v>
      </c>
      <c r="D571">
        <v>2</v>
      </c>
      <c r="E571" t="s">
        <v>944</v>
      </c>
    </row>
    <row r="572" spans="1:5" x14ac:dyDescent="0.2">
      <c r="A572" t="s">
        <v>1643</v>
      </c>
      <c r="B572">
        <v>9003480700</v>
      </c>
      <c r="C572" t="s">
        <v>1644</v>
      </c>
      <c r="D572">
        <v>4</v>
      </c>
      <c r="E572" t="s">
        <v>944</v>
      </c>
    </row>
    <row r="573" spans="1:5" x14ac:dyDescent="0.2">
      <c r="A573" t="s">
        <v>1645</v>
      </c>
      <c r="B573">
        <v>9003480800</v>
      </c>
      <c r="C573" t="s">
        <v>1646</v>
      </c>
      <c r="D573">
        <v>3</v>
      </c>
      <c r="E573" t="s">
        <v>944</v>
      </c>
    </row>
    <row r="574" spans="1:5" x14ac:dyDescent="0.2">
      <c r="A574" t="s">
        <v>1647</v>
      </c>
      <c r="B574">
        <v>9003480900</v>
      </c>
      <c r="C574" t="s">
        <v>1648</v>
      </c>
      <c r="D574">
        <v>3</v>
      </c>
      <c r="E574" t="s">
        <v>944</v>
      </c>
    </row>
    <row r="575" spans="1:5" x14ac:dyDescent="0.2">
      <c r="A575" t="s">
        <v>1649</v>
      </c>
      <c r="B575">
        <v>9003481000</v>
      </c>
      <c r="C575" t="s">
        <v>1650</v>
      </c>
      <c r="D575">
        <v>3</v>
      </c>
      <c r="E575" t="s">
        <v>944</v>
      </c>
    </row>
    <row r="576" spans="1:5" x14ac:dyDescent="0.2">
      <c r="A576" t="s">
        <v>1587</v>
      </c>
      <c r="B576">
        <v>9003466300</v>
      </c>
      <c r="C576" t="s">
        <v>1588</v>
      </c>
      <c r="D576">
        <v>2</v>
      </c>
      <c r="E576" t="s">
        <v>944</v>
      </c>
    </row>
    <row r="577" spans="1:5" x14ac:dyDescent="0.2">
      <c r="A577" t="s">
        <v>1651</v>
      </c>
      <c r="B577">
        <v>9003481100</v>
      </c>
      <c r="C577" t="s">
        <v>1652</v>
      </c>
      <c r="D577">
        <v>3</v>
      </c>
      <c r="E577" t="s">
        <v>944</v>
      </c>
    </row>
    <row r="578" spans="1:5" x14ac:dyDescent="0.2">
      <c r="A578" t="s">
        <v>1591</v>
      </c>
      <c r="B578">
        <v>9003468101</v>
      </c>
      <c r="C578" t="s">
        <v>1592</v>
      </c>
      <c r="D578">
        <v>3</v>
      </c>
      <c r="E578" t="s">
        <v>944</v>
      </c>
    </row>
    <row r="579" spans="1:5" x14ac:dyDescent="0.2">
      <c r="A579" t="s">
        <v>1591</v>
      </c>
      <c r="B579">
        <v>9003468101</v>
      </c>
      <c r="C579" t="s">
        <v>1592</v>
      </c>
      <c r="D579">
        <v>3</v>
      </c>
      <c r="E579" t="s">
        <v>944</v>
      </c>
    </row>
    <row r="580" spans="1:5" x14ac:dyDescent="0.2">
      <c r="A580" t="s">
        <v>1593</v>
      </c>
      <c r="B580">
        <v>9003468102</v>
      </c>
      <c r="C580" t="s">
        <v>1594</v>
      </c>
      <c r="D580">
        <v>3</v>
      </c>
      <c r="E580" t="s">
        <v>944</v>
      </c>
    </row>
    <row r="581" spans="1:5" x14ac:dyDescent="0.2">
      <c r="A581" t="s">
        <v>1653</v>
      </c>
      <c r="B581">
        <v>9003481200</v>
      </c>
      <c r="C581" t="s">
        <v>1654</v>
      </c>
      <c r="D581">
        <v>3</v>
      </c>
      <c r="E581" t="s">
        <v>944</v>
      </c>
    </row>
    <row r="582" spans="1:5" x14ac:dyDescent="0.2">
      <c r="A582" t="s">
        <v>1655</v>
      </c>
      <c r="B582">
        <v>9003481300</v>
      </c>
      <c r="C582" t="s">
        <v>1656</v>
      </c>
      <c r="D582">
        <v>3</v>
      </c>
      <c r="E582" t="s">
        <v>944</v>
      </c>
    </row>
    <row r="583" spans="1:5" x14ac:dyDescent="0.2">
      <c r="A583" t="s">
        <v>1879</v>
      </c>
      <c r="B583">
        <v>9003524300</v>
      </c>
      <c r="C583" t="s">
        <v>1880</v>
      </c>
      <c r="D583">
        <v>3</v>
      </c>
      <c r="E583" t="s">
        <v>944</v>
      </c>
    </row>
    <row r="584" spans="1:5" x14ac:dyDescent="0.2">
      <c r="A584" t="s">
        <v>2053</v>
      </c>
      <c r="B584">
        <v>9007630100</v>
      </c>
      <c r="C584" t="s">
        <v>2054</v>
      </c>
      <c r="D584">
        <v>3</v>
      </c>
      <c r="E584" t="s">
        <v>944</v>
      </c>
    </row>
    <row r="585" spans="1:5" x14ac:dyDescent="0.2">
      <c r="A585" t="s">
        <v>2057</v>
      </c>
      <c r="B585">
        <v>9007670100</v>
      </c>
      <c r="C585" t="s">
        <v>2058</v>
      </c>
      <c r="D585">
        <v>4</v>
      </c>
      <c r="E585" t="s">
        <v>944</v>
      </c>
    </row>
    <row r="586" spans="1:5" x14ac:dyDescent="0.2">
      <c r="A586" t="s">
        <v>2057</v>
      </c>
      <c r="B586">
        <v>9007670100</v>
      </c>
      <c r="C586" t="s">
        <v>2058</v>
      </c>
      <c r="D586">
        <v>4</v>
      </c>
      <c r="E586" t="s">
        <v>944</v>
      </c>
    </row>
    <row r="587" spans="1:5" x14ac:dyDescent="0.2">
      <c r="A587" t="s">
        <v>1555</v>
      </c>
      <c r="B587">
        <v>9003460100</v>
      </c>
      <c r="C587" t="s">
        <v>1556</v>
      </c>
      <c r="D587">
        <v>2</v>
      </c>
      <c r="E587" t="s">
        <v>944</v>
      </c>
    </row>
    <row r="588" spans="1:5" x14ac:dyDescent="0.2">
      <c r="A588" t="s">
        <v>1555</v>
      </c>
      <c r="B588">
        <v>9003460100</v>
      </c>
      <c r="C588" t="s">
        <v>1556</v>
      </c>
      <c r="D588">
        <v>2</v>
      </c>
      <c r="E588" t="s">
        <v>944</v>
      </c>
    </row>
    <row r="589" spans="1:5" x14ac:dyDescent="0.2">
      <c r="A589" t="s">
        <v>1555</v>
      </c>
      <c r="B589">
        <v>9003460100</v>
      </c>
      <c r="C589" t="s">
        <v>1556</v>
      </c>
      <c r="D589">
        <v>2</v>
      </c>
      <c r="E589" t="s">
        <v>944</v>
      </c>
    </row>
    <row r="590" spans="1:5" x14ac:dyDescent="0.2">
      <c r="A590" t="s">
        <v>1669</v>
      </c>
      <c r="B590">
        <v>9003487400</v>
      </c>
      <c r="C590" t="s">
        <v>1670</v>
      </c>
      <c r="D590">
        <v>3</v>
      </c>
      <c r="E590" t="s">
        <v>944</v>
      </c>
    </row>
    <row r="591" spans="1:5" x14ac:dyDescent="0.2">
      <c r="A591" t="s">
        <v>1709</v>
      </c>
      <c r="B591">
        <v>9003496400</v>
      </c>
      <c r="C591" t="s">
        <v>1710</v>
      </c>
      <c r="D591">
        <v>2</v>
      </c>
      <c r="E591" t="s">
        <v>944</v>
      </c>
    </row>
    <row r="592" spans="1:5" x14ac:dyDescent="0.2">
      <c r="A592" t="s">
        <v>1711</v>
      </c>
      <c r="B592">
        <v>9003496500</v>
      </c>
      <c r="C592" t="s">
        <v>1712</v>
      </c>
      <c r="D592">
        <v>2</v>
      </c>
      <c r="E592" t="s">
        <v>944</v>
      </c>
    </row>
    <row r="593" spans="1:5" x14ac:dyDescent="0.2">
      <c r="A593" t="s">
        <v>1559</v>
      </c>
      <c r="B593">
        <v>9003460203</v>
      </c>
      <c r="C593" t="s">
        <v>1560</v>
      </c>
      <c r="D593">
        <v>2</v>
      </c>
      <c r="E593" t="s">
        <v>944</v>
      </c>
    </row>
    <row r="594" spans="1:5" x14ac:dyDescent="0.2">
      <c r="A594" t="s">
        <v>1713</v>
      </c>
      <c r="B594">
        <v>9003496600</v>
      </c>
      <c r="C594" t="s">
        <v>1714</v>
      </c>
      <c r="D594">
        <v>2</v>
      </c>
      <c r="E594" t="s">
        <v>944</v>
      </c>
    </row>
    <row r="595" spans="1:5" x14ac:dyDescent="0.2">
      <c r="A595" t="s">
        <v>1715</v>
      </c>
      <c r="B595">
        <v>9003496700</v>
      </c>
      <c r="C595" t="s">
        <v>1716</v>
      </c>
      <c r="D595">
        <v>3</v>
      </c>
      <c r="E595" t="s">
        <v>944</v>
      </c>
    </row>
    <row r="596" spans="1:5" x14ac:dyDescent="0.2">
      <c r="A596" t="s">
        <v>1715</v>
      </c>
      <c r="B596">
        <v>9003496700</v>
      </c>
      <c r="C596" t="s">
        <v>1716</v>
      </c>
      <c r="D596">
        <v>3</v>
      </c>
      <c r="E596" t="s">
        <v>944</v>
      </c>
    </row>
    <row r="597" spans="1:5" x14ac:dyDescent="0.2">
      <c r="A597" t="s">
        <v>1705</v>
      </c>
      <c r="B597">
        <v>9003496200</v>
      </c>
      <c r="C597" t="s">
        <v>1706</v>
      </c>
      <c r="D597">
        <v>3</v>
      </c>
      <c r="E597" t="s">
        <v>944</v>
      </c>
    </row>
    <row r="598" spans="1:5" x14ac:dyDescent="0.2">
      <c r="A598" t="s">
        <v>1705</v>
      </c>
      <c r="B598">
        <v>9003496200</v>
      </c>
      <c r="C598" t="s">
        <v>1706</v>
      </c>
      <c r="D598">
        <v>3</v>
      </c>
      <c r="E598" t="s">
        <v>944</v>
      </c>
    </row>
    <row r="599" spans="1:5" x14ac:dyDescent="0.2">
      <c r="A599" t="s">
        <v>1705</v>
      </c>
      <c r="B599">
        <v>9003496200</v>
      </c>
      <c r="C599" t="s">
        <v>1706</v>
      </c>
      <c r="D599">
        <v>3</v>
      </c>
      <c r="E599" t="s">
        <v>944</v>
      </c>
    </row>
    <row r="600" spans="1:5" x14ac:dyDescent="0.2">
      <c r="A600" t="s">
        <v>1705</v>
      </c>
      <c r="B600">
        <v>9003496200</v>
      </c>
      <c r="C600" t="s">
        <v>1706</v>
      </c>
      <c r="D600">
        <v>3</v>
      </c>
      <c r="E600" t="s">
        <v>944</v>
      </c>
    </row>
    <row r="601" spans="1:5" x14ac:dyDescent="0.2">
      <c r="A601" t="s">
        <v>1705</v>
      </c>
      <c r="B601">
        <v>9003496200</v>
      </c>
      <c r="C601" t="s">
        <v>1706</v>
      </c>
      <c r="D601">
        <v>3</v>
      </c>
      <c r="E601" t="s">
        <v>944</v>
      </c>
    </row>
    <row r="602" spans="1:5" x14ac:dyDescent="0.2">
      <c r="A602" t="s">
        <v>1717</v>
      </c>
      <c r="B602">
        <v>9003496800</v>
      </c>
      <c r="C602" t="s">
        <v>1718</v>
      </c>
      <c r="D602">
        <v>4</v>
      </c>
      <c r="E602" t="s">
        <v>944</v>
      </c>
    </row>
    <row r="603" spans="1:5" x14ac:dyDescent="0.2">
      <c r="A603" t="s">
        <v>1717</v>
      </c>
      <c r="B603">
        <v>9003496800</v>
      </c>
      <c r="C603" t="s">
        <v>1718</v>
      </c>
      <c r="D603">
        <v>4</v>
      </c>
      <c r="E603" t="s">
        <v>944</v>
      </c>
    </row>
    <row r="604" spans="1:5" x14ac:dyDescent="0.2">
      <c r="A604" t="s">
        <v>1721</v>
      </c>
      <c r="B604">
        <v>9003497000</v>
      </c>
      <c r="C604" t="s">
        <v>1722</v>
      </c>
      <c r="D604">
        <v>2</v>
      </c>
      <c r="E604" t="s">
        <v>944</v>
      </c>
    </row>
    <row r="605" spans="1:5" x14ac:dyDescent="0.2">
      <c r="A605" t="s">
        <v>1723</v>
      </c>
      <c r="B605">
        <v>9003497100</v>
      </c>
      <c r="C605" t="s">
        <v>1724</v>
      </c>
      <c r="D605">
        <v>2</v>
      </c>
      <c r="E605" t="s">
        <v>944</v>
      </c>
    </row>
    <row r="606" spans="1:5" x14ac:dyDescent="0.2">
      <c r="A606" t="s">
        <v>1723</v>
      </c>
      <c r="B606">
        <v>9003497100</v>
      </c>
      <c r="C606" t="s">
        <v>1724</v>
      </c>
      <c r="D606">
        <v>2</v>
      </c>
      <c r="E606" t="s">
        <v>944</v>
      </c>
    </row>
    <row r="607" spans="1:5" x14ac:dyDescent="0.2">
      <c r="A607" t="s">
        <v>2539</v>
      </c>
      <c r="B607">
        <v>9011712100</v>
      </c>
      <c r="C607" t="s">
        <v>2540</v>
      </c>
      <c r="D607">
        <v>3</v>
      </c>
      <c r="E607" t="s">
        <v>944</v>
      </c>
    </row>
    <row r="608" spans="1:5" x14ac:dyDescent="0.2">
      <c r="A608" t="s">
        <v>2539</v>
      </c>
      <c r="B608">
        <v>9011712100</v>
      </c>
      <c r="C608" t="s">
        <v>2540</v>
      </c>
      <c r="D608">
        <v>3</v>
      </c>
      <c r="E608" t="s">
        <v>944</v>
      </c>
    </row>
    <row r="609" spans="1:5" x14ac:dyDescent="0.2">
      <c r="A609" t="s">
        <v>1487</v>
      </c>
      <c r="B609">
        <v>9003415300</v>
      </c>
      <c r="C609" t="s">
        <v>1488</v>
      </c>
      <c r="D609">
        <v>8</v>
      </c>
      <c r="E609" t="s">
        <v>936</v>
      </c>
    </row>
    <row r="610" spans="1:5" x14ac:dyDescent="0.2">
      <c r="A610" t="s">
        <v>1861</v>
      </c>
      <c r="B610">
        <v>9003520100</v>
      </c>
      <c r="C610" t="s">
        <v>1862</v>
      </c>
      <c r="D610">
        <v>2</v>
      </c>
      <c r="E610" t="s">
        <v>944</v>
      </c>
    </row>
    <row r="611" spans="1:5" x14ac:dyDescent="0.2">
      <c r="A611" t="s">
        <v>1861</v>
      </c>
      <c r="B611">
        <v>9003520100</v>
      </c>
      <c r="C611" t="s">
        <v>1862</v>
      </c>
      <c r="D611">
        <v>2</v>
      </c>
      <c r="E611" t="s">
        <v>944</v>
      </c>
    </row>
    <row r="612" spans="1:5" x14ac:dyDescent="0.2">
      <c r="A612" t="s">
        <v>1737</v>
      </c>
      <c r="B612">
        <v>9003500100</v>
      </c>
      <c r="C612" t="s">
        <v>1738</v>
      </c>
      <c r="D612">
        <v>9</v>
      </c>
      <c r="E612" t="s">
        <v>936</v>
      </c>
    </row>
    <row r="613" spans="1:5" x14ac:dyDescent="0.2">
      <c r="A613" t="s">
        <v>1863</v>
      </c>
      <c r="B613">
        <v>9003520201</v>
      </c>
      <c r="C613" t="s">
        <v>1864</v>
      </c>
      <c r="D613">
        <v>2</v>
      </c>
      <c r="E613" t="s">
        <v>944</v>
      </c>
    </row>
    <row r="614" spans="1:5" x14ac:dyDescent="0.2">
      <c r="A614" t="s">
        <v>1863</v>
      </c>
      <c r="B614">
        <v>9003520201</v>
      </c>
      <c r="C614" t="s">
        <v>1864</v>
      </c>
      <c r="D614">
        <v>2</v>
      </c>
      <c r="E614" t="s">
        <v>944</v>
      </c>
    </row>
    <row r="615" spans="1:5" x14ac:dyDescent="0.2">
      <c r="A615" t="s">
        <v>1745</v>
      </c>
      <c r="B615">
        <v>9003500500</v>
      </c>
      <c r="C615" t="s">
        <v>1746</v>
      </c>
      <c r="D615">
        <v>3</v>
      </c>
      <c r="E615" t="s">
        <v>944</v>
      </c>
    </row>
    <row r="616" spans="1:5" x14ac:dyDescent="0.2">
      <c r="A616" t="s">
        <v>1753</v>
      </c>
      <c r="B616">
        <v>9003501400</v>
      </c>
      <c r="C616" t="s">
        <v>1754</v>
      </c>
      <c r="D616">
        <v>8</v>
      </c>
      <c r="E616" t="s">
        <v>936</v>
      </c>
    </row>
    <row r="617" spans="1:5" x14ac:dyDescent="0.2">
      <c r="A617" t="s">
        <v>1491</v>
      </c>
      <c r="B617">
        <v>9003415500</v>
      </c>
      <c r="C617" t="s">
        <v>1492</v>
      </c>
      <c r="D617">
        <v>6</v>
      </c>
      <c r="E617" t="s">
        <v>936</v>
      </c>
    </row>
    <row r="618" spans="1:5" x14ac:dyDescent="0.2">
      <c r="A618" t="s">
        <v>1865</v>
      </c>
      <c r="B618">
        <v>9003520202</v>
      </c>
      <c r="C618" t="s">
        <v>1866</v>
      </c>
      <c r="D618">
        <v>2</v>
      </c>
      <c r="E618" t="s">
        <v>944</v>
      </c>
    </row>
    <row r="619" spans="1:5" x14ac:dyDescent="0.2">
      <c r="A619" t="s">
        <v>1761</v>
      </c>
      <c r="B619">
        <v>9003502100</v>
      </c>
      <c r="C619" t="s">
        <v>1762</v>
      </c>
      <c r="D619">
        <v>2</v>
      </c>
      <c r="E619" t="s">
        <v>944</v>
      </c>
    </row>
    <row r="620" spans="1:5" x14ac:dyDescent="0.2">
      <c r="A620" t="s">
        <v>1493</v>
      </c>
      <c r="B620">
        <v>9003415600</v>
      </c>
      <c r="C620" t="s">
        <v>1494</v>
      </c>
      <c r="D620">
        <v>5</v>
      </c>
      <c r="E620" t="s">
        <v>944</v>
      </c>
    </row>
    <row r="621" spans="1:5" x14ac:dyDescent="0.2">
      <c r="A621" t="s">
        <v>1767</v>
      </c>
      <c r="B621">
        <v>9003502500</v>
      </c>
      <c r="C621" t="s">
        <v>1768</v>
      </c>
      <c r="D621">
        <v>6</v>
      </c>
      <c r="E621" t="s">
        <v>936</v>
      </c>
    </row>
    <row r="622" spans="1:5" x14ac:dyDescent="0.2">
      <c r="A622" t="s">
        <v>1867</v>
      </c>
      <c r="B622">
        <v>9003520301</v>
      </c>
      <c r="C622" t="s">
        <v>1868</v>
      </c>
      <c r="D622">
        <v>3</v>
      </c>
      <c r="E622" t="s">
        <v>944</v>
      </c>
    </row>
    <row r="623" spans="1:5" x14ac:dyDescent="0.2">
      <c r="A623" t="s">
        <v>1769</v>
      </c>
      <c r="B623">
        <v>9003502600</v>
      </c>
      <c r="C623" t="s">
        <v>1770</v>
      </c>
      <c r="D623">
        <v>7</v>
      </c>
      <c r="E623" t="s">
        <v>936</v>
      </c>
    </row>
    <row r="624" spans="1:5" x14ac:dyDescent="0.2">
      <c r="A624" t="s">
        <v>1495</v>
      </c>
      <c r="B624">
        <v>9003415700</v>
      </c>
      <c r="C624" t="s">
        <v>1496</v>
      </c>
      <c r="D624">
        <v>5</v>
      </c>
      <c r="E624" t="s">
        <v>944</v>
      </c>
    </row>
    <row r="625" spans="1:5" x14ac:dyDescent="0.2">
      <c r="A625" t="s">
        <v>1771</v>
      </c>
      <c r="B625">
        <v>9003502700</v>
      </c>
      <c r="C625" t="s">
        <v>1772</v>
      </c>
      <c r="D625">
        <v>7</v>
      </c>
      <c r="E625" t="s">
        <v>936</v>
      </c>
    </row>
    <row r="626" spans="1:5" x14ac:dyDescent="0.2">
      <c r="A626" t="s">
        <v>1869</v>
      </c>
      <c r="B626">
        <v>9003520302</v>
      </c>
      <c r="C626" t="s">
        <v>1870</v>
      </c>
      <c r="D626">
        <v>3</v>
      </c>
      <c r="E626" t="s">
        <v>944</v>
      </c>
    </row>
    <row r="627" spans="1:5" x14ac:dyDescent="0.2">
      <c r="A627" t="s">
        <v>1497</v>
      </c>
      <c r="B627">
        <v>9003415800</v>
      </c>
      <c r="C627" t="s">
        <v>1498</v>
      </c>
      <c r="D627">
        <v>4</v>
      </c>
      <c r="E627" t="s">
        <v>944</v>
      </c>
    </row>
    <row r="628" spans="1:5" x14ac:dyDescent="0.2">
      <c r="A628" t="s">
        <v>1775</v>
      </c>
      <c r="B628">
        <v>9003502900</v>
      </c>
      <c r="C628" t="s">
        <v>1776</v>
      </c>
      <c r="D628">
        <v>5</v>
      </c>
      <c r="E628" t="s">
        <v>944</v>
      </c>
    </row>
    <row r="629" spans="1:5" x14ac:dyDescent="0.2">
      <c r="A629" t="s">
        <v>1871</v>
      </c>
      <c r="B629">
        <v>9003520400</v>
      </c>
      <c r="C629" t="s">
        <v>1872</v>
      </c>
      <c r="D629">
        <v>2</v>
      </c>
      <c r="E629" t="s">
        <v>944</v>
      </c>
    </row>
    <row r="630" spans="1:5" x14ac:dyDescent="0.2">
      <c r="A630" t="s">
        <v>1873</v>
      </c>
      <c r="B630">
        <v>9003520501</v>
      </c>
      <c r="C630" t="s">
        <v>1874</v>
      </c>
      <c r="D630">
        <v>2</v>
      </c>
      <c r="E630" t="s">
        <v>944</v>
      </c>
    </row>
    <row r="631" spans="1:5" x14ac:dyDescent="0.2">
      <c r="A631" t="s">
        <v>1779</v>
      </c>
      <c r="B631">
        <v>9003503100</v>
      </c>
      <c r="C631" t="s">
        <v>1780</v>
      </c>
      <c r="D631">
        <v>5</v>
      </c>
      <c r="E631" t="s">
        <v>944</v>
      </c>
    </row>
    <row r="632" spans="1:5" x14ac:dyDescent="0.2">
      <c r="A632" t="s">
        <v>1501</v>
      </c>
      <c r="B632">
        <v>9003416000</v>
      </c>
      <c r="C632" t="s">
        <v>1502</v>
      </c>
      <c r="D632">
        <v>6</v>
      </c>
      <c r="E632" t="s">
        <v>936</v>
      </c>
    </row>
    <row r="633" spans="1:5" x14ac:dyDescent="0.2">
      <c r="A633" t="s">
        <v>1785</v>
      </c>
      <c r="B633">
        <v>9003503700</v>
      </c>
      <c r="C633" t="s">
        <v>1786</v>
      </c>
      <c r="D633">
        <v>7</v>
      </c>
      <c r="E633" t="s">
        <v>936</v>
      </c>
    </row>
    <row r="634" spans="1:5" x14ac:dyDescent="0.2">
      <c r="A634" t="s">
        <v>2021</v>
      </c>
      <c r="B634">
        <v>9007560100</v>
      </c>
      <c r="C634" t="s">
        <v>2022</v>
      </c>
      <c r="D634">
        <v>3</v>
      </c>
      <c r="E634" t="s">
        <v>944</v>
      </c>
    </row>
    <row r="635" spans="1:5" x14ac:dyDescent="0.2">
      <c r="A635" t="s">
        <v>2021</v>
      </c>
      <c r="B635">
        <v>9007560100</v>
      </c>
      <c r="C635" t="s">
        <v>2022</v>
      </c>
      <c r="D635">
        <v>3</v>
      </c>
      <c r="E635" t="s">
        <v>944</v>
      </c>
    </row>
    <row r="636" spans="1:5" x14ac:dyDescent="0.2">
      <c r="A636" t="s">
        <v>1787</v>
      </c>
      <c r="B636">
        <v>9003503800</v>
      </c>
      <c r="C636" t="s">
        <v>1788</v>
      </c>
      <c r="D636">
        <v>11</v>
      </c>
      <c r="E636" t="s">
        <v>936</v>
      </c>
    </row>
    <row r="637" spans="1:5" x14ac:dyDescent="0.2">
      <c r="A637" t="s">
        <v>1503</v>
      </c>
      <c r="B637">
        <v>9003416100</v>
      </c>
      <c r="C637" t="s">
        <v>1504</v>
      </c>
      <c r="D637">
        <v>8</v>
      </c>
      <c r="E637" t="s">
        <v>936</v>
      </c>
    </row>
    <row r="638" spans="1:5" x14ac:dyDescent="0.2">
      <c r="A638" t="s">
        <v>1841</v>
      </c>
      <c r="B638">
        <v>9003514400</v>
      </c>
      <c r="C638" t="s">
        <v>1842</v>
      </c>
      <c r="D638">
        <v>4</v>
      </c>
      <c r="E638" t="s">
        <v>944</v>
      </c>
    </row>
    <row r="639" spans="1:5" x14ac:dyDescent="0.2">
      <c r="A639" t="s">
        <v>1505</v>
      </c>
      <c r="B639">
        <v>9003416200</v>
      </c>
      <c r="C639" t="s">
        <v>1506</v>
      </c>
      <c r="D639">
        <v>6</v>
      </c>
      <c r="E639" t="s">
        <v>936</v>
      </c>
    </row>
    <row r="640" spans="1:5" x14ac:dyDescent="0.2">
      <c r="A640" t="s">
        <v>1843</v>
      </c>
      <c r="B640">
        <v>9003514500</v>
      </c>
      <c r="C640" t="s">
        <v>1844</v>
      </c>
      <c r="D640">
        <v>4</v>
      </c>
      <c r="E640" t="s">
        <v>944</v>
      </c>
    </row>
    <row r="641" spans="1:5" x14ac:dyDescent="0.2">
      <c r="A641" t="s">
        <v>1507</v>
      </c>
      <c r="B641">
        <v>9003416300</v>
      </c>
      <c r="C641" t="s">
        <v>1508</v>
      </c>
      <c r="D641">
        <v>6</v>
      </c>
      <c r="E641" t="s">
        <v>936</v>
      </c>
    </row>
    <row r="642" spans="1:5" x14ac:dyDescent="0.2">
      <c r="A642" t="s">
        <v>1507</v>
      </c>
      <c r="B642">
        <v>9003416300</v>
      </c>
      <c r="C642" t="s">
        <v>1508</v>
      </c>
      <c r="D642">
        <v>6</v>
      </c>
      <c r="E642" t="s">
        <v>936</v>
      </c>
    </row>
    <row r="643" spans="1:5" x14ac:dyDescent="0.2">
      <c r="A643" t="s">
        <v>1845</v>
      </c>
      <c r="B643">
        <v>9003514600</v>
      </c>
      <c r="C643" t="s">
        <v>1846</v>
      </c>
      <c r="D643">
        <v>4</v>
      </c>
      <c r="E643" t="s">
        <v>944</v>
      </c>
    </row>
    <row r="644" spans="1:5" x14ac:dyDescent="0.2">
      <c r="A644" t="s">
        <v>1847</v>
      </c>
      <c r="B644">
        <v>9003514700</v>
      </c>
      <c r="C644" t="s">
        <v>1848</v>
      </c>
      <c r="D644">
        <v>5</v>
      </c>
      <c r="E644" t="s">
        <v>944</v>
      </c>
    </row>
    <row r="645" spans="1:5" x14ac:dyDescent="0.2">
      <c r="A645" t="s">
        <v>1849</v>
      </c>
      <c r="B645">
        <v>9003514800</v>
      </c>
      <c r="C645" t="s">
        <v>1850</v>
      </c>
      <c r="D645">
        <v>6</v>
      </c>
      <c r="E645" t="s">
        <v>936</v>
      </c>
    </row>
    <row r="646" spans="1:5" x14ac:dyDescent="0.2">
      <c r="A646" t="s">
        <v>1509</v>
      </c>
      <c r="B646">
        <v>9003416400</v>
      </c>
      <c r="C646" t="s">
        <v>1510</v>
      </c>
      <c r="D646">
        <v>3</v>
      </c>
      <c r="E646" t="s">
        <v>944</v>
      </c>
    </row>
    <row r="647" spans="1:5" x14ac:dyDescent="0.2">
      <c r="A647" t="s">
        <v>1853</v>
      </c>
      <c r="B647">
        <v>9003515000</v>
      </c>
      <c r="C647" t="s">
        <v>1854</v>
      </c>
      <c r="D647">
        <v>3</v>
      </c>
      <c r="E647" t="s">
        <v>944</v>
      </c>
    </row>
    <row r="648" spans="1:5" x14ac:dyDescent="0.2">
      <c r="A648" t="s">
        <v>1857</v>
      </c>
      <c r="B648">
        <v>9003515102</v>
      </c>
      <c r="C648" t="s">
        <v>1858</v>
      </c>
      <c r="D648">
        <v>3</v>
      </c>
      <c r="E648" t="s">
        <v>944</v>
      </c>
    </row>
    <row r="649" spans="1:5" x14ac:dyDescent="0.2">
      <c r="A649" t="s">
        <v>1859</v>
      </c>
      <c r="B649">
        <v>9003515200</v>
      </c>
      <c r="C649" t="s">
        <v>1860</v>
      </c>
      <c r="D649">
        <v>3</v>
      </c>
      <c r="E649" t="s">
        <v>944</v>
      </c>
    </row>
    <row r="650" spans="1:5" x14ac:dyDescent="0.2">
      <c r="A650" t="s">
        <v>1513</v>
      </c>
      <c r="B650">
        <v>9003416600</v>
      </c>
      <c r="C650" t="s">
        <v>1514</v>
      </c>
      <c r="D650">
        <v>6</v>
      </c>
      <c r="E650" t="s">
        <v>936</v>
      </c>
    </row>
    <row r="651" spans="1:5" x14ac:dyDescent="0.2">
      <c r="A651" t="s">
        <v>1515</v>
      </c>
      <c r="B651">
        <v>9003416700</v>
      </c>
      <c r="C651" t="s">
        <v>1516</v>
      </c>
      <c r="D651">
        <v>5</v>
      </c>
      <c r="E651" t="s">
        <v>944</v>
      </c>
    </row>
    <row r="652" spans="1:5" x14ac:dyDescent="0.2">
      <c r="A652" t="s">
        <v>1517</v>
      </c>
      <c r="B652">
        <v>9003416800</v>
      </c>
      <c r="C652" t="s">
        <v>1518</v>
      </c>
      <c r="D652">
        <v>5</v>
      </c>
      <c r="E652" t="s">
        <v>944</v>
      </c>
    </row>
    <row r="653" spans="1:5" x14ac:dyDescent="0.2">
      <c r="A653" t="s">
        <v>1883</v>
      </c>
      <c r="B653">
        <v>9003524501</v>
      </c>
      <c r="C653" t="s">
        <v>1884</v>
      </c>
      <c r="D653">
        <v>4</v>
      </c>
      <c r="E653" t="s">
        <v>944</v>
      </c>
    </row>
    <row r="654" spans="1:5" x14ac:dyDescent="0.2">
      <c r="A654" t="s">
        <v>1523</v>
      </c>
      <c r="B654">
        <v>9003417400</v>
      </c>
      <c r="C654" t="s">
        <v>1524</v>
      </c>
      <c r="D654">
        <v>3</v>
      </c>
      <c r="E654" t="s">
        <v>944</v>
      </c>
    </row>
    <row r="655" spans="1:5" x14ac:dyDescent="0.2">
      <c r="A655" t="s">
        <v>1525</v>
      </c>
      <c r="B655">
        <v>9003417500</v>
      </c>
      <c r="C655" t="s">
        <v>1526</v>
      </c>
      <c r="D655">
        <v>4</v>
      </c>
      <c r="E655" t="s">
        <v>944</v>
      </c>
    </row>
    <row r="656" spans="1:5" x14ac:dyDescent="0.2">
      <c r="A656" t="s">
        <v>1527</v>
      </c>
      <c r="B656">
        <v>9003420400</v>
      </c>
      <c r="C656" t="s">
        <v>1528</v>
      </c>
      <c r="D656">
        <v>3</v>
      </c>
      <c r="E656" t="s">
        <v>944</v>
      </c>
    </row>
    <row r="657" spans="1:5" x14ac:dyDescent="0.2">
      <c r="A657" t="s">
        <v>2031</v>
      </c>
      <c r="B657">
        <v>9007580100</v>
      </c>
      <c r="C657" t="s">
        <v>2032</v>
      </c>
      <c r="D657">
        <v>3</v>
      </c>
      <c r="E657" t="s">
        <v>944</v>
      </c>
    </row>
    <row r="658" spans="1:5" x14ac:dyDescent="0.2">
      <c r="A658" t="s">
        <v>2031</v>
      </c>
      <c r="B658">
        <v>9007580100</v>
      </c>
      <c r="C658" t="s">
        <v>2032</v>
      </c>
      <c r="D658">
        <v>3</v>
      </c>
      <c r="E658" t="s">
        <v>944</v>
      </c>
    </row>
    <row r="659" spans="1:5" x14ac:dyDescent="0.2">
      <c r="A659" t="s">
        <v>1537</v>
      </c>
      <c r="B659">
        <v>9003430201</v>
      </c>
      <c r="C659" t="s">
        <v>1538</v>
      </c>
      <c r="D659">
        <v>4</v>
      </c>
      <c r="E659" t="s">
        <v>944</v>
      </c>
    </row>
    <row r="660" spans="1:5" x14ac:dyDescent="0.2">
      <c r="A660" t="s">
        <v>1541</v>
      </c>
      <c r="B660">
        <v>9003430203</v>
      </c>
      <c r="C660" t="s">
        <v>1542</v>
      </c>
      <c r="D660">
        <v>3</v>
      </c>
      <c r="E660" t="s">
        <v>944</v>
      </c>
    </row>
    <row r="661" spans="1:5" x14ac:dyDescent="0.2">
      <c r="A661" t="s">
        <v>1545</v>
      </c>
      <c r="B661">
        <v>9003430302</v>
      </c>
      <c r="C661" t="s">
        <v>1546</v>
      </c>
      <c r="D661">
        <v>3</v>
      </c>
      <c r="E661" t="s">
        <v>944</v>
      </c>
    </row>
    <row r="662" spans="1:5" x14ac:dyDescent="0.2">
      <c r="A662" t="s">
        <v>2639</v>
      </c>
      <c r="B662">
        <v>9015820000</v>
      </c>
      <c r="C662" t="s">
        <v>2640</v>
      </c>
      <c r="D662">
        <v>4</v>
      </c>
      <c r="E662" t="s">
        <v>944</v>
      </c>
    </row>
    <row r="663" spans="1:5" x14ac:dyDescent="0.2">
      <c r="A663" t="s">
        <v>2531</v>
      </c>
      <c r="B663">
        <v>9011709100</v>
      </c>
      <c r="C663" t="s">
        <v>2532</v>
      </c>
      <c r="D663">
        <v>4</v>
      </c>
      <c r="E663" t="s">
        <v>944</v>
      </c>
    </row>
    <row r="664" spans="1:5" x14ac:dyDescent="0.2">
      <c r="A664" t="s">
        <v>2531</v>
      </c>
      <c r="B664">
        <v>9011709100</v>
      </c>
      <c r="C664" t="s">
        <v>2532</v>
      </c>
      <c r="D664">
        <v>4</v>
      </c>
      <c r="E664" t="s">
        <v>944</v>
      </c>
    </row>
    <row r="665" spans="1:5" x14ac:dyDescent="0.2">
      <c r="A665" t="s">
        <v>2531</v>
      </c>
      <c r="B665">
        <v>9011709100</v>
      </c>
      <c r="C665" t="s">
        <v>2532</v>
      </c>
      <c r="D665">
        <v>4</v>
      </c>
      <c r="E665" t="s">
        <v>944</v>
      </c>
    </row>
    <row r="666" spans="1:5" x14ac:dyDescent="0.2">
      <c r="A666" t="s">
        <v>2531</v>
      </c>
      <c r="B666">
        <v>9011709100</v>
      </c>
      <c r="C666" t="s">
        <v>2532</v>
      </c>
      <c r="D666">
        <v>4</v>
      </c>
      <c r="E666" t="s">
        <v>944</v>
      </c>
    </row>
    <row r="667" spans="1:5" x14ac:dyDescent="0.2">
      <c r="A667" t="s">
        <v>2605</v>
      </c>
      <c r="B667">
        <v>9013840100</v>
      </c>
      <c r="C667" t="s">
        <v>2606</v>
      </c>
      <c r="D667">
        <v>4</v>
      </c>
      <c r="E667" t="s">
        <v>944</v>
      </c>
    </row>
    <row r="668" spans="1:5" x14ac:dyDescent="0.2">
      <c r="A668" t="s">
        <v>2605</v>
      </c>
      <c r="B668">
        <v>9013840100</v>
      </c>
      <c r="C668" t="s">
        <v>2606</v>
      </c>
      <c r="D668">
        <v>4</v>
      </c>
      <c r="E668" t="s">
        <v>944</v>
      </c>
    </row>
    <row r="669" spans="1:5" x14ac:dyDescent="0.2">
      <c r="A669" t="s">
        <v>2615</v>
      </c>
      <c r="B669">
        <v>9013881200</v>
      </c>
      <c r="C669" t="s">
        <v>2616</v>
      </c>
      <c r="D669">
        <v>3</v>
      </c>
      <c r="E669" t="s">
        <v>944</v>
      </c>
    </row>
    <row r="670" spans="1:5" x14ac:dyDescent="0.2">
      <c r="A670" t="s">
        <v>2617</v>
      </c>
      <c r="B670">
        <v>9013881300</v>
      </c>
      <c r="C670" t="s">
        <v>2618</v>
      </c>
      <c r="D670">
        <v>4</v>
      </c>
      <c r="E670" t="s">
        <v>944</v>
      </c>
    </row>
    <row r="671" spans="1:5" x14ac:dyDescent="0.2">
      <c r="A671" t="s">
        <v>2533</v>
      </c>
      <c r="B671">
        <v>9011709200</v>
      </c>
      <c r="C671" t="s">
        <v>2534</v>
      </c>
      <c r="D671">
        <v>5</v>
      </c>
      <c r="E671" t="s">
        <v>944</v>
      </c>
    </row>
    <row r="672" spans="1:5" x14ac:dyDescent="0.2">
      <c r="A672" t="s">
        <v>2533</v>
      </c>
      <c r="B672">
        <v>9011709200</v>
      </c>
      <c r="C672" t="s">
        <v>2534</v>
      </c>
      <c r="D672">
        <v>5</v>
      </c>
      <c r="E672" t="s">
        <v>944</v>
      </c>
    </row>
    <row r="673" spans="1:5" x14ac:dyDescent="0.2">
      <c r="A673" t="s">
        <v>2535</v>
      </c>
      <c r="B673">
        <v>9011710100</v>
      </c>
      <c r="C673" t="s">
        <v>2536</v>
      </c>
      <c r="D673">
        <v>3</v>
      </c>
      <c r="E673" t="s">
        <v>944</v>
      </c>
    </row>
    <row r="674" spans="1:5" x14ac:dyDescent="0.2">
      <c r="A674" t="s">
        <v>2535</v>
      </c>
      <c r="B674">
        <v>9011710100</v>
      </c>
      <c r="C674" t="s">
        <v>2536</v>
      </c>
      <c r="D674">
        <v>3</v>
      </c>
      <c r="E674" t="s">
        <v>944</v>
      </c>
    </row>
    <row r="675" spans="1:5" x14ac:dyDescent="0.2">
      <c r="A675" t="s">
        <v>1553</v>
      </c>
      <c r="B675">
        <v>9003430602</v>
      </c>
      <c r="C675" t="s">
        <v>1554</v>
      </c>
      <c r="D675">
        <v>3</v>
      </c>
      <c r="E675" t="s">
        <v>944</v>
      </c>
    </row>
    <row r="676" spans="1:5" x14ac:dyDescent="0.2">
      <c r="A676" t="s">
        <v>2499</v>
      </c>
      <c r="B676">
        <v>9011702100</v>
      </c>
      <c r="C676" t="s">
        <v>2500</v>
      </c>
      <c r="D676">
        <v>3</v>
      </c>
      <c r="E676" t="s">
        <v>944</v>
      </c>
    </row>
    <row r="677" spans="1:5" x14ac:dyDescent="0.2">
      <c r="A677" t="s">
        <v>2499</v>
      </c>
      <c r="B677">
        <v>9011702100</v>
      </c>
      <c r="C677" t="s">
        <v>2500</v>
      </c>
      <c r="D677">
        <v>3</v>
      </c>
      <c r="E677" t="s">
        <v>944</v>
      </c>
    </row>
    <row r="678" spans="1:5" x14ac:dyDescent="0.2">
      <c r="A678" t="s">
        <v>2399</v>
      </c>
      <c r="B678">
        <v>9009351500</v>
      </c>
      <c r="C678" t="s">
        <v>2400</v>
      </c>
      <c r="D678">
        <v>5</v>
      </c>
      <c r="E678" t="s">
        <v>944</v>
      </c>
    </row>
    <row r="679" spans="1:5" x14ac:dyDescent="0.2">
      <c r="A679" t="s">
        <v>2503</v>
      </c>
      <c r="B679">
        <v>9011702400</v>
      </c>
      <c r="C679" t="s">
        <v>2504</v>
      </c>
      <c r="D679">
        <v>3</v>
      </c>
      <c r="E679" t="s">
        <v>944</v>
      </c>
    </row>
    <row r="680" spans="1:5" x14ac:dyDescent="0.2">
      <c r="A680" t="s">
        <v>2401</v>
      </c>
      <c r="B680">
        <v>9009351601</v>
      </c>
      <c r="C680" t="s">
        <v>2402</v>
      </c>
      <c r="D680">
        <v>6</v>
      </c>
      <c r="E680" t="s">
        <v>936</v>
      </c>
    </row>
    <row r="681" spans="1:5" x14ac:dyDescent="0.2">
      <c r="A681" t="s">
        <v>2507</v>
      </c>
      <c r="B681">
        <v>9011702600</v>
      </c>
      <c r="C681" t="s">
        <v>2508</v>
      </c>
      <c r="D681">
        <v>3</v>
      </c>
      <c r="E681" t="s">
        <v>944</v>
      </c>
    </row>
    <row r="682" spans="1:5" x14ac:dyDescent="0.2">
      <c r="A682" t="s">
        <v>2509</v>
      </c>
      <c r="B682">
        <v>9011702700</v>
      </c>
      <c r="C682" t="s">
        <v>2510</v>
      </c>
      <c r="D682">
        <v>3</v>
      </c>
      <c r="E682" t="s">
        <v>944</v>
      </c>
    </row>
    <row r="683" spans="1:5" x14ac:dyDescent="0.2">
      <c r="A683" t="s">
        <v>1973</v>
      </c>
      <c r="B683">
        <v>9005360100</v>
      </c>
      <c r="C683" t="s">
        <v>1974</v>
      </c>
      <c r="D683">
        <v>3</v>
      </c>
      <c r="E683" t="s">
        <v>944</v>
      </c>
    </row>
    <row r="684" spans="1:5" x14ac:dyDescent="0.2">
      <c r="A684" t="s">
        <v>2511</v>
      </c>
      <c r="B684">
        <v>9011702800</v>
      </c>
      <c r="C684" t="s">
        <v>2512</v>
      </c>
      <c r="D684">
        <v>4</v>
      </c>
      <c r="E684" t="s">
        <v>944</v>
      </c>
    </row>
    <row r="685" spans="1:5" x14ac:dyDescent="0.2">
      <c r="A685" t="s">
        <v>2511</v>
      </c>
      <c r="B685">
        <v>9011702800</v>
      </c>
      <c r="C685" t="s">
        <v>2512</v>
      </c>
      <c r="D685">
        <v>4</v>
      </c>
      <c r="E685" t="s">
        <v>944</v>
      </c>
    </row>
    <row r="686" spans="1:5" x14ac:dyDescent="0.2">
      <c r="A686" t="s">
        <v>2513</v>
      </c>
      <c r="B686">
        <v>9011702900</v>
      </c>
      <c r="C686" t="s">
        <v>2514</v>
      </c>
      <c r="D686">
        <v>3</v>
      </c>
      <c r="E686" t="s">
        <v>944</v>
      </c>
    </row>
    <row r="687" spans="1:5" x14ac:dyDescent="0.2">
      <c r="A687" t="s">
        <v>2513</v>
      </c>
      <c r="B687">
        <v>9011702900</v>
      </c>
      <c r="C687" t="s">
        <v>2514</v>
      </c>
      <c r="D687">
        <v>3</v>
      </c>
      <c r="E687" t="s">
        <v>944</v>
      </c>
    </row>
    <row r="688" spans="1:5" x14ac:dyDescent="0.2">
      <c r="A688" t="s">
        <v>2515</v>
      </c>
      <c r="B688">
        <v>9011703000</v>
      </c>
      <c r="C688" t="s">
        <v>2516</v>
      </c>
      <c r="D688">
        <v>3</v>
      </c>
      <c r="E688" t="s">
        <v>944</v>
      </c>
    </row>
    <row r="689" spans="1:5" x14ac:dyDescent="0.2">
      <c r="A689" t="s">
        <v>2515</v>
      </c>
      <c r="B689">
        <v>9011703000</v>
      </c>
      <c r="C689" t="s">
        <v>2516</v>
      </c>
      <c r="D689">
        <v>3</v>
      </c>
      <c r="E689" t="s">
        <v>944</v>
      </c>
    </row>
    <row r="690" spans="1:5" x14ac:dyDescent="0.2">
      <c r="A690" t="s">
        <v>1579</v>
      </c>
      <c r="B690">
        <v>9003466101</v>
      </c>
      <c r="C690" t="s">
        <v>1580</v>
      </c>
      <c r="D690">
        <v>3</v>
      </c>
      <c r="E690" t="s">
        <v>944</v>
      </c>
    </row>
    <row r="691" spans="1:5" x14ac:dyDescent="0.2">
      <c r="A691" t="s">
        <v>1583</v>
      </c>
      <c r="B691">
        <v>9003466201</v>
      </c>
      <c r="C691" t="s">
        <v>1584</v>
      </c>
      <c r="D691">
        <v>3</v>
      </c>
      <c r="E691" t="s">
        <v>944</v>
      </c>
    </row>
    <row r="692" spans="1:5" x14ac:dyDescent="0.2">
      <c r="A692" t="s">
        <v>1589</v>
      </c>
      <c r="B692">
        <v>9003466400</v>
      </c>
      <c r="C692" t="s">
        <v>1590</v>
      </c>
      <c r="D692">
        <v>3</v>
      </c>
      <c r="E692" t="s">
        <v>944</v>
      </c>
    </row>
    <row r="693" spans="1:5" x14ac:dyDescent="0.2">
      <c r="A693" t="s">
        <v>1739</v>
      </c>
      <c r="B693">
        <v>9003500200</v>
      </c>
      <c r="C693" t="s">
        <v>1740</v>
      </c>
      <c r="D693">
        <v>8</v>
      </c>
      <c r="E693" t="s">
        <v>936</v>
      </c>
    </row>
    <row r="694" spans="1:5" x14ac:dyDescent="0.2">
      <c r="A694" t="s">
        <v>1743</v>
      </c>
      <c r="B694">
        <v>9003500400</v>
      </c>
      <c r="C694" t="s">
        <v>1744</v>
      </c>
      <c r="D694">
        <v>7</v>
      </c>
      <c r="E694" t="s">
        <v>936</v>
      </c>
    </row>
    <row r="695" spans="1:5" x14ac:dyDescent="0.2">
      <c r="A695" t="s">
        <v>1747</v>
      </c>
      <c r="B695">
        <v>9003500900</v>
      </c>
      <c r="C695" t="s">
        <v>1748</v>
      </c>
      <c r="D695">
        <v>9</v>
      </c>
      <c r="E695" t="s">
        <v>936</v>
      </c>
    </row>
    <row r="696" spans="1:5" x14ac:dyDescent="0.2">
      <c r="A696" t="s">
        <v>1749</v>
      </c>
      <c r="B696">
        <v>9003501200</v>
      </c>
      <c r="C696" t="s">
        <v>1750</v>
      </c>
      <c r="D696">
        <v>9</v>
      </c>
      <c r="E696" t="s">
        <v>936</v>
      </c>
    </row>
    <row r="697" spans="1:5" x14ac:dyDescent="0.2">
      <c r="A697" t="s">
        <v>1751</v>
      </c>
      <c r="B697">
        <v>9003501300</v>
      </c>
      <c r="C697" t="s">
        <v>1752</v>
      </c>
      <c r="D697">
        <v>9</v>
      </c>
      <c r="E697" t="s">
        <v>936</v>
      </c>
    </row>
    <row r="698" spans="1:5" x14ac:dyDescent="0.2">
      <c r="A698" t="s">
        <v>1755</v>
      </c>
      <c r="B698">
        <v>9003501500</v>
      </c>
      <c r="C698" t="s">
        <v>1756</v>
      </c>
      <c r="D698">
        <v>8</v>
      </c>
      <c r="E698" t="s">
        <v>936</v>
      </c>
    </row>
    <row r="699" spans="1:5" x14ac:dyDescent="0.2">
      <c r="A699" t="s">
        <v>1757</v>
      </c>
      <c r="B699">
        <v>9003501700</v>
      </c>
      <c r="C699" t="s">
        <v>1758</v>
      </c>
      <c r="D699">
        <v>8</v>
      </c>
      <c r="E699" t="s">
        <v>936</v>
      </c>
    </row>
    <row r="700" spans="1:5" x14ac:dyDescent="0.2">
      <c r="A700" t="s">
        <v>1763</v>
      </c>
      <c r="B700">
        <v>9003502300</v>
      </c>
      <c r="C700" t="s">
        <v>1764</v>
      </c>
      <c r="D700">
        <v>5</v>
      </c>
      <c r="E700" t="s">
        <v>944</v>
      </c>
    </row>
    <row r="701" spans="1:5" x14ac:dyDescent="0.2">
      <c r="A701" t="s">
        <v>1985</v>
      </c>
      <c r="B701">
        <v>9005425300</v>
      </c>
      <c r="C701" t="s">
        <v>1986</v>
      </c>
      <c r="D701">
        <v>3</v>
      </c>
      <c r="E701" t="s">
        <v>944</v>
      </c>
    </row>
    <row r="702" spans="1:5" x14ac:dyDescent="0.2">
      <c r="A702" t="s">
        <v>1985</v>
      </c>
      <c r="B702">
        <v>9005425300</v>
      </c>
      <c r="C702" t="s">
        <v>1986</v>
      </c>
      <c r="D702">
        <v>3</v>
      </c>
      <c r="E702" t="s">
        <v>944</v>
      </c>
    </row>
    <row r="703" spans="1:5" x14ac:dyDescent="0.2">
      <c r="A703" t="s">
        <v>1985</v>
      </c>
      <c r="B703">
        <v>9005425300</v>
      </c>
      <c r="C703" t="s">
        <v>1986</v>
      </c>
      <c r="D703">
        <v>3</v>
      </c>
      <c r="E703" t="s">
        <v>944</v>
      </c>
    </row>
    <row r="704" spans="1:5" x14ac:dyDescent="0.2">
      <c r="A704" t="s">
        <v>1765</v>
      </c>
      <c r="B704">
        <v>9003502400</v>
      </c>
      <c r="C704" t="s">
        <v>1766</v>
      </c>
      <c r="D704">
        <v>7</v>
      </c>
      <c r="E704" t="s">
        <v>936</v>
      </c>
    </row>
    <row r="705" spans="1:5" x14ac:dyDescent="0.2">
      <c r="A705" t="s">
        <v>1781</v>
      </c>
      <c r="B705">
        <v>9003503300</v>
      </c>
      <c r="C705" t="s">
        <v>1782</v>
      </c>
      <c r="D705">
        <v>6</v>
      </c>
      <c r="E705" t="s">
        <v>936</v>
      </c>
    </row>
    <row r="706" spans="1:5" x14ac:dyDescent="0.2">
      <c r="A706" t="s">
        <v>1631</v>
      </c>
      <c r="B706">
        <v>9003477102</v>
      </c>
      <c r="C706" t="s">
        <v>1632</v>
      </c>
      <c r="D706">
        <v>3</v>
      </c>
      <c r="E706" t="s">
        <v>944</v>
      </c>
    </row>
    <row r="707" spans="1:5" x14ac:dyDescent="0.2">
      <c r="A707" t="s">
        <v>1783</v>
      </c>
      <c r="B707">
        <v>9003503500</v>
      </c>
      <c r="C707" t="s">
        <v>1784</v>
      </c>
      <c r="D707">
        <v>8</v>
      </c>
      <c r="E707" t="s">
        <v>936</v>
      </c>
    </row>
    <row r="708" spans="1:5" x14ac:dyDescent="0.2">
      <c r="A708" t="s">
        <v>1791</v>
      </c>
      <c r="B708">
        <v>9003504000</v>
      </c>
      <c r="C708" t="s">
        <v>1792</v>
      </c>
      <c r="D708">
        <v>6</v>
      </c>
      <c r="E708" t="s">
        <v>936</v>
      </c>
    </row>
    <row r="709" spans="1:5" x14ac:dyDescent="0.2">
      <c r="A709" t="s">
        <v>1793</v>
      </c>
      <c r="B709">
        <v>9003504100</v>
      </c>
      <c r="C709" t="s">
        <v>1794</v>
      </c>
      <c r="D709">
        <v>8</v>
      </c>
      <c r="E709" t="s">
        <v>936</v>
      </c>
    </row>
    <row r="710" spans="1:5" x14ac:dyDescent="0.2">
      <c r="A710" t="s">
        <v>1795</v>
      </c>
      <c r="B710">
        <v>9003504200</v>
      </c>
      <c r="C710" t="s">
        <v>1796</v>
      </c>
      <c r="D710">
        <v>5</v>
      </c>
      <c r="E710" t="s">
        <v>944</v>
      </c>
    </row>
    <row r="711" spans="1:5" x14ac:dyDescent="0.2">
      <c r="A711" t="s">
        <v>1797</v>
      </c>
      <c r="B711">
        <v>9003504300</v>
      </c>
      <c r="C711" t="s">
        <v>1798</v>
      </c>
      <c r="D711">
        <v>9</v>
      </c>
      <c r="E711" t="s">
        <v>936</v>
      </c>
    </row>
    <row r="712" spans="1:5" x14ac:dyDescent="0.2">
      <c r="A712" t="s">
        <v>1799</v>
      </c>
      <c r="B712">
        <v>9003504500</v>
      </c>
      <c r="C712" t="s">
        <v>1800</v>
      </c>
      <c r="D712">
        <v>7</v>
      </c>
      <c r="E712" t="s">
        <v>936</v>
      </c>
    </row>
    <row r="713" spans="1:5" x14ac:dyDescent="0.2">
      <c r="A713" t="s">
        <v>1801</v>
      </c>
      <c r="B713">
        <v>9003504800</v>
      </c>
      <c r="C713" t="s">
        <v>1802</v>
      </c>
      <c r="D713">
        <v>6</v>
      </c>
      <c r="E713" t="s">
        <v>936</v>
      </c>
    </row>
    <row r="714" spans="1:5" x14ac:dyDescent="0.2">
      <c r="A714" t="s">
        <v>1803</v>
      </c>
      <c r="B714">
        <v>9003504900</v>
      </c>
      <c r="C714" t="s">
        <v>1804</v>
      </c>
      <c r="D714">
        <v>6</v>
      </c>
      <c r="E714" t="s">
        <v>936</v>
      </c>
    </row>
    <row r="715" spans="1:5" x14ac:dyDescent="0.2">
      <c r="A715" t="s">
        <v>1881</v>
      </c>
      <c r="B715">
        <v>9003524400</v>
      </c>
      <c r="C715" t="s">
        <v>1882</v>
      </c>
      <c r="D715">
        <v>8</v>
      </c>
      <c r="E715" t="s">
        <v>936</v>
      </c>
    </row>
    <row r="716" spans="1:5" x14ac:dyDescent="0.2">
      <c r="A716" t="s">
        <v>1885</v>
      </c>
      <c r="B716">
        <v>9003524502</v>
      </c>
      <c r="C716" t="s">
        <v>1886</v>
      </c>
      <c r="D716">
        <v>2</v>
      </c>
      <c r="E716" t="s">
        <v>944</v>
      </c>
    </row>
    <row r="717" spans="1:5" x14ac:dyDescent="0.2">
      <c r="A717" t="s">
        <v>1887</v>
      </c>
      <c r="B717">
        <v>9003524600</v>
      </c>
      <c r="C717" t="s">
        <v>1888</v>
      </c>
      <c r="D717">
        <v>4</v>
      </c>
      <c r="E717" t="s">
        <v>944</v>
      </c>
    </row>
    <row r="718" spans="1:5" x14ac:dyDescent="0.2">
      <c r="A718" t="s">
        <v>1889</v>
      </c>
      <c r="B718">
        <v>9003524700</v>
      </c>
      <c r="C718" t="s">
        <v>1890</v>
      </c>
      <c r="D718">
        <v>5</v>
      </c>
      <c r="E718" t="s">
        <v>944</v>
      </c>
    </row>
    <row r="719" spans="1:5" x14ac:dyDescent="0.2">
      <c r="A719" t="s">
        <v>1663</v>
      </c>
      <c r="B719">
        <v>9003487201</v>
      </c>
      <c r="C719" t="s">
        <v>1664</v>
      </c>
      <c r="D719">
        <v>3</v>
      </c>
      <c r="E719" t="s">
        <v>944</v>
      </c>
    </row>
    <row r="720" spans="1:5" x14ac:dyDescent="0.2">
      <c r="A720" t="s">
        <v>1663</v>
      </c>
      <c r="B720">
        <v>9003487201</v>
      </c>
      <c r="C720" t="s">
        <v>1664</v>
      </c>
      <c r="D720">
        <v>3</v>
      </c>
      <c r="E720" t="s">
        <v>944</v>
      </c>
    </row>
    <row r="721" spans="1:5" x14ac:dyDescent="0.2">
      <c r="A721" t="s">
        <v>1665</v>
      </c>
      <c r="B721">
        <v>9003487202</v>
      </c>
      <c r="C721" t="s">
        <v>1666</v>
      </c>
      <c r="D721">
        <v>2</v>
      </c>
      <c r="E721" t="s">
        <v>944</v>
      </c>
    </row>
    <row r="722" spans="1:5" x14ac:dyDescent="0.2">
      <c r="A722" t="s">
        <v>1665</v>
      </c>
      <c r="B722">
        <v>9003487202</v>
      </c>
      <c r="C722" t="s">
        <v>1666</v>
      </c>
      <c r="D722">
        <v>2</v>
      </c>
      <c r="E722" t="s">
        <v>944</v>
      </c>
    </row>
    <row r="723" spans="1:5" x14ac:dyDescent="0.2">
      <c r="A723" t="s">
        <v>1667</v>
      </c>
      <c r="B723">
        <v>9003487300</v>
      </c>
      <c r="C723" t="s">
        <v>1668</v>
      </c>
      <c r="D723">
        <v>3</v>
      </c>
      <c r="E723" t="s">
        <v>944</v>
      </c>
    </row>
    <row r="724" spans="1:5" x14ac:dyDescent="0.2">
      <c r="A724" t="s">
        <v>1671</v>
      </c>
      <c r="B724">
        <v>9003487500</v>
      </c>
      <c r="C724" t="s">
        <v>1672</v>
      </c>
      <c r="D724">
        <v>3</v>
      </c>
      <c r="E724" t="s">
        <v>944</v>
      </c>
    </row>
    <row r="725" spans="1:5" x14ac:dyDescent="0.2">
      <c r="A725" t="s">
        <v>1671</v>
      </c>
      <c r="B725">
        <v>9003487500</v>
      </c>
      <c r="C725" t="s">
        <v>1672</v>
      </c>
      <c r="D725">
        <v>3</v>
      </c>
      <c r="E725" t="s">
        <v>944</v>
      </c>
    </row>
    <row r="726" spans="1:5" x14ac:dyDescent="0.2">
      <c r="A726" t="s">
        <v>1673</v>
      </c>
      <c r="B726">
        <v>9003490100</v>
      </c>
      <c r="C726" t="s">
        <v>1674</v>
      </c>
      <c r="D726">
        <v>3</v>
      </c>
      <c r="E726" t="s">
        <v>944</v>
      </c>
    </row>
    <row r="727" spans="1:5" x14ac:dyDescent="0.2">
      <c r="A727" t="s">
        <v>1687</v>
      </c>
      <c r="B727">
        <v>9003492600</v>
      </c>
      <c r="C727" t="s">
        <v>1688</v>
      </c>
      <c r="D727">
        <v>3</v>
      </c>
      <c r="E727" t="s">
        <v>944</v>
      </c>
    </row>
    <row r="728" spans="1:5" x14ac:dyDescent="0.2">
      <c r="A728" t="s">
        <v>1687</v>
      </c>
      <c r="B728">
        <v>9003492600</v>
      </c>
      <c r="C728" t="s">
        <v>1688</v>
      </c>
      <c r="D728">
        <v>3</v>
      </c>
      <c r="E728" t="s">
        <v>944</v>
      </c>
    </row>
    <row r="729" spans="1:5" x14ac:dyDescent="0.2">
      <c r="A729" t="s">
        <v>1689</v>
      </c>
      <c r="B729">
        <v>9003494100</v>
      </c>
      <c r="C729" t="s">
        <v>1690</v>
      </c>
      <c r="D729">
        <v>3</v>
      </c>
      <c r="E729" t="s">
        <v>944</v>
      </c>
    </row>
    <row r="730" spans="1:5" x14ac:dyDescent="0.2">
      <c r="A730" t="s">
        <v>1691</v>
      </c>
      <c r="B730">
        <v>9003494201</v>
      </c>
      <c r="C730" t="s">
        <v>1692</v>
      </c>
      <c r="D730">
        <v>3</v>
      </c>
      <c r="E730" t="s">
        <v>944</v>
      </c>
    </row>
    <row r="731" spans="1:5" x14ac:dyDescent="0.2">
      <c r="A731" t="s">
        <v>1693</v>
      </c>
      <c r="B731">
        <v>9003494202</v>
      </c>
      <c r="C731" t="s">
        <v>1694</v>
      </c>
      <c r="D731">
        <v>2</v>
      </c>
      <c r="E731" t="s">
        <v>944</v>
      </c>
    </row>
    <row r="732" spans="1:5" x14ac:dyDescent="0.2">
      <c r="A732" t="s">
        <v>1695</v>
      </c>
      <c r="B732">
        <v>9003494300</v>
      </c>
      <c r="C732" t="s">
        <v>1696</v>
      </c>
      <c r="D732">
        <v>3</v>
      </c>
      <c r="E732" t="s">
        <v>944</v>
      </c>
    </row>
    <row r="733" spans="1:5" x14ac:dyDescent="0.2">
      <c r="A733" t="s">
        <v>1695</v>
      </c>
      <c r="B733">
        <v>9003494300</v>
      </c>
      <c r="C733" t="s">
        <v>1696</v>
      </c>
      <c r="D733">
        <v>3</v>
      </c>
      <c r="E733" t="s">
        <v>944</v>
      </c>
    </row>
    <row r="734" spans="1:5" x14ac:dyDescent="0.2">
      <c r="A734" t="s">
        <v>1697</v>
      </c>
      <c r="B734">
        <v>9003494400</v>
      </c>
      <c r="C734" t="s">
        <v>1698</v>
      </c>
      <c r="D734">
        <v>3</v>
      </c>
      <c r="E734" t="s">
        <v>944</v>
      </c>
    </row>
    <row r="735" spans="1:5" x14ac:dyDescent="0.2">
      <c r="A735" t="s">
        <v>1699</v>
      </c>
      <c r="B735">
        <v>9003494500</v>
      </c>
      <c r="C735" t="s">
        <v>1700</v>
      </c>
      <c r="D735">
        <v>3</v>
      </c>
      <c r="E735" t="s">
        <v>944</v>
      </c>
    </row>
    <row r="736" spans="1:5" x14ac:dyDescent="0.2">
      <c r="A736" t="s">
        <v>1701</v>
      </c>
      <c r="B736">
        <v>9003494600</v>
      </c>
      <c r="C736" t="s">
        <v>1702</v>
      </c>
      <c r="D736">
        <v>3</v>
      </c>
      <c r="E736" t="s">
        <v>944</v>
      </c>
    </row>
    <row r="737" spans="1:5" x14ac:dyDescent="0.2">
      <c r="A737" t="s">
        <v>2661</v>
      </c>
      <c r="B737">
        <v>9015904400</v>
      </c>
      <c r="C737" t="s">
        <v>2662</v>
      </c>
      <c r="D737">
        <v>5</v>
      </c>
      <c r="E737" t="s">
        <v>944</v>
      </c>
    </row>
    <row r="738" spans="1:5" x14ac:dyDescent="0.2">
      <c r="A738" t="s">
        <v>1703</v>
      </c>
      <c r="B738">
        <v>9003496100</v>
      </c>
      <c r="C738" t="s">
        <v>1704</v>
      </c>
      <c r="D738">
        <v>5</v>
      </c>
      <c r="E738" t="s">
        <v>944</v>
      </c>
    </row>
    <row r="739" spans="1:5" x14ac:dyDescent="0.2">
      <c r="A739" t="s">
        <v>1707</v>
      </c>
      <c r="B739">
        <v>9003496300</v>
      </c>
      <c r="C739" t="s">
        <v>1708</v>
      </c>
      <c r="D739">
        <v>3</v>
      </c>
      <c r="E739" t="s">
        <v>944</v>
      </c>
    </row>
    <row r="740" spans="1:5" x14ac:dyDescent="0.2">
      <c r="A740" t="s">
        <v>2671</v>
      </c>
      <c r="B740">
        <v>9015907200</v>
      </c>
      <c r="C740" t="s">
        <v>2672</v>
      </c>
      <c r="D740">
        <v>5</v>
      </c>
      <c r="E740" t="s">
        <v>944</v>
      </c>
    </row>
    <row r="741" spans="1:5" x14ac:dyDescent="0.2">
      <c r="A741" t="s">
        <v>2671</v>
      </c>
      <c r="B741">
        <v>9015907200</v>
      </c>
      <c r="C741" t="s">
        <v>2672</v>
      </c>
      <c r="D741">
        <v>5</v>
      </c>
      <c r="E741" t="s">
        <v>944</v>
      </c>
    </row>
    <row r="742" spans="1:5" x14ac:dyDescent="0.2">
      <c r="A742" t="s">
        <v>2671</v>
      </c>
      <c r="B742">
        <v>9015907200</v>
      </c>
      <c r="C742" t="s">
        <v>2672</v>
      </c>
      <c r="D742">
        <v>5</v>
      </c>
      <c r="E742" t="s">
        <v>944</v>
      </c>
    </row>
    <row r="743" spans="1:5" x14ac:dyDescent="0.2">
      <c r="A743" t="s">
        <v>2055</v>
      </c>
      <c r="B743">
        <v>9007640100</v>
      </c>
      <c r="C743" t="s">
        <v>2056</v>
      </c>
      <c r="D743">
        <v>3</v>
      </c>
      <c r="E743" t="s">
        <v>944</v>
      </c>
    </row>
    <row r="744" spans="1:5" x14ac:dyDescent="0.2">
      <c r="A744" t="s">
        <v>2495</v>
      </c>
      <c r="B744">
        <v>9011701100</v>
      </c>
      <c r="C744" t="s">
        <v>2496</v>
      </c>
      <c r="D744">
        <v>4</v>
      </c>
      <c r="E744" t="s">
        <v>944</v>
      </c>
    </row>
    <row r="745" spans="1:5" x14ac:dyDescent="0.2">
      <c r="A745" t="s">
        <v>2497</v>
      </c>
      <c r="B745">
        <v>9011701200</v>
      </c>
      <c r="C745" t="s">
        <v>2498</v>
      </c>
      <c r="D745">
        <v>3</v>
      </c>
      <c r="E745" t="s">
        <v>944</v>
      </c>
    </row>
    <row r="746" spans="1:5" x14ac:dyDescent="0.2">
      <c r="A746" t="s">
        <v>2463</v>
      </c>
      <c r="B746">
        <v>9011693400</v>
      </c>
      <c r="C746" t="s">
        <v>2464</v>
      </c>
      <c r="D746">
        <v>4</v>
      </c>
      <c r="E746" t="s">
        <v>944</v>
      </c>
    </row>
    <row r="747" spans="1:5" x14ac:dyDescent="0.2">
      <c r="A747" t="s">
        <v>2463</v>
      </c>
      <c r="B747">
        <v>9011693400</v>
      </c>
      <c r="C747" t="s">
        <v>2464</v>
      </c>
      <c r="D747">
        <v>4</v>
      </c>
      <c r="E747" t="s">
        <v>944</v>
      </c>
    </row>
    <row r="748" spans="1:5" x14ac:dyDescent="0.2">
      <c r="A748" t="s">
        <v>2463</v>
      </c>
      <c r="B748">
        <v>9011693400</v>
      </c>
      <c r="C748" t="s">
        <v>2464</v>
      </c>
      <c r="D748">
        <v>4</v>
      </c>
      <c r="E748" t="s">
        <v>944</v>
      </c>
    </row>
    <row r="749" spans="1:5" x14ac:dyDescent="0.2">
      <c r="A749" t="s">
        <v>2443</v>
      </c>
      <c r="B749">
        <v>9011650100</v>
      </c>
      <c r="C749" t="s">
        <v>2444</v>
      </c>
      <c r="D749">
        <v>3</v>
      </c>
      <c r="E749" t="s">
        <v>944</v>
      </c>
    </row>
    <row r="750" spans="1:5" x14ac:dyDescent="0.2">
      <c r="A750" t="s">
        <v>2443</v>
      </c>
      <c r="B750">
        <v>9011650100</v>
      </c>
      <c r="C750" t="s">
        <v>2444</v>
      </c>
      <c r="D750">
        <v>3</v>
      </c>
      <c r="E750" t="s">
        <v>944</v>
      </c>
    </row>
    <row r="751" spans="1:5" x14ac:dyDescent="0.2">
      <c r="A751" t="s">
        <v>1833</v>
      </c>
      <c r="B751">
        <v>9003514101</v>
      </c>
      <c r="C751" t="s">
        <v>1834</v>
      </c>
      <c r="D751">
        <v>3</v>
      </c>
      <c r="E751" t="s">
        <v>944</v>
      </c>
    </row>
    <row r="752" spans="1:5" x14ac:dyDescent="0.2">
      <c r="A752" t="s">
        <v>1833</v>
      </c>
      <c r="B752">
        <v>9003514101</v>
      </c>
      <c r="C752" t="s">
        <v>1834</v>
      </c>
      <c r="D752">
        <v>3</v>
      </c>
      <c r="E752" t="s">
        <v>944</v>
      </c>
    </row>
    <row r="753" spans="1:5" x14ac:dyDescent="0.2">
      <c r="A753" t="s">
        <v>1837</v>
      </c>
      <c r="B753">
        <v>9003514200</v>
      </c>
      <c r="C753" t="s">
        <v>1838</v>
      </c>
      <c r="D753">
        <v>4</v>
      </c>
      <c r="E753" t="s">
        <v>944</v>
      </c>
    </row>
    <row r="754" spans="1:5" x14ac:dyDescent="0.2">
      <c r="A754" t="s">
        <v>1839</v>
      </c>
      <c r="B754">
        <v>9003514300</v>
      </c>
      <c r="C754" t="s">
        <v>1840</v>
      </c>
      <c r="D754">
        <v>4</v>
      </c>
      <c r="E754" t="s">
        <v>944</v>
      </c>
    </row>
    <row r="755" spans="1:5" x14ac:dyDescent="0.2">
      <c r="A755" t="s">
        <v>1855</v>
      </c>
      <c r="B755">
        <v>9003515101</v>
      </c>
      <c r="C755" t="s">
        <v>1856</v>
      </c>
      <c r="D755">
        <v>3</v>
      </c>
      <c r="E755" t="s">
        <v>944</v>
      </c>
    </row>
    <row r="756" spans="1:5" x14ac:dyDescent="0.2">
      <c r="A756" t="s">
        <v>2589</v>
      </c>
      <c r="B756">
        <v>9013530500</v>
      </c>
      <c r="C756" t="s">
        <v>2590</v>
      </c>
      <c r="D756">
        <v>3</v>
      </c>
      <c r="E756" t="s">
        <v>944</v>
      </c>
    </row>
    <row r="757" spans="1:5" x14ac:dyDescent="0.2">
      <c r="A757" t="s">
        <v>2589</v>
      </c>
      <c r="B757">
        <v>9013530500</v>
      </c>
      <c r="C757" t="s">
        <v>2590</v>
      </c>
      <c r="D757">
        <v>3</v>
      </c>
      <c r="E757" t="s">
        <v>944</v>
      </c>
    </row>
    <row r="758" spans="1:5" x14ac:dyDescent="0.2">
      <c r="A758" t="s">
        <v>2619</v>
      </c>
      <c r="B758">
        <v>9013881500</v>
      </c>
      <c r="C758" t="s">
        <v>2620</v>
      </c>
      <c r="D758">
        <v>3</v>
      </c>
      <c r="E758" t="s">
        <v>944</v>
      </c>
    </row>
    <row r="759" spans="1:5" x14ac:dyDescent="0.2">
      <c r="A759" t="s">
        <v>1875</v>
      </c>
      <c r="B759">
        <v>9003524100</v>
      </c>
      <c r="C759" t="s">
        <v>1876</v>
      </c>
      <c r="D759">
        <v>3</v>
      </c>
      <c r="E759" t="s">
        <v>944</v>
      </c>
    </row>
    <row r="760" spans="1:5" x14ac:dyDescent="0.2">
      <c r="A760" t="s">
        <v>1877</v>
      </c>
      <c r="B760">
        <v>9003524200</v>
      </c>
      <c r="C760" t="s">
        <v>1878</v>
      </c>
      <c r="D760">
        <v>3</v>
      </c>
      <c r="E760" t="s">
        <v>944</v>
      </c>
    </row>
    <row r="761" spans="1:5" x14ac:dyDescent="0.2">
      <c r="A761" t="s">
        <v>2581</v>
      </c>
      <c r="B761">
        <v>9013530200</v>
      </c>
      <c r="C761" t="s">
        <v>2582</v>
      </c>
      <c r="D761">
        <v>5</v>
      </c>
      <c r="E761" t="s">
        <v>944</v>
      </c>
    </row>
    <row r="762" spans="1:5" x14ac:dyDescent="0.2">
      <c r="A762" t="s">
        <v>2583</v>
      </c>
      <c r="B762">
        <v>9013530301</v>
      </c>
      <c r="C762" t="s">
        <v>2584</v>
      </c>
      <c r="D762">
        <v>3</v>
      </c>
      <c r="E762" t="s">
        <v>944</v>
      </c>
    </row>
    <row r="763" spans="1:5" x14ac:dyDescent="0.2">
      <c r="A763" t="s">
        <v>2583</v>
      </c>
      <c r="B763">
        <v>9013530301</v>
      </c>
      <c r="C763" t="s">
        <v>2584</v>
      </c>
      <c r="D763">
        <v>3</v>
      </c>
      <c r="E763" t="s">
        <v>944</v>
      </c>
    </row>
    <row r="764" spans="1:5" x14ac:dyDescent="0.2">
      <c r="A764" t="s">
        <v>2585</v>
      </c>
      <c r="B764">
        <v>9013530302</v>
      </c>
      <c r="C764" t="s">
        <v>2586</v>
      </c>
      <c r="D764">
        <v>3</v>
      </c>
      <c r="E764" t="s">
        <v>944</v>
      </c>
    </row>
    <row r="765" spans="1:5" x14ac:dyDescent="0.2">
      <c r="A765" t="s">
        <v>2585</v>
      </c>
      <c r="B765">
        <v>9013530302</v>
      </c>
      <c r="C765" t="s">
        <v>2586</v>
      </c>
      <c r="D765">
        <v>3</v>
      </c>
      <c r="E765" t="s">
        <v>944</v>
      </c>
    </row>
    <row r="766" spans="1:5" x14ac:dyDescent="0.2">
      <c r="A766" t="s">
        <v>2587</v>
      </c>
      <c r="B766">
        <v>9013530400</v>
      </c>
      <c r="C766" t="s">
        <v>2588</v>
      </c>
      <c r="D766">
        <v>3</v>
      </c>
      <c r="E766" t="s">
        <v>944</v>
      </c>
    </row>
    <row r="767" spans="1:5" x14ac:dyDescent="0.2">
      <c r="A767" t="s">
        <v>2593</v>
      </c>
      <c r="B767">
        <v>9013533101</v>
      </c>
      <c r="C767" t="s">
        <v>2594</v>
      </c>
      <c r="D767">
        <v>3</v>
      </c>
      <c r="E767" t="s">
        <v>944</v>
      </c>
    </row>
    <row r="768" spans="1:5" x14ac:dyDescent="0.2">
      <c r="A768" t="s">
        <v>2595</v>
      </c>
      <c r="B768">
        <v>9013533102</v>
      </c>
      <c r="C768" t="s">
        <v>2596</v>
      </c>
      <c r="D768">
        <v>3</v>
      </c>
      <c r="E768" t="s">
        <v>944</v>
      </c>
    </row>
    <row r="769" spans="1:5" x14ac:dyDescent="0.2">
      <c r="A769" t="s">
        <v>1993</v>
      </c>
      <c r="B769">
        <v>9007541100</v>
      </c>
      <c r="C769" t="s">
        <v>1994</v>
      </c>
      <c r="D769">
        <v>6</v>
      </c>
      <c r="E769" t="s">
        <v>936</v>
      </c>
    </row>
    <row r="770" spans="1:5" x14ac:dyDescent="0.2">
      <c r="A770" t="s">
        <v>1995</v>
      </c>
      <c r="B770">
        <v>9007541200</v>
      </c>
      <c r="C770" t="s">
        <v>1996</v>
      </c>
      <c r="D770">
        <v>3</v>
      </c>
      <c r="E770" t="s">
        <v>944</v>
      </c>
    </row>
    <row r="771" spans="1:5" x14ac:dyDescent="0.2">
      <c r="A771" t="s">
        <v>1997</v>
      </c>
      <c r="B771">
        <v>9007541300</v>
      </c>
      <c r="C771" t="s">
        <v>1998</v>
      </c>
      <c r="D771">
        <v>2</v>
      </c>
      <c r="E771" t="s">
        <v>944</v>
      </c>
    </row>
    <row r="772" spans="1:5" x14ac:dyDescent="0.2">
      <c r="A772" t="s">
        <v>1999</v>
      </c>
      <c r="B772">
        <v>9007541401</v>
      </c>
      <c r="C772" t="s">
        <v>2000</v>
      </c>
      <c r="D772">
        <v>3</v>
      </c>
      <c r="E772" t="s">
        <v>944</v>
      </c>
    </row>
    <row r="773" spans="1:5" x14ac:dyDescent="0.2">
      <c r="A773" t="s">
        <v>2001</v>
      </c>
      <c r="B773">
        <v>9007541402</v>
      </c>
      <c r="C773" t="s">
        <v>2002</v>
      </c>
      <c r="D773">
        <v>3</v>
      </c>
      <c r="E773" t="s">
        <v>944</v>
      </c>
    </row>
    <row r="774" spans="1:5" x14ac:dyDescent="0.2">
      <c r="A774" t="s">
        <v>2003</v>
      </c>
      <c r="B774">
        <v>9007541500</v>
      </c>
      <c r="C774" t="s">
        <v>2004</v>
      </c>
      <c r="D774">
        <v>4</v>
      </c>
      <c r="E774" t="s">
        <v>944</v>
      </c>
    </row>
    <row r="775" spans="1:5" x14ac:dyDescent="0.2">
      <c r="A775" t="s">
        <v>2005</v>
      </c>
      <c r="B775">
        <v>9007541600</v>
      </c>
      <c r="C775" t="s">
        <v>2006</v>
      </c>
      <c r="D775">
        <v>6</v>
      </c>
      <c r="E775" t="s">
        <v>936</v>
      </c>
    </row>
    <row r="776" spans="1:5" x14ac:dyDescent="0.2">
      <c r="A776" t="s">
        <v>2007</v>
      </c>
      <c r="B776">
        <v>9007541700</v>
      </c>
      <c r="C776" t="s">
        <v>2008</v>
      </c>
      <c r="D776">
        <v>6</v>
      </c>
      <c r="E776" t="s">
        <v>936</v>
      </c>
    </row>
    <row r="777" spans="1:5" x14ac:dyDescent="0.2">
      <c r="A777" t="s">
        <v>2009</v>
      </c>
      <c r="B777">
        <v>9007542000</v>
      </c>
      <c r="C777" t="s">
        <v>2010</v>
      </c>
      <c r="D777">
        <v>4</v>
      </c>
      <c r="E777" t="s">
        <v>944</v>
      </c>
    </row>
    <row r="778" spans="1:5" x14ac:dyDescent="0.2">
      <c r="A778" t="s">
        <v>2011</v>
      </c>
      <c r="B778">
        <v>9007542100</v>
      </c>
      <c r="C778" t="s">
        <v>2012</v>
      </c>
      <c r="D778">
        <v>3</v>
      </c>
      <c r="E778" t="s">
        <v>944</v>
      </c>
    </row>
    <row r="779" spans="1:5" x14ac:dyDescent="0.2">
      <c r="A779" t="s">
        <v>2013</v>
      </c>
      <c r="B779">
        <v>9007542200</v>
      </c>
      <c r="C779" t="s">
        <v>2014</v>
      </c>
      <c r="D779">
        <v>3</v>
      </c>
      <c r="E779" t="s">
        <v>944</v>
      </c>
    </row>
    <row r="780" spans="1:5" x14ac:dyDescent="0.2">
      <c r="A780" t="s">
        <v>2023</v>
      </c>
      <c r="B780">
        <v>9007560200</v>
      </c>
      <c r="C780" t="s">
        <v>2024</v>
      </c>
      <c r="D780">
        <v>4</v>
      </c>
      <c r="E780" t="s">
        <v>944</v>
      </c>
    </row>
    <row r="781" spans="1:5" x14ac:dyDescent="0.2">
      <c r="A781" t="s">
        <v>2063</v>
      </c>
      <c r="B781">
        <v>9007680200</v>
      </c>
      <c r="C781" t="s">
        <v>2064</v>
      </c>
      <c r="D781">
        <v>3</v>
      </c>
      <c r="E781" t="s">
        <v>944</v>
      </c>
    </row>
    <row r="782" spans="1:5" x14ac:dyDescent="0.2">
      <c r="A782" t="s">
        <v>2467</v>
      </c>
      <c r="B782">
        <v>9011693600</v>
      </c>
      <c r="C782" t="s">
        <v>2468</v>
      </c>
      <c r="D782">
        <v>3</v>
      </c>
      <c r="E782" t="s">
        <v>944</v>
      </c>
    </row>
    <row r="783" spans="1:5" x14ac:dyDescent="0.2">
      <c r="A783" t="s">
        <v>2467</v>
      </c>
      <c r="B783">
        <v>9011693600</v>
      </c>
      <c r="C783" t="s">
        <v>2468</v>
      </c>
      <c r="D783">
        <v>3</v>
      </c>
      <c r="E783" t="s">
        <v>944</v>
      </c>
    </row>
    <row r="784" spans="1:5" x14ac:dyDescent="0.2">
      <c r="A784" t="s">
        <v>2467</v>
      </c>
      <c r="B784">
        <v>9011693600</v>
      </c>
      <c r="C784" t="s">
        <v>2468</v>
      </c>
      <c r="D784">
        <v>3</v>
      </c>
      <c r="E784" t="s">
        <v>944</v>
      </c>
    </row>
    <row r="785" spans="1:5" x14ac:dyDescent="0.2">
      <c r="A785" t="s">
        <v>2471</v>
      </c>
      <c r="B785">
        <v>9011695201</v>
      </c>
      <c r="C785" t="s">
        <v>2472</v>
      </c>
      <c r="D785">
        <v>2</v>
      </c>
      <c r="E785" t="s">
        <v>944</v>
      </c>
    </row>
    <row r="786" spans="1:5" x14ac:dyDescent="0.2">
      <c r="A786" t="s">
        <v>2471</v>
      </c>
      <c r="B786">
        <v>9011695201</v>
      </c>
      <c r="C786" t="s">
        <v>2472</v>
      </c>
      <c r="D786">
        <v>2</v>
      </c>
      <c r="E786" t="s">
        <v>944</v>
      </c>
    </row>
    <row r="787" spans="1:5" x14ac:dyDescent="0.2">
      <c r="A787" t="s">
        <v>2561</v>
      </c>
      <c r="B787">
        <v>9011870501</v>
      </c>
      <c r="C787" t="s">
        <v>2562</v>
      </c>
      <c r="D787">
        <v>4</v>
      </c>
      <c r="E787" t="s">
        <v>944</v>
      </c>
    </row>
    <row r="788" spans="1:5" x14ac:dyDescent="0.2">
      <c r="A788" t="s">
        <v>2563</v>
      </c>
      <c r="B788">
        <v>9011870502</v>
      </c>
      <c r="C788" t="s">
        <v>2564</v>
      </c>
      <c r="D788">
        <v>4</v>
      </c>
      <c r="E788" t="s">
        <v>944</v>
      </c>
    </row>
    <row r="789" spans="1:5" x14ac:dyDescent="0.2">
      <c r="A789" t="s">
        <v>2563</v>
      </c>
      <c r="B789">
        <v>9011870502</v>
      </c>
      <c r="C789" t="s">
        <v>2564</v>
      </c>
      <c r="D789">
        <v>4</v>
      </c>
      <c r="E789" t="s">
        <v>944</v>
      </c>
    </row>
    <row r="790" spans="1:5" x14ac:dyDescent="0.2">
      <c r="A790" t="s">
        <v>2445</v>
      </c>
      <c r="B790">
        <v>9011660101</v>
      </c>
      <c r="C790" t="s">
        <v>2446</v>
      </c>
      <c r="D790">
        <v>3</v>
      </c>
      <c r="E790" t="s">
        <v>944</v>
      </c>
    </row>
    <row r="791" spans="1:5" x14ac:dyDescent="0.2">
      <c r="A791" t="s">
        <v>2447</v>
      </c>
      <c r="B791">
        <v>9011660102</v>
      </c>
      <c r="C791" t="s">
        <v>2448</v>
      </c>
      <c r="D791">
        <v>4</v>
      </c>
      <c r="E791" t="s">
        <v>944</v>
      </c>
    </row>
    <row r="792" spans="1:5" x14ac:dyDescent="0.2">
      <c r="A792" t="s">
        <v>2059</v>
      </c>
      <c r="B792">
        <v>9007670200</v>
      </c>
      <c r="C792" t="s">
        <v>2060</v>
      </c>
      <c r="D792">
        <v>4</v>
      </c>
      <c r="E792" t="s">
        <v>944</v>
      </c>
    </row>
    <row r="793" spans="1:5" x14ac:dyDescent="0.2">
      <c r="A793" t="s">
        <v>2449</v>
      </c>
      <c r="B793">
        <v>9011690300</v>
      </c>
      <c r="C793" t="s">
        <v>2450</v>
      </c>
      <c r="D793">
        <v>5</v>
      </c>
      <c r="E793" t="s">
        <v>944</v>
      </c>
    </row>
    <row r="794" spans="1:5" x14ac:dyDescent="0.2">
      <c r="A794" t="s">
        <v>2449</v>
      </c>
      <c r="B794">
        <v>9011690300</v>
      </c>
      <c r="C794" t="s">
        <v>2450</v>
      </c>
      <c r="D794">
        <v>5</v>
      </c>
      <c r="E794" t="s">
        <v>944</v>
      </c>
    </row>
    <row r="795" spans="1:5" x14ac:dyDescent="0.2">
      <c r="A795" t="s">
        <v>2451</v>
      </c>
      <c r="B795">
        <v>9011690400</v>
      </c>
      <c r="C795" t="s">
        <v>2452</v>
      </c>
      <c r="D795">
        <v>5</v>
      </c>
      <c r="E795" t="s">
        <v>944</v>
      </c>
    </row>
    <row r="796" spans="1:5" x14ac:dyDescent="0.2">
      <c r="A796" t="s">
        <v>2453</v>
      </c>
      <c r="B796">
        <v>9011690500</v>
      </c>
      <c r="C796" t="s">
        <v>2454</v>
      </c>
      <c r="D796">
        <v>5</v>
      </c>
      <c r="E796" t="s">
        <v>944</v>
      </c>
    </row>
    <row r="797" spans="1:5" x14ac:dyDescent="0.2">
      <c r="A797" t="s">
        <v>2455</v>
      </c>
      <c r="B797">
        <v>9011690700</v>
      </c>
      <c r="C797" t="s">
        <v>2456</v>
      </c>
      <c r="D797">
        <v>5</v>
      </c>
      <c r="E797" t="s">
        <v>944</v>
      </c>
    </row>
    <row r="798" spans="1:5" x14ac:dyDescent="0.2">
      <c r="A798" t="s">
        <v>2457</v>
      </c>
      <c r="B798">
        <v>9011690800</v>
      </c>
      <c r="C798" t="s">
        <v>2458</v>
      </c>
      <c r="D798">
        <v>6</v>
      </c>
      <c r="E798" t="s">
        <v>936</v>
      </c>
    </row>
    <row r="799" spans="1:5" x14ac:dyDescent="0.2">
      <c r="A799" t="s">
        <v>2459</v>
      </c>
      <c r="B799">
        <v>9011690900</v>
      </c>
      <c r="C799" t="s">
        <v>2460</v>
      </c>
      <c r="D799">
        <v>3</v>
      </c>
      <c r="E799" t="s">
        <v>944</v>
      </c>
    </row>
    <row r="800" spans="1:5" x14ac:dyDescent="0.2">
      <c r="A800" t="s">
        <v>2461</v>
      </c>
      <c r="B800">
        <v>9011693300</v>
      </c>
      <c r="C800" t="s">
        <v>2462</v>
      </c>
      <c r="D800">
        <v>3</v>
      </c>
      <c r="E800" t="s">
        <v>944</v>
      </c>
    </row>
    <row r="801" spans="1:5" x14ac:dyDescent="0.2">
      <c r="A801" t="s">
        <v>2465</v>
      </c>
      <c r="B801">
        <v>9011693500</v>
      </c>
      <c r="C801" t="s">
        <v>2466</v>
      </c>
      <c r="D801">
        <v>3</v>
      </c>
      <c r="E801" t="s">
        <v>944</v>
      </c>
    </row>
    <row r="802" spans="1:5" x14ac:dyDescent="0.2">
      <c r="A802" t="s">
        <v>2469</v>
      </c>
      <c r="B802">
        <v>9011693700</v>
      </c>
      <c r="C802" t="s">
        <v>2470</v>
      </c>
      <c r="D802">
        <v>3</v>
      </c>
      <c r="E802" t="s">
        <v>944</v>
      </c>
    </row>
    <row r="803" spans="1:5" x14ac:dyDescent="0.2">
      <c r="A803" t="s">
        <v>2491</v>
      </c>
      <c r="B803">
        <v>9011697000</v>
      </c>
      <c r="C803" t="s">
        <v>2492</v>
      </c>
      <c r="D803">
        <v>6</v>
      </c>
      <c r="E803" t="s">
        <v>936</v>
      </c>
    </row>
    <row r="804" spans="1:5" x14ac:dyDescent="0.2">
      <c r="A804" t="s">
        <v>2493</v>
      </c>
      <c r="B804">
        <v>9011700100</v>
      </c>
      <c r="C804" t="s">
        <v>2494</v>
      </c>
      <c r="D804">
        <v>4</v>
      </c>
      <c r="E804" t="s">
        <v>944</v>
      </c>
    </row>
    <row r="805" spans="1:5" x14ac:dyDescent="0.2">
      <c r="A805" t="s">
        <v>2559</v>
      </c>
      <c r="B805">
        <v>9011870300</v>
      </c>
      <c r="C805" t="s">
        <v>2560</v>
      </c>
      <c r="D805">
        <v>5</v>
      </c>
      <c r="E805" t="s">
        <v>944</v>
      </c>
    </row>
    <row r="806" spans="1:5" x14ac:dyDescent="0.2">
      <c r="A806" t="s">
        <v>2559</v>
      </c>
      <c r="B806">
        <v>9011870300</v>
      </c>
      <c r="C806" t="s">
        <v>2560</v>
      </c>
      <c r="D806">
        <v>5</v>
      </c>
      <c r="E806" t="s">
        <v>944</v>
      </c>
    </row>
    <row r="807" spans="1:5" x14ac:dyDescent="0.2">
      <c r="A807" t="s">
        <v>2527</v>
      </c>
      <c r="B807">
        <v>9011707100</v>
      </c>
      <c r="C807" t="s">
        <v>2528</v>
      </c>
      <c r="D807">
        <v>4</v>
      </c>
      <c r="E807" t="s">
        <v>944</v>
      </c>
    </row>
    <row r="808" spans="1:5" x14ac:dyDescent="0.2">
      <c r="A808" t="s">
        <v>2527</v>
      </c>
      <c r="B808">
        <v>9011707100</v>
      </c>
      <c r="C808" t="s">
        <v>2528</v>
      </c>
      <c r="D808">
        <v>4</v>
      </c>
      <c r="E808" t="s">
        <v>944</v>
      </c>
    </row>
    <row r="809" spans="1:5" x14ac:dyDescent="0.2">
      <c r="A809" t="s">
        <v>2517</v>
      </c>
      <c r="B809">
        <v>9011705101</v>
      </c>
      <c r="C809" t="s">
        <v>2518</v>
      </c>
      <c r="D809">
        <v>3</v>
      </c>
      <c r="E809" t="s">
        <v>944</v>
      </c>
    </row>
    <row r="810" spans="1:5" x14ac:dyDescent="0.2">
      <c r="A810" t="s">
        <v>2529</v>
      </c>
      <c r="B810">
        <v>9011708100</v>
      </c>
      <c r="C810" t="s">
        <v>2530</v>
      </c>
      <c r="D810">
        <v>4</v>
      </c>
      <c r="E810" t="s">
        <v>944</v>
      </c>
    </row>
    <row r="811" spans="1:5" x14ac:dyDescent="0.2">
      <c r="A811" t="s">
        <v>2529</v>
      </c>
      <c r="B811">
        <v>9011708100</v>
      </c>
      <c r="C811" t="s">
        <v>2530</v>
      </c>
      <c r="D811">
        <v>4</v>
      </c>
      <c r="E811" t="s">
        <v>944</v>
      </c>
    </row>
    <row r="812" spans="1:5" x14ac:dyDescent="0.2">
      <c r="A812" t="s">
        <v>2519</v>
      </c>
      <c r="B812">
        <v>9011705102</v>
      </c>
      <c r="C812" t="s">
        <v>2520</v>
      </c>
      <c r="D812">
        <v>4</v>
      </c>
      <c r="E812" t="s">
        <v>944</v>
      </c>
    </row>
    <row r="813" spans="1:5" x14ac:dyDescent="0.2">
      <c r="A813" t="s">
        <v>2521</v>
      </c>
      <c r="B813">
        <v>9011705200</v>
      </c>
      <c r="C813" t="s">
        <v>2522</v>
      </c>
      <c r="D813">
        <v>3</v>
      </c>
      <c r="E813" t="s">
        <v>944</v>
      </c>
    </row>
    <row r="814" spans="1:5" x14ac:dyDescent="0.2">
      <c r="A814" t="s">
        <v>2523</v>
      </c>
      <c r="B814">
        <v>9011705300</v>
      </c>
      <c r="C814" t="s">
        <v>2524</v>
      </c>
      <c r="D814">
        <v>3</v>
      </c>
      <c r="E814" t="s">
        <v>944</v>
      </c>
    </row>
    <row r="815" spans="1:5" x14ac:dyDescent="0.2">
      <c r="A815" t="s">
        <v>2525</v>
      </c>
      <c r="B815">
        <v>9011705400</v>
      </c>
      <c r="C815" t="s">
        <v>2526</v>
      </c>
      <c r="D815">
        <v>3</v>
      </c>
      <c r="E815" t="s">
        <v>944</v>
      </c>
    </row>
    <row r="816" spans="1:5" x14ac:dyDescent="0.2">
      <c r="A816" t="s">
        <v>2673</v>
      </c>
      <c r="B816">
        <v>9015907300</v>
      </c>
      <c r="C816" t="s">
        <v>2674</v>
      </c>
      <c r="D816">
        <v>5</v>
      </c>
      <c r="E816" t="s">
        <v>944</v>
      </c>
    </row>
    <row r="817" spans="1:5" x14ac:dyDescent="0.2">
      <c r="A817" t="s">
        <v>2537</v>
      </c>
      <c r="B817">
        <v>9011711100</v>
      </c>
      <c r="C817" t="s">
        <v>2538</v>
      </c>
      <c r="D817">
        <v>4</v>
      </c>
      <c r="E817" t="s">
        <v>944</v>
      </c>
    </row>
    <row r="818" spans="1:5" x14ac:dyDescent="0.2">
      <c r="A818" t="s">
        <v>2657</v>
      </c>
      <c r="B818">
        <v>9015903200</v>
      </c>
      <c r="C818" t="s">
        <v>2658</v>
      </c>
      <c r="D818">
        <v>4</v>
      </c>
      <c r="E818" t="s">
        <v>944</v>
      </c>
    </row>
    <row r="819" spans="1:5" x14ac:dyDescent="0.2">
      <c r="A819" t="s">
        <v>2657</v>
      </c>
      <c r="B819">
        <v>9015903200</v>
      </c>
      <c r="C819" t="s">
        <v>2658</v>
      </c>
      <c r="D819">
        <v>4</v>
      </c>
      <c r="E819" t="s">
        <v>944</v>
      </c>
    </row>
    <row r="820" spans="1:5" x14ac:dyDescent="0.2">
      <c r="A820" t="s">
        <v>2625</v>
      </c>
      <c r="B820">
        <v>9013890202</v>
      </c>
      <c r="C820" t="s">
        <v>2626</v>
      </c>
      <c r="D820">
        <v>3</v>
      </c>
      <c r="E820" t="s">
        <v>944</v>
      </c>
    </row>
    <row r="821" spans="1:5" x14ac:dyDescent="0.2">
      <c r="A821" t="s">
        <v>2625</v>
      </c>
      <c r="B821">
        <v>9013890202</v>
      </c>
      <c r="C821" t="s">
        <v>2626</v>
      </c>
      <c r="D821">
        <v>3</v>
      </c>
      <c r="E821" t="s">
        <v>944</v>
      </c>
    </row>
    <row r="822" spans="1:5" x14ac:dyDescent="0.2">
      <c r="A822" t="s">
        <v>2625</v>
      </c>
      <c r="B822">
        <v>9013890202</v>
      </c>
      <c r="C822" t="s">
        <v>2626</v>
      </c>
      <c r="D822">
        <v>3</v>
      </c>
      <c r="E822" t="s">
        <v>944</v>
      </c>
    </row>
    <row r="823" spans="1:5" x14ac:dyDescent="0.2">
      <c r="A823" t="s">
        <v>2621</v>
      </c>
      <c r="B823">
        <v>9013890100</v>
      </c>
      <c r="C823" t="s">
        <v>2622</v>
      </c>
      <c r="D823">
        <v>5</v>
      </c>
      <c r="E823" t="s">
        <v>944</v>
      </c>
    </row>
    <row r="824" spans="1:5" x14ac:dyDescent="0.2">
      <c r="A824" t="s">
        <v>2621</v>
      </c>
      <c r="B824">
        <v>9013890100</v>
      </c>
      <c r="C824" t="s">
        <v>2622</v>
      </c>
      <c r="D824">
        <v>5</v>
      </c>
      <c r="E824" t="s">
        <v>944</v>
      </c>
    </row>
    <row r="825" spans="1:5" x14ac:dyDescent="0.2">
      <c r="A825" t="s">
        <v>2623</v>
      </c>
      <c r="B825">
        <v>9013890201</v>
      </c>
      <c r="C825" t="s">
        <v>2624</v>
      </c>
      <c r="D825">
        <v>3</v>
      </c>
      <c r="E825" t="s">
        <v>944</v>
      </c>
    </row>
    <row r="826" spans="1:5" x14ac:dyDescent="0.2">
      <c r="A826" t="s">
        <v>2623</v>
      </c>
      <c r="B826">
        <v>9013890201</v>
      </c>
      <c r="C826" t="s">
        <v>2624</v>
      </c>
      <c r="D826">
        <v>3</v>
      </c>
      <c r="E826" t="s">
        <v>944</v>
      </c>
    </row>
    <row r="827" spans="1:5" x14ac:dyDescent="0.2">
      <c r="A827" t="s">
        <v>2647</v>
      </c>
      <c r="B827">
        <v>9015900200</v>
      </c>
      <c r="C827" t="s">
        <v>2648</v>
      </c>
      <c r="D827">
        <v>4</v>
      </c>
      <c r="E827" t="s">
        <v>944</v>
      </c>
    </row>
    <row r="828" spans="1:5" x14ac:dyDescent="0.2">
      <c r="A828" t="s">
        <v>1725</v>
      </c>
      <c r="B828">
        <v>9003497200</v>
      </c>
      <c r="C828" t="s">
        <v>1726</v>
      </c>
      <c r="D828">
        <v>2</v>
      </c>
      <c r="E828" t="s">
        <v>944</v>
      </c>
    </row>
    <row r="829" spans="1:5" x14ac:dyDescent="0.2">
      <c r="A829" t="s">
        <v>1727</v>
      </c>
      <c r="B829">
        <v>9003497300</v>
      </c>
      <c r="C829" t="s">
        <v>1728</v>
      </c>
      <c r="D829">
        <v>2</v>
      </c>
      <c r="E829" t="s">
        <v>944</v>
      </c>
    </row>
    <row r="830" spans="1:5" x14ac:dyDescent="0.2">
      <c r="A830" t="s">
        <v>1729</v>
      </c>
      <c r="B830">
        <v>9003497400</v>
      </c>
      <c r="C830" t="s">
        <v>1730</v>
      </c>
      <c r="D830">
        <v>2</v>
      </c>
      <c r="E830" t="s">
        <v>944</v>
      </c>
    </row>
    <row r="831" spans="1:5" x14ac:dyDescent="0.2">
      <c r="A831" t="s">
        <v>1731</v>
      </c>
      <c r="B831">
        <v>9003497500</v>
      </c>
      <c r="C831" t="s">
        <v>1732</v>
      </c>
      <c r="D831">
        <v>3</v>
      </c>
      <c r="E831" t="s">
        <v>944</v>
      </c>
    </row>
    <row r="832" spans="1:5" x14ac:dyDescent="0.2">
      <c r="A832" t="s">
        <v>1733</v>
      </c>
      <c r="B832">
        <v>9003497600</v>
      </c>
      <c r="C832" t="s">
        <v>1734</v>
      </c>
      <c r="D832">
        <v>2</v>
      </c>
      <c r="E832" t="s">
        <v>944</v>
      </c>
    </row>
    <row r="833" spans="1:5" x14ac:dyDescent="0.2">
      <c r="A833" t="s">
        <v>1735</v>
      </c>
      <c r="B833">
        <v>9003497700</v>
      </c>
      <c r="C833" t="s">
        <v>1736</v>
      </c>
      <c r="D833">
        <v>2</v>
      </c>
      <c r="E833" t="s">
        <v>944</v>
      </c>
    </row>
    <row r="834" spans="1:5" x14ac:dyDescent="0.2">
      <c r="A834" t="s">
        <v>2051</v>
      </c>
      <c r="B834">
        <v>9007620100</v>
      </c>
      <c r="C834" t="s">
        <v>2052</v>
      </c>
      <c r="D834">
        <v>4</v>
      </c>
      <c r="E834" t="s">
        <v>944</v>
      </c>
    </row>
    <row r="835" spans="1:5" x14ac:dyDescent="0.2">
      <c r="A835" t="s">
        <v>2061</v>
      </c>
      <c r="B835">
        <v>9007680100</v>
      </c>
      <c r="C835" t="s">
        <v>2062</v>
      </c>
      <c r="D835">
        <v>4</v>
      </c>
      <c r="E835" t="s">
        <v>944</v>
      </c>
    </row>
    <row r="836" spans="1:5" x14ac:dyDescent="0.2">
      <c r="A836" t="s">
        <v>1183</v>
      </c>
      <c r="B836">
        <v>9001050100</v>
      </c>
      <c r="C836" t="s">
        <v>1184</v>
      </c>
      <c r="D836">
        <v>2</v>
      </c>
      <c r="E836" t="s">
        <v>944</v>
      </c>
    </row>
    <row r="837" spans="1:5" x14ac:dyDescent="0.2">
      <c r="A837" t="s">
        <v>1187</v>
      </c>
      <c r="B837">
        <v>9001050300</v>
      </c>
      <c r="C837" t="s">
        <v>1188</v>
      </c>
      <c r="D837">
        <v>2</v>
      </c>
      <c r="E837" t="s">
        <v>944</v>
      </c>
    </row>
    <row r="838" spans="1:5" x14ac:dyDescent="0.2">
      <c r="A838" t="s">
        <v>1195</v>
      </c>
      <c r="B838">
        <v>9001055100</v>
      </c>
      <c r="C838" t="s">
        <v>1196</v>
      </c>
      <c r="D838">
        <v>2</v>
      </c>
      <c r="E838" t="s">
        <v>944</v>
      </c>
    </row>
    <row r="839" spans="1:5" x14ac:dyDescent="0.2">
      <c r="A839" t="s">
        <v>1197</v>
      </c>
      <c r="B839">
        <v>9001055200</v>
      </c>
      <c r="C839" t="s">
        <v>1198</v>
      </c>
      <c r="D839">
        <v>2</v>
      </c>
      <c r="E839" t="s">
        <v>944</v>
      </c>
    </row>
    <row r="840" spans="1:5" x14ac:dyDescent="0.2">
      <c r="A840" t="s">
        <v>1349</v>
      </c>
      <c r="B840">
        <v>9001105100</v>
      </c>
      <c r="C840" t="s">
        <v>1350</v>
      </c>
      <c r="D840">
        <v>2</v>
      </c>
      <c r="E840" t="s">
        <v>944</v>
      </c>
    </row>
    <row r="841" spans="1:5" x14ac:dyDescent="0.2">
      <c r="A841" t="s">
        <v>1129</v>
      </c>
      <c r="B841">
        <v>9001042500</v>
      </c>
      <c r="C841" t="s">
        <v>1130</v>
      </c>
      <c r="D841">
        <v>2</v>
      </c>
      <c r="E841" t="s">
        <v>944</v>
      </c>
    </row>
    <row r="842" spans="1:5" x14ac:dyDescent="0.2">
      <c r="A842" t="s">
        <v>1131</v>
      </c>
      <c r="B842">
        <v>9001042600</v>
      </c>
      <c r="C842" t="s">
        <v>1132</v>
      </c>
      <c r="D842">
        <v>3</v>
      </c>
      <c r="E842" t="s">
        <v>944</v>
      </c>
    </row>
    <row r="843" spans="1:5" x14ac:dyDescent="0.2">
      <c r="A843" t="s">
        <v>1149</v>
      </c>
      <c r="B843">
        <v>9001043500</v>
      </c>
      <c r="C843" t="s">
        <v>1150</v>
      </c>
      <c r="D843">
        <v>3</v>
      </c>
      <c r="E843" t="s">
        <v>944</v>
      </c>
    </row>
    <row r="844" spans="1:5" x14ac:dyDescent="0.2">
      <c r="A844" t="s">
        <v>1165</v>
      </c>
      <c r="B844">
        <v>9001044300</v>
      </c>
      <c r="C844" t="s">
        <v>1166</v>
      </c>
      <c r="D844">
        <v>2</v>
      </c>
      <c r="E844" t="s">
        <v>944</v>
      </c>
    </row>
    <row r="845" spans="1:5" x14ac:dyDescent="0.2">
      <c r="A845" t="s">
        <v>1181</v>
      </c>
      <c r="B845">
        <v>9001045400</v>
      </c>
      <c r="C845" t="s">
        <v>1182</v>
      </c>
      <c r="D845">
        <v>2</v>
      </c>
      <c r="E845" t="s">
        <v>944</v>
      </c>
    </row>
    <row r="846" spans="1:5" x14ac:dyDescent="0.2">
      <c r="A846" t="s">
        <v>1183</v>
      </c>
      <c r="B846">
        <v>9001050100</v>
      </c>
      <c r="C846" t="s">
        <v>1184</v>
      </c>
      <c r="D846">
        <v>2</v>
      </c>
      <c r="E846" t="s">
        <v>944</v>
      </c>
    </row>
    <row r="847" spans="1:5" x14ac:dyDescent="0.2">
      <c r="A847" t="s">
        <v>1185</v>
      </c>
      <c r="B847">
        <v>9001050200</v>
      </c>
      <c r="C847" t="s">
        <v>1186</v>
      </c>
      <c r="D847">
        <v>2</v>
      </c>
      <c r="E847" t="s">
        <v>944</v>
      </c>
    </row>
    <row r="848" spans="1:5" x14ac:dyDescent="0.2">
      <c r="A848" t="s">
        <v>1187</v>
      </c>
      <c r="B848">
        <v>9001050300</v>
      </c>
      <c r="C848" t="s">
        <v>1188</v>
      </c>
      <c r="D848">
        <v>2</v>
      </c>
      <c r="E848" t="s">
        <v>944</v>
      </c>
    </row>
    <row r="849" spans="1:5" x14ac:dyDescent="0.2">
      <c r="A849" t="s">
        <v>1189</v>
      </c>
      <c r="B849">
        <v>9001050400</v>
      </c>
      <c r="C849" t="s">
        <v>1190</v>
      </c>
      <c r="D849">
        <v>3</v>
      </c>
      <c r="E849" t="s">
        <v>944</v>
      </c>
    </row>
    <row r="850" spans="1:5" x14ac:dyDescent="0.2">
      <c r="A850" t="s">
        <v>1191</v>
      </c>
      <c r="B850">
        <v>9001050500</v>
      </c>
      <c r="C850" t="s">
        <v>1192</v>
      </c>
      <c r="D850">
        <v>2</v>
      </c>
      <c r="E850" t="s">
        <v>944</v>
      </c>
    </row>
    <row r="851" spans="1:5" x14ac:dyDescent="0.2">
      <c r="A851" t="s">
        <v>1193</v>
      </c>
      <c r="B851">
        <v>9001050600</v>
      </c>
      <c r="C851" t="s">
        <v>1194</v>
      </c>
      <c r="D851">
        <v>2</v>
      </c>
      <c r="E851" t="s">
        <v>944</v>
      </c>
    </row>
    <row r="852" spans="1:5" x14ac:dyDescent="0.2">
      <c r="A852" t="s">
        <v>1197</v>
      </c>
      <c r="B852">
        <v>9001055200</v>
      </c>
      <c r="C852" t="s">
        <v>1198</v>
      </c>
      <c r="D852">
        <v>2</v>
      </c>
      <c r="E852" t="s">
        <v>944</v>
      </c>
    </row>
    <row r="853" spans="1:5" x14ac:dyDescent="0.2">
      <c r="A853" t="s">
        <v>1205</v>
      </c>
      <c r="B853">
        <v>9001060400</v>
      </c>
      <c r="C853" t="s">
        <v>1206</v>
      </c>
      <c r="D853">
        <v>2</v>
      </c>
      <c r="E853" t="s">
        <v>944</v>
      </c>
    </row>
    <row r="854" spans="1:5" x14ac:dyDescent="0.2">
      <c r="A854" t="s">
        <v>1677</v>
      </c>
      <c r="B854">
        <v>9003492100</v>
      </c>
      <c r="C854" t="s">
        <v>1678</v>
      </c>
      <c r="D854">
        <v>3</v>
      </c>
      <c r="E854" t="s">
        <v>944</v>
      </c>
    </row>
    <row r="855" spans="1:5" x14ac:dyDescent="0.2">
      <c r="A855" t="s">
        <v>1679</v>
      </c>
      <c r="B855">
        <v>9003492200</v>
      </c>
      <c r="C855" t="s">
        <v>1680</v>
      </c>
      <c r="D855">
        <v>3</v>
      </c>
      <c r="E855" t="s">
        <v>944</v>
      </c>
    </row>
    <row r="856" spans="1:5" x14ac:dyDescent="0.2">
      <c r="A856" t="s">
        <v>1681</v>
      </c>
      <c r="B856">
        <v>9003492300</v>
      </c>
      <c r="C856" t="s">
        <v>1682</v>
      </c>
      <c r="D856">
        <v>4</v>
      </c>
      <c r="E856" t="s">
        <v>944</v>
      </c>
    </row>
    <row r="857" spans="1:5" x14ac:dyDescent="0.2">
      <c r="A857" t="s">
        <v>1683</v>
      </c>
      <c r="B857">
        <v>9003492400</v>
      </c>
      <c r="C857" t="s">
        <v>1684</v>
      </c>
      <c r="D857">
        <v>3</v>
      </c>
      <c r="E857" t="s">
        <v>944</v>
      </c>
    </row>
    <row r="858" spans="1:5" x14ac:dyDescent="0.2">
      <c r="A858" t="s">
        <v>1685</v>
      </c>
      <c r="B858">
        <v>9003492500</v>
      </c>
      <c r="C858" t="s">
        <v>1686</v>
      </c>
      <c r="D858">
        <v>3</v>
      </c>
      <c r="E858" t="s">
        <v>944</v>
      </c>
    </row>
    <row r="859" spans="1:5" x14ac:dyDescent="0.2">
      <c r="A859" t="s">
        <v>1687</v>
      </c>
      <c r="B859">
        <v>9003492600</v>
      </c>
      <c r="C859" t="s">
        <v>1688</v>
      </c>
      <c r="D859">
        <v>3</v>
      </c>
      <c r="E859" t="s">
        <v>944</v>
      </c>
    </row>
    <row r="860" spans="1:5" x14ac:dyDescent="0.2">
      <c r="A860" t="s">
        <v>1689</v>
      </c>
      <c r="B860">
        <v>9003494100</v>
      </c>
      <c r="C860" t="s">
        <v>1690</v>
      </c>
      <c r="D860">
        <v>3</v>
      </c>
      <c r="E860" t="s">
        <v>944</v>
      </c>
    </row>
    <row r="861" spans="1:5" x14ac:dyDescent="0.2">
      <c r="A861" t="s">
        <v>2605</v>
      </c>
      <c r="B861">
        <v>9013840100</v>
      </c>
      <c r="C861" t="s">
        <v>2606</v>
      </c>
      <c r="D861">
        <v>4</v>
      </c>
      <c r="E861" t="s">
        <v>944</v>
      </c>
    </row>
    <row r="862" spans="1:5" x14ac:dyDescent="0.2">
      <c r="A862" t="s">
        <v>2623</v>
      </c>
      <c r="B862">
        <v>9013890201</v>
      </c>
      <c r="C862" t="s">
        <v>2624</v>
      </c>
      <c r="D862">
        <v>3</v>
      </c>
      <c r="E862" t="s">
        <v>944</v>
      </c>
    </row>
    <row r="863" spans="1:5" x14ac:dyDescent="0.2">
      <c r="A863" t="s">
        <v>2643</v>
      </c>
      <c r="B863">
        <v>9015830100</v>
      </c>
      <c r="C863" t="s">
        <v>2644</v>
      </c>
      <c r="D863">
        <v>4</v>
      </c>
      <c r="E863" t="s">
        <v>944</v>
      </c>
    </row>
    <row r="864" spans="1:5" x14ac:dyDescent="0.2">
      <c r="A864" t="s">
        <v>1127</v>
      </c>
      <c r="B864">
        <v>9001035400</v>
      </c>
      <c r="C864" t="s">
        <v>1128</v>
      </c>
      <c r="D864">
        <v>2</v>
      </c>
      <c r="E864" t="s">
        <v>944</v>
      </c>
    </row>
    <row r="865" spans="1:5" x14ac:dyDescent="0.2">
      <c r="A865" t="s">
        <v>1137</v>
      </c>
      <c r="B865">
        <v>9001042900</v>
      </c>
      <c r="C865" t="s">
        <v>1138</v>
      </c>
      <c r="D865">
        <v>2</v>
      </c>
      <c r="E865" t="s">
        <v>944</v>
      </c>
    </row>
    <row r="866" spans="1:5" x14ac:dyDescent="0.2">
      <c r="A866" t="s">
        <v>1173</v>
      </c>
      <c r="B866">
        <v>9001045101</v>
      </c>
      <c r="C866" t="s">
        <v>1174</v>
      </c>
      <c r="D866">
        <v>2</v>
      </c>
      <c r="E866" t="s">
        <v>944</v>
      </c>
    </row>
    <row r="867" spans="1:5" x14ac:dyDescent="0.2">
      <c r="A867" t="s">
        <v>1175</v>
      </c>
      <c r="B867">
        <v>9001045102</v>
      </c>
      <c r="C867" t="s">
        <v>1176</v>
      </c>
      <c r="D867">
        <v>2</v>
      </c>
      <c r="E867" t="s">
        <v>944</v>
      </c>
    </row>
    <row r="868" spans="1:5" x14ac:dyDescent="0.2">
      <c r="A868" t="s">
        <v>1177</v>
      </c>
      <c r="B868">
        <v>9001045200</v>
      </c>
      <c r="C868" t="s">
        <v>1178</v>
      </c>
      <c r="D868">
        <v>2</v>
      </c>
      <c r="E868" t="s">
        <v>944</v>
      </c>
    </row>
    <row r="869" spans="1:5" x14ac:dyDescent="0.2">
      <c r="A869" t="s">
        <v>1179</v>
      </c>
      <c r="B869">
        <v>9001045300</v>
      </c>
      <c r="C869" t="s">
        <v>1180</v>
      </c>
      <c r="D869">
        <v>2</v>
      </c>
      <c r="E869" t="s">
        <v>944</v>
      </c>
    </row>
    <row r="870" spans="1:5" x14ac:dyDescent="0.2">
      <c r="A870" t="s">
        <v>1181</v>
      </c>
      <c r="B870">
        <v>9001045400</v>
      </c>
      <c r="C870" t="s">
        <v>1182</v>
      </c>
      <c r="D870">
        <v>2</v>
      </c>
      <c r="E870" t="s">
        <v>944</v>
      </c>
    </row>
    <row r="871" spans="1:5" x14ac:dyDescent="0.2">
      <c r="A871" t="s">
        <v>1195</v>
      </c>
      <c r="B871">
        <v>9001055100</v>
      </c>
      <c r="C871" t="s">
        <v>1196</v>
      </c>
      <c r="D871">
        <v>2</v>
      </c>
      <c r="E871" t="s">
        <v>944</v>
      </c>
    </row>
    <row r="872" spans="1:5" x14ac:dyDescent="0.2">
      <c r="A872" t="s">
        <v>1429</v>
      </c>
      <c r="B872">
        <v>9001240100</v>
      </c>
      <c r="C872" t="s">
        <v>1430</v>
      </c>
      <c r="D872">
        <v>3</v>
      </c>
      <c r="E872" t="s">
        <v>944</v>
      </c>
    </row>
    <row r="873" spans="1:5" x14ac:dyDescent="0.2">
      <c r="A873" t="s">
        <v>1439</v>
      </c>
      <c r="B873">
        <v>9001245400</v>
      </c>
      <c r="C873" t="s">
        <v>1440</v>
      </c>
      <c r="D873">
        <v>2</v>
      </c>
      <c r="E873" t="s">
        <v>944</v>
      </c>
    </row>
    <row r="874" spans="1:5" x14ac:dyDescent="0.2">
      <c r="A874" t="s">
        <v>1921</v>
      </c>
      <c r="B874">
        <v>9005290100</v>
      </c>
      <c r="C874" t="s">
        <v>1922</v>
      </c>
      <c r="D874">
        <v>3</v>
      </c>
      <c r="E874" t="s">
        <v>944</v>
      </c>
    </row>
    <row r="875" spans="1:5" x14ac:dyDescent="0.2">
      <c r="A875" t="s">
        <v>1923</v>
      </c>
      <c r="B875">
        <v>9005293100</v>
      </c>
      <c r="C875" t="s">
        <v>1924</v>
      </c>
      <c r="D875">
        <v>4</v>
      </c>
      <c r="E875" t="s">
        <v>944</v>
      </c>
    </row>
    <row r="876" spans="1:5" x14ac:dyDescent="0.2">
      <c r="A876" t="s">
        <v>1955</v>
      </c>
      <c r="B876">
        <v>9005310700</v>
      </c>
      <c r="C876" t="s">
        <v>1956</v>
      </c>
      <c r="D876">
        <v>5</v>
      </c>
      <c r="E876" t="s">
        <v>944</v>
      </c>
    </row>
    <row r="877" spans="1:5" x14ac:dyDescent="0.2">
      <c r="A877" t="s">
        <v>1963</v>
      </c>
      <c r="B877">
        <v>9005320100</v>
      </c>
      <c r="C877" t="s">
        <v>1964</v>
      </c>
      <c r="D877">
        <v>4</v>
      </c>
      <c r="E877" t="s">
        <v>944</v>
      </c>
    </row>
    <row r="878" spans="1:5" x14ac:dyDescent="0.2">
      <c r="A878" t="s">
        <v>1965</v>
      </c>
      <c r="B878">
        <v>9005320200</v>
      </c>
      <c r="C878" t="s">
        <v>1966</v>
      </c>
      <c r="D878">
        <v>4</v>
      </c>
      <c r="E878" t="s">
        <v>944</v>
      </c>
    </row>
    <row r="879" spans="1:5" x14ac:dyDescent="0.2">
      <c r="A879" t="s">
        <v>2619</v>
      </c>
      <c r="B879">
        <v>9013881500</v>
      </c>
      <c r="C879" t="s">
        <v>2620</v>
      </c>
      <c r="D879">
        <v>3</v>
      </c>
      <c r="E879" t="s">
        <v>944</v>
      </c>
    </row>
    <row r="880" spans="1:5" x14ac:dyDescent="0.2">
      <c r="A880" t="s">
        <v>2627</v>
      </c>
      <c r="B880">
        <v>9015800300</v>
      </c>
      <c r="C880" t="s">
        <v>2628</v>
      </c>
      <c r="D880">
        <v>6</v>
      </c>
      <c r="E880" t="s">
        <v>936</v>
      </c>
    </row>
    <row r="881" spans="1:5" x14ac:dyDescent="0.2">
      <c r="A881" t="s">
        <v>2629</v>
      </c>
      <c r="B881">
        <v>9015800400</v>
      </c>
      <c r="C881" t="s">
        <v>2630</v>
      </c>
      <c r="D881">
        <v>5</v>
      </c>
      <c r="E881" t="s">
        <v>944</v>
      </c>
    </row>
    <row r="882" spans="1:5" x14ac:dyDescent="0.2">
      <c r="A882" t="s">
        <v>2631</v>
      </c>
      <c r="B882">
        <v>9015800500</v>
      </c>
      <c r="C882" t="s">
        <v>2632</v>
      </c>
      <c r="D882">
        <v>5</v>
      </c>
      <c r="E882" t="s">
        <v>944</v>
      </c>
    </row>
    <row r="883" spans="1:5" x14ac:dyDescent="0.2">
      <c r="A883" t="s">
        <v>2633</v>
      </c>
      <c r="B883">
        <v>9015800600</v>
      </c>
      <c r="C883" t="s">
        <v>2634</v>
      </c>
      <c r="D883">
        <v>8</v>
      </c>
      <c r="E883" t="s">
        <v>936</v>
      </c>
    </row>
    <row r="884" spans="1:5" x14ac:dyDescent="0.2">
      <c r="A884" t="s">
        <v>2635</v>
      </c>
      <c r="B884">
        <v>9015800700</v>
      </c>
      <c r="C884" t="s">
        <v>2636</v>
      </c>
      <c r="D884">
        <v>7</v>
      </c>
      <c r="E884" t="s">
        <v>936</v>
      </c>
    </row>
    <row r="885" spans="1:5" x14ac:dyDescent="0.2">
      <c r="A885" t="s">
        <v>2637</v>
      </c>
      <c r="B885">
        <v>9015815000</v>
      </c>
      <c r="C885" t="s">
        <v>2638</v>
      </c>
      <c r="D885">
        <v>4</v>
      </c>
      <c r="E885" t="s">
        <v>944</v>
      </c>
    </row>
    <row r="886" spans="1:5" x14ac:dyDescent="0.2">
      <c r="A886" t="s">
        <v>2641</v>
      </c>
      <c r="B886">
        <v>9015825000</v>
      </c>
      <c r="C886" t="s">
        <v>2642</v>
      </c>
      <c r="D886">
        <v>4</v>
      </c>
      <c r="E886" t="s">
        <v>944</v>
      </c>
    </row>
    <row r="887" spans="1:5" x14ac:dyDescent="0.2">
      <c r="A887" t="s">
        <v>1595</v>
      </c>
      <c r="B887">
        <v>9003470100</v>
      </c>
      <c r="C887" t="s">
        <v>1596</v>
      </c>
      <c r="D887">
        <v>3</v>
      </c>
      <c r="E887" t="s">
        <v>944</v>
      </c>
    </row>
    <row r="888" spans="1:5" x14ac:dyDescent="0.2">
      <c r="A888" t="s">
        <v>1603</v>
      </c>
      <c r="B888">
        <v>9003471400</v>
      </c>
      <c r="C888" t="s">
        <v>1604</v>
      </c>
      <c r="D888">
        <v>3</v>
      </c>
      <c r="E888" t="s">
        <v>944</v>
      </c>
    </row>
    <row r="889" spans="1:5" x14ac:dyDescent="0.2">
      <c r="A889" t="s">
        <v>1607</v>
      </c>
      <c r="B889">
        <v>9003473100</v>
      </c>
      <c r="C889" t="s">
        <v>1608</v>
      </c>
      <c r="D889">
        <v>3</v>
      </c>
      <c r="E889" t="s">
        <v>944</v>
      </c>
    </row>
    <row r="890" spans="1:5" x14ac:dyDescent="0.2">
      <c r="A890" t="s">
        <v>1609</v>
      </c>
      <c r="B890">
        <v>9003473400</v>
      </c>
      <c r="C890" t="s">
        <v>1610</v>
      </c>
      <c r="D890">
        <v>4</v>
      </c>
      <c r="E890" t="s">
        <v>944</v>
      </c>
    </row>
    <row r="891" spans="1:5" x14ac:dyDescent="0.2">
      <c r="A891" t="s">
        <v>1611</v>
      </c>
      <c r="B891">
        <v>9003473501</v>
      </c>
      <c r="C891" t="s">
        <v>1612</v>
      </c>
      <c r="D891">
        <v>3</v>
      </c>
      <c r="E891" t="s">
        <v>944</v>
      </c>
    </row>
    <row r="892" spans="1:5" x14ac:dyDescent="0.2">
      <c r="A892" t="s">
        <v>1613</v>
      </c>
      <c r="B892">
        <v>9003473502</v>
      </c>
      <c r="C892" t="s">
        <v>1614</v>
      </c>
      <c r="D892">
        <v>3</v>
      </c>
      <c r="E892" t="s">
        <v>944</v>
      </c>
    </row>
    <row r="893" spans="1:5" x14ac:dyDescent="0.2">
      <c r="A893" t="s">
        <v>1615</v>
      </c>
      <c r="B893">
        <v>9003473601</v>
      </c>
      <c r="C893" t="s">
        <v>1616</v>
      </c>
      <c r="D893">
        <v>3</v>
      </c>
      <c r="E893" t="s">
        <v>944</v>
      </c>
    </row>
    <row r="894" spans="1:5" x14ac:dyDescent="0.2">
      <c r="A894" t="s">
        <v>1617</v>
      </c>
      <c r="B894">
        <v>9003473602</v>
      </c>
      <c r="C894" t="s">
        <v>1618</v>
      </c>
      <c r="D894">
        <v>3</v>
      </c>
      <c r="E894" t="s">
        <v>944</v>
      </c>
    </row>
    <row r="895" spans="1:5" x14ac:dyDescent="0.2">
      <c r="A895" t="s">
        <v>1619</v>
      </c>
      <c r="B895">
        <v>9003473700</v>
      </c>
      <c r="C895" t="s">
        <v>1620</v>
      </c>
      <c r="D895">
        <v>4</v>
      </c>
      <c r="E895" t="s">
        <v>944</v>
      </c>
    </row>
    <row r="896" spans="1:5" x14ac:dyDescent="0.2">
      <c r="A896" t="s">
        <v>1621</v>
      </c>
      <c r="B896">
        <v>9003473800</v>
      </c>
      <c r="C896" t="s">
        <v>1622</v>
      </c>
      <c r="D896">
        <v>5</v>
      </c>
      <c r="E896" t="s">
        <v>944</v>
      </c>
    </row>
    <row r="897" spans="1:5" x14ac:dyDescent="0.2">
      <c r="A897" t="s">
        <v>1881</v>
      </c>
      <c r="B897">
        <v>9003524400</v>
      </c>
      <c r="C897" t="s">
        <v>1882</v>
      </c>
      <c r="D897">
        <v>8</v>
      </c>
      <c r="E897" t="s">
        <v>936</v>
      </c>
    </row>
    <row r="898" spans="1:5" x14ac:dyDescent="0.2">
      <c r="A898" t="s">
        <v>1623</v>
      </c>
      <c r="B898">
        <v>9003476100</v>
      </c>
      <c r="C898" t="s">
        <v>1624</v>
      </c>
      <c r="D898">
        <v>4</v>
      </c>
      <c r="E898" t="s">
        <v>944</v>
      </c>
    </row>
    <row r="899" spans="1:5" x14ac:dyDescent="0.2">
      <c r="A899" t="s">
        <v>1625</v>
      </c>
      <c r="B899">
        <v>9003476200</v>
      </c>
      <c r="C899" t="s">
        <v>1626</v>
      </c>
      <c r="D899">
        <v>3</v>
      </c>
      <c r="E899" t="s">
        <v>944</v>
      </c>
    </row>
    <row r="900" spans="1:5" x14ac:dyDescent="0.2">
      <c r="A900" t="s">
        <v>1627</v>
      </c>
      <c r="B900">
        <v>9003476300</v>
      </c>
      <c r="C900" t="s">
        <v>1628</v>
      </c>
      <c r="D900">
        <v>4</v>
      </c>
      <c r="E900" t="s">
        <v>944</v>
      </c>
    </row>
    <row r="901" spans="1:5" x14ac:dyDescent="0.2">
      <c r="A901" t="s">
        <v>2423</v>
      </c>
      <c r="B901">
        <v>9009352600</v>
      </c>
      <c r="C901" t="s">
        <v>2424</v>
      </c>
      <c r="D901">
        <v>6</v>
      </c>
      <c r="E901" t="s">
        <v>936</v>
      </c>
    </row>
    <row r="902" spans="1:5" x14ac:dyDescent="0.2">
      <c r="A902" t="s">
        <v>2425</v>
      </c>
      <c r="B902">
        <v>9009352701</v>
      </c>
      <c r="C902" t="s">
        <v>2426</v>
      </c>
      <c r="D902">
        <v>6</v>
      </c>
      <c r="E902" t="s">
        <v>936</v>
      </c>
    </row>
    <row r="903" spans="1:5" x14ac:dyDescent="0.2">
      <c r="A903" t="s">
        <v>2429</v>
      </c>
      <c r="B903">
        <v>9009352800</v>
      </c>
      <c r="C903" t="s">
        <v>2430</v>
      </c>
      <c r="D903">
        <v>5</v>
      </c>
      <c r="E903" t="s">
        <v>944</v>
      </c>
    </row>
    <row r="904" spans="1:5" x14ac:dyDescent="0.2">
      <c r="A904" t="s">
        <v>2431</v>
      </c>
      <c r="B904">
        <v>9009361100</v>
      </c>
      <c r="C904" t="s">
        <v>2432</v>
      </c>
      <c r="D904">
        <v>4</v>
      </c>
      <c r="E904" t="s">
        <v>944</v>
      </c>
    </row>
    <row r="905" spans="1:5" x14ac:dyDescent="0.2">
      <c r="A905" t="s">
        <v>2433</v>
      </c>
      <c r="B905">
        <v>9009361200</v>
      </c>
      <c r="C905" t="s">
        <v>2434</v>
      </c>
      <c r="D905">
        <v>4</v>
      </c>
      <c r="E905" t="s">
        <v>944</v>
      </c>
    </row>
    <row r="906" spans="1:5" x14ac:dyDescent="0.2">
      <c r="A906" t="s">
        <v>2435</v>
      </c>
      <c r="B906">
        <v>9009361300</v>
      </c>
      <c r="C906" t="s">
        <v>2436</v>
      </c>
      <c r="D906">
        <v>4</v>
      </c>
      <c r="E906" t="s">
        <v>944</v>
      </c>
    </row>
    <row r="907" spans="1:5" x14ac:dyDescent="0.2">
      <c r="A907" t="s">
        <v>1967</v>
      </c>
      <c r="B907">
        <v>9005342100</v>
      </c>
      <c r="C907" t="s">
        <v>1968</v>
      </c>
      <c r="D907">
        <v>4</v>
      </c>
      <c r="E907" t="s">
        <v>944</v>
      </c>
    </row>
    <row r="908" spans="1:5" x14ac:dyDescent="0.2">
      <c r="A908" t="s">
        <v>1975</v>
      </c>
      <c r="B908">
        <v>9005360200</v>
      </c>
      <c r="C908" t="s">
        <v>1976</v>
      </c>
      <c r="D908">
        <v>3</v>
      </c>
      <c r="E908" t="s">
        <v>944</v>
      </c>
    </row>
    <row r="909" spans="1:5" x14ac:dyDescent="0.2">
      <c r="A909" t="s">
        <v>1981</v>
      </c>
      <c r="B909">
        <v>9005362101</v>
      </c>
      <c r="C909" t="s">
        <v>1982</v>
      </c>
      <c r="D909">
        <v>4</v>
      </c>
      <c r="E909" t="s">
        <v>944</v>
      </c>
    </row>
    <row r="910" spans="1:5" x14ac:dyDescent="0.2">
      <c r="A910" t="s">
        <v>1983</v>
      </c>
      <c r="B910">
        <v>9005362102</v>
      </c>
      <c r="C910" t="s">
        <v>1984</v>
      </c>
      <c r="D910">
        <v>4</v>
      </c>
      <c r="E910" t="s">
        <v>944</v>
      </c>
    </row>
    <row r="911" spans="1:5" x14ac:dyDescent="0.2">
      <c r="A911" t="s">
        <v>2647</v>
      </c>
      <c r="B911">
        <v>9015900200</v>
      </c>
      <c r="C911" t="s">
        <v>2648</v>
      </c>
      <c r="D911">
        <v>4</v>
      </c>
      <c r="E911" t="s">
        <v>944</v>
      </c>
    </row>
    <row r="912" spans="1:5" x14ac:dyDescent="0.2">
      <c r="A912" t="s">
        <v>2649</v>
      </c>
      <c r="B912">
        <v>9015901100</v>
      </c>
      <c r="C912" t="s">
        <v>2650</v>
      </c>
      <c r="D912">
        <v>4</v>
      </c>
      <c r="E912" t="s">
        <v>944</v>
      </c>
    </row>
    <row r="913" spans="1:5" x14ac:dyDescent="0.2">
      <c r="A913" t="s">
        <v>2651</v>
      </c>
      <c r="B913">
        <v>9015902200</v>
      </c>
      <c r="C913" t="s">
        <v>2652</v>
      </c>
      <c r="D913">
        <v>4</v>
      </c>
      <c r="E913" t="s">
        <v>944</v>
      </c>
    </row>
    <row r="914" spans="1:5" x14ac:dyDescent="0.2">
      <c r="A914" t="s">
        <v>2653</v>
      </c>
      <c r="B914">
        <v>9015902500</v>
      </c>
      <c r="C914" t="s">
        <v>2654</v>
      </c>
      <c r="D914">
        <v>3</v>
      </c>
      <c r="E914" t="s">
        <v>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5297A-545C-4C41-8AE4-5CC43B1202B5}">
  <sheetPr>
    <tabColor theme="6" tint="0.59999389629810485"/>
  </sheetPr>
  <dimension ref="A1:S16"/>
  <sheetViews>
    <sheetView zoomScale="150" zoomScaleNormal="150" workbookViewId="0">
      <selection activeCell="E17" sqref="E17"/>
    </sheetView>
  </sheetViews>
  <sheetFormatPr baseColWidth="10" defaultColWidth="8.83203125" defaultRowHeight="15" x14ac:dyDescent="0.2"/>
  <cols>
    <col min="1" max="1" width="27.5" customWidth="1"/>
    <col min="2" max="10" width="13.6640625" customWidth="1"/>
  </cols>
  <sheetData>
    <row r="1" spans="1:19" x14ac:dyDescent="0.2">
      <c r="A1" s="14" t="s">
        <v>2695</v>
      </c>
    </row>
    <row r="2" spans="1:19" x14ac:dyDescent="0.2">
      <c r="A2" s="270" t="s">
        <v>2696</v>
      </c>
      <c r="B2" s="272" t="s">
        <v>2697</v>
      </c>
      <c r="C2" s="273"/>
      <c r="D2" s="274"/>
      <c r="E2" s="275" t="s">
        <v>2698</v>
      </c>
      <c r="F2" s="276"/>
      <c r="G2" s="277"/>
      <c r="H2" s="278" t="s">
        <v>2699</v>
      </c>
      <c r="I2" s="279"/>
      <c r="J2" s="280"/>
    </row>
    <row r="3" spans="1:19" x14ac:dyDescent="0.2">
      <c r="A3" s="271"/>
      <c r="B3" s="15" t="s">
        <v>2700</v>
      </c>
      <c r="C3" s="16" t="s">
        <v>2701</v>
      </c>
      <c r="D3" s="17" t="s">
        <v>2702</v>
      </c>
      <c r="E3" s="15" t="s">
        <v>2700</v>
      </c>
      <c r="F3" s="17" t="s">
        <v>2701</v>
      </c>
      <c r="G3" s="16" t="s">
        <v>2702</v>
      </c>
      <c r="H3" s="15" t="s">
        <v>2700</v>
      </c>
      <c r="I3" s="16" t="s">
        <v>2701</v>
      </c>
      <c r="J3" s="18" t="s">
        <v>2702</v>
      </c>
    </row>
    <row r="4" spans="1:19" x14ac:dyDescent="0.2">
      <c r="A4" s="19" t="s">
        <v>2703</v>
      </c>
      <c r="B4" s="20">
        <f>C4+D4</f>
        <v>112718710.6524774</v>
      </c>
      <c r="C4" s="21">
        <f>F4+I4</f>
        <v>52682522.780123465</v>
      </c>
      <c r="D4" s="22">
        <f>G4+J4</f>
        <v>60036187.872353934</v>
      </c>
      <c r="E4" s="21">
        <f>F4+G4</f>
        <v>70659148.926617235</v>
      </c>
      <c r="F4" s="22">
        <f>'[1]2.) Small Load'!H938</f>
        <v>52629786.815592907</v>
      </c>
      <c r="G4" s="21">
        <f>'[1]2.) Small Load'!L938</f>
        <v>18029362.111024335</v>
      </c>
      <c r="H4" s="22">
        <f>I4+J4</f>
        <v>42059561.725860156</v>
      </c>
      <c r="I4" s="21">
        <f>'[1]3.) Large Load'!H233</f>
        <v>52735.964530559999</v>
      </c>
      <c r="J4" s="23">
        <f>'[1]3.) Large Load'!L233</f>
        <v>42006825.761329599</v>
      </c>
    </row>
    <row r="5" spans="1:19" x14ac:dyDescent="0.2">
      <c r="A5" s="19" t="s">
        <v>2704</v>
      </c>
      <c r="B5" s="24">
        <f>C5+D5</f>
        <v>81735058.186299995</v>
      </c>
      <c r="C5" s="25">
        <f>F5+I5</f>
        <v>36999853.3169</v>
      </c>
      <c r="D5" s="26">
        <f>G5+J5</f>
        <v>44735204.869399995</v>
      </c>
      <c r="E5" s="25">
        <f>F5+G5</f>
        <v>44405301.081500001</v>
      </c>
      <c r="F5" s="26">
        <f>'[1]2.) Small Load'!J938</f>
        <v>36999853.3169</v>
      </c>
      <c r="G5" s="25">
        <f>'[1]2.) Small Load'!N938</f>
        <v>7405447.7646000003</v>
      </c>
      <c r="H5" s="26">
        <f>I5+J5</f>
        <v>37329757.104799993</v>
      </c>
      <c r="I5" s="25">
        <f>'[1]3.) Large Load'!J233</f>
        <v>0</v>
      </c>
      <c r="J5" s="27">
        <f>'[1]3.) Large Load'!N233</f>
        <v>37329757.104799993</v>
      </c>
    </row>
    <row r="6" spans="1:19" x14ac:dyDescent="0.2">
      <c r="A6" t="s">
        <v>2705</v>
      </c>
      <c r="B6" s="28">
        <f t="shared" ref="B6:J6" si="0">B5/B4</f>
        <v>0.72512414055459717</v>
      </c>
      <c r="C6" s="28">
        <f t="shared" si="0"/>
        <v>0.70231741694153715</v>
      </c>
      <c r="D6" s="28">
        <f t="shared" si="0"/>
        <v>0.74513733224557566</v>
      </c>
      <c r="E6" s="28">
        <f t="shared" si="0"/>
        <v>0.62844375790057905</v>
      </c>
      <c r="F6" s="28">
        <f t="shared" si="0"/>
        <v>0.70302115124543607</v>
      </c>
      <c r="G6" s="28">
        <f t="shared" si="0"/>
        <v>0.41074374783741369</v>
      </c>
      <c r="H6" s="28">
        <f t="shared" si="0"/>
        <v>0.88754508066706594</v>
      </c>
      <c r="I6" s="28">
        <f t="shared" si="0"/>
        <v>0</v>
      </c>
      <c r="J6" s="28">
        <f t="shared" si="0"/>
        <v>0.88865931734277348</v>
      </c>
    </row>
    <row r="7" spans="1:19" x14ac:dyDescent="0.2">
      <c r="A7" t="s">
        <v>3880</v>
      </c>
      <c r="B7" s="28">
        <f>(B5/(B4-21400000))</f>
        <v>0.89505269623605432</v>
      </c>
      <c r="C7" s="28">
        <f>(C5/((C4-(21400000*47%))))</f>
        <v>0.86804146776638302</v>
      </c>
      <c r="D7" s="28">
        <f>(D5/(D4-(21400000*53%)))</f>
        <v>0.91869701136957149</v>
      </c>
      <c r="E7" s="28" t="s">
        <v>2706</v>
      </c>
      <c r="F7" s="28"/>
      <c r="G7" s="28"/>
      <c r="H7" s="28" t="s">
        <v>2706</v>
      </c>
      <c r="I7" s="28"/>
      <c r="J7" s="28"/>
    </row>
    <row r="8" spans="1:19" x14ac:dyDescent="0.2">
      <c r="C8" s="269" t="s">
        <v>2706</v>
      </c>
      <c r="D8" s="269"/>
    </row>
    <row r="9" spans="1:19" s="30" customFormat="1" x14ac:dyDescent="0.2">
      <c r="A9" s="29" t="s">
        <v>2707</v>
      </c>
      <c r="C9" s="31"/>
      <c r="D9" s="31"/>
      <c r="E9" s="32"/>
      <c r="F9" s="32"/>
      <c r="G9" s="32"/>
      <c r="H9" s="32"/>
      <c r="I9" s="32"/>
      <c r="J9" s="32"/>
      <c r="K9" s="32"/>
      <c r="L9" s="32"/>
      <c r="M9" s="32"/>
      <c r="N9" s="32"/>
      <c r="O9" s="32"/>
      <c r="P9" s="32"/>
    </row>
    <row r="10" spans="1:19" s="30" customFormat="1" x14ac:dyDescent="0.2">
      <c r="A10" s="29" t="s">
        <v>3879</v>
      </c>
      <c r="C10" s="31"/>
      <c r="D10" s="31"/>
      <c r="E10" s="32"/>
      <c r="F10" s="32"/>
      <c r="G10" s="32"/>
      <c r="H10" s="32"/>
      <c r="I10" s="32"/>
      <c r="J10" s="32"/>
      <c r="K10" s="32"/>
      <c r="L10" s="32"/>
      <c r="M10" s="32"/>
      <c r="N10" s="32"/>
      <c r="O10" s="32"/>
      <c r="P10" s="32"/>
    </row>
    <row r="11" spans="1:19" x14ac:dyDescent="0.2">
      <c r="A11" t="s">
        <v>3878</v>
      </c>
      <c r="Q11" s="164"/>
      <c r="R11" s="164"/>
      <c r="S11" s="164"/>
    </row>
    <row r="16" spans="1:19" x14ac:dyDescent="0.2">
      <c r="D16" t="s">
        <v>2706</v>
      </c>
    </row>
  </sheetData>
  <mergeCells count="5">
    <mergeCell ref="C8:D8"/>
    <mergeCell ref="A2:A3"/>
    <mergeCell ref="B2:D2"/>
    <mergeCell ref="E2:G2"/>
    <mergeCell ref="H2: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C7A7-E4DB-4FAB-A684-4AFFABB7814A}">
  <sheetPr>
    <tabColor theme="6" tint="0.59999389629810485"/>
  </sheetPr>
  <dimension ref="A3:D644"/>
  <sheetViews>
    <sheetView topLeftCell="A529" workbookViewId="0">
      <selection activeCell="E632" sqref="E632"/>
    </sheetView>
  </sheetViews>
  <sheetFormatPr baseColWidth="10" defaultColWidth="8.83203125" defaultRowHeight="15" x14ac:dyDescent="0.2"/>
  <cols>
    <col min="1" max="1" width="13.1640625" bestFit="1" customWidth="1"/>
    <col min="2" max="2" width="20.1640625" bestFit="1" customWidth="1"/>
    <col min="3" max="3" width="22.5" bestFit="1" customWidth="1"/>
    <col min="4" max="4" width="30.33203125" bestFit="1" customWidth="1"/>
    <col min="5" max="5" width="25.6640625" bestFit="1" customWidth="1"/>
    <col min="6" max="6" width="2" bestFit="1" customWidth="1"/>
    <col min="7" max="7" width="5.5" bestFit="1" customWidth="1"/>
    <col min="8" max="8" width="11.33203125" bestFit="1" customWidth="1"/>
    <col min="9" max="640" width="16.33203125" bestFit="1" customWidth="1"/>
    <col min="641" max="641" width="11.33203125" bestFit="1" customWidth="1"/>
  </cols>
  <sheetData>
    <row r="3" spans="1:4" x14ac:dyDescent="0.2">
      <c r="A3" s="126" t="s">
        <v>2708</v>
      </c>
      <c r="B3" t="s">
        <v>2709</v>
      </c>
      <c r="C3" t="s">
        <v>915</v>
      </c>
      <c r="D3" t="s">
        <v>917</v>
      </c>
    </row>
    <row r="4" spans="1:4" x14ac:dyDescent="0.2">
      <c r="A4" s="127">
        <v>9000016000</v>
      </c>
      <c r="B4">
        <v>1</v>
      </c>
      <c r="C4">
        <v>84.533846399999987</v>
      </c>
      <c r="D4">
        <v>0</v>
      </c>
    </row>
    <row r="5" spans="1:4" x14ac:dyDescent="0.2">
      <c r="A5" s="127">
        <v>9001010101</v>
      </c>
      <c r="B5">
        <v>1</v>
      </c>
      <c r="C5">
        <v>240578.94357504</v>
      </c>
      <c r="D5">
        <v>21123.27</v>
      </c>
    </row>
    <row r="6" spans="1:4" x14ac:dyDescent="0.2">
      <c r="A6" s="127">
        <v>9001010102</v>
      </c>
      <c r="B6">
        <v>1</v>
      </c>
      <c r="C6">
        <v>815679.35501184</v>
      </c>
      <c r="D6">
        <v>354251.39610000001</v>
      </c>
    </row>
    <row r="7" spans="1:4" x14ac:dyDescent="0.2">
      <c r="A7" s="127">
        <v>9001010201</v>
      </c>
      <c r="B7">
        <v>1</v>
      </c>
      <c r="C7">
        <v>185024.45169216002</v>
      </c>
      <c r="D7">
        <v>4279.21</v>
      </c>
    </row>
    <row r="8" spans="1:4" x14ac:dyDescent="0.2">
      <c r="A8" s="127">
        <v>9001010202</v>
      </c>
      <c r="B8">
        <v>2</v>
      </c>
      <c r="C8">
        <v>150409.21585248</v>
      </c>
      <c r="D8">
        <v>12605.017599999999</v>
      </c>
    </row>
    <row r="9" spans="1:4" x14ac:dyDescent="0.2">
      <c r="A9" s="127">
        <v>9001010300</v>
      </c>
      <c r="B9">
        <v>1</v>
      </c>
      <c r="C9">
        <v>232331.66626463999</v>
      </c>
      <c r="D9">
        <v>14940.7438</v>
      </c>
    </row>
    <row r="10" spans="1:4" x14ac:dyDescent="0.2">
      <c r="A10" s="127">
        <v>9001010400</v>
      </c>
      <c r="B10">
        <v>1</v>
      </c>
      <c r="C10">
        <v>104263.06610592001</v>
      </c>
      <c r="D10">
        <v>6235.2754999999997</v>
      </c>
    </row>
    <row r="11" spans="1:4" x14ac:dyDescent="0.2">
      <c r="A11" s="127">
        <v>9001010500</v>
      </c>
      <c r="B11">
        <v>1</v>
      </c>
      <c r="C11">
        <v>79218.90946368</v>
      </c>
      <c r="D11">
        <v>2031.71</v>
      </c>
    </row>
    <row r="12" spans="1:4" x14ac:dyDescent="0.2">
      <c r="A12" s="127">
        <v>9001010600</v>
      </c>
      <c r="B12">
        <v>1</v>
      </c>
      <c r="C12">
        <v>37228.613912640001</v>
      </c>
      <c r="D12">
        <v>0</v>
      </c>
    </row>
    <row r="13" spans="1:4" x14ac:dyDescent="0.2">
      <c r="A13" s="127">
        <v>9001010700</v>
      </c>
      <c r="B13">
        <v>1</v>
      </c>
      <c r="C13">
        <v>75171.932176319999</v>
      </c>
      <c r="D13">
        <v>287.59500000000003</v>
      </c>
    </row>
    <row r="14" spans="1:4" x14ac:dyDescent="0.2">
      <c r="A14" s="127">
        <v>9001010800</v>
      </c>
      <c r="B14">
        <v>1</v>
      </c>
      <c r="C14">
        <v>69440.01003071999</v>
      </c>
      <c r="D14">
        <v>4273.3671000000004</v>
      </c>
    </row>
    <row r="15" spans="1:4" x14ac:dyDescent="0.2">
      <c r="A15" s="127">
        <v>9001010900</v>
      </c>
      <c r="B15">
        <v>1</v>
      </c>
      <c r="C15">
        <v>95240.909289600007</v>
      </c>
      <c r="D15">
        <v>5192.7631000000001</v>
      </c>
    </row>
    <row r="16" spans="1:4" x14ac:dyDescent="0.2">
      <c r="A16" s="127">
        <v>9001011000</v>
      </c>
      <c r="B16">
        <v>1</v>
      </c>
      <c r="C16">
        <v>149163.66117504</v>
      </c>
      <c r="D16">
        <v>6130.23</v>
      </c>
    </row>
    <row r="17" spans="1:4" x14ac:dyDescent="0.2">
      <c r="A17" s="127">
        <v>9001011100</v>
      </c>
      <c r="B17">
        <v>1</v>
      </c>
      <c r="C17">
        <v>156251.62535040002</v>
      </c>
      <c r="D17">
        <v>3011.9016999999999</v>
      </c>
    </row>
    <row r="18" spans="1:4" x14ac:dyDescent="0.2">
      <c r="A18" s="127">
        <v>9001011200</v>
      </c>
      <c r="B18">
        <v>1</v>
      </c>
      <c r="C18">
        <v>117303.06865248001</v>
      </c>
      <c r="D18">
        <v>2614.33</v>
      </c>
    </row>
    <row r="19" spans="1:4" x14ac:dyDescent="0.2">
      <c r="A19" s="127">
        <v>9001011300</v>
      </c>
      <c r="B19">
        <v>1</v>
      </c>
      <c r="C19">
        <v>58602.084949439995</v>
      </c>
      <c r="D19">
        <v>628.98</v>
      </c>
    </row>
    <row r="20" spans="1:4" x14ac:dyDescent="0.2">
      <c r="A20" s="127">
        <v>9001020100</v>
      </c>
      <c r="B20">
        <v>2</v>
      </c>
      <c r="C20">
        <v>176164.74539135999</v>
      </c>
      <c r="D20">
        <v>30202.722900000001</v>
      </c>
    </row>
    <row r="21" spans="1:4" x14ac:dyDescent="0.2">
      <c r="A21" s="127">
        <v>9001020200</v>
      </c>
      <c r="B21">
        <v>2</v>
      </c>
      <c r="C21">
        <v>136284.81071615999</v>
      </c>
      <c r="D21">
        <v>29147.88</v>
      </c>
    </row>
    <row r="22" spans="1:4" x14ac:dyDescent="0.2">
      <c r="A22" s="127">
        <v>9001020300</v>
      </c>
      <c r="B22">
        <v>1</v>
      </c>
      <c r="C22">
        <v>1185603.40382112</v>
      </c>
      <c r="D22">
        <v>1034688.0803</v>
      </c>
    </row>
    <row r="23" spans="1:4" x14ac:dyDescent="0.2">
      <c r="A23" s="127">
        <v>9001020400</v>
      </c>
      <c r="B23">
        <v>1</v>
      </c>
      <c r="C23">
        <v>98807.302137599996</v>
      </c>
      <c r="D23">
        <v>11006.608099999999</v>
      </c>
    </row>
    <row r="24" spans="1:4" x14ac:dyDescent="0.2">
      <c r="A24" s="127">
        <v>9001020500</v>
      </c>
      <c r="B24">
        <v>1</v>
      </c>
      <c r="C24">
        <v>134841.29239295999</v>
      </c>
      <c r="D24">
        <v>23276.3524</v>
      </c>
    </row>
    <row r="25" spans="1:4" x14ac:dyDescent="0.2">
      <c r="A25" s="127">
        <v>9001020600</v>
      </c>
      <c r="B25">
        <v>1</v>
      </c>
      <c r="C25">
        <v>109788.85834560001</v>
      </c>
      <c r="D25">
        <v>9380.7999999999993</v>
      </c>
    </row>
    <row r="26" spans="1:4" x14ac:dyDescent="0.2">
      <c r="A26" s="127">
        <v>9001020700</v>
      </c>
      <c r="B26">
        <v>1</v>
      </c>
      <c r="C26">
        <v>93484.321084800002</v>
      </c>
      <c r="D26">
        <v>7756.2</v>
      </c>
    </row>
    <row r="27" spans="1:4" x14ac:dyDescent="0.2">
      <c r="A27" s="127">
        <v>9001020800</v>
      </c>
      <c r="B27">
        <v>1</v>
      </c>
      <c r="C27">
        <v>60746.351405759997</v>
      </c>
      <c r="D27">
        <v>12748.1304</v>
      </c>
    </row>
    <row r="28" spans="1:4" x14ac:dyDescent="0.2">
      <c r="A28" s="127">
        <v>9001020900</v>
      </c>
      <c r="B28">
        <v>1</v>
      </c>
      <c r="C28">
        <v>109799.58904416001</v>
      </c>
      <c r="D28">
        <v>8620.5794999999998</v>
      </c>
    </row>
    <row r="29" spans="1:4" x14ac:dyDescent="0.2">
      <c r="A29" s="127">
        <v>9001021000</v>
      </c>
      <c r="B29">
        <v>1</v>
      </c>
      <c r="C29">
        <v>70717.539144959999</v>
      </c>
      <c r="D29">
        <v>2774.1374000000001</v>
      </c>
    </row>
    <row r="30" spans="1:4" x14ac:dyDescent="0.2">
      <c r="A30" s="127">
        <v>9001021100</v>
      </c>
      <c r="B30">
        <v>1</v>
      </c>
      <c r="C30">
        <v>115220.04017471999</v>
      </c>
      <c r="D30">
        <v>8369.6</v>
      </c>
    </row>
    <row r="31" spans="1:4" x14ac:dyDescent="0.2">
      <c r="A31" s="127">
        <v>9001021200</v>
      </c>
      <c r="B31">
        <v>1</v>
      </c>
      <c r="C31">
        <v>111285.65852063999</v>
      </c>
      <c r="D31">
        <v>23460</v>
      </c>
    </row>
    <row r="32" spans="1:4" x14ac:dyDescent="0.2">
      <c r="A32" s="127">
        <v>9001021300</v>
      </c>
      <c r="B32">
        <v>1</v>
      </c>
      <c r="C32">
        <v>74577.157868159993</v>
      </c>
      <c r="D32">
        <v>8945.08</v>
      </c>
    </row>
    <row r="33" spans="1:4" x14ac:dyDescent="0.2">
      <c r="A33" s="127">
        <v>9001021400</v>
      </c>
      <c r="B33">
        <v>2</v>
      </c>
      <c r="C33">
        <v>90429.771617279999</v>
      </c>
      <c r="D33">
        <v>5225.13</v>
      </c>
    </row>
    <row r="34" spans="1:4" x14ac:dyDescent="0.2">
      <c r="A34" s="127">
        <v>9001021500</v>
      </c>
      <c r="B34">
        <v>1</v>
      </c>
      <c r="C34">
        <v>65226.474495360002</v>
      </c>
      <c r="D34">
        <v>403</v>
      </c>
    </row>
    <row r="35" spans="1:4" x14ac:dyDescent="0.2">
      <c r="A35" s="127">
        <v>9001021600</v>
      </c>
      <c r="B35">
        <v>1</v>
      </c>
      <c r="C35">
        <v>103228.87383072</v>
      </c>
      <c r="D35">
        <v>6524.6980000000003</v>
      </c>
    </row>
    <row r="36" spans="1:4" x14ac:dyDescent="0.2">
      <c r="A36" s="127">
        <v>9001021700</v>
      </c>
      <c r="B36">
        <v>1</v>
      </c>
      <c r="C36">
        <v>111040.17635231998</v>
      </c>
      <c r="D36">
        <v>10284.4203</v>
      </c>
    </row>
    <row r="37" spans="1:4" x14ac:dyDescent="0.2">
      <c r="A37" s="127">
        <v>9001021801</v>
      </c>
      <c r="B37">
        <v>1</v>
      </c>
      <c r="C37">
        <v>63583.488017279997</v>
      </c>
      <c r="D37">
        <v>9221.6200000000008</v>
      </c>
    </row>
    <row r="38" spans="1:4" x14ac:dyDescent="0.2">
      <c r="A38" s="127">
        <v>9001021802</v>
      </c>
      <c r="B38">
        <v>1</v>
      </c>
      <c r="C38">
        <v>76084.431719040003</v>
      </c>
      <c r="D38">
        <v>9793.5617999999995</v>
      </c>
    </row>
    <row r="39" spans="1:4" x14ac:dyDescent="0.2">
      <c r="A39" s="127">
        <v>9001021900</v>
      </c>
      <c r="B39">
        <v>1</v>
      </c>
      <c r="C39">
        <v>117333.27924191998</v>
      </c>
      <c r="D39">
        <v>10290.35</v>
      </c>
    </row>
    <row r="40" spans="1:4" x14ac:dyDescent="0.2">
      <c r="A40" s="127">
        <v>9001022000</v>
      </c>
      <c r="B40">
        <v>1</v>
      </c>
      <c r="C40">
        <v>37835.245998719998</v>
      </c>
      <c r="D40">
        <v>6324.97</v>
      </c>
    </row>
    <row r="41" spans="1:4" x14ac:dyDescent="0.2">
      <c r="A41" s="127">
        <v>9001022100</v>
      </c>
      <c r="B41">
        <v>1</v>
      </c>
      <c r="C41">
        <v>92737.622036159999</v>
      </c>
      <c r="D41">
        <v>5543.82</v>
      </c>
    </row>
    <row r="42" spans="1:4" x14ac:dyDescent="0.2">
      <c r="A42" s="127">
        <v>9001022200</v>
      </c>
      <c r="B42">
        <v>1</v>
      </c>
      <c r="C42">
        <v>81861.026613120019</v>
      </c>
      <c r="D42">
        <v>0</v>
      </c>
    </row>
    <row r="43" spans="1:4" x14ac:dyDescent="0.2">
      <c r="A43" s="127">
        <v>9001022300</v>
      </c>
      <c r="B43">
        <v>1</v>
      </c>
      <c r="C43">
        <v>88271.146042559994</v>
      </c>
      <c r="D43">
        <v>49293.5962</v>
      </c>
    </row>
    <row r="44" spans="1:4" x14ac:dyDescent="0.2">
      <c r="A44" s="127">
        <v>9001022400</v>
      </c>
      <c r="B44">
        <v>1</v>
      </c>
      <c r="C44">
        <v>65418.021835199994</v>
      </c>
      <c r="D44">
        <v>3895.87</v>
      </c>
    </row>
    <row r="45" spans="1:4" x14ac:dyDescent="0.2">
      <c r="A45" s="127">
        <v>9001030100</v>
      </c>
      <c r="B45">
        <v>1</v>
      </c>
      <c r="C45">
        <v>144986.32474272</v>
      </c>
      <c r="D45">
        <v>21254.052</v>
      </c>
    </row>
    <row r="46" spans="1:4" x14ac:dyDescent="0.2">
      <c r="A46" s="127">
        <v>9001030200</v>
      </c>
      <c r="B46">
        <v>1</v>
      </c>
      <c r="C46">
        <v>90975.895113599996</v>
      </c>
      <c r="D46">
        <v>24472.4656</v>
      </c>
    </row>
    <row r="47" spans="1:4" x14ac:dyDescent="0.2">
      <c r="A47" s="127">
        <v>9001030300</v>
      </c>
      <c r="B47">
        <v>1</v>
      </c>
      <c r="C47">
        <v>329747.23436832003</v>
      </c>
      <c r="D47">
        <v>224847.87</v>
      </c>
    </row>
    <row r="48" spans="1:4" x14ac:dyDescent="0.2">
      <c r="A48" s="127">
        <v>9001030400</v>
      </c>
      <c r="B48">
        <v>1</v>
      </c>
      <c r="C48">
        <v>83365.854695999995</v>
      </c>
      <c r="D48">
        <v>14030.75</v>
      </c>
    </row>
    <row r="49" spans="1:4" x14ac:dyDescent="0.2">
      <c r="A49" s="127">
        <v>9001030500</v>
      </c>
      <c r="B49">
        <v>1</v>
      </c>
      <c r="C49">
        <v>137375.18561088003</v>
      </c>
      <c r="D49">
        <v>32728.266500000002</v>
      </c>
    </row>
    <row r="50" spans="1:4" x14ac:dyDescent="0.2">
      <c r="A50" s="127">
        <v>9001035100</v>
      </c>
      <c r="B50">
        <v>2</v>
      </c>
      <c r="C50">
        <v>371401.6770576</v>
      </c>
      <c r="D50">
        <v>173505.5471</v>
      </c>
    </row>
    <row r="51" spans="1:4" x14ac:dyDescent="0.2">
      <c r="A51" s="127">
        <v>9001035200</v>
      </c>
      <c r="B51">
        <v>1</v>
      </c>
      <c r="C51">
        <v>168416.02037664002</v>
      </c>
      <c r="D51">
        <v>16177.38</v>
      </c>
    </row>
    <row r="52" spans="1:4" x14ac:dyDescent="0.2">
      <c r="A52" s="127">
        <v>9001035300</v>
      </c>
      <c r="B52">
        <v>2</v>
      </c>
      <c r="C52">
        <v>139570.99554239999</v>
      </c>
      <c r="D52">
        <v>18915.32</v>
      </c>
    </row>
    <row r="53" spans="1:4" x14ac:dyDescent="0.2">
      <c r="A53" s="127">
        <v>9001035400</v>
      </c>
      <c r="B53">
        <v>3</v>
      </c>
      <c r="C53">
        <v>201620.67211296002</v>
      </c>
      <c r="D53">
        <v>65011.672400000003</v>
      </c>
    </row>
    <row r="54" spans="1:4" x14ac:dyDescent="0.2">
      <c r="A54" s="127">
        <v>9001042500</v>
      </c>
      <c r="B54">
        <v>2</v>
      </c>
      <c r="C54">
        <v>83177.860521600014</v>
      </c>
      <c r="D54">
        <v>25488.235000000001</v>
      </c>
    </row>
    <row r="55" spans="1:4" x14ac:dyDescent="0.2">
      <c r="A55" s="127">
        <v>9001042600</v>
      </c>
      <c r="B55">
        <v>2</v>
      </c>
      <c r="C55">
        <v>82894.608748800005</v>
      </c>
      <c r="D55">
        <v>15735.29</v>
      </c>
    </row>
    <row r="56" spans="1:4" x14ac:dyDescent="0.2">
      <c r="A56" s="127">
        <v>9001042700</v>
      </c>
      <c r="B56">
        <v>1</v>
      </c>
      <c r="C56">
        <v>85645.313366399991</v>
      </c>
      <c r="D56">
        <v>11611.1448</v>
      </c>
    </row>
    <row r="57" spans="1:4" x14ac:dyDescent="0.2">
      <c r="A57" s="127">
        <v>9001042800</v>
      </c>
      <c r="B57">
        <v>1</v>
      </c>
      <c r="C57">
        <v>115974.89911584</v>
      </c>
      <c r="D57">
        <v>22248.071899999999</v>
      </c>
    </row>
    <row r="58" spans="1:4" x14ac:dyDescent="0.2">
      <c r="A58" s="127">
        <v>9001042900</v>
      </c>
      <c r="B58">
        <v>2</v>
      </c>
      <c r="C58">
        <v>41516.653040639991</v>
      </c>
      <c r="D58">
        <v>22228.298200000001</v>
      </c>
    </row>
    <row r="59" spans="1:4" x14ac:dyDescent="0.2">
      <c r="A59" s="127">
        <v>9001043000</v>
      </c>
      <c r="B59">
        <v>1</v>
      </c>
      <c r="C59">
        <v>63115.726927679993</v>
      </c>
      <c r="D59">
        <v>13700.7127</v>
      </c>
    </row>
    <row r="60" spans="1:4" x14ac:dyDescent="0.2">
      <c r="A60" s="127">
        <v>9001043100</v>
      </c>
      <c r="B60">
        <v>1</v>
      </c>
      <c r="C60">
        <v>104499.4986432</v>
      </c>
      <c r="D60">
        <v>28444.488799999999</v>
      </c>
    </row>
    <row r="61" spans="1:4" x14ac:dyDescent="0.2">
      <c r="A61" s="127">
        <v>9001043200</v>
      </c>
      <c r="B61">
        <v>1</v>
      </c>
      <c r="C61">
        <v>59452.694694720005</v>
      </c>
      <c r="D61">
        <v>4285.76</v>
      </c>
    </row>
    <row r="62" spans="1:4" x14ac:dyDescent="0.2">
      <c r="A62" s="127">
        <v>9001043300</v>
      </c>
      <c r="B62">
        <v>1</v>
      </c>
      <c r="C62">
        <v>64142.895072960004</v>
      </c>
      <c r="D62">
        <v>25985.81</v>
      </c>
    </row>
    <row r="63" spans="1:4" x14ac:dyDescent="0.2">
      <c r="A63" s="127">
        <v>9001043400</v>
      </c>
      <c r="B63">
        <v>1</v>
      </c>
      <c r="C63">
        <v>65534.864711040005</v>
      </c>
      <c r="D63">
        <v>6121.5024000000003</v>
      </c>
    </row>
    <row r="64" spans="1:4" x14ac:dyDescent="0.2">
      <c r="A64" s="127">
        <v>9001043500</v>
      </c>
      <c r="B64">
        <v>2</v>
      </c>
      <c r="C64">
        <v>44107.548572159998</v>
      </c>
      <c r="D64">
        <v>6773.4652000000006</v>
      </c>
    </row>
    <row r="65" spans="1:4" x14ac:dyDescent="0.2">
      <c r="A65" s="127">
        <v>9001043600</v>
      </c>
      <c r="B65">
        <v>1</v>
      </c>
      <c r="C65">
        <v>52708.824316800004</v>
      </c>
      <c r="D65">
        <v>17760.28</v>
      </c>
    </row>
    <row r="66" spans="1:4" x14ac:dyDescent="0.2">
      <c r="A66" s="127">
        <v>9001043700</v>
      </c>
      <c r="B66">
        <v>1</v>
      </c>
      <c r="C66">
        <v>48043.2251808</v>
      </c>
      <c r="D66">
        <v>204.88</v>
      </c>
    </row>
    <row r="67" spans="1:4" x14ac:dyDescent="0.2">
      <c r="A67" s="127">
        <v>9001043800</v>
      </c>
      <c r="B67">
        <v>1</v>
      </c>
      <c r="C67">
        <v>111989.26689984</v>
      </c>
      <c r="D67">
        <v>20916.12</v>
      </c>
    </row>
    <row r="68" spans="1:4" x14ac:dyDescent="0.2">
      <c r="A68" s="127">
        <v>9001043900</v>
      </c>
      <c r="B68">
        <v>1</v>
      </c>
      <c r="C68">
        <v>84960.330451200018</v>
      </c>
      <c r="D68">
        <v>29575.041700000002</v>
      </c>
    </row>
    <row r="69" spans="1:4" x14ac:dyDescent="0.2">
      <c r="A69" s="127">
        <v>9001044000</v>
      </c>
      <c r="B69">
        <v>1</v>
      </c>
      <c r="C69">
        <v>9493.4351807999992</v>
      </c>
      <c r="D69">
        <v>1151.32</v>
      </c>
    </row>
    <row r="70" spans="1:4" x14ac:dyDescent="0.2">
      <c r="A70" s="127">
        <v>9001044200</v>
      </c>
      <c r="B70">
        <v>1</v>
      </c>
      <c r="C70">
        <v>1613.0028096000001</v>
      </c>
      <c r="D70">
        <v>0</v>
      </c>
    </row>
    <row r="71" spans="1:4" x14ac:dyDescent="0.2">
      <c r="A71" s="127">
        <v>9001044300</v>
      </c>
      <c r="B71">
        <v>2</v>
      </c>
      <c r="C71">
        <v>7376.7604607999992</v>
      </c>
      <c r="D71">
        <v>1007.24</v>
      </c>
    </row>
    <row r="72" spans="1:4" x14ac:dyDescent="0.2">
      <c r="A72" s="127">
        <v>9001044400</v>
      </c>
      <c r="B72">
        <v>1</v>
      </c>
      <c r="C72">
        <v>12491.628364799999</v>
      </c>
      <c r="D72">
        <v>297.27</v>
      </c>
    </row>
    <row r="73" spans="1:4" x14ac:dyDescent="0.2">
      <c r="A73" s="127">
        <v>9001044500</v>
      </c>
      <c r="B73">
        <v>1</v>
      </c>
      <c r="C73">
        <v>22822.7260608</v>
      </c>
      <c r="D73">
        <v>1502.88</v>
      </c>
    </row>
    <row r="74" spans="1:4" x14ac:dyDescent="0.2">
      <c r="A74" s="127">
        <v>9001044600</v>
      </c>
      <c r="B74">
        <v>1</v>
      </c>
      <c r="C74">
        <v>641725.94221919996</v>
      </c>
      <c r="D74">
        <v>1222150.5935999991</v>
      </c>
    </row>
    <row r="75" spans="1:4" x14ac:dyDescent="0.2">
      <c r="A75" s="127">
        <v>9001045101</v>
      </c>
      <c r="B75">
        <v>1</v>
      </c>
      <c r="C75">
        <v>121792.58059679999</v>
      </c>
      <c r="D75">
        <v>26942.549299999999</v>
      </c>
    </row>
    <row r="76" spans="1:4" x14ac:dyDescent="0.2">
      <c r="A76" s="127">
        <v>9001045102</v>
      </c>
      <c r="B76">
        <v>2</v>
      </c>
      <c r="C76">
        <v>281076.99820992007</v>
      </c>
      <c r="D76">
        <v>98164.801600000108</v>
      </c>
    </row>
    <row r="77" spans="1:4" x14ac:dyDescent="0.2">
      <c r="A77" s="127">
        <v>9001045200</v>
      </c>
      <c r="B77">
        <v>1</v>
      </c>
      <c r="C77">
        <v>79552.867651200009</v>
      </c>
      <c r="D77">
        <v>17456.605100000001</v>
      </c>
    </row>
    <row r="78" spans="1:4" x14ac:dyDescent="0.2">
      <c r="A78" s="127">
        <v>9001045300</v>
      </c>
      <c r="B78">
        <v>2</v>
      </c>
      <c r="C78">
        <v>60408.1946016</v>
      </c>
      <c r="D78">
        <v>10246.200000000001</v>
      </c>
    </row>
    <row r="79" spans="1:4" x14ac:dyDescent="0.2">
      <c r="A79" s="127">
        <v>9001045400</v>
      </c>
      <c r="B79">
        <v>3</v>
      </c>
      <c r="C79">
        <v>88251.321139200008</v>
      </c>
      <c r="D79">
        <v>24622.080000000002</v>
      </c>
    </row>
    <row r="80" spans="1:4" x14ac:dyDescent="0.2">
      <c r="A80" s="127">
        <v>9001050100</v>
      </c>
      <c r="B80">
        <v>2</v>
      </c>
      <c r="C80">
        <v>131515.43113151999</v>
      </c>
      <c r="D80">
        <v>20756.725299999998</v>
      </c>
    </row>
    <row r="81" spans="1:4" x14ac:dyDescent="0.2">
      <c r="A81" s="127">
        <v>9001050200</v>
      </c>
      <c r="B81">
        <v>1</v>
      </c>
      <c r="C81">
        <v>121173.53558688</v>
      </c>
      <c r="D81">
        <v>21742.54</v>
      </c>
    </row>
    <row r="82" spans="1:4" x14ac:dyDescent="0.2">
      <c r="A82" s="127">
        <v>9001050300</v>
      </c>
      <c r="B82">
        <v>2</v>
      </c>
      <c r="C82">
        <v>564249.73362912005</v>
      </c>
      <c r="D82">
        <v>203794.64620000002</v>
      </c>
    </row>
    <row r="83" spans="1:4" x14ac:dyDescent="0.2">
      <c r="A83" s="127">
        <v>9001050400</v>
      </c>
      <c r="B83">
        <v>2</v>
      </c>
      <c r="C83">
        <v>74601.128131200006</v>
      </c>
      <c r="D83">
        <v>7135.08</v>
      </c>
    </row>
    <row r="84" spans="1:4" x14ac:dyDescent="0.2">
      <c r="A84" s="127">
        <v>9001050500</v>
      </c>
      <c r="B84">
        <v>1</v>
      </c>
      <c r="C84">
        <v>146978.52289631998</v>
      </c>
      <c r="D84">
        <v>32140.67</v>
      </c>
    </row>
    <row r="85" spans="1:4" x14ac:dyDescent="0.2">
      <c r="A85" s="127">
        <v>9001050600</v>
      </c>
      <c r="B85">
        <v>1</v>
      </c>
      <c r="C85">
        <v>125849.61476639999</v>
      </c>
      <c r="D85">
        <v>10952.81</v>
      </c>
    </row>
    <row r="86" spans="1:4" x14ac:dyDescent="0.2">
      <c r="A86" s="127">
        <v>9001055100</v>
      </c>
      <c r="B86">
        <v>3</v>
      </c>
      <c r="C86">
        <v>215947.24356383999</v>
      </c>
      <c r="D86">
        <v>80664.353000000003</v>
      </c>
    </row>
    <row r="87" spans="1:4" x14ac:dyDescent="0.2">
      <c r="A87" s="127">
        <v>9001055200</v>
      </c>
      <c r="B87">
        <v>2</v>
      </c>
      <c r="C87">
        <v>158788.24856640003</v>
      </c>
      <c r="D87">
        <v>30830.174299999999</v>
      </c>
    </row>
    <row r="88" spans="1:4" x14ac:dyDescent="0.2">
      <c r="A88" s="127">
        <v>9001060400</v>
      </c>
      <c r="B88">
        <v>1</v>
      </c>
      <c r="C88">
        <v>4359.446870400001</v>
      </c>
      <c r="D88">
        <v>1373.72</v>
      </c>
    </row>
    <row r="89" spans="1:4" x14ac:dyDescent="0.2">
      <c r="A89" s="127">
        <v>9001100100</v>
      </c>
      <c r="B89">
        <v>2</v>
      </c>
      <c r="C89">
        <v>100918.10180448001</v>
      </c>
      <c r="D89">
        <v>20403.166799999999</v>
      </c>
    </row>
    <row r="90" spans="1:4" x14ac:dyDescent="0.2">
      <c r="A90" s="127">
        <v>9001100200</v>
      </c>
      <c r="B90">
        <v>1</v>
      </c>
      <c r="C90">
        <v>133580.15600255999</v>
      </c>
      <c r="D90">
        <v>32119.5658</v>
      </c>
    </row>
    <row r="91" spans="1:4" x14ac:dyDescent="0.2">
      <c r="A91" s="127">
        <v>9001100300</v>
      </c>
      <c r="B91">
        <v>2</v>
      </c>
      <c r="C91">
        <v>257975.51190623999</v>
      </c>
      <c r="D91">
        <v>156101.05499999999</v>
      </c>
    </row>
    <row r="92" spans="1:4" x14ac:dyDescent="0.2">
      <c r="A92" s="127">
        <v>9001105100</v>
      </c>
      <c r="B92">
        <v>1</v>
      </c>
      <c r="C92">
        <v>932.56989120000003</v>
      </c>
      <c r="D92">
        <v>0</v>
      </c>
    </row>
    <row r="93" spans="1:4" x14ac:dyDescent="0.2">
      <c r="A93" s="127">
        <v>9001105200</v>
      </c>
      <c r="B93">
        <v>1</v>
      </c>
      <c r="C93">
        <v>279.45432000000005</v>
      </c>
      <c r="D93">
        <v>0</v>
      </c>
    </row>
    <row r="94" spans="1:4" x14ac:dyDescent="0.2">
      <c r="A94" s="127">
        <v>9001110500</v>
      </c>
      <c r="B94">
        <v>1</v>
      </c>
      <c r="C94">
        <v>763.01015040000004</v>
      </c>
      <c r="D94">
        <v>0</v>
      </c>
    </row>
    <row r="95" spans="1:4" x14ac:dyDescent="0.2">
      <c r="A95" s="127">
        <v>9001200100</v>
      </c>
      <c r="B95">
        <v>2</v>
      </c>
      <c r="C95">
        <v>70231.776624000006</v>
      </c>
      <c r="D95">
        <v>10371.963599999999</v>
      </c>
    </row>
    <row r="96" spans="1:4" x14ac:dyDescent="0.2">
      <c r="A96" s="127">
        <v>9001200200</v>
      </c>
      <c r="B96">
        <v>1</v>
      </c>
      <c r="C96">
        <v>247653.1882944</v>
      </c>
      <c r="D96">
        <v>176536.53519999998</v>
      </c>
    </row>
    <row r="97" spans="1:4" x14ac:dyDescent="0.2">
      <c r="A97" s="127">
        <v>9001200301</v>
      </c>
      <c r="B97">
        <v>2</v>
      </c>
      <c r="C97">
        <v>96566.654476800002</v>
      </c>
      <c r="D97">
        <v>16100.537899999999</v>
      </c>
    </row>
    <row r="98" spans="1:4" x14ac:dyDescent="0.2">
      <c r="A98" s="127">
        <v>9001200302</v>
      </c>
      <c r="B98">
        <v>2</v>
      </c>
      <c r="C98">
        <v>112872.07800288002</v>
      </c>
      <c r="D98">
        <v>17053.723399999999</v>
      </c>
    </row>
    <row r="99" spans="1:4" x14ac:dyDescent="0.2">
      <c r="A99" s="127">
        <v>9001205100</v>
      </c>
      <c r="B99">
        <v>1</v>
      </c>
      <c r="C99">
        <v>93675.313857600006</v>
      </c>
      <c r="D99">
        <v>12836.5</v>
      </c>
    </row>
    <row r="100" spans="1:4" x14ac:dyDescent="0.2">
      <c r="A100" s="127">
        <v>9001205200</v>
      </c>
      <c r="B100">
        <v>2</v>
      </c>
      <c r="C100">
        <v>333547.51326048002</v>
      </c>
      <c r="D100">
        <v>427613.46220000001</v>
      </c>
    </row>
    <row r="101" spans="1:4" x14ac:dyDescent="0.2">
      <c r="A101" s="127">
        <v>9001205300</v>
      </c>
      <c r="B101">
        <v>3</v>
      </c>
      <c r="C101">
        <v>135660.07531584002</v>
      </c>
      <c r="D101">
        <v>17564.3</v>
      </c>
    </row>
    <row r="102" spans="1:4" x14ac:dyDescent="0.2">
      <c r="A102" s="127">
        <v>9001210100</v>
      </c>
      <c r="B102">
        <v>1</v>
      </c>
      <c r="C102">
        <v>80635.962551039993</v>
      </c>
      <c r="D102">
        <v>11314.693300000001</v>
      </c>
    </row>
    <row r="103" spans="1:4" x14ac:dyDescent="0.2">
      <c r="A103" s="127">
        <v>9001210200</v>
      </c>
      <c r="B103">
        <v>1</v>
      </c>
      <c r="C103">
        <v>66177.26174016</v>
      </c>
      <c r="D103">
        <v>3072.29</v>
      </c>
    </row>
    <row r="104" spans="1:4" x14ac:dyDescent="0.2">
      <c r="A104" s="127">
        <v>9001210300</v>
      </c>
      <c r="B104">
        <v>1</v>
      </c>
      <c r="C104">
        <v>72919.210815359998</v>
      </c>
      <c r="D104">
        <v>9926.9599999999991</v>
      </c>
    </row>
    <row r="105" spans="1:4" x14ac:dyDescent="0.2">
      <c r="A105" s="127">
        <v>9001210400</v>
      </c>
      <c r="B105">
        <v>2</v>
      </c>
      <c r="C105">
        <v>166991.35849056</v>
      </c>
      <c r="D105">
        <v>14744.53</v>
      </c>
    </row>
    <row r="106" spans="1:4" x14ac:dyDescent="0.2">
      <c r="A106" s="127">
        <v>9001210500</v>
      </c>
      <c r="B106">
        <v>3</v>
      </c>
      <c r="C106">
        <v>877429.64352960011</v>
      </c>
      <c r="D106">
        <v>897178.81859999895</v>
      </c>
    </row>
    <row r="107" spans="1:4" x14ac:dyDescent="0.2">
      <c r="A107" s="127">
        <v>9001210600</v>
      </c>
      <c r="B107">
        <v>1</v>
      </c>
      <c r="C107">
        <v>79251.416470080003</v>
      </c>
      <c r="D107">
        <v>3809.8373999999999</v>
      </c>
    </row>
    <row r="108" spans="1:4" x14ac:dyDescent="0.2">
      <c r="A108" s="127">
        <v>9001210701</v>
      </c>
      <c r="B108">
        <v>1</v>
      </c>
      <c r="C108">
        <v>103630.93667135999</v>
      </c>
      <c r="D108">
        <v>7306.01</v>
      </c>
    </row>
    <row r="109" spans="1:4" x14ac:dyDescent="0.2">
      <c r="A109" s="127">
        <v>9001210702</v>
      </c>
      <c r="B109">
        <v>1</v>
      </c>
      <c r="C109">
        <v>69888.772857600008</v>
      </c>
      <c r="D109">
        <v>4260.4978000000001</v>
      </c>
    </row>
    <row r="110" spans="1:4" x14ac:dyDescent="0.2">
      <c r="A110" s="127">
        <v>9001210800</v>
      </c>
      <c r="B110">
        <v>1</v>
      </c>
      <c r="C110">
        <v>112936.28332031998</v>
      </c>
      <c r="D110">
        <v>15526.7817</v>
      </c>
    </row>
    <row r="111" spans="1:4" x14ac:dyDescent="0.2">
      <c r="A111" s="127">
        <v>9001210900</v>
      </c>
      <c r="B111">
        <v>2</v>
      </c>
      <c r="C111">
        <v>130602.68151264002</v>
      </c>
      <c r="D111">
        <v>22839.652999999998</v>
      </c>
    </row>
    <row r="112" spans="1:4" x14ac:dyDescent="0.2">
      <c r="A112" s="127">
        <v>9001211000</v>
      </c>
      <c r="B112">
        <v>2</v>
      </c>
      <c r="C112">
        <v>92180.518922880015</v>
      </c>
      <c r="D112">
        <v>25082.14</v>
      </c>
    </row>
    <row r="113" spans="1:4" x14ac:dyDescent="0.2">
      <c r="A113" s="127">
        <v>9001211100</v>
      </c>
      <c r="B113">
        <v>1</v>
      </c>
      <c r="C113">
        <v>854.27637120000009</v>
      </c>
      <c r="D113">
        <v>0</v>
      </c>
    </row>
    <row r="114" spans="1:4" x14ac:dyDescent="0.2">
      <c r="A114" s="127">
        <v>9001211200</v>
      </c>
      <c r="B114">
        <v>1</v>
      </c>
      <c r="C114">
        <v>126281.56981248001</v>
      </c>
      <c r="D114">
        <v>9848.92</v>
      </c>
    </row>
    <row r="115" spans="1:4" x14ac:dyDescent="0.2">
      <c r="A115" s="127">
        <v>9001211300</v>
      </c>
      <c r="B115">
        <v>1</v>
      </c>
      <c r="C115">
        <v>81086.724829440005</v>
      </c>
      <c r="D115">
        <v>21246.9</v>
      </c>
    </row>
    <row r="116" spans="1:4" x14ac:dyDescent="0.2">
      <c r="A116" s="127">
        <v>9001211400</v>
      </c>
      <c r="B116">
        <v>2</v>
      </c>
      <c r="C116">
        <v>97935.556325760001</v>
      </c>
      <c r="D116">
        <v>19683.9421</v>
      </c>
    </row>
    <row r="117" spans="1:4" x14ac:dyDescent="0.2">
      <c r="A117" s="127">
        <v>9001220100</v>
      </c>
      <c r="B117">
        <v>1</v>
      </c>
      <c r="C117">
        <v>108677.484</v>
      </c>
      <c r="D117">
        <v>12699.62</v>
      </c>
    </row>
    <row r="118" spans="1:4" x14ac:dyDescent="0.2">
      <c r="A118" s="127">
        <v>9001220200</v>
      </c>
      <c r="B118">
        <v>3</v>
      </c>
      <c r="C118">
        <v>164400.46411679999</v>
      </c>
      <c r="D118">
        <v>42717.744299999998</v>
      </c>
    </row>
    <row r="119" spans="1:4" x14ac:dyDescent="0.2">
      <c r="A119" s="127">
        <v>9001220300</v>
      </c>
      <c r="B119">
        <v>3</v>
      </c>
      <c r="C119">
        <v>104317.229592</v>
      </c>
      <c r="D119">
        <v>5080.6705000000002</v>
      </c>
    </row>
    <row r="120" spans="1:4" x14ac:dyDescent="0.2">
      <c r="A120" s="127">
        <v>9001230100</v>
      </c>
      <c r="B120">
        <v>1</v>
      </c>
      <c r="C120">
        <v>301855.53053664003</v>
      </c>
      <c r="D120">
        <v>142597.049</v>
      </c>
    </row>
    <row r="121" spans="1:4" x14ac:dyDescent="0.2">
      <c r="A121" s="127">
        <v>9001230200</v>
      </c>
      <c r="B121">
        <v>1</v>
      </c>
      <c r="C121">
        <v>46300.658607359997</v>
      </c>
      <c r="D121">
        <v>12190.543</v>
      </c>
    </row>
    <row r="122" spans="1:4" x14ac:dyDescent="0.2">
      <c r="A122" s="127">
        <v>9001230300</v>
      </c>
      <c r="B122">
        <v>1</v>
      </c>
      <c r="C122">
        <v>78817.512913920014</v>
      </c>
      <c r="D122">
        <v>22507.883300000001</v>
      </c>
    </row>
    <row r="123" spans="1:4" x14ac:dyDescent="0.2">
      <c r="A123" s="127">
        <v>9001230400</v>
      </c>
      <c r="B123">
        <v>3</v>
      </c>
      <c r="C123">
        <v>126649.58814144002</v>
      </c>
      <c r="D123">
        <v>22799.4643</v>
      </c>
    </row>
    <row r="124" spans="1:4" x14ac:dyDescent="0.2">
      <c r="A124" s="127">
        <v>9001230501</v>
      </c>
      <c r="B124">
        <v>1</v>
      </c>
      <c r="C124">
        <v>88437.196612800006</v>
      </c>
      <c r="D124">
        <v>18717.475399999999</v>
      </c>
    </row>
    <row r="125" spans="1:4" x14ac:dyDescent="0.2">
      <c r="A125" s="127">
        <v>9001230502</v>
      </c>
      <c r="B125">
        <v>1</v>
      </c>
      <c r="C125">
        <v>84605.596839359991</v>
      </c>
      <c r="D125">
        <v>9151.4843000000001</v>
      </c>
    </row>
    <row r="126" spans="1:4" x14ac:dyDescent="0.2">
      <c r="A126" s="127">
        <v>9001240100</v>
      </c>
      <c r="B126">
        <v>4</v>
      </c>
      <c r="C126">
        <v>107649.45332351998</v>
      </c>
      <c r="D126">
        <v>23180.573899999999</v>
      </c>
    </row>
    <row r="127" spans="1:4" x14ac:dyDescent="0.2">
      <c r="A127" s="127">
        <v>9001240200</v>
      </c>
      <c r="B127">
        <v>1</v>
      </c>
      <c r="C127">
        <v>169993.67156351998</v>
      </c>
      <c r="D127">
        <v>66021.557700000005</v>
      </c>
    </row>
    <row r="128" spans="1:4" x14ac:dyDescent="0.2">
      <c r="A128" s="127">
        <v>9001245100</v>
      </c>
      <c r="B128">
        <v>1</v>
      </c>
      <c r="C128">
        <v>57530.246371200003</v>
      </c>
      <c r="D128">
        <v>11748.259099999999</v>
      </c>
    </row>
    <row r="129" spans="1:4" x14ac:dyDescent="0.2">
      <c r="A129" s="127">
        <v>9001245200</v>
      </c>
      <c r="B129">
        <v>3</v>
      </c>
      <c r="C129">
        <v>99016.382016000003</v>
      </c>
      <c r="D129">
        <v>10773.143099999999</v>
      </c>
    </row>
    <row r="130" spans="1:4" x14ac:dyDescent="0.2">
      <c r="A130" s="127">
        <v>9001245300</v>
      </c>
      <c r="B130">
        <v>1</v>
      </c>
      <c r="C130">
        <v>134335.73796479998</v>
      </c>
      <c r="D130">
        <v>64446.402699999999</v>
      </c>
    </row>
    <row r="131" spans="1:4" x14ac:dyDescent="0.2">
      <c r="A131" s="127">
        <v>9001245400</v>
      </c>
      <c r="B131">
        <v>2</v>
      </c>
      <c r="C131">
        <v>92443.537681920003</v>
      </c>
      <c r="D131">
        <v>15050.615299999999</v>
      </c>
    </row>
    <row r="132" spans="1:4" x14ac:dyDescent="0.2">
      <c r="A132" s="127">
        <v>9001245500</v>
      </c>
      <c r="B132">
        <v>1</v>
      </c>
      <c r="C132">
        <v>81971.845084799992</v>
      </c>
      <c r="D132">
        <v>16745.104599999999</v>
      </c>
    </row>
    <row r="133" spans="1:4" x14ac:dyDescent="0.2">
      <c r="A133" s="127">
        <v>9001245600</v>
      </c>
      <c r="B133">
        <v>2</v>
      </c>
      <c r="C133">
        <v>328478.00639328</v>
      </c>
      <c r="D133">
        <v>244622.0661</v>
      </c>
    </row>
    <row r="134" spans="1:4" x14ac:dyDescent="0.2">
      <c r="A134" s="127">
        <v>9001257100</v>
      </c>
      <c r="B134">
        <v>2</v>
      </c>
      <c r="C134">
        <v>125693.88794208001</v>
      </c>
      <c r="D134">
        <v>34462.43</v>
      </c>
    </row>
    <row r="135" spans="1:4" x14ac:dyDescent="0.2">
      <c r="A135" s="127">
        <v>9003330100</v>
      </c>
      <c r="B135">
        <v>3</v>
      </c>
      <c r="C135">
        <v>43966.083614400006</v>
      </c>
      <c r="D135">
        <v>12321.41</v>
      </c>
    </row>
    <row r="136" spans="1:4" x14ac:dyDescent="0.2">
      <c r="A136" s="127">
        <v>9003400100</v>
      </c>
      <c r="B136">
        <v>2</v>
      </c>
      <c r="C136">
        <v>309201.6115152</v>
      </c>
      <c r="D136">
        <v>439874.09740000003</v>
      </c>
    </row>
    <row r="137" spans="1:4" x14ac:dyDescent="0.2">
      <c r="A137" s="127">
        <v>9003400200</v>
      </c>
      <c r="B137">
        <v>1</v>
      </c>
      <c r="C137">
        <v>119228.18040288001</v>
      </c>
      <c r="D137">
        <v>19579.490000000002</v>
      </c>
    </row>
    <row r="138" spans="1:4" x14ac:dyDescent="0.2">
      <c r="A138" s="127">
        <v>9003400300</v>
      </c>
      <c r="B138">
        <v>2</v>
      </c>
      <c r="C138">
        <v>119246.7445056</v>
      </c>
      <c r="D138">
        <v>26773.760200000001</v>
      </c>
    </row>
    <row r="139" spans="1:4" x14ac:dyDescent="0.2">
      <c r="A139" s="127">
        <v>9003405100</v>
      </c>
      <c r="B139">
        <v>1</v>
      </c>
      <c r="C139">
        <v>73591.994413439999</v>
      </c>
      <c r="D139">
        <v>30053.519799999998</v>
      </c>
    </row>
    <row r="140" spans="1:4" x14ac:dyDescent="0.2">
      <c r="A140" s="127">
        <v>9003405200</v>
      </c>
      <c r="B140">
        <v>1</v>
      </c>
      <c r="C140">
        <v>78441.760748159999</v>
      </c>
      <c r="D140">
        <v>42995.71</v>
      </c>
    </row>
    <row r="141" spans="1:4" x14ac:dyDescent="0.2">
      <c r="A141" s="127">
        <v>9003405300</v>
      </c>
      <c r="B141">
        <v>1</v>
      </c>
      <c r="C141">
        <v>104034.2122656</v>
      </c>
      <c r="D141">
        <v>85654.017500000002</v>
      </c>
    </row>
    <row r="142" spans="1:4" x14ac:dyDescent="0.2">
      <c r="A142" s="127">
        <v>9003405401</v>
      </c>
      <c r="B142">
        <v>2</v>
      </c>
      <c r="C142">
        <v>71841.494868480004</v>
      </c>
      <c r="D142">
        <v>9810.9004999999997</v>
      </c>
    </row>
    <row r="143" spans="1:4" x14ac:dyDescent="0.2">
      <c r="A143" s="127">
        <v>9003405402</v>
      </c>
      <c r="B143">
        <v>1</v>
      </c>
      <c r="C143">
        <v>84617.753319359996</v>
      </c>
      <c r="D143">
        <v>14170.022000000001</v>
      </c>
    </row>
    <row r="144" spans="1:4" x14ac:dyDescent="0.2">
      <c r="A144" s="127">
        <v>9003405500</v>
      </c>
      <c r="B144">
        <v>1</v>
      </c>
      <c r="C144">
        <v>95029.491893759987</v>
      </c>
      <c r="D144">
        <v>79289.1728</v>
      </c>
    </row>
    <row r="145" spans="1:4" x14ac:dyDescent="0.2">
      <c r="A145" s="127">
        <v>9003405600</v>
      </c>
      <c r="B145">
        <v>1</v>
      </c>
      <c r="C145">
        <v>125510.08948992001</v>
      </c>
      <c r="D145">
        <v>64317.655200000001</v>
      </c>
    </row>
    <row r="146" spans="1:4" x14ac:dyDescent="0.2">
      <c r="A146" s="127">
        <v>9003405700</v>
      </c>
      <c r="B146">
        <v>1</v>
      </c>
      <c r="C146">
        <v>33239.069625599994</v>
      </c>
      <c r="D146">
        <v>28576.05</v>
      </c>
    </row>
    <row r="147" spans="1:4" x14ac:dyDescent="0.2">
      <c r="A147" s="127">
        <v>9003405800</v>
      </c>
      <c r="B147">
        <v>1</v>
      </c>
      <c r="C147">
        <v>509551.29354240006</v>
      </c>
      <c r="D147">
        <v>739362.14009999996</v>
      </c>
    </row>
    <row r="148" spans="1:4" x14ac:dyDescent="0.2">
      <c r="A148" s="127">
        <v>9003405900</v>
      </c>
      <c r="B148">
        <v>1</v>
      </c>
      <c r="C148">
        <v>95207.098066559993</v>
      </c>
      <c r="D148">
        <v>47858.912400000001</v>
      </c>
    </row>
    <row r="149" spans="1:4" x14ac:dyDescent="0.2">
      <c r="A149" s="127">
        <v>9003406001</v>
      </c>
      <c r="B149">
        <v>2</v>
      </c>
      <c r="C149">
        <v>65893.439191679994</v>
      </c>
      <c r="D149">
        <v>61190</v>
      </c>
    </row>
    <row r="150" spans="1:4" x14ac:dyDescent="0.2">
      <c r="A150" s="127">
        <v>9003406002</v>
      </c>
      <c r="B150">
        <v>2</v>
      </c>
      <c r="C150">
        <v>99397.97218656</v>
      </c>
      <c r="D150">
        <v>88476.909499999994</v>
      </c>
    </row>
    <row r="151" spans="1:4" x14ac:dyDescent="0.2">
      <c r="A151" s="127">
        <v>9003406100</v>
      </c>
      <c r="B151">
        <v>1</v>
      </c>
      <c r="C151">
        <v>52063.520731199998</v>
      </c>
      <c r="D151">
        <v>10335.120000000001</v>
      </c>
    </row>
    <row r="152" spans="1:4" x14ac:dyDescent="0.2">
      <c r="A152" s="127">
        <v>9003410101</v>
      </c>
      <c r="B152">
        <v>3</v>
      </c>
      <c r="C152">
        <v>142770.78252864</v>
      </c>
      <c r="D152">
        <v>95237.751399999994</v>
      </c>
    </row>
    <row r="153" spans="1:4" x14ac:dyDescent="0.2">
      <c r="A153" s="127">
        <v>9003410102</v>
      </c>
      <c r="B153">
        <v>3</v>
      </c>
      <c r="C153">
        <v>92434.943629440007</v>
      </c>
      <c r="D153">
        <v>37313.933100000002</v>
      </c>
    </row>
    <row r="154" spans="1:4" x14ac:dyDescent="0.2">
      <c r="A154" s="127">
        <v>9003415300</v>
      </c>
      <c r="B154">
        <v>1</v>
      </c>
      <c r="C154">
        <v>61846.119786240008</v>
      </c>
      <c r="D154">
        <v>907.27</v>
      </c>
    </row>
    <row r="155" spans="1:4" x14ac:dyDescent="0.2">
      <c r="A155" s="127">
        <v>9003415400</v>
      </c>
      <c r="B155">
        <v>1</v>
      </c>
      <c r="C155">
        <v>60029.682335999998</v>
      </c>
      <c r="D155">
        <v>7314.39</v>
      </c>
    </row>
    <row r="156" spans="1:4" x14ac:dyDescent="0.2">
      <c r="A156" s="127">
        <v>9003415500</v>
      </c>
      <c r="B156">
        <v>1</v>
      </c>
      <c r="C156">
        <v>30047.905635839998</v>
      </c>
      <c r="D156">
        <v>2366.27</v>
      </c>
    </row>
    <row r="157" spans="1:4" x14ac:dyDescent="0.2">
      <c r="A157" s="127">
        <v>9003415600</v>
      </c>
      <c r="B157">
        <v>1</v>
      </c>
      <c r="C157">
        <v>37752.075993600003</v>
      </c>
      <c r="D157">
        <v>1307.4318000000001</v>
      </c>
    </row>
    <row r="158" spans="1:4" x14ac:dyDescent="0.2">
      <c r="A158" s="127">
        <v>9003415700</v>
      </c>
      <c r="B158">
        <v>1</v>
      </c>
      <c r="C158">
        <v>35649.427536000003</v>
      </c>
      <c r="D158">
        <v>7072.64</v>
      </c>
    </row>
    <row r="159" spans="1:4" x14ac:dyDescent="0.2">
      <c r="A159" s="127">
        <v>9003415800</v>
      </c>
      <c r="B159">
        <v>1</v>
      </c>
      <c r="C159">
        <v>33526.781089920005</v>
      </c>
      <c r="D159">
        <v>4495.78</v>
      </c>
    </row>
    <row r="160" spans="1:4" x14ac:dyDescent="0.2">
      <c r="A160" s="127">
        <v>9003416000</v>
      </c>
      <c r="B160">
        <v>1</v>
      </c>
      <c r="C160">
        <v>53175.932429759996</v>
      </c>
      <c r="D160">
        <v>772.94</v>
      </c>
    </row>
    <row r="161" spans="1:4" x14ac:dyDescent="0.2">
      <c r="A161" s="127">
        <v>9003416100</v>
      </c>
      <c r="B161">
        <v>1</v>
      </c>
      <c r="C161">
        <v>45937.126019520001</v>
      </c>
      <c r="D161">
        <v>2835.0911999999998</v>
      </c>
    </row>
    <row r="162" spans="1:4" x14ac:dyDescent="0.2">
      <c r="A162" s="127">
        <v>9003416200</v>
      </c>
      <c r="B162">
        <v>1</v>
      </c>
      <c r="C162">
        <v>25037.862480000003</v>
      </c>
      <c r="D162">
        <v>31916.26</v>
      </c>
    </row>
    <row r="163" spans="1:4" x14ac:dyDescent="0.2">
      <c r="A163" s="127">
        <v>9003416300</v>
      </c>
      <c r="B163">
        <v>2</v>
      </c>
      <c r="C163">
        <v>46764.531360000008</v>
      </c>
      <c r="D163">
        <v>7464.55</v>
      </c>
    </row>
    <row r="164" spans="1:4" x14ac:dyDescent="0.2">
      <c r="A164" s="127">
        <v>9003416400</v>
      </c>
      <c r="B164">
        <v>1</v>
      </c>
      <c r="C164">
        <v>55528.130845440013</v>
      </c>
      <c r="D164">
        <v>6996.7744000000002</v>
      </c>
    </row>
    <row r="165" spans="1:4" x14ac:dyDescent="0.2">
      <c r="A165" s="127">
        <v>9003416500</v>
      </c>
      <c r="B165">
        <v>1</v>
      </c>
      <c r="C165">
        <v>58912.03814112</v>
      </c>
      <c r="D165">
        <v>9258.3799999999992</v>
      </c>
    </row>
    <row r="166" spans="1:4" x14ac:dyDescent="0.2">
      <c r="A166" s="127">
        <v>9003416600</v>
      </c>
      <c r="B166">
        <v>1</v>
      </c>
      <c r="C166">
        <v>21919.58064</v>
      </c>
      <c r="D166">
        <v>3646.41</v>
      </c>
    </row>
    <row r="167" spans="1:4" x14ac:dyDescent="0.2">
      <c r="A167" s="127">
        <v>9003416700</v>
      </c>
      <c r="B167">
        <v>1</v>
      </c>
      <c r="C167">
        <v>490335.53576543997</v>
      </c>
      <c r="D167">
        <v>674060.61529999995</v>
      </c>
    </row>
    <row r="168" spans="1:4" x14ac:dyDescent="0.2">
      <c r="A168" s="127">
        <v>9003416800</v>
      </c>
      <c r="B168">
        <v>1</v>
      </c>
      <c r="C168">
        <v>37524.223036800002</v>
      </c>
      <c r="D168">
        <v>42090.9902</v>
      </c>
    </row>
    <row r="169" spans="1:4" x14ac:dyDescent="0.2">
      <c r="A169" s="127">
        <v>9003417100</v>
      </c>
      <c r="B169">
        <v>2</v>
      </c>
      <c r="C169">
        <v>32951.018937600005</v>
      </c>
      <c r="D169">
        <v>3149.7061999999996</v>
      </c>
    </row>
    <row r="170" spans="1:4" x14ac:dyDescent="0.2">
      <c r="A170" s="127">
        <v>9003417300</v>
      </c>
      <c r="B170">
        <v>1</v>
      </c>
      <c r="C170">
        <v>1344.3822288000001</v>
      </c>
      <c r="D170">
        <v>0</v>
      </c>
    </row>
    <row r="171" spans="1:4" x14ac:dyDescent="0.2">
      <c r="A171" s="127">
        <v>9003417400</v>
      </c>
      <c r="B171">
        <v>1</v>
      </c>
      <c r="C171">
        <v>42183.385027200005</v>
      </c>
      <c r="D171">
        <v>6750.4196000000002</v>
      </c>
    </row>
    <row r="172" spans="1:4" x14ac:dyDescent="0.2">
      <c r="A172" s="127">
        <v>9003417500</v>
      </c>
      <c r="B172">
        <v>1</v>
      </c>
      <c r="C172">
        <v>60109.840428480005</v>
      </c>
      <c r="D172">
        <v>6313.4265999999998</v>
      </c>
    </row>
    <row r="173" spans="1:4" x14ac:dyDescent="0.2">
      <c r="A173" s="127">
        <v>9003420400</v>
      </c>
      <c r="B173">
        <v>1</v>
      </c>
      <c r="C173">
        <v>59279.313767040003</v>
      </c>
      <c r="D173">
        <v>16805.87</v>
      </c>
    </row>
    <row r="174" spans="1:4" x14ac:dyDescent="0.2">
      <c r="A174" s="127">
        <v>9003420500</v>
      </c>
      <c r="B174">
        <v>2</v>
      </c>
      <c r="C174">
        <v>99030.843017279985</v>
      </c>
      <c r="D174">
        <v>16477.6862</v>
      </c>
    </row>
    <row r="175" spans="1:4" x14ac:dyDescent="0.2">
      <c r="A175" s="127">
        <v>9003420600</v>
      </c>
      <c r="B175">
        <v>2</v>
      </c>
      <c r="C175">
        <v>271409.51233728003</v>
      </c>
      <c r="D175">
        <v>192031.23229999997</v>
      </c>
    </row>
    <row r="176" spans="1:4" x14ac:dyDescent="0.2">
      <c r="A176" s="127">
        <v>9003420700</v>
      </c>
      <c r="B176">
        <v>1</v>
      </c>
      <c r="C176">
        <v>69727.892843520007</v>
      </c>
      <c r="D176">
        <v>8228.0300000000007</v>
      </c>
    </row>
    <row r="177" spans="1:4" x14ac:dyDescent="0.2">
      <c r="A177" s="127">
        <v>9003430100</v>
      </c>
      <c r="B177">
        <v>1</v>
      </c>
      <c r="C177">
        <v>65457.047030400005</v>
      </c>
      <c r="D177">
        <v>15117.22</v>
      </c>
    </row>
    <row r="178" spans="1:4" x14ac:dyDescent="0.2">
      <c r="A178" s="127">
        <v>9003430201</v>
      </c>
      <c r="B178">
        <v>1</v>
      </c>
      <c r="C178">
        <v>64134.59972256</v>
      </c>
      <c r="D178">
        <v>15521.53</v>
      </c>
    </row>
    <row r="179" spans="1:4" x14ac:dyDescent="0.2">
      <c r="A179" s="127">
        <v>9003430202</v>
      </c>
      <c r="B179">
        <v>1</v>
      </c>
      <c r="C179">
        <v>98483.855832000001</v>
      </c>
      <c r="D179">
        <v>11144.9805</v>
      </c>
    </row>
    <row r="180" spans="1:4" x14ac:dyDescent="0.2">
      <c r="A180" s="127">
        <v>9003430203</v>
      </c>
      <c r="B180">
        <v>1</v>
      </c>
      <c r="C180">
        <v>75692.323877759991</v>
      </c>
      <c r="D180">
        <v>10154.0301</v>
      </c>
    </row>
    <row r="181" spans="1:4" x14ac:dyDescent="0.2">
      <c r="A181" s="127">
        <v>9003430301</v>
      </c>
      <c r="B181">
        <v>2</v>
      </c>
      <c r="C181">
        <v>77370.42753216</v>
      </c>
      <c r="D181">
        <v>48051.903100000003</v>
      </c>
    </row>
    <row r="182" spans="1:4" x14ac:dyDescent="0.2">
      <c r="A182" s="127">
        <v>9003430302</v>
      </c>
      <c r="B182">
        <v>1</v>
      </c>
      <c r="C182">
        <v>52046.875036800004</v>
      </c>
      <c r="D182">
        <v>11547.05</v>
      </c>
    </row>
    <row r="183" spans="1:4" x14ac:dyDescent="0.2">
      <c r="A183" s="127">
        <v>9003430400</v>
      </c>
      <c r="B183">
        <v>1</v>
      </c>
      <c r="C183">
        <v>88148.191930559988</v>
      </c>
      <c r="D183">
        <v>81530.634699999995</v>
      </c>
    </row>
    <row r="184" spans="1:4" x14ac:dyDescent="0.2">
      <c r="A184" s="127">
        <v>9003430500</v>
      </c>
      <c r="B184">
        <v>1</v>
      </c>
      <c r="C184">
        <v>449466.82252992003</v>
      </c>
      <c r="D184">
        <v>751695.51569999999</v>
      </c>
    </row>
    <row r="185" spans="1:4" x14ac:dyDescent="0.2">
      <c r="A185" s="127">
        <v>9003430601</v>
      </c>
      <c r="B185">
        <v>2</v>
      </c>
      <c r="C185">
        <v>117837.92540736</v>
      </c>
      <c r="D185">
        <v>22448.91</v>
      </c>
    </row>
    <row r="186" spans="1:4" x14ac:dyDescent="0.2">
      <c r="A186" s="127">
        <v>9003430602</v>
      </c>
      <c r="B186">
        <v>1</v>
      </c>
      <c r="C186">
        <v>67101.176217600005</v>
      </c>
      <c r="D186">
        <v>15712.5005</v>
      </c>
    </row>
    <row r="187" spans="1:4" x14ac:dyDescent="0.2">
      <c r="A187" s="127">
        <v>9003460100</v>
      </c>
      <c r="B187">
        <v>3</v>
      </c>
      <c r="C187">
        <v>59187.913246080003</v>
      </c>
      <c r="D187">
        <v>5440.42</v>
      </c>
    </row>
    <row r="188" spans="1:4" x14ac:dyDescent="0.2">
      <c r="A188" s="127">
        <v>9003460202</v>
      </c>
      <c r="B188">
        <v>2</v>
      </c>
      <c r="C188">
        <v>93258.074519999995</v>
      </c>
      <c r="D188">
        <v>22420.239999999998</v>
      </c>
    </row>
    <row r="189" spans="1:4" x14ac:dyDescent="0.2">
      <c r="A189" s="127">
        <v>9003460203</v>
      </c>
      <c r="B189">
        <v>1</v>
      </c>
      <c r="C189">
        <v>101702.457576</v>
      </c>
      <c r="D189">
        <v>21242.799999999999</v>
      </c>
    </row>
    <row r="190" spans="1:4" x14ac:dyDescent="0.2">
      <c r="A190" s="127">
        <v>9003460204</v>
      </c>
      <c r="B190">
        <v>1</v>
      </c>
      <c r="C190">
        <v>197109.42727680001</v>
      </c>
      <c r="D190">
        <v>142165.11420000001</v>
      </c>
    </row>
    <row r="191" spans="1:4" x14ac:dyDescent="0.2">
      <c r="A191" s="127">
        <v>9003460301</v>
      </c>
      <c r="B191">
        <v>2</v>
      </c>
      <c r="C191">
        <v>86311.83348288</v>
      </c>
      <c r="D191">
        <v>15872.5816</v>
      </c>
    </row>
    <row r="192" spans="1:4" x14ac:dyDescent="0.2">
      <c r="A192" s="127">
        <v>9003460302</v>
      </c>
      <c r="B192">
        <v>3</v>
      </c>
      <c r="C192">
        <v>64767.115270080001</v>
      </c>
      <c r="D192">
        <v>11949.12</v>
      </c>
    </row>
    <row r="193" spans="1:4" x14ac:dyDescent="0.2">
      <c r="A193" s="127">
        <v>9003462101</v>
      </c>
      <c r="B193">
        <v>2</v>
      </c>
      <c r="C193">
        <v>276014.2358736</v>
      </c>
      <c r="D193">
        <v>221594.31520000001</v>
      </c>
    </row>
    <row r="194" spans="1:4" x14ac:dyDescent="0.2">
      <c r="A194" s="127">
        <v>9003462102</v>
      </c>
      <c r="B194">
        <v>1</v>
      </c>
      <c r="C194">
        <v>95029.398115199991</v>
      </c>
      <c r="D194">
        <v>14426.35</v>
      </c>
    </row>
    <row r="195" spans="1:4" x14ac:dyDescent="0.2">
      <c r="A195" s="127">
        <v>9003462201</v>
      </c>
      <c r="B195">
        <v>1</v>
      </c>
      <c r="C195">
        <v>111900.19984415999</v>
      </c>
      <c r="D195">
        <v>68021.914199999999</v>
      </c>
    </row>
    <row r="196" spans="1:4" x14ac:dyDescent="0.2">
      <c r="A196" s="127">
        <v>9003462202</v>
      </c>
      <c r="B196">
        <v>1</v>
      </c>
      <c r="C196">
        <v>83246.663882880006</v>
      </c>
      <c r="D196">
        <v>17796.78</v>
      </c>
    </row>
    <row r="197" spans="1:4" x14ac:dyDescent="0.2">
      <c r="A197" s="127">
        <v>9003464101</v>
      </c>
      <c r="B197">
        <v>2</v>
      </c>
      <c r="C197">
        <v>204535.17777312003</v>
      </c>
      <c r="D197">
        <v>381996.05530000001</v>
      </c>
    </row>
    <row r="198" spans="1:4" x14ac:dyDescent="0.2">
      <c r="A198" s="127">
        <v>9003464102</v>
      </c>
      <c r="B198">
        <v>1</v>
      </c>
      <c r="C198">
        <v>92435.087191679995</v>
      </c>
      <c r="D198">
        <v>43294.517699999997</v>
      </c>
    </row>
    <row r="199" spans="1:4" x14ac:dyDescent="0.2">
      <c r="A199" s="127">
        <v>9003466101</v>
      </c>
      <c r="B199">
        <v>1</v>
      </c>
      <c r="C199">
        <v>89359.129584000009</v>
      </c>
      <c r="D199">
        <v>9945.31</v>
      </c>
    </row>
    <row r="200" spans="1:4" x14ac:dyDescent="0.2">
      <c r="A200" s="127">
        <v>9003466102</v>
      </c>
      <c r="B200">
        <v>2</v>
      </c>
      <c r="C200">
        <v>260512.23005856</v>
      </c>
      <c r="D200">
        <v>314302.68479999999</v>
      </c>
    </row>
    <row r="201" spans="1:4" x14ac:dyDescent="0.2">
      <c r="A201" s="127">
        <v>9003466201</v>
      </c>
      <c r="B201">
        <v>1</v>
      </c>
      <c r="C201">
        <v>49398.020303040008</v>
      </c>
      <c r="D201">
        <v>14239.196</v>
      </c>
    </row>
    <row r="202" spans="1:4" x14ac:dyDescent="0.2">
      <c r="A202" s="127">
        <v>9003466202</v>
      </c>
      <c r="B202">
        <v>2</v>
      </c>
      <c r="C202">
        <v>99891.249148800009</v>
      </c>
      <c r="D202">
        <v>14061.6337</v>
      </c>
    </row>
    <row r="203" spans="1:4" x14ac:dyDescent="0.2">
      <c r="A203" s="127">
        <v>9003466300</v>
      </c>
      <c r="B203">
        <v>1</v>
      </c>
      <c r="C203">
        <v>101449.18831391999</v>
      </c>
      <c r="D203">
        <v>41323.4208</v>
      </c>
    </row>
    <row r="204" spans="1:4" x14ac:dyDescent="0.2">
      <c r="A204" s="127">
        <v>9003466400</v>
      </c>
      <c r="B204">
        <v>1</v>
      </c>
      <c r="C204">
        <v>58695.277104000008</v>
      </c>
      <c r="D204">
        <v>6847.7622000000001</v>
      </c>
    </row>
    <row r="205" spans="1:4" x14ac:dyDescent="0.2">
      <c r="A205" s="127">
        <v>9003468101</v>
      </c>
      <c r="B205">
        <v>2</v>
      </c>
      <c r="C205">
        <v>203074.46266175999</v>
      </c>
      <c r="D205">
        <v>112382.2395</v>
      </c>
    </row>
    <row r="206" spans="1:4" x14ac:dyDescent="0.2">
      <c r="A206" s="127">
        <v>9003468102</v>
      </c>
      <c r="B206">
        <v>1</v>
      </c>
      <c r="C206">
        <v>81276.893277120005</v>
      </c>
      <c r="D206">
        <v>23168.03</v>
      </c>
    </row>
    <row r="207" spans="1:4" x14ac:dyDescent="0.2">
      <c r="A207" s="127">
        <v>9003470100</v>
      </c>
      <c r="B207">
        <v>4</v>
      </c>
      <c r="C207">
        <v>176748.70680000001</v>
      </c>
      <c r="D207">
        <v>67359.439799999993</v>
      </c>
    </row>
    <row r="208" spans="1:4" x14ac:dyDescent="0.2">
      <c r="A208" s="127">
        <v>9003471100</v>
      </c>
      <c r="B208">
        <v>2</v>
      </c>
      <c r="C208">
        <v>47717.654964480003</v>
      </c>
      <c r="D208">
        <v>42775.131199999996</v>
      </c>
    </row>
    <row r="209" spans="1:4" x14ac:dyDescent="0.2">
      <c r="A209" s="127">
        <v>9003471200</v>
      </c>
      <c r="B209">
        <v>1</v>
      </c>
      <c r="C209">
        <v>39966.161745599995</v>
      </c>
      <c r="D209">
        <v>17709.740000000002</v>
      </c>
    </row>
    <row r="210" spans="1:4" x14ac:dyDescent="0.2">
      <c r="A210" s="127">
        <v>9003471300</v>
      </c>
      <c r="B210">
        <v>1</v>
      </c>
      <c r="C210">
        <v>96587.341911359996</v>
      </c>
      <c r="D210">
        <v>52661.58</v>
      </c>
    </row>
    <row r="211" spans="1:4" x14ac:dyDescent="0.2">
      <c r="A211" s="127">
        <v>9003471400</v>
      </c>
      <c r="B211">
        <v>3</v>
      </c>
      <c r="C211">
        <v>364294.21215168008</v>
      </c>
      <c r="D211">
        <v>478020.00659999996</v>
      </c>
    </row>
    <row r="212" spans="1:4" x14ac:dyDescent="0.2">
      <c r="A212" s="127">
        <v>9003471500</v>
      </c>
      <c r="B212">
        <v>1</v>
      </c>
      <c r="C212">
        <v>49318.771052159995</v>
      </c>
      <c r="D212">
        <v>38345.180200000003</v>
      </c>
    </row>
    <row r="213" spans="1:4" x14ac:dyDescent="0.2">
      <c r="A213" s="127">
        <v>9003473100</v>
      </c>
      <c r="B213">
        <v>2</v>
      </c>
      <c r="C213">
        <v>325620.21823775995</v>
      </c>
      <c r="D213">
        <v>312262.06060000003</v>
      </c>
    </row>
    <row r="214" spans="1:4" x14ac:dyDescent="0.2">
      <c r="A214" s="127">
        <v>9003473400</v>
      </c>
      <c r="B214">
        <v>1</v>
      </c>
      <c r="C214">
        <v>31967.588649600002</v>
      </c>
      <c r="D214">
        <v>52940.47</v>
      </c>
    </row>
    <row r="215" spans="1:4" x14ac:dyDescent="0.2">
      <c r="A215" s="127">
        <v>9003473501</v>
      </c>
      <c r="B215">
        <v>2</v>
      </c>
      <c r="C215">
        <v>82721.121886079985</v>
      </c>
      <c r="D215">
        <v>20406.150000000001</v>
      </c>
    </row>
    <row r="216" spans="1:4" x14ac:dyDescent="0.2">
      <c r="A216" s="127">
        <v>9003473502</v>
      </c>
      <c r="B216">
        <v>1</v>
      </c>
      <c r="C216">
        <v>54612.039352320004</v>
      </c>
      <c r="D216">
        <v>15242.11</v>
      </c>
    </row>
    <row r="217" spans="1:4" x14ac:dyDescent="0.2">
      <c r="A217" s="127">
        <v>9003473601</v>
      </c>
      <c r="B217">
        <v>1</v>
      </c>
      <c r="C217">
        <v>56273.828431679998</v>
      </c>
      <c r="D217">
        <v>30001.8174</v>
      </c>
    </row>
    <row r="218" spans="1:4" x14ac:dyDescent="0.2">
      <c r="A218" s="127">
        <v>9003473602</v>
      </c>
      <c r="B218">
        <v>1</v>
      </c>
      <c r="C218">
        <v>40136.663324160007</v>
      </c>
      <c r="D218">
        <v>7232.82</v>
      </c>
    </row>
    <row r="219" spans="1:4" x14ac:dyDescent="0.2">
      <c r="A219" s="127">
        <v>9003473700</v>
      </c>
      <c r="B219">
        <v>1</v>
      </c>
      <c r="C219">
        <v>82475.239132800009</v>
      </c>
      <c r="D219">
        <v>115028.0877</v>
      </c>
    </row>
    <row r="220" spans="1:4" x14ac:dyDescent="0.2">
      <c r="A220" s="127">
        <v>9003473800</v>
      </c>
      <c r="B220">
        <v>1</v>
      </c>
      <c r="C220">
        <v>25234.275885120005</v>
      </c>
      <c r="D220">
        <v>23928.34</v>
      </c>
    </row>
    <row r="221" spans="1:4" x14ac:dyDescent="0.2">
      <c r="A221" s="127">
        <v>9003476100</v>
      </c>
      <c r="B221">
        <v>1</v>
      </c>
      <c r="C221">
        <v>70373.131015680003</v>
      </c>
      <c r="D221">
        <v>22750.9817</v>
      </c>
    </row>
    <row r="222" spans="1:4" x14ac:dyDescent="0.2">
      <c r="A222" s="127">
        <v>9003476200</v>
      </c>
      <c r="B222">
        <v>1</v>
      </c>
      <c r="C222">
        <v>41918.246409600004</v>
      </c>
      <c r="D222">
        <v>14140.3282</v>
      </c>
    </row>
    <row r="223" spans="1:4" x14ac:dyDescent="0.2">
      <c r="A223" s="127">
        <v>9003476300</v>
      </c>
      <c r="B223">
        <v>1</v>
      </c>
      <c r="C223">
        <v>217921.13174303999</v>
      </c>
      <c r="D223">
        <v>395528.42539999995</v>
      </c>
    </row>
    <row r="224" spans="1:4" x14ac:dyDescent="0.2">
      <c r="A224" s="127">
        <v>9003477101</v>
      </c>
      <c r="B224">
        <v>2</v>
      </c>
      <c r="C224">
        <v>95081.027843520002</v>
      </c>
      <c r="D224">
        <v>24103.85</v>
      </c>
    </row>
    <row r="225" spans="1:4" x14ac:dyDescent="0.2">
      <c r="A225" s="127">
        <v>9003477102</v>
      </c>
      <c r="B225">
        <v>1</v>
      </c>
      <c r="C225">
        <v>655629.93763775995</v>
      </c>
      <c r="D225">
        <v>130820.77500000001</v>
      </c>
    </row>
    <row r="226" spans="1:4" x14ac:dyDescent="0.2">
      <c r="A226" s="127">
        <v>9003477200</v>
      </c>
      <c r="B226">
        <v>2</v>
      </c>
      <c r="C226">
        <v>65055.112701119993</v>
      </c>
      <c r="D226">
        <v>12768.789500000001</v>
      </c>
    </row>
    <row r="227" spans="1:4" x14ac:dyDescent="0.2">
      <c r="A227" s="127">
        <v>9003480300</v>
      </c>
      <c r="B227">
        <v>1</v>
      </c>
      <c r="C227">
        <v>34392.488025599996</v>
      </c>
      <c r="D227">
        <v>14221.0897</v>
      </c>
    </row>
    <row r="228" spans="1:4" x14ac:dyDescent="0.2">
      <c r="A228" s="127">
        <v>9003480400</v>
      </c>
      <c r="B228">
        <v>1</v>
      </c>
      <c r="C228">
        <v>58521.540743999998</v>
      </c>
      <c r="D228">
        <v>9810.43</v>
      </c>
    </row>
    <row r="229" spans="1:4" x14ac:dyDescent="0.2">
      <c r="A229" s="127">
        <v>9003480500</v>
      </c>
      <c r="B229">
        <v>1</v>
      </c>
      <c r="C229">
        <v>53208.866649600001</v>
      </c>
      <c r="D229">
        <v>14584.495500000001</v>
      </c>
    </row>
    <row r="230" spans="1:4" x14ac:dyDescent="0.2">
      <c r="A230" s="127">
        <v>9003480600</v>
      </c>
      <c r="B230">
        <v>1</v>
      </c>
      <c r="C230">
        <v>52973.169868800003</v>
      </c>
      <c r="D230">
        <v>43649.13</v>
      </c>
    </row>
    <row r="231" spans="1:4" x14ac:dyDescent="0.2">
      <c r="A231" s="127">
        <v>9003480700</v>
      </c>
      <c r="B231">
        <v>1</v>
      </c>
      <c r="C231">
        <v>28925.4816288</v>
      </c>
      <c r="D231">
        <v>16334.19</v>
      </c>
    </row>
    <row r="232" spans="1:4" x14ac:dyDescent="0.2">
      <c r="A232" s="127">
        <v>9003480800</v>
      </c>
      <c r="B232">
        <v>1</v>
      </c>
      <c r="C232">
        <v>400528.32643296011</v>
      </c>
      <c r="D232">
        <v>936957.13520000002</v>
      </c>
    </row>
    <row r="233" spans="1:4" x14ac:dyDescent="0.2">
      <c r="A233" s="127">
        <v>9003480900</v>
      </c>
      <c r="B233">
        <v>1</v>
      </c>
      <c r="C233">
        <v>35031.230585279998</v>
      </c>
      <c r="D233">
        <v>12948.832700000001</v>
      </c>
    </row>
    <row r="234" spans="1:4" x14ac:dyDescent="0.2">
      <c r="A234" s="127">
        <v>9003481000</v>
      </c>
      <c r="B234">
        <v>1</v>
      </c>
      <c r="C234">
        <v>63039.794659200001</v>
      </c>
      <c r="D234">
        <v>5864.6796999999997</v>
      </c>
    </row>
    <row r="235" spans="1:4" x14ac:dyDescent="0.2">
      <c r="A235" s="127">
        <v>9003481100</v>
      </c>
      <c r="B235">
        <v>1</v>
      </c>
      <c r="C235">
        <v>63124.477856640005</v>
      </c>
      <c r="D235">
        <v>8987.7000000000007</v>
      </c>
    </row>
    <row r="236" spans="1:4" x14ac:dyDescent="0.2">
      <c r="A236" s="127">
        <v>9003481200</v>
      </c>
      <c r="B236">
        <v>1</v>
      </c>
      <c r="C236">
        <v>64998.361042559998</v>
      </c>
      <c r="D236">
        <v>15440.29</v>
      </c>
    </row>
    <row r="237" spans="1:4" x14ac:dyDescent="0.2">
      <c r="A237" s="127">
        <v>9003481300</v>
      </c>
      <c r="B237">
        <v>1</v>
      </c>
      <c r="C237">
        <v>47713.246214400002</v>
      </c>
      <c r="D237">
        <v>5946.1067999999996</v>
      </c>
    </row>
    <row r="238" spans="1:4" x14ac:dyDescent="0.2">
      <c r="A238" s="127">
        <v>9003484100</v>
      </c>
      <c r="B238">
        <v>1</v>
      </c>
      <c r="C238">
        <v>173372.84362080001</v>
      </c>
      <c r="D238">
        <v>304630.3566</v>
      </c>
    </row>
    <row r="239" spans="1:4" x14ac:dyDescent="0.2">
      <c r="A239" s="127">
        <v>9003484200</v>
      </c>
      <c r="B239">
        <v>3</v>
      </c>
      <c r="C239">
        <v>96017.958437759997</v>
      </c>
      <c r="D239">
        <v>25148.027699999999</v>
      </c>
    </row>
    <row r="240" spans="1:4" x14ac:dyDescent="0.2">
      <c r="A240" s="127">
        <v>9003487100</v>
      </c>
      <c r="B240">
        <v>2</v>
      </c>
      <c r="C240">
        <v>121078.97264448</v>
      </c>
      <c r="D240">
        <v>23590.233199999999</v>
      </c>
    </row>
    <row r="241" spans="1:4" x14ac:dyDescent="0.2">
      <c r="A241" s="127">
        <v>9003487201</v>
      </c>
      <c r="B241">
        <v>2</v>
      </c>
      <c r="C241">
        <v>80597.659798079985</v>
      </c>
      <c r="D241">
        <v>21358.700199999999</v>
      </c>
    </row>
    <row r="242" spans="1:4" x14ac:dyDescent="0.2">
      <c r="A242" s="127">
        <v>9003487202</v>
      </c>
      <c r="B242">
        <v>2</v>
      </c>
      <c r="C242">
        <v>60634.959264000005</v>
      </c>
      <c r="D242">
        <v>12147.027999999998</v>
      </c>
    </row>
    <row r="243" spans="1:4" x14ac:dyDescent="0.2">
      <c r="A243" s="127">
        <v>9003487300</v>
      </c>
      <c r="B243">
        <v>1</v>
      </c>
      <c r="C243">
        <v>30797.602703999997</v>
      </c>
      <c r="D243">
        <v>14270.43</v>
      </c>
    </row>
    <row r="244" spans="1:4" x14ac:dyDescent="0.2">
      <c r="A244" s="127">
        <v>9003487400</v>
      </c>
      <c r="B244">
        <v>1</v>
      </c>
      <c r="C244">
        <v>34129.392854400001</v>
      </c>
      <c r="D244">
        <v>5484.4790000000003</v>
      </c>
    </row>
    <row r="245" spans="1:4" x14ac:dyDescent="0.2">
      <c r="A245" s="127">
        <v>9003487500</v>
      </c>
      <c r="B245">
        <v>2</v>
      </c>
      <c r="C245">
        <v>354546.59481504001</v>
      </c>
      <c r="D245">
        <v>314306.69949999999</v>
      </c>
    </row>
    <row r="246" spans="1:4" x14ac:dyDescent="0.2">
      <c r="A246" s="127">
        <v>9003490100</v>
      </c>
      <c r="B246">
        <v>1</v>
      </c>
      <c r="C246">
        <v>76843.239779519994</v>
      </c>
      <c r="D246">
        <v>22526.2637</v>
      </c>
    </row>
    <row r="247" spans="1:4" x14ac:dyDescent="0.2">
      <c r="A247" s="127">
        <v>9003490302</v>
      </c>
      <c r="B247">
        <v>2</v>
      </c>
      <c r="C247">
        <v>320384.99944511999</v>
      </c>
      <c r="D247">
        <v>161859.7885</v>
      </c>
    </row>
    <row r="248" spans="1:4" x14ac:dyDescent="0.2">
      <c r="A248" s="127">
        <v>9003492100</v>
      </c>
      <c r="B248">
        <v>1</v>
      </c>
      <c r="C248">
        <v>57899.365729919999</v>
      </c>
      <c r="D248">
        <v>7088.3504999999996</v>
      </c>
    </row>
    <row r="249" spans="1:4" x14ac:dyDescent="0.2">
      <c r="A249" s="127">
        <v>9003492200</v>
      </c>
      <c r="B249">
        <v>1</v>
      </c>
      <c r="C249">
        <v>60830.6149152</v>
      </c>
      <c r="D249">
        <v>12981.8608</v>
      </c>
    </row>
    <row r="250" spans="1:4" x14ac:dyDescent="0.2">
      <c r="A250" s="127">
        <v>9003492300</v>
      </c>
      <c r="B250">
        <v>1</v>
      </c>
      <c r="C250">
        <v>86123.850307199988</v>
      </c>
      <c r="D250">
        <v>9848.5290999999997</v>
      </c>
    </row>
    <row r="251" spans="1:4" x14ac:dyDescent="0.2">
      <c r="A251" s="127">
        <v>9003492400</v>
      </c>
      <c r="B251">
        <v>1</v>
      </c>
      <c r="C251">
        <v>49411.587513600003</v>
      </c>
      <c r="D251">
        <v>6725.7366000000002</v>
      </c>
    </row>
    <row r="252" spans="1:4" x14ac:dyDescent="0.2">
      <c r="A252" s="127">
        <v>9003492500</v>
      </c>
      <c r="B252">
        <v>1</v>
      </c>
      <c r="C252">
        <v>59729.9845824</v>
      </c>
      <c r="D252">
        <v>10869.7922</v>
      </c>
    </row>
    <row r="253" spans="1:4" x14ac:dyDescent="0.2">
      <c r="A253" s="127">
        <v>9003492600</v>
      </c>
      <c r="B253">
        <v>3</v>
      </c>
      <c r="C253">
        <v>289872.89283167996</v>
      </c>
      <c r="D253">
        <v>121493.1286</v>
      </c>
    </row>
    <row r="254" spans="1:4" x14ac:dyDescent="0.2">
      <c r="A254" s="127">
        <v>9003494100</v>
      </c>
      <c r="B254">
        <v>2</v>
      </c>
      <c r="C254">
        <v>340913.25126720004</v>
      </c>
      <c r="D254">
        <v>315843.81949999998</v>
      </c>
    </row>
    <row r="255" spans="1:4" x14ac:dyDescent="0.2">
      <c r="A255" s="127">
        <v>9003494201</v>
      </c>
      <c r="B255">
        <v>1</v>
      </c>
      <c r="C255">
        <v>75521.807827200013</v>
      </c>
      <c r="D255">
        <v>9254.0817000000006</v>
      </c>
    </row>
    <row r="256" spans="1:4" x14ac:dyDescent="0.2">
      <c r="A256" s="127">
        <v>9003494202</v>
      </c>
      <c r="B256">
        <v>1</v>
      </c>
      <c r="C256">
        <v>49848.942931199999</v>
      </c>
      <c r="D256">
        <v>7119.7650000000003</v>
      </c>
    </row>
    <row r="257" spans="1:4" x14ac:dyDescent="0.2">
      <c r="A257" s="127">
        <v>9003494300</v>
      </c>
      <c r="B257">
        <v>2</v>
      </c>
      <c r="C257">
        <v>64387.635695999998</v>
      </c>
      <c r="D257">
        <v>12201.13</v>
      </c>
    </row>
    <row r="258" spans="1:4" x14ac:dyDescent="0.2">
      <c r="A258" s="127">
        <v>9003494400</v>
      </c>
      <c r="B258">
        <v>1</v>
      </c>
      <c r="C258">
        <v>83430.791717760003</v>
      </c>
      <c r="D258">
        <v>52850.414900000003</v>
      </c>
    </row>
    <row r="259" spans="1:4" x14ac:dyDescent="0.2">
      <c r="A259" s="127">
        <v>9003494500</v>
      </c>
      <c r="B259">
        <v>1</v>
      </c>
      <c r="C259">
        <v>67984.732339200011</v>
      </c>
      <c r="D259">
        <v>18676.55</v>
      </c>
    </row>
    <row r="260" spans="1:4" x14ac:dyDescent="0.2">
      <c r="A260" s="127">
        <v>9003494600</v>
      </c>
      <c r="B260">
        <v>1</v>
      </c>
      <c r="C260">
        <v>56666.718339840008</v>
      </c>
      <c r="D260">
        <v>14589.277</v>
      </c>
    </row>
    <row r="261" spans="1:4" x14ac:dyDescent="0.2">
      <c r="A261" s="127">
        <v>9003496100</v>
      </c>
      <c r="B261">
        <v>1</v>
      </c>
      <c r="C261">
        <v>28610.9587584</v>
      </c>
      <c r="D261">
        <v>2101.48</v>
      </c>
    </row>
    <row r="262" spans="1:4" x14ac:dyDescent="0.2">
      <c r="A262" s="127">
        <v>9003496200</v>
      </c>
      <c r="B262">
        <v>5</v>
      </c>
      <c r="C262">
        <v>548709.76081151993</v>
      </c>
      <c r="D262">
        <v>9485.2767999999996</v>
      </c>
    </row>
    <row r="263" spans="1:4" x14ac:dyDescent="0.2">
      <c r="A263" s="127">
        <v>9003496300</v>
      </c>
      <c r="B263">
        <v>1</v>
      </c>
      <c r="C263">
        <v>55727.230832640002</v>
      </c>
      <c r="D263">
        <v>8621.5300000000007</v>
      </c>
    </row>
    <row r="264" spans="1:4" x14ac:dyDescent="0.2">
      <c r="A264" s="127">
        <v>9003496400</v>
      </c>
      <c r="B264">
        <v>1</v>
      </c>
      <c r="C264">
        <v>48185.508096000005</v>
      </c>
      <c r="D264">
        <v>6747.1818000000003</v>
      </c>
    </row>
    <row r="265" spans="1:4" x14ac:dyDescent="0.2">
      <c r="A265" s="127">
        <v>9003496500</v>
      </c>
      <c r="B265">
        <v>1</v>
      </c>
      <c r="C265">
        <v>43302.135461760001</v>
      </c>
      <c r="D265">
        <v>18052.32</v>
      </c>
    </row>
    <row r="266" spans="1:4" x14ac:dyDescent="0.2">
      <c r="A266" s="127">
        <v>9003496600</v>
      </c>
      <c r="B266">
        <v>1</v>
      </c>
      <c r="C266">
        <v>55092.762144000008</v>
      </c>
      <c r="D266">
        <v>28113.459900000002</v>
      </c>
    </row>
    <row r="267" spans="1:4" x14ac:dyDescent="0.2">
      <c r="A267" s="127">
        <v>9003496700</v>
      </c>
      <c r="B267">
        <v>2</v>
      </c>
      <c r="C267">
        <v>47027.570958720004</v>
      </c>
      <c r="D267">
        <v>6747.4892</v>
      </c>
    </row>
    <row r="268" spans="1:4" x14ac:dyDescent="0.2">
      <c r="A268" s="127">
        <v>9003496800</v>
      </c>
      <c r="B268">
        <v>2</v>
      </c>
      <c r="C268">
        <v>43443.673358399996</v>
      </c>
      <c r="D268">
        <v>4929.1130000000003</v>
      </c>
    </row>
    <row r="269" spans="1:4" x14ac:dyDescent="0.2">
      <c r="A269" s="127">
        <v>9003496900</v>
      </c>
      <c r="B269">
        <v>3</v>
      </c>
      <c r="C269">
        <v>77211.887929920005</v>
      </c>
      <c r="D269">
        <v>8861.1478999999999</v>
      </c>
    </row>
    <row r="270" spans="1:4" x14ac:dyDescent="0.2">
      <c r="A270" s="127">
        <v>9003497000</v>
      </c>
      <c r="B270">
        <v>1</v>
      </c>
      <c r="C270">
        <v>74511.301584960005</v>
      </c>
      <c r="D270">
        <v>10418.5515</v>
      </c>
    </row>
    <row r="271" spans="1:4" x14ac:dyDescent="0.2">
      <c r="A271" s="127">
        <v>9003497100</v>
      </c>
      <c r="B271">
        <v>2</v>
      </c>
      <c r="C271">
        <v>49089.903897600001</v>
      </c>
      <c r="D271">
        <v>4881.03</v>
      </c>
    </row>
    <row r="272" spans="1:4" x14ac:dyDescent="0.2">
      <c r="A272" s="127">
        <v>9003497200</v>
      </c>
      <c r="B272">
        <v>1</v>
      </c>
      <c r="C272">
        <v>32413.523068800001</v>
      </c>
      <c r="D272">
        <v>16865.05</v>
      </c>
    </row>
    <row r="273" spans="1:4" x14ac:dyDescent="0.2">
      <c r="A273" s="127">
        <v>9003497300</v>
      </c>
      <c r="B273">
        <v>1</v>
      </c>
      <c r="C273">
        <v>80343.415123200015</v>
      </c>
      <c r="D273">
        <v>18040.036100000001</v>
      </c>
    </row>
    <row r="274" spans="1:4" x14ac:dyDescent="0.2">
      <c r="A274" s="127">
        <v>9003497400</v>
      </c>
      <c r="B274">
        <v>1</v>
      </c>
      <c r="C274">
        <v>76001.059105919994</v>
      </c>
      <c r="D274">
        <v>13016.7014</v>
      </c>
    </row>
    <row r="275" spans="1:4" x14ac:dyDescent="0.2">
      <c r="A275" s="127">
        <v>9003497500</v>
      </c>
      <c r="B275">
        <v>1</v>
      </c>
      <c r="C275">
        <v>74873.673518400014</v>
      </c>
      <c r="D275">
        <v>52438</v>
      </c>
    </row>
    <row r="276" spans="1:4" x14ac:dyDescent="0.2">
      <c r="A276" s="127">
        <v>9003497600</v>
      </c>
      <c r="B276">
        <v>1</v>
      </c>
      <c r="C276">
        <v>35446.190293439999</v>
      </c>
      <c r="D276">
        <v>2038.99</v>
      </c>
    </row>
    <row r="277" spans="1:4" x14ac:dyDescent="0.2">
      <c r="A277" s="127">
        <v>9003497700</v>
      </c>
      <c r="B277">
        <v>1</v>
      </c>
      <c r="C277">
        <v>253494.14654016</v>
      </c>
      <c r="D277">
        <v>457020.29220000003</v>
      </c>
    </row>
    <row r="278" spans="1:4" x14ac:dyDescent="0.2">
      <c r="A278" s="127">
        <v>9003500100</v>
      </c>
      <c r="B278">
        <v>1</v>
      </c>
      <c r="C278">
        <v>27599.33412</v>
      </c>
      <c r="D278">
        <v>2246.44</v>
      </c>
    </row>
    <row r="279" spans="1:4" x14ac:dyDescent="0.2">
      <c r="A279" s="127">
        <v>9003500200</v>
      </c>
      <c r="B279">
        <v>1</v>
      </c>
      <c r="C279">
        <v>18357.163539839996</v>
      </c>
      <c r="D279">
        <v>1257.69</v>
      </c>
    </row>
    <row r="280" spans="1:4" x14ac:dyDescent="0.2">
      <c r="A280" s="127">
        <v>9003500300</v>
      </c>
      <c r="B280">
        <v>1</v>
      </c>
      <c r="C280">
        <v>19192.581737280001</v>
      </c>
      <c r="D280">
        <v>15607.35</v>
      </c>
    </row>
    <row r="281" spans="1:4" x14ac:dyDescent="0.2">
      <c r="A281" s="127">
        <v>9003500400</v>
      </c>
      <c r="B281">
        <v>1</v>
      </c>
      <c r="C281">
        <v>20330.00047296</v>
      </c>
      <c r="D281">
        <v>601.65</v>
      </c>
    </row>
    <row r="282" spans="1:4" x14ac:dyDescent="0.2">
      <c r="A282" s="127">
        <v>9003500500</v>
      </c>
      <c r="B282">
        <v>1</v>
      </c>
      <c r="C282">
        <v>16445.239833600001</v>
      </c>
      <c r="D282">
        <v>148437.2053</v>
      </c>
    </row>
    <row r="283" spans="1:4" x14ac:dyDescent="0.2">
      <c r="A283" s="127">
        <v>9003500900</v>
      </c>
      <c r="B283">
        <v>1</v>
      </c>
      <c r="C283">
        <v>20985.07844736</v>
      </c>
      <c r="D283">
        <v>8680.39</v>
      </c>
    </row>
    <row r="284" spans="1:4" x14ac:dyDescent="0.2">
      <c r="A284" s="127">
        <v>9003501200</v>
      </c>
      <c r="B284">
        <v>1</v>
      </c>
      <c r="C284">
        <v>23903.896184639998</v>
      </c>
      <c r="D284">
        <v>1628.75</v>
      </c>
    </row>
    <row r="285" spans="1:4" x14ac:dyDescent="0.2">
      <c r="A285" s="127">
        <v>9003501300</v>
      </c>
      <c r="B285">
        <v>1</v>
      </c>
      <c r="C285">
        <v>14078.583889920001</v>
      </c>
      <c r="D285">
        <v>2029.63</v>
      </c>
    </row>
    <row r="286" spans="1:4" x14ac:dyDescent="0.2">
      <c r="A286" s="127">
        <v>9003501400</v>
      </c>
      <c r="B286">
        <v>1</v>
      </c>
      <c r="C286">
        <v>25922.267818560002</v>
      </c>
      <c r="D286">
        <v>53046.98</v>
      </c>
    </row>
    <row r="287" spans="1:4" x14ac:dyDescent="0.2">
      <c r="A287" s="127">
        <v>9003501500</v>
      </c>
      <c r="B287">
        <v>1</v>
      </c>
      <c r="C287">
        <v>34494.509257919999</v>
      </c>
      <c r="D287">
        <v>10977.39</v>
      </c>
    </row>
    <row r="288" spans="1:4" x14ac:dyDescent="0.2">
      <c r="A288" s="127">
        <v>9003501700</v>
      </c>
      <c r="B288">
        <v>1</v>
      </c>
      <c r="C288">
        <v>10912.4263584</v>
      </c>
      <c r="D288">
        <v>1164.8900000000001</v>
      </c>
    </row>
    <row r="289" spans="1:4" x14ac:dyDescent="0.2">
      <c r="A289" s="127">
        <v>9003501800</v>
      </c>
      <c r="B289">
        <v>1</v>
      </c>
      <c r="C289">
        <v>19569.573285120001</v>
      </c>
      <c r="D289">
        <v>1213.1500000000001</v>
      </c>
    </row>
    <row r="290" spans="1:4" x14ac:dyDescent="0.2">
      <c r="A290" s="127">
        <v>9003502100</v>
      </c>
      <c r="B290">
        <v>1</v>
      </c>
      <c r="C290">
        <v>27091.375603200002</v>
      </c>
      <c r="D290">
        <v>2298.11</v>
      </c>
    </row>
    <row r="291" spans="1:4" x14ac:dyDescent="0.2">
      <c r="A291" s="127">
        <v>9003502300</v>
      </c>
      <c r="B291">
        <v>1</v>
      </c>
      <c r="C291">
        <v>61237.230647040007</v>
      </c>
      <c r="D291">
        <v>31422.542399999998</v>
      </c>
    </row>
    <row r="292" spans="1:4" x14ac:dyDescent="0.2">
      <c r="A292" s="127">
        <v>9003502400</v>
      </c>
      <c r="B292">
        <v>1</v>
      </c>
      <c r="C292">
        <v>1035759.4729718401</v>
      </c>
      <c r="D292">
        <v>1565113.7553999999</v>
      </c>
    </row>
    <row r="293" spans="1:4" x14ac:dyDescent="0.2">
      <c r="A293" s="127">
        <v>9003502500</v>
      </c>
      <c r="B293">
        <v>1</v>
      </c>
      <c r="C293">
        <v>19614.414487680002</v>
      </c>
      <c r="D293">
        <v>18113.2</v>
      </c>
    </row>
    <row r="294" spans="1:4" x14ac:dyDescent="0.2">
      <c r="A294" s="127">
        <v>9003502600</v>
      </c>
      <c r="B294">
        <v>1</v>
      </c>
      <c r="C294">
        <v>36489.036245759999</v>
      </c>
      <c r="D294">
        <v>8703.0400000000009</v>
      </c>
    </row>
    <row r="295" spans="1:4" x14ac:dyDescent="0.2">
      <c r="A295" s="127">
        <v>9003502700</v>
      </c>
      <c r="B295">
        <v>1</v>
      </c>
      <c r="C295">
        <v>32741.750923200001</v>
      </c>
      <c r="D295">
        <v>2431</v>
      </c>
    </row>
    <row r="296" spans="1:4" x14ac:dyDescent="0.2">
      <c r="A296" s="127">
        <v>9003502800</v>
      </c>
      <c r="B296">
        <v>1</v>
      </c>
      <c r="C296">
        <v>34597.11747456</v>
      </c>
      <c r="D296">
        <v>3386.56</v>
      </c>
    </row>
    <row r="297" spans="1:4" x14ac:dyDescent="0.2">
      <c r="A297" s="127">
        <v>9003502900</v>
      </c>
      <c r="B297">
        <v>1</v>
      </c>
      <c r="C297">
        <v>21805.829562239996</v>
      </c>
      <c r="D297">
        <v>534.38</v>
      </c>
    </row>
    <row r="298" spans="1:4" x14ac:dyDescent="0.2">
      <c r="A298" s="127">
        <v>9003503000</v>
      </c>
      <c r="B298">
        <v>1</v>
      </c>
      <c r="C298">
        <v>27613.769650560003</v>
      </c>
      <c r="D298">
        <v>677.72</v>
      </c>
    </row>
    <row r="299" spans="1:4" x14ac:dyDescent="0.2">
      <c r="A299" s="127">
        <v>9003503100</v>
      </c>
      <c r="B299">
        <v>1</v>
      </c>
      <c r="C299">
        <v>37160.74254816</v>
      </c>
      <c r="D299">
        <v>78848.03</v>
      </c>
    </row>
    <row r="300" spans="1:4" x14ac:dyDescent="0.2">
      <c r="A300" s="127">
        <v>9003503300</v>
      </c>
      <c r="B300">
        <v>1</v>
      </c>
      <c r="C300">
        <v>24785.822180160001</v>
      </c>
      <c r="D300">
        <v>61180.35</v>
      </c>
    </row>
    <row r="301" spans="1:4" x14ac:dyDescent="0.2">
      <c r="A301" s="127">
        <v>9003503500</v>
      </c>
      <c r="B301">
        <v>1</v>
      </c>
      <c r="C301">
        <v>14693.71104</v>
      </c>
      <c r="D301">
        <v>2186.64</v>
      </c>
    </row>
    <row r="302" spans="1:4" x14ac:dyDescent="0.2">
      <c r="A302" s="127">
        <v>9003503700</v>
      </c>
      <c r="B302">
        <v>1</v>
      </c>
      <c r="C302">
        <v>32750.498957759999</v>
      </c>
      <c r="D302">
        <v>26309.74</v>
      </c>
    </row>
    <row r="303" spans="1:4" x14ac:dyDescent="0.2">
      <c r="A303" s="127">
        <v>9003503800</v>
      </c>
      <c r="B303">
        <v>1</v>
      </c>
      <c r="C303">
        <v>5708.3524675200006</v>
      </c>
      <c r="D303">
        <v>98479.72</v>
      </c>
    </row>
    <row r="304" spans="1:4" x14ac:dyDescent="0.2">
      <c r="A304" s="127">
        <v>9003503900</v>
      </c>
      <c r="B304">
        <v>2</v>
      </c>
      <c r="C304">
        <v>55908.026634240006</v>
      </c>
      <c r="D304">
        <v>43874.208400000003</v>
      </c>
    </row>
    <row r="305" spans="1:4" x14ac:dyDescent="0.2">
      <c r="A305" s="127">
        <v>9003504000</v>
      </c>
      <c r="B305">
        <v>1</v>
      </c>
      <c r="C305">
        <v>32737.94073504</v>
      </c>
      <c r="D305">
        <v>14980.31</v>
      </c>
    </row>
    <row r="306" spans="1:4" x14ac:dyDescent="0.2">
      <c r="A306" s="127">
        <v>9003504100</v>
      </c>
      <c r="B306">
        <v>1</v>
      </c>
      <c r="C306">
        <v>16383.093013440001</v>
      </c>
      <c r="D306">
        <v>14080.65</v>
      </c>
    </row>
    <row r="307" spans="1:4" x14ac:dyDescent="0.2">
      <c r="A307" s="127">
        <v>9003504200</v>
      </c>
      <c r="B307">
        <v>1</v>
      </c>
      <c r="C307">
        <v>54014.641560000004</v>
      </c>
      <c r="D307">
        <v>3657.96</v>
      </c>
    </row>
    <row r="308" spans="1:4" x14ac:dyDescent="0.2">
      <c r="A308" s="127">
        <v>9003504300</v>
      </c>
      <c r="B308">
        <v>1</v>
      </c>
      <c r="C308">
        <v>23985.625936320001</v>
      </c>
      <c r="D308">
        <v>18422.213</v>
      </c>
    </row>
    <row r="309" spans="1:4" x14ac:dyDescent="0.2">
      <c r="A309" s="127">
        <v>9003504500</v>
      </c>
      <c r="B309">
        <v>1</v>
      </c>
      <c r="C309">
        <v>37871.045095680005</v>
      </c>
      <c r="D309">
        <v>81361.004799999995</v>
      </c>
    </row>
    <row r="310" spans="1:4" x14ac:dyDescent="0.2">
      <c r="A310" s="127">
        <v>9003504800</v>
      </c>
      <c r="B310">
        <v>1</v>
      </c>
      <c r="C310">
        <v>58254.756370559997</v>
      </c>
      <c r="D310">
        <v>18063.281900000002</v>
      </c>
    </row>
    <row r="311" spans="1:4" x14ac:dyDescent="0.2">
      <c r="A311" s="127">
        <v>9003504900</v>
      </c>
      <c r="B311">
        <v>1</v>
      </c>
      <c r="C311">
        <v>42553.5758928</v>
      </c>
      <c r="D311">
        <v>30501.02</v>
      </c>
    </row>
    <row r="312" spans="1:4" x14ac:dyDescent="0.2">
      <c r="A312" s="127">
        <v>9003510100</v>
      </c>
      <c r="B312">
        <v>1</v>
      </c>
      <c r="C312">
        <v>28572.322570560002</v>
      </c>
      <c r="D312">
        <v>22163.206699999999</v>
      </c>
    </row>
    <row r="313" spans="1:4" x14ac:dyDescent="0.2">
      <c r="A313" s="127">
        <v>9003510200</v>
      </c>
      <c r="B313">
        <v>1</v>
      </c>
      <c r="C313">
        <v>23940.745948800002</v>
      </c>
      <c r="D313">
        <v>2074.27</v>
      </c>
    </row>
    <row r="314" spans="1:4" x14ac:dyDescent="0.2">
      <c r="A314" s="127">
        <v>9003510300</v>
      </c>
      <c r="B314">
        <v>1</v>
      </c>
      <c r="C314">
        <v>45262.2046176</v>
      </c>
      <c r="D314">
        <v>42202.34</v>
      </c>
    </row>
    <row r="315" spans="1:4" x14ac:dyDescent="0.2">
      <c r="A315" s="127">
        <v>9003510400</v>
      </c>
      <c r="B315">
        <v>1</v>
      </c>
      <c r="C315">
        <v>57149.46894816</v>
      </c>
      <c r="D315">
        <v>9259.56</v>
      </c>
    </row>
    <row r="316" spans="1:4" x14ac:dyDescent="0.2">
      <c r="A316" s="127">
        <v>9003510500</v>
      </c>
      <c r="B316">
        <v>1</v>
      </c>
      <c r="C316">
        <v>47422.277971200005</v>
      </c>
      <c r="D316">
        <v>3607.91</v>
      </c>
    </row>
    <row r="317" spans="1:4" x14ac:dyDescent="0.2">
      <c r="A317" s="127">
        <v>9003510600</v>
      </c>
      <c r="B317">
        <v>1</v>
      </c>
      <c r="C317">
        <v>59338.273852800005</v>
      </c>
      <c r="D317">
        <v>16098.58</v>
      </c>
    </row>
    <row r="318" spans="1:4" x14ac:dyDescent="0.2">
      <c r="A318" s="127">
        <v>9003510700</v>
      </c>
      <c r="B318">
        <v>2</v>
      </c>
      <c r="C318">
        <v>682380.13236767997</v>
      </c>
      <c r="D318">
        <v>698719.04249999998</v>
      </c>
    </row>
    <row r="319" spans="1:4" x14ac:dyDescent="0.2">
      <c r="A319" s="127">
        <v>9003510800</v>
      </c>
      <c r="B319">
        <v>1</v>
      </c>
      <c r="C319">
        <v>40521.756297600004</v>
      </c>
      <c r="D319">
        <v>5767.2932000000001</v>
      </c>
    </row>
    <row r="320" spans="1:4" x14ac:dyDescent="0.2">
      <c r="A320" s="127">
        <v>9003510900</v>
      </c>
      <c r="B320">
        <v>1</v>
      </c>
      <c r="C320">
        <v>56760.885907200005</v>
      </c>
      <c r="D320">
        <v>28094.3</v>
      </c>
    </row>
    <row r="321" spans="1:4" x14ac:dyDescent="0.2">
      <c r="A321" s="127">
        <v>9003511000</v>
      </c>
      <c r="B321">
        <v>1</v>
      </c>
      <c r="C321">
        <v>52835.4427392</v>
      </c>
      <c r="D321">
        <v>18406.3269</v>
      </c>
    </row>
    <row r="322" spans="1:4" x14ac:dyDescent="0.2">
      <c r="A322" s="127">
        <v>9003511100</v>
      </c>
      <c r="B322">
        <v>1</v>
      </c>
      <c r="C322">
        <v>56665.462170240004</v>
      </c>
      <c r="D322">
        <v>32384.834299999999</v>
      </c>
    </row>
    <row r="323" spans="1:4" x14ac:dyDescent="0.2">
      <c r="A323" s="127">
        <v>9003511200</v>
      </c>
      <c r="B323">
        <v>1</v>
      </c>
      <c r="C323">
        <v>37711.687535999998</v>
      </c>
      <c r="D323">
        <v>16579.5</v>
      </c>
    </row>
    <row r="324" spans="1:4" x14ac:dyDescent="0.2">
      <c r="A324" s="127">
        <v>9003511300</v>
      </c>
      <c r="B324">
        <v>1</v>
      </c>
      <c r="C324">
        <v>38897.82654912</v>
      </c>
      <c r="D324">
        <v>21005.37</v>
      </c>
    </row>
    <row r="325" spans="1:4" x14ac:dyDescent="0.2">
      <c r="A325" s="127">
        <v>9003511400</v>
      </c>
      <c r="B325">
        <v>1</v>
      </c>
      <c r="C325">
        <v>33981.297984000004</v>
      </c>
      <c r="D325">
        <v>15077.28</v>
      </c>
    </row>
    <row r="326" spans="1:4" x14ac:dyDescent="0.2">
      <c r="A326" s="127">
        <v>9003514101</v>
      </c>
      <c r="B326">
        <v>2</v>
      </c>
      <c r="C326">
        <v>54129.158496000004</v>
      </c>
      <c r="D326">
        <v>17130.2068</v>
      </c>
    </row>
    <row r="327" spans="1:4" x14ac:dyDescent="0.2">
      <c r="A327" s="127">
        <v>9003514102</v>
      </c>
      <c r="B327">
        <v>3</v>
      </c>
      <c r="C327">
        <v>633962.40366528009</v>
      </c>
      <c r="D327">
        <v>943389.83539999998</v>
      </c>
    </row>
    <row r="328" spans="1:4" x14ac:dyDescent="0.2">
      <c r="A328" s="127">
        <v>9003514200</v>
      </c>
      <c r="B328">
        <v>1</v>
      </c>
      <c r="C328">
        <v>43657.98804864</v>
      </c>
      <c r="D328">
        <v>17546.2</v>
      </c>
    </row>
    <row r="329" spans="1:4" x14ac:dyDescent="0.2">
      <c r="A329" s="127">
        <v>9003514300</v>
      </c>
      <c r="B329">
        <v>1</v>
      </c>
      <c r="C329">
        <v>59959.54349856</v>
      </c>
      <c r="D329">
        <v>23289.680899999999</v>
      </c>
    </row>
    <row r="330" spans="1:4" x14ac:dyDescent="0.2">
      <c r="A330" s="127">
        <v>9003514400</v>
      </c>
      <c r="B330">
        <v>1</v>
      </c>
      <c r="C330">
        <v>56814.210017279998</v>
      </c>
      <c r="D330">
        <v>19789.490000000002</v>
      </c>
    </row>
    <row r="331" spans="1:4" x14ac:dyDescent="0.2">
      <c r="A331" s="127">
        <v>9003514500</v>
      </c>
      <c r="B331">
        <v>1</v>
      </c>
      <c r="C331">
        <v>54927.830548799997</v>
      </c>
      <c r="D331">
        <v>25536.752199999999</v>
      </c>
    </row>
    <row r="332" spans="1:4" x14ac:dyDescent="0.2">
      <c r="A332" s="127">
        <v>9003514600</v>
      </c>
      <c r="B332">
        <v>1</v>
      </c>
      <c r="C332">
        <v>65624.928019200001</v>
      </c>
      <c r="D332">
        <v>48251.67</v>
      </c>
    </row>
    <row r="333" spans="1:4" x14ac:dyDescent="0.2">
      <c r="A333" s="127">
        <v>9003514700</v>
      </c>
      <c r="B333">
        <v>1</v>
      </c>
      <c r="C333">
        <v>61058.657744640004</v>
      </c>
      <c r="D333">
        <v>8211.23</v>
      </c>
    </row>
    <row r="334" spans="1:4" x14ac:dyDescent="0.2">
      <c r="A334" s="127">
        <v>9003514800</v>
      </c>
      <c r="B334">
        <v>1</v>
      </c>
      <c r="C334">
        <v>42600.301349760004</v>
      </c>
      <c r="D334">
        <v>8567.1447000000007</v>
      </c>
    </row>
    <row r="335" spans="1:4" x14ac:dyDescent="0.2">
      <c r="A335" s="127">
        <v>9003514900</v>
      </c>
      <c r="B335">
        <v>2</v>
      </c>
      <c r="C335">
        <v>46564.87738464</v>
      </c>
      <c r="D335">
        <v>37234.143300000003</v>
      </c>
    </row>
    <row r="336" spans="1:4" x14ac:dyDescent="0.2">
      <c r="A336" s="127">
        <v>9003515000</v>
      </c>
      <c r="B336">
        <v>1</v>
      </c>
      <c r="C336">
        <v>54351.689230079995</v>
      </c>
      <c r="D336">
        <v>14280.3079</v>
      </c>
    </row>
    <row r="337" spans="1:4" x14ac:dyDescent="0.2">
      <c r="A337" s="127">
        <v>9003515101</v>
      </c>
      <c r="B337">
        <v>1</v>
      </c>
      <c r="C337">
        <v>38263.875379200006</v>
      </c>
      <c r="D337">
        <v>5126.2425000000003</v>
      </c>
    </row>
    <row r="338" spans="1:4" x14ac:dyDescent="0.2">
      <c r="A338" s="127">
        <v>9003515102</v>
      </c>
      <c r="B338">
        <v>1</v>
      </c>
      <c r="C338">
        <v>77689.852358400007</v>
      </c>
      <c r="D338">
        <v>17970.6512</v>
      </c>
    </row>
    <row r="339" spans="1:4" x14ac:dyDescent="0.2">
      <c r="A339" s="127">
        <v>9003515200</v>
      </c>
      <c r="B339">
        <v>1</v>
      </c>
      <c r="C339">
        <v>65201.310581760001</v>
      </c>
      <c r="D339">
        <v>11137.36</v>
      </c>
    </row>
    <row r="340" spans="1:4" x14ac:dyDescent="0.2">
      <c r="A340" s="127">
        <v>9003520100</v>
      </c>
      <c r="B340">
        <v>2</v>
      </c>
      <c r="C340">
        <v>99184.049398080024</v>
      </c>
      <c r="D340">
        <v>7809.0663999999997</v>
      </c>
    </row>
    <row r="341" spans="1:4" x14ac:dyDescent="0.2">
      <c r="A341" s="127">
        <v>9003520201</v>
      </c>
      <c r="B341">
        <v>2</v>
      </c>
      <c r="C341">
        <v>82677.546115199992</v>
      </c>
      <c r="D341">
        <v>23410.549800000001</v>
      </c>
    </row>
    <row r="342" spans="1:4" x14ac:dyDescent="0.2">
      <c r="A342" s="127">
        <v>9003520202</v>
      </c>
      <c r="B342">
        <v>1</v>
      </c>
      <c r="C342">
        <v>92569.522809600006</v>
      </c>
      <c r="D342">
        <v>20573.626</v>
      </c>
    </row>
    <row r="343" spans="1:4" x14ac:dyDescent="0.2">
      <c r="A343" s="127">
        <v>9003520301</v>
      </c>
      <c r="B343">
        <v>1</v>
      </c>
      <c r="C343">
        <v>90725.333852160009</v>
      </c>
      <c r="D343">
        <v>19678.828099999999</v>
      </c>
    </row>
    <row r="344" spans="1:4" x14ac:dyDescent="0.2">
      <c r="A344" s="127">
        <v>9003520302</v>
      </c>
      <c r="B344">
        <v>1</v>
      </c>
      <c r="C344">
        <v>57957.166319040007</v>
      </c>
      <c r="D344">
        <v>28100.66</v>
      </c>
    </row>
    <row r="345" spans="1:4" x14ac:dyDescent="0.2">
      <c r="A345" s="127">
        <v>9003520400</v>
      </c>
      <c r="B345">
        <v>1</v>
      </c>
      <c r="C345">
        <v>409220.56738080003</v>
      </c>
      <c r="D345">
        <v>412347.66379999998</v>
      </c>
    </row>
    <row r="346" spans="1:4" x14ac:dyDescent="0.2">
      <c r="A346" s="127">
        <v>9003520501</v>
      </c>
      <c r="B346">
        <v>1</v>
      </c>
      <c r="C346">
        <v>94824.764035200002</v>
      </c>
      <c r="D346">
        <v>16202.107099999999</v>
      </c>
    </row>
    <row r="347" spans="1:4" x14ac:dyDescent="0.2">
      <c r="A347" s="127">
        <v>9003524100</v>
      </c>
      <c r="B347">
        <v>1</v>
      </c>
      <c r="C347">
        <v>159114.29809535999</v>
      </c>
      <c r="D347">
        <v>48667.315399999999</v>
      </c>
    </row>
    <row r="348" spans="1:4" x14ac:dyDescent="0.2">
      <c r="A348" s="127">
        <v>9003524200</v>
      </c>
      <c r="B348">
        <v>1</v>
      </c>
      <c r="C348">
        <v>97311.370861440024</v>
      </c>
      <c r="D348">
        <v>24959.3027</v>
      </c>
    </row>
    <row r="349" spans="1:4" x14ac:dyDescent="0.2">
      <c r="A349" s="127">
        <v>9003524300</v>
      </c>
      <c r="B349">
        <v>1</v>
      </c>
      <c r="C349">
        <v>77128.346283840016</v>
      </c>
      <c r="D349">
        <v>31690.293099999999</v>
      </c>
    </row>
    <row r="350" spans="1:4" x14ac:dyDescent="0.2">
      <c r="A350" s="127">
        <v>9003524400</v>
      </c>
      <c r="B350">
        <v>2</v>
      </c>
      <c r="C350">
        <v>36722.718524160002</v>
      </c>
      <c r="D350">
        <v>28619.973300000001</v>
      </c>
    </row>
    <row r="351" spans="1:4" x14ac:dyDescent="0.2">
      <c r="A351" s="127">
        <v>9003524501</v>
      </c>
      <c r="B351">
        <v>1</v>
      </c>
      <c r="C351">
        <v>26853.682265279996</v>
      </c>
      <c r="D351">
        <v>1003.633</v>
      </c>
    </row>
    <row r="352" spans="1:4" x14ac:dyDescent="0.2">
      <c r="A352" s="127">
        <v>9003524502</v>
      </c>
      <c r="B352">
        <v>1</v>
      </c>
      <c r="C352">
        <v>38598.850080000004</v>
      </c>
      <c r="D352">
        <v>2487.0500000000002</v>
      </c>
    </row>
    <row r="353" spans="1:4" x14ac:dyDescent="0.2">
      <c r="A353" s="127">
        <v>9003524600</v>
      </c>
      <c r="B353">
        <v>1</v>
      </c>
      <c r="C353">
        <v>29057.523577920001</v>
      </c>
      <c r="D353">
        <v>2328.62</v>
      </c>
    </row>
    <row r="354" spans="1:4" x14ac:dyDescent="0.2">
      <c r="A354" s="127">
        <v>9003524700</v>
      </c>
      <c r="B354">
        <v>1</v>
      </c>
      <c r="C354">
        <v>39743.093231999999</v>
      </c>
      <c r="D354">
        <v>14436.07</v>
      </c>
    </row>
    <row r="355" spans="1:4" x14ac:dyDescent="0.2">
      <c r="A355" s="127">
        <v>9005250100</v>
      </c>
      <c r="B355">
        <v>1</v>
      </c>
      <c r="C355">
        <v>69851.627285760012</v>
      </c>
      <c r="D355">
        <v>14188.062400000001</v>
      </c>
    </row>
    <row r="356" spans="1:4" x14ac:dyDescent="0.2">
      <c r="A356" s="127">
        <v>9005253100</v>
      </c>
      <c r="B356">
        <v>1</v>
      </c>
      <c r="C356">
        <v>96741.50344416</v>
      </c>
      <c r="D356">
        <v>48216.78</v>
      </c>
    </row>
    <row r="357" spans="1:4" x14ac:dyDescent="0.2">
      <c r="A357" s="127">
        <v>9005253200</v>
      </c>
      <c r="B357">
        <v>1</v>
      </c>
      <c r="C357">
        <v>373255.31217888003</v>
      </c>
      <c r="D357">
        <v>435948.83130000002</v>
      </c>
    </row>
    <row r="358" spans="1:4" x14ac:dyDescent="0.2">
      <c r="A358" s="127">
        <v>9005253300</v>
      </c>
      <c r="B358">
        <v>1</v>
      </c>
      <c r="C358">
        <v>51696.375353280004</v>
      </c>
      <c r="D358">
        <v>13320.82</v>
      </c>
    </row>
    <row r="359" spans="1:4" x14ac:dyDescent="0.2">
      <c r="A359" s="127">
        <v>9005253400</v>
      </c>
      <c r="B359">
        <v>3</v>
      </c>
      <c r="C359">
        <v>156860.80103520001</v>
      </c>
      <c r="D359">
        <v>20699.23</v>
      </c>
    </row>
    <row r="360" spans="1:4" x14ac:dyDescent="0.2">
      <c r="A360" s="127">
        <v>9005253500</v>
      </c>
      <c r="B360">
        <v>3</v>
      </c>
      <c r="C360">
        <v>147859.15335839998</v>
      </c>
      <c r="D360">
        <v>29305.079600000001</v>
      </c>
    </row>
    <row r="361" spans="1:4" x14ac:dyDescent="0.2">
      <c r="A361" s="127">
        <v>9005253600</v>
      </c>
      <c r="B361">
        <v>1</v>
      </c>
      <c r="C361">
        <v>49566.037328640006</v>
      </c>
      <c r="D361">
        <v>7377.73</v>
      </c>
    </row>
    <row r="362" spans="1:4" x14ac:dyDescent="0.2">
      <c r="A362" s="127">
        <v>9005260200</v>
      </c>
      <c r="B362">
        <v>2</v>
      </c>
      <c r="C362">
        <v>101229.06108960001</v>
      </c>
      <c r="D362">
        <v>35293.021999999997</v>
      </c>
    </row>
    <row r="363" spans="1:4" x14ac:dyDescent="0.2">
      <c r="A363" s="127">
        <v>9005261100</v>
      </c>
      <c r="B363">
        <v>2</v>
      </c>
      <c r="C363">
        <v>174027.25356768002</v>
      </c>
      <c r="D363">
        <v>274061.99890000001</v>
      </c>
    </row>
    <row r="364" spans="1:4" x14ac:dyDescent="0.2">
      <c r="A364" s="127">
        <v>9005262100</v>
      </c>
      <c r="B364">
        <v>3</v>
      </c>
      <c r="C364">
        <v>114343.00918847999</v>
      </c>
      <c r="D364">
        <v>25605.557799999999</v>
      </c>
    </row>
    <row r="365" spans="1:4" x14ac:dyDescent="0.2">
      <c r="A365" s="127">
        <v>9005263200</v>
      </c>
      <c r="B365">
        <v>3</v>
      </c>
      <c r="C365">
        <v>59584.37079167999</v>
      </c>
      <c r="D365">
        <v>15124.35</v>
      </c>
    </row>
    <row r="366" spans="1:4" x14ac:dyDescent="0.2">
      <c r="A366" s="127">
        <v>9005265100</v>
      </c>
      <c r="B366">
        <v>4</v>
      </c>
      <c r="C366">
        <v>44685.600194879989</v>
      </c>
      <c r="D366">
        <v>41436.902900000001</v>
      </c>
    </row>
    <row r="367" spans="1:4" x14ac:dyDescent="0.2">
      <c r="A367" s="127">
        <v>9005266100</v>
      </c>
      <c r="B367">
        <v>5</v>
      </c>
      <c r="C367">
        <v>154361.72744928001</v>
      </c>
      <c r="D367">
        <v>30652.258000000002</v>
      </c>
    </row>
    <row r="368" spans="1:4" x14ac:dyDescent="0.2">
      <c r="A368" s="127">
        <v>9005267100</v>
      </c>
      <c r="B368">
        <v>3</v>
      </c>
      <c r="C368">
        <v>183790.78200000001</v>
      </c>
      <c r="D368">
        <v>49884.353299999995</v>
      </c>
    </row>
    <row r="369" spans="1:4" x14ac:dyDescent="0.2">
      <c r="A369" s="127">
        <v>9005268100</v>
      </c>
      <c r="B369">
        <v>3</v>
      </c>
      <c r="C369">
        <v>96396.450442560003</v>
      </c>
      <c r="D369">
        <v>17705.96</v>
      </c>
    </row>
    <row r="370" spans="1:4" x14ac:dyDescent="0.2">
      <c r="A370" s="127">
        <v>9005290100</v>
      </c>
      <c r="B370">
        <v>3</v>
      </c>
      <c r="C370">
        <v>83617.004099520011</v>
      </c>
      <c r="D370">
        <v>51220.400099999999</v>
      </c>
    </row>
    <row r="371" spans="1:4" x14ac:dyDescent="0.2">
      <c r="A371" s="127">
        <v>9005293100</v>
      </c>
      <c r="B371">
        <v>2</v>
      </c>
      <c r="C371">
        <v>46255.179479039994</v>
      </c>
      <c r="D371">
        <v>32795.43</v>
      </c>
    </row>
    <row r="372" spans="1:4" x14ac:dyDescent="0.2">
      <c r="A372" s="127">
        <v>9005296100</v>
      </c>
      <c r="B372">
        <v>3</v>
      </c>
      <c r="C372">
        <v>101048.01810624001</v>
      </c>
      <c r="D372">
        <v>47056.84</v>
      </c>
    </row>
    <row r="373" spans="1:4" x14ac:dyDescent="0.2">
      <c r="A373" s="127">
        <v>9005298300</v>
      </c>
      <c r="B373">
        <v>1</v>
      </c>
      <c r="C373">
        <v>56629.998823680005</v>
      </c>
      <c r="D373">
        <v>11448.81</v>
      </c>
    </row>
    <row r="374" spans="1:4" x14ac:dyDescent="0.2">
      <c r="A374" s="127">
        <v>9005298400</v>
      </c>
      <c r="B374">
        <v>1</v>
      </c>
      <c r="C374">
        <v>84260.560625280006</v>
      </c>
      <c r="D374">
        <v>57299.408799999997</v>
      </c>
    </row>
    <row r="375" spans="1:4" x14ac:dyDescent="0.2">
      <c r="A375" s="127">
        <v>9005300100</v>
      </c>
      <c r="B375">
        <v>2</v>
      </c>
      <c r="C375">
        <v>70081.276507200004</v>
      </c>
      <c r="D375">
        <v>74664.482900000003</v>
      </c>
    </row>
    <row r="376" spans="1:4" x14ac:dyDescent="0.2">
      <c r="A376" s="127">
        <v>9005300400</v>
      </c>
      <c r="B376">
        <v>2</v>
      </c>
      <c r="C376">
        <v>46744.496323200001</v>
      </c>
      <c r="D376">
        <v>11260.856400000001</v>
      </c>
    </row>
    <row r="377" spans="1:4" x14ac:dyDescent="0.2">
      <c r="A377" s="127">
        <v>9005300500</v>
      </c>
      <c r="B377">
        <v>2</v>
      </c>
      <c r="C377">
        <v>187165.26223488001</v>
      </c>
      <c r="D377">
        <v>100941.6158</v>
      </c>
    </row>
    <row r="378" spans="1:4" x14ac:dyDescent="0.2">
      <c r="A378" s="127">
        <v>9005303100</v>
      </c>
      <c r="B378">
        <v>3</v>
      </c>
      <c r="C378">
        <v>70847.830560960007</v>
      </c>
      <c r="D378">
        <v>32958.909800000001</v>
      </c>
    </row>
    <row r="379" spans="1:4" x14ac:dyDescent="0.2">
      <c r="A379" s="127">
        <v>9005306100</v>
      </c>
      <c r="B379">
        <v>3</v>
      </c>
      <c r="C379">
        <v>174173.42481984</v>
      </c>
      <c r="D379">
        <v>201562.2647</v>
      </c>
    </row>
    <row r="380" spans="1:4" x14ac:dyDescent="0.2">
      <c r="A380" s="127">
        <v>9005310100</v>
      </c>
      <c r="B380">
        <v>1</v>
      </c>
      <c r="C380">
        <v>76307.070124799997</v>
      </c>
      <c r="D380">
        <v>20088.7081</v>
      </c>
    </row>
    <row r="381" spans="1:4" x14ac:dyDescent="0.2">
      <c r="A381" s="127">
        <v>9005310200</v>
      </c>
      <c r="B381">
        <v>1</v>
      </c>
      <c r="C381">
        <v>34487.976597120003</v>
      </c>
      <c r="D381">
        <v>23654.6</v>
      </c>
    </row>
    <row r="382" spans="1:4" x14ac:dyDescent="0.2">
      <c r="A382" s="127">
        <v>9005310300</v>
      </c>
      <c r="B382">
        <v>1</v>
      </c>
      <c r="C382">
        <v>26950.979836799997</v>
      </c>
      <c r="D382">
        <v>18765.400000000001</v>
      </c>
    </row>
    <row r="383" spans="1:4" x14ac:dyDescent="0.2">
      <c r="A383" s="127">
        <v>9005310400</v>
      </c>
      <c r="B383">
        <v>2</v>
      </c>
      <c r="C383">
        <v>48731.079340799995</v>
      </c>
      <c r="D383">
        <v>17822.708299999998</v>
      </c>
    </row>
    <row r="384" spans="1:4" x14ac:dyDescent="0.2">
      <c r="A384" s="127">
        <v>9005310500</v>
      </c>
      <c r="B384">
        <v>1</v>
      </c>
      <c r="C384">
        <v>34178.324423040001</v>
      </c>
      <c r="D384">
        <v>28920.17</v>
      </c>
    </row>
    <row r="385" spans="1:4" x14ac:dyDescent="0.2">
      <c r="A385" s="127">
        <v>9005310601</v>
      </c>
      <c r="B385">
        <v>1</v>
      </c>
      <c r="C385">
        <v>62090.761420800001</v>
      </c>
      <c r="D385">
        <v>13849.6288</v>
      </c>
    </row>
    <row r="386" spans="1:4" x14ac:dyDescent="0.2">
      <c r="A386" s="127">
        <v>9005310602</v>
      </c>
      <c r="B386">
        <v>1</v>
      </c>
      <c r="C386">
        <v>72546.218170559994</v>
      </c>
      <c r="D386">
        <v>39940.89</v>
      </c>
    </row>
    <row r="387" spans="1:4" x14ac:dyDescent="0.2">
      <c r="A387" s="127">
        <v>9005310700</v>
      </c>
      <c r="B387">
        <v>2</v>
      </c>
      <c r="C387">
        <v>373539.13183296</v>
      </c>
      <c r="D387">
        <v>358572.60279999999</v>
      </c>
    </row>
    <row r="388" spans="1:4" x14ac:dyDescent="0.2">
      <c r="A388" s="127">
        <v>9005310801</v>
      </c>
      <c r="B388">
        <v>1</v>
      </c>
      <c r="C388">
        <v>36919.849161600003</v>
      </c>
      <c r="D388">
        <v>3462.34</v>
      </c>
    </row>
    <row r="389" spans="1:4" x14ac:dyDescent="0.2">
      <c r="A389" s="127">
        <v>9005310803</v>
      </c>
      <c r="B389">
        <v>1</v>
      </c>
      <c r="C389">
        <v>72946.220777279988</v>
      </c>
      <c r="D389">
        <v>28410.995900000002</v>
      </c>
    </row>
    <row r="390" spans="1:4" x14ac:dyDescent="0.2">
      <c r="A390" s="127">
        <v>9005310804</v>
      </c>
      <c r="B390">
        <v>1</v>
      </c>
      <c r="C390">
        <v>41928.608361600003</v>
      </c>
      <c r="D390">
        <v>3042.1</v>
      </c>
    </row>
    <row r="391" spans="1:4" x14ac:dyDescent="0.2">
      <c r="A391" s="127">
        <v>9005320100</v>
      </c>
      <c r="B391">
        <v>3</v>
      </c>
      <c r="C391">
        <v>181087.47318240005</v>
      </c>
      <c r="D391">
        <v>114368.24100000001</v>
      </c>
    </row>
    <row r="392" spans="1:4" x14ac:dyDescent="0.2">
      <c r="A392" s="127">
        <v>9005320200</v>
      </c>
      <c r="B392">
        <v>2</v>
      </c>
      <c r="C392">
        <v>83576.637060479989</v>
      </c>
      <c r="D392">
        <v>13461.21</v>
      </c>
    </row>
    <row r="393" spans="1:4" x14ac:dyDescent="0.2">
      <c r="A393" s="127">
        <v>9005342100</v>
      </c>
      <c r="B393">
        <v>3</v>
      </c>
      <c r="C393">
        <v>102440.29628736</v>
      </c>
      <c r="D393">
        <v>35443.029300000002</v>
      </c>
    </row>
    <row r="394" spans="1:4" x14ac:dyDescent="0.2">
      <c r="A394" s="127">
        <v>9005349100</v>
      </c>
      <c r="B394">
        <v>3</v>
      </c>
      <c r="C394">
        <v>173315.28268800001</v>
      </c>
      <c r="D394">
        <v>101751.56359999999</v>
      </c>
    </row>
    <row r="395" spans="1:4" x14ac:dyDescent="0.2">
      <c r="A395" s="127">
        <v>9005349200</v>
      </c>
      <c r="B395">
        <v>3</v>
      </c>
      <c r="C395">
        <v>51677.738890560002</v>
      </c>
      <c r="D395">
        <v>34946.99</v>
      </c>
    </row>
    <row r="396" spans="1:4" x14ac:dyDescent="0.2">
      <c r="A396" s="127">
        <v>9005360100</v>
      </c>
      <c r="B396">
        <v>1</v>
      </c>
      <c r="C396">
        <v>105586.70416991999</v>
      </c>
      <c r="D396">
        <v>30575.06</v>
      </c>
    </row>
    <row r="397" spans="1:4" x14ac:dyDescent="0.2">
      <c r="A397" s="127">
        <v>9005360200</v>
      </c>
      <c r="B397">
        <v>2</v>
      </c>
      <c r="C397">
        <v>331341.70607135992</v>
      </c>
      <c r="D397">
        <v>190649.19930000001</v>
      </c>
    </row>
    <row r="398" spans="1:4" x14ac:dyDescent="0.2">
      <c r="A398" s="127">
        <v>9005360300</v>
      </c>
      <c r="B398">
        <v>1</v>
      </c>
      <c r="C398">
        <v>58545.817234560003</v>
      </c>
      <c r="D398">
        <v>61008.1924</v>
      </c>
    </row>
    <row r="399" spans="1:4" x14ac:dyDescent="0.2">
      <c r="A399" s="127">
        <v>9005360400</v>
      </c>
      <c r="B399">
        <v>1</v>
      </c>
      <c r="C399">
        <v>107974.49965344</v>
      </c>
      <c r="D399">
        <v>39579.555399999997</v>
      </c>
    </row>
    <row r="400" spans="1:4" x14ac:dyDescent="0.2">
      <c r="A400" s="127">
        <v>9005362101</v>
      </c>
      <c r="B400">
        <v>1</v>
      </c>
      <c r="C400">
        <v>121304.12917823999</v>
      </c>
      <c r="D400">
        <v>26145.79</v>
      </c>
    </row>
    <row r="401" spans="1:4" x14ac:dyDescent="0.2">
      <c r="A401" s="127">
        <v>9005362102</v>
      </c>
      <c r="B401">
        <v>4</v>
      </c>
      <c r="C401">
        <v>202170.30709535998</v>
      </c>
      <c r="D401">
        <v>151431.49799999999</v>
      </c>
    </row>
    <row r="402" spans="1:4" x14ac:dyDescent="0.2">
      <c r="A402" s="127">
        <v>9005425300</v>
      </c>
      <c r="B402">
        <v>3</v>
      </c>
      <c r="C402">
        <v>75857.165746559986</v>
      </c>
      <c r="D402">
        <v>12089.58</v>
      </c>
    </row>
    <row r="403" spans="1:4" x14ac:dyDescent="0.2">
      <c r="A403" s="127">
        <v>9005425400</v>
      </c>
      <c r="B403">
        <v>2</v>
      </c>
      <c r="C403">
        <v>173270.22035327999</v>
      </c>
      <c r="D403">
        <v>239097.30319999999</v>
      </c>
    </row>
    <row r="404" spans="1:4" x14ac:dyDescent="0.2">
      <c r="A404" s="127">
        <v>9005425500</v>
      </c>
      <c r="B404">
        <v>1</v>
      </c>
      <c r="C404">
        <v>59404.700332799999</v>
      </c>
      <c r="D404">
        <v>14947.95</v>
      </c>
    </row>
    <row r="405" spans="1:4" x14ac:dyDescent="0.2">
      <c r="A405" s="127">
        <v>9005425600</v>
      </c>
      <c r="B405">
        <v>2</v>
      </c>
      <c r="C405">
        <v>100529.26000416001</v>
      </c>
      <c r="D405">
        <v>40501.622000000003</v>
      </c>
    </row>
    <row r="406" spans="1:4" x14ac:dyDescent="0.2">
      <c r="A406" s="127">
        <v>9007541100</v>
      </c>
      <c r="B406">
        <v>1</v>
      </c>
      <c r="C406">
        <v>32800.354997759998</v>
      </c>
      <c r="D406">
        <v>3801.79</v>
      </c>
    </row>
    <row r="407" spans="1:4" x14ac:dyDescent="0.2">
      <c r="A407" s="127">
        <v>9007541200</v>
      </c>
      <c r="B407">
        <v>1</v>
      </c>
      <c r="C407">
        <v>93768.011069760003</v>
      </c>
      <c r="D407">
        <v>34895.177799999998</v>
      </c>
    </row>
    <row r="408" spans="1:4" x14ac:dyDescent="0.2">
      <c r="A408" s="127">
        <v>9007541300</v>
      </c>
      <c r="B408">
        <v>1</v>
      </c>
      <c r="C408">
        <v>500137.82079263998</v>
      </c>
      <c r="D408">
        <v>452025.68660000002</v>
      </c>
    </row>
    <row r="409" spans="1:4" x14ac:dyDescent="0.2">
      <c r="A409" s="127">
        <v>9007541401</v>
      </c>
      <c r="B409">
        <v>1</v>
      </c>
      <c r="C409">
        <v>69125.694399359985</v>
      </c>
      <c r="D409">
        <v>17537.349699999999</v>
      </c>
    </row>
    <row r="410" spans="1:4" x14ac:dyDescent="0.2">
      <c r="A410" s="127">
        <v>9007541402</v>
      </c>
      <c r="B410">
        <v>1</v>
      </c>
      <c r="C410">
        <v>112928.96280384</v>
      </c>
      <c r="D410">
        <v>285103.42810000002</v>
      </c>
    </row>
    <row r="411" spans="1:4" x14ac:dyDescent="0.2">
      <c r="A411" s="127">
        <v>9007541500</v>
      </c>
      <c r="B411">
        <v>1</v>
      </c>
      <c r="C411">
        <v>21092.82943392</v>
      </c>
      <c r="D411">
        <v>7092.3125</v>
      </c>
    </row>
    <row r="412" spans="1:4" x14ac:dyDescent="0.2">
      <c r="A412" s="127">
        <v>9007541600</v>
      </c>
      <c r="B412">
        <v>1</v>
      </c>
      <c r="C412">
        <v>15013.82183904</v>
      </c>
      <c r="D412">
        <v>37706.81</v>
      </c>
    </row>
    <row r="413" spans="1:4" x14ac:dyDescent="0.2">
      <c r="A413" s="127">
        <v>9007541700</v>
      </c>
      <c r="B413">
        <v>1</v>
      </c>
      <c r="C413">
        <v>36521.771909760006</v>
      </c>
      <c r="D413">
        <v>4608.43</v>
      </c>
    </row>
    <row r="414" spans="1:4" x14ac:dyDescent="0.2">
      <c r="A414" s="127">
        <v>9007542000</v>
      </c>
      <c r="B414">
        <v>1</v>
      </c>
      <c r="C414">
        <v>71103.73662144001</v>
      </c>
      <c r="D414">
        <v>22533.360000000001</v>
      </c>
    </row>
    <row r="415" spans="1:4" x14ac:dyDescent="0.2">
      <c r="A415" s="127">
        <v>9007542100</v>
      </c>
      <c r="B415">
        <v>1</v>
      </c>
      <c r="C415">
        <v>59097.286108800006</v>
      </c>
      <c r="D415">
        <v>30046.16</v>
      </c>
    </row>
    <row r="416" spans="1:4" x14ac:dyDescent="0.2">
      <c r="A416" s="127">
        <v>9007542200</v>
      </c>
      <c r="B416">
        <v>1</v>
      </c>
      <c r="C416">
        <v>46529.618961600005</v>
      </c>
      <c r="D416">
        <v>11053.972100000001</v>
      </c>
    </row>
    <row r="417" spans="1:4" x14ac:dyDescent="0.2">
      <c r="A417" s="127">
        <v>9007550100</v>
      </c>
      <c r="B417">
        <v>1</v>
      </c>
      <c r="C417">
        <v>173298.61325952</v>
      </c>
      <c r="D417">
        <v>123940.35619999999</v>
      </c>
    </row>
    <row r="418" spans="1:4" x14ac:dyDescent="0.2">
      <c r="A418" s="127">
        <v>9007550201</v>
      </c>
      <c r="B418">
        <v>2</v>
      </c>
      <c r="C418">
        <v>77402.888807040013</v>
      </c>
      <c r="D418">
        <v>15684.3472</v>
      </c>
    </row>
    <row r="419" spans="1:4" x14ac:dyDescent="0.2">
      <c r="A419" s="127">
        <v>9007550202</v>
      </c>
      <c r="B419">
        <v>1</v>
      </c>
      <c r="C419">
        <v>72378.179726400005</v>
      </c>
      <c r="D419">
        <v>17842.5468</v>
      </c>
    </row>
    <row r="420" spans="1:4" x14ac:dyDescent="0.2">
      <c r="A420" s="127">
        <v>9007560100</v>
      </c>
      <c r="B420">
        <v>2</v>
      </c>
      <c r="C420">
        <v>193137.33159071999</v>
      </c>
      <c r="D420">
        <v>93783.939599999998</v>
      </c>
    </row>
    <row r="421" spans="1:4" x14ac:dyDescent="0.2">
      <c r="A421" s="127">
        <v>9007560200</v>
      </c>
      <c r="B421">
        <v>1</v>
      </c>
      <c r="C421">
        <v>60508.24069536</v>
      </c>
      <c r="D421">
        <v>31057.98</v>
      </c>
    </row>
    <row r="422" spans="1:4" x14ac:dyDescent="0.2">
      <c r="A422" s="127">
        <v>9007570100</v>
      </c>
      <c r="B422">
        <v>1</v>
      </c>
      <c r="C422">
        <v>105823.17838656</v>
      </c>
      <c r="D422">
        <v>12420.4566</v>
      </c>
    </row>
    <row r="423" spans="1:4" x14ac:dyDescent="0.2">
      <c r="A423" s="127">
        <v>9007570200</v>
      </c>
      <c r="B423">
        <v>1</v>
      </c>
      <c r="C423">
        <v>60556.671532799999</v>
      </c>
      <c r="D423">
        <v>14839.490299999999</v>
      </c>
    </row>
    <row r="424" spans="1:4" x14ac:dyDescent="0.2">
      <c r="A424" s="127">
        <v>9007570300</v>
      </c>
      <c r="B424">
        <v>1</v>
      </c>
      <c r="C424">
        <v>258744.63329279999</v>
      </c>
      <c r="D424">
        <v>300876.64160000003</v>
      </c>
    </row>
    <row r="425" spans="1:4" x14ac:dyDescent="0.2">
      <c r="A425" s="127">
        <v>9007580100</v>
      </c>
      <c r="B425">
        <v>2</v>
      </c>
      <c r="C425">
        <v>125281.13145120002</v>
      </c>
      <c r="D425">
        <v>131187.26260000002</v>
      </c>
    </row>
    <row r="426" spans="1:4" x14ac:dyDescent="0.2">
      <c r="A426" s="127">
        <v>9007585100</v>
      </c>
      <c r="B426">
        <v>2</v>
      </c>
      <c r="C426">
        <v>186528.99091391999</v>
      </c>
      <c r="D426">
        <v>75403.70670000001</v>
      </c>
    </row>
    <row r="427" spans="1:4" x14ac:dyDescent="0.2">
      <c r="A427" s="127">
        <v>9007590100</v>
      </c>
      <c r="B427">
        <v>4</v>
      </c>
      <c r="C427">
        <v>220117.59754560003</v>
      </c>
      <c r="D427">
        <v>74875.723700000002</v>
      </c>
    </row>
    <row r="428" spans="1:4" x14ac:dyDescent="0.2">
      <c r="A428" s="127">
        <v>9007595101</v>
      </c>
      <c r="B428">
        <v>3</v>
      </c>
      <c r="C428">
        <v>65463.31514304001</v>
      </c>
      <c r="D428">
        <v>4781.78</v>
      </c>
    </row>
    <row r="429" spans="1:4" x14ac:dyDescent="0.2">
      <c r="A429" s="127">
        <v>9007595102</v>
      </c>
      <c r="B429">
        <v>1</v>
      </c>
      <c r="C429">
        <v>164063.69662464</v>
      </c>
      <c r="D429">
        <v>63836.366699999999</v>
      </c>
    </row>
    <row r="430" spans="1:4" x14ac:dyDescent="0.2">
      <c r="A430" s="127">
        <v>9007600100</v>
      </c>
      <c r="B430">
        <v>1</v>
      </c>
      <c r="C430">
        <v>118950.99702912</v>
      </c>
      <c r="D430">
        <v>36099.027499999997</v>
      </c>
    </row>
    <row r="431" spans="1:4" x14ac:dyDescent="0.2">
      <c r="A431" s="127">
        <v>9007610100</v>
      </c>
      <c r="B431">
        <v>1</v>
      </c>
      <c r="C431">
        <v>49833.557458559997</v>
      </c>
      <c r="D431">
        <v>5070.47</v>
      </c>
    </row>
    <row r="432" spans="1:4" x14ac:dyDescent="0.2">
      <c r="A432" s="127">
        <v>9007610200</v>
      </c>
      <c r="B432">
        <v>1</v>
      </c>
      <c r="C432">
        <v>82281.225185279996</v>
      </c>
      <c r="D432">
        <v>16245.14</v>
      </c>
    </row>
    <row r="433" spans="1:4" x14ac:dyDescent="0.2">
      <c r="A433" s="127">
        <v>9007610300</v>
      </c>
      <c r="B433">
        <v>1</v>
      </c>
      <c r="C433">
        <v>199379.29564224</v>
      </c>
      <c r="D433">
        <v>120258.32740000001</v>
      </c>
    </row>
    <row r="434" spans="1:4" x14ac:dyDescent="0.2">
      <c r="A434" s="127">
        <v>9007610400</v>
      </c>
      <c r="B434">
        <v>1</v>
      </c>
      <c r="C434">
        <v>67552.741402560001</v>
      </c>
      <c r="D434">
        <v>9962.2000000000007</v>
      </c>
    </row>
    <row r="435" spans="1:4" x14ac:dyDescent="0.2">
      <c r="A435" s="127">
        <v>9007620100</v>
      </c>
      <c r="B435">
        <v>2</v>
      </c>
      <c r="C435">
        <v>136754.24766336</v>
      </c>
      <c r="D435">
        <v>60771.553199999995</v>
      </c>
    </row>
    <row r="436" spans="1:4" x14ac:dyDescent="0.2">
      <c r="A436" s="127">
        <v>9007630100</v>
      </c>
      <c r="B436">
        <v>1</v>
      </c>
      <c r="C436">
        <v>243904.75794719998</v>
      </c>
      <c r="D436">
        <v>111069.48940000001</v>
      </c>
    </row>
    <row r="437" spans="1:4" x14ac:dyDescent="0.2">
      <c r="A437" s="127">
        <v>9007640100</v>
      </c>
      <c r="B437">
        <v>1</v>
      </c>
      <c r="C437">
        <v>171906.27661151998</v>
      </c>
      <c r="D437">
        <v>77881.463700000008</v>
      </c>
    </row>
    <row r="438" spans="1:4" x14ac:dyDescent="0.2">
      <c r="A438" s="127">
        <v>9007670100</v>
      </c>
      <c r="B438">
        <v>2</v>
      </c>
      <c r="C438">
        <v>123458.58565919999</v>
      </c>
      <c r="D438">
        <v>22006.809000000001</v>
      </c>
    </row>
    <row r="439" spans="1:4" x14ac:dyDescent="0.2">
      <c r="A439" s="127">
        <v>9007670200</v>
      </c>
      <c r="B439">
        <v>1</v>
      </c>
      <c r="C439">
        <v>309636.59236703999</v>
      </c>
      <c r="D439">
        <v>207640.47029999999</v>
      </c>
    </row>
    <row r="440" spans="1:4" x14ac:dyDescent="0.2">
      <c r="A440" s="127">
        <v>9007680100</v>
      </c>
      <c r="B440">
        <v>1</v>
      </c>
      <c r="C440">
        <v>254015.70005376</v>
      </c>
      <c r="D440">
        <v>98737.813800000004</v>
      </c>
    </row>
    <row r="441" spans="1:4" x14ac:dyDescent="0.2">
      <c r="A441" s="127">
        <v>9007680200</v>
      </c>
      <c r="B441">
        <v>1</v>
      </c>
      <c r="C441">
        <v>109151.62550496</v>
      </c>
      <c r="D441">
        <v>359384.16</v>
      </c>
    </row>
    <row r="442" spans="1:4" x14ac:dyDescent="0.2">
      <c r="A442" s="127">
        <v>9009120200</v>
      </c>
      <c r="B442">
        <v>1</v>
      </c>
      <c r="C442">
        <v>167.08792319999998</v>
      </c>
      <c r="D442">
        <v>0</v>
      </c>
    </row>
    <row r="443" spans="1:4" x14ac:dyDescent="0.2">
      <c r="A443" s="127">
        <v>9009125300</v>
      </c>
      <c r="B443">
        <v>1</v>
      </c>
      <c r="C443">
        <v>41.106268800000002</v>
      </c>
      <c r="D443">
        <v>0</v>
      </c>
    </row>
    <row r="444" spans="1:4" x14ac:dyDescent="0.2">
      <c r="A444" s="127">
        <v>9009125400</v>
      </c>
      <c r="B444">
        <v>1</v>
      </c>
      <c r="C444">
        <v>876.93952319999994</v>
      </c>
      <c r="D444">
        <v>0</v>
      </c>
    </row>
    <row r="445" spans="1:4" x14ac:dyDescent="0.2">
      <c r="A445" s="127">
        <v>9009130101</v>
      </c>
      <c r="B445">
        <v>2</v>
      </c>
      <c r="C445">
        <v>90253.192377600004</v>
      </c>
      <c r="D445">
        <v>38284.129999999997</v>
      </c>
    </row>
    <row r="446" spans="1:4" x14ac:dyDescent="0.2">
      <c r="A446" s="127">
        <v>9009130102</v>
      </c>
      <c r="B446">
        <v>1</v>
      </c>
      <c r="C446">
        <v>53976.907267200004</v>
      </c>
      <c r="D446">
        <v>13351.72</v>
      </c>
    </row>
    <row r="447" spans="1:4" x14ac:dyDescent="0.2">
      <c r="A447" s="127">
        <v>9009130200</v>
      </c>
      <c r="B447">
        <v>1</v>
      </c>
      <c r="C447">
        <v>243716.62715712</v>
      </c>
      <c r="D447">
        <v>300973.51299999998</v>
      </c>
    </row>
    <row r="448" spans="1:4" x14ac:dyDescent="0.2">
      <c r="A448" s="127">
        <v>9009161100</v>
      </c>
      <c r="B448">
        <v>1</v>
      </c>
      <c r="C448">
        <v>139960.93200479998</v>
      </c>
      <c r="D448">
        <v>52036.621699999996</v>
      </c>
    </row>
    <row r="449" spans="1:4" x14ac:dyDescent="0.2">
      <c r="A449" s="127">
        <v>9009166002</v>
      </c>
      <c r="B449">
        <v>1</v>
      </c>
      <c r="C449">
        <v>481.21136640000003</v>
      </c>
      <c r="D449">
        <v>0</v>
      </c>
    </row>
    <row r="450" spans="1:4" x14ac:dyDescent="0.2">
      <c r="A450" s="127">
        <v>9009170100</v>
      </c>
      <c r="B450">
        <v>1</v>
      </c>
      <c r="C450">
        <v>15409.842909120001</v>
      </c>
      <c r="D450">
        <v>24.64</v>
      </c>
    </row>
    <row r="451" spans="1:4" x14ac:dyDescent="0.2">
      <c r="A451" s="127">
        <v>9009170200</v>
      </c>
      <c r="B451">
        <v>1</v>
      </c>
      <c r="C451">
        <v>27634.187327039999</v>
      </c>
      <c r="D451">
        <v>10720.27</v>
      </c>
    </row>
    <row r="452" spans="1:4" x14ac:dyDescent="0.2">
      <c r="A452" s="127">
        <v>9009170300</v>
      </c>
      <c r="B452">
        <v>1</v>
      </c>
      <c r="C452">
        <v>26998.412106239997</v>
      </c>
      <c r="D452">
        <v>10029.17</v>
      </c>
    </row>
    <row r="453" spans="1:4" x14ac:dyDescent="0.2">
      <c r="A453" s="127">
        <v>9009170400</v>
      </c>
      <c r="B453">
        <v>1</v>
      </c>
      <c r="C453">
        <v>25467.548316479999</v>
      </c>
      <c r="D453">
        <v>90980.7</v>
      </c>
    </row>
    <row r="454" spans="1:4" x14ac:dyDescent="0.2">
      <c r="A454" s="127">
        <v>9009170500</v>
      </c>
      <c r="B454">
        <v>1</v>
      </c>
      <c r="C454">
        <v>96969.884918399999</v>
      </c>
      <c r="D454">
        <v>50845.675799999997</v>
      </c>
    </row>
    <row r="455" spans="1:4" x14ac:dyDescent="0.2">
      <c r="A455" s="127">
        <v>9009170600</v>
      </c>
      <c r="B455">
        <v>1</v>
      </c>
      <c r="C455">
        <v>38795.349159359997</v>
      </c>
      <c r="D455">
        <v>5765.8999000000003</v>
      </c>
    </row>
    <row r="456" spans="1:4" x14ac:dyDescent="0.2">
      <c r="A456" s="127">
        <v>9009170700</v>
      </c>
      <c r="B456">
        <v>1</v>
      </c>
      <c r="C456">
        <v>41239.000774079999</v>
      </c>
      <c r="D456">
        <v>16580.21</v>
      </c>
    </row>
    <row r="457" spans="1:4" x14ac:dyDescent="0.2">
      <c r="A457" s="127">
        <v>9009170800</v>
      </c>
      <c r="B457">
        <v>1</v>
      </c>
      <c r="C457">
        <v>78850.006606080002</v>
      </c>
      <c r="D457">
        <v>25700.38</v>
      </c>
    </row>
    <row r="458" spans="1:4" x14ac:dyDescent="0.2">
      <c r="A458" s="127">
        <v>9009170900</v>
      </c>
      <c r="B458">
        <v>1</v>
      </c>
      <c r="C458">
        <v>25729.242598079996</v>
      </c>
      <c r="D458">
        <v>4202.71</v>
      </c>
    </row>
    <row r="459" spans="1:4" x14ac:dyDescent="0.2">
      <c r="A459" s="127">
        <v>9009171000</v>
      </c>
      <c r="B459">
        <v>1</v>
      </c>
      <c r="C459">
        <v>21095.331353280002</v>
      </c>
      <c r="D459">
        <v>11921.13</v>
      </c>
    </row>
    <row r="460" spans="1:4" x14ac:dyDescent="0.2">
      <c r="A460" s="127">
        <v>9009171100</v>
      </c>
      <c r="B460">
        <v>1</v>
      </c>
      <c r="C460">
        <v>86641.140948479995</v>
      </c>
      <c r="D460">
        <v>71986.295199999993</v>
      </c>
    </row>
    <row r="461" spans="1:4" x14ac:dyDescent="0.2">
      <c r="A461" s="127">
        <v>9009171200</v>
      </c>
      <c r="B461">
        <v>1</v>
      </c>
      <c r="C461">
        <v>506628.12262752</v>
      </c>
      <c r="D461">
        <v>578343.46900000004</v>
      </c>
    </row>
    <row r="462" spans="1:4" x14ac:dyDescent="0.2">
      <c r="A462" s="127">
        <v>9009171300</v>
      </c>
      <c r="B462">
        <v>1</v>
      </c>
      <c r="C462">
        <v>72013.899225600006</v>
      </c>
      <c r="D462">
        <v>39596.46</v>
      </c>
    </row>
    <row r="463" spans="1:4" x14ac:dyDescent="0.2">
      <c r="A463" s="127">
        <v>9009171400</v>
      </c>
      <c r="B463">
        <v>1</v>
      </c>
      <c r="C463">
        <v>25513.065071999998</v>
      </c>
      <c r="D463">
        <v>677.99</v>
      </c>
    </row>
    <row r="464" spans="1:4" x14ac:dyDescent="0.2">
      <c r="A464" s="127">
        <v>9009171500</v>
      </c>
      <c r="B464">
        <v>1</v>
      </c>
      <c r="C464">
        <v>39338.779705920009</v>
      </c>
      <c r="D464">
        <v>134145.59239999999</v>
      </c>
    </row>
    <row r="465" spans="1:4" x14ac:dyDescent="0.2">
      <c r="A465" s="127">
        <v>9009171600</v>
      </c>
      <c r="B465">
        <v>2</v>
      </c>
      <c r="C465">
        <v>74890.840783679989</v>
      </c>
      <c r="D465">
        <v>22695.94</v>
      </c>
    </row>
    <row r="466" spans="1:4" x14ac:dyDescent="0.2">
      <c r="A466" s="127">
        <v>9009171700</v>
      </c>
      <c r="B466">
        <v>1</v>
      </c>
      <c r="C466">
        <v>71849.104246079994</v>
      </c>
      <c r="D466">
        <v>40708.639999999999</v>
      </c>
    </row>
    <row r="467" spans="1:4" x14ac:dyDescent="0.2">
      <c r="A467" s="127">
        <v>9009175400</v>
      </c>
      <c r="B467">
        <v>1</v>
      </c>
      <c r="C467">
        <v>95.069462399999992</v>
      </c>
      <c r="D467">
        <v>0</v>
      </c>
    </row>
    <row r="468" spans="1:4" x14ac:dyDescent="0.2">
      <c r="A468" s="127">
        <v>9009175700</v>
      </c>
      <c r="B468">
        <v>1</v>
      </c>
      <c r="C468">
        <v>292.10284799999999</v>
      </c>
      <c r="D468">
        <v>264.70999999999998</v>
      </c>
    </row>
    <row r="469" spans="1:4" x14ac:dyDescent="0.2">
      <c r="A469" s="127">
        <v>9009184100</v>
      </c>
      <c r="B469">
        <v>1</v>
      </c>
      <c r="C469">
        <v>98810.04429215999</v>
      </c>
      <c r="D469">
        <v>14180.251700000001</v>
      </c>
    </row>
    <row r="470" spans="1:4" x14ac:dyDescent="0.2">
      <c r="A470" s="127">
        <v>9009184200</v>
      </c>
      <c r="B470">
        <v>1</v>
      </c>
      <c r="C470">
        <v>64502.505169920005</v>
      </c>
      <c r="D470">
        <v>10900.4157</v>
      </c>
    </row>
    <row r="471" spans="1:4" x14ac:dyDescent="0.2">
      <c r="A471" s="127">
        <v>9009184300</v>
      </c>
      <c r="B471">
        <v>1</v>
      </c>
      <c r="C471">
        <v>83683.552723200002</v>
      </c>
      <c r="D471">
        <v>11085.186100000001</v>
      </c>
    </row>
    <row r="472" spans="1:4" x14ac:dyDescent="0.2">
      <c r="A472" s="127">
        <v>9009184400</v>
      </c>
      <c r="B472">
        <v>1</v>
      </c>
      <c r="C472">
        <v>71578.025161919999</v>
      </c>
      <c r="D472">
        <v>22676.038700000001</v>
      </c>
    </row>
    <row r="473" spans="1:4" x14ac:dyDescent="0.2">
      <c r="A473" s="127">
        <v>9009184500</v>
      </c>
      <c r="B473">
        <v>1</v>
      </c>
      <c r="C473">
        <v>51159.279490560002</v>
      </c>
      <c r="D473">
        <v>16216.5388</v>
      </c>
    </row>
    <row r="474" spans="1:4" x14ac:dyDescent="0.2">
      <c r="A474" s="127">
        <v>9009184600</v>
      </c>
      <c r="B474">
        <v>1</v>
      </c>
      <c r="C474">
        <v>71746.751315519999</v>
      </c>
      <c r="D474">
        <v>19083.82</v>
      </c>
    </row>
    <row r="475" spans="1:4" x14ac:dyDescent="0.2">
      <c r="A475" s="127">
        <v>9009184700</v>
      </c>
      <c r="B475">
        <v>1</v>
      </c>
      <c r="C475">
        <v>386662.77964512003</v>
      </c>
      <c r="D475">
        <v>306803.8248</v>
      </c>
    </row>
    <row r="476" spans="1:4" x14ac:dyDescent="0.2">
      <c r="A476" s="127">
        <v>9009190100</v>
      </c>
      <c r="B476">
        <v>1</v>
      </c>
      <c r="C476">
        <v>74457.283976639999</v>
      </c>
      <c r="D476">
        <v>30283.0586</v>
      </c>
    </row>
    <row r="477" spans="1:4" x14ac:dyDescent="0.2">
      <c r="A477" s="127">
        <v>9009190200</v>
      </c>
      <c r="B477">
        <v>1</v>
      </c>
      <c r="C477">
        <v>99217.489559040012</v>
      </c>
      <c r="D477">
        <v>24604.87</v>
      </c>
    </row>
    <row r="478" spans="1:4" x14ac:dyDescent="0.2">
      <c r="A478" s="127">
        <v>9009190301</v>
      </c>
      <c r="B478">
        <v>2</v>
      </c>
      <c r="C478">
        <v>305580.39873119997</v>
      </c>
      <c r="D478">
        <v>205741.3161</v>
      </c>
    </row>
    <row r="479" spans="1:4" x14ac:dyDescent="0.2">
      <c r="A479" s="127">
        <v>9009190302</v>
      </c>
      <c r="B479">
        <v>1</v>
      </c>
      <c r="C479">
        <v>114957.60608448001</v>
      </c>
      <c r="D479">
        <v>20711.39</v>
      </c>
    </row>
    <row r="480" spans="1:4" x14ac:dyDescent="0.2">
      <c r="A480" s="127">
        <v>9009190303</v>
      </c>
      <c r="B480">
        <v>2</v>
      </c>
      <c r="C480">
        <v>79441.81646976</v>
      </c>
      <c r="D480">
        <v>18373.099999999999</v>
      </c>
    </row>
    <row r="481" spans="1:4" x14ac:dyDescent="0.2">
      <c r="A481" s="127">
        <v>9009194100</v>
      </c>
      <c r="B481">
        <v>1</v>
      </c>
      <c r="C481">
        <v>147742.19007552002</v>
      </c>
      <c r="D481">
        <v>34658.589500000002</v>
      </c>
    </row>
    <row r="482" spans="1:4" x14ac:dyDescent="0.2">
      <c r="A482" s="127">
        <v>9009194201</v>
      </c>
      <c r="B482">
        <v>2</v>
      </c>
      <c r="C482">
        <v>292841.64996768004</v>
      </c>
      <c r="D482">
        <v>188699.47329999998</v>
      </c>
    </row>
    <row r="483" spans="1:4" x14ac:dyDescent="0.2">
      <c r="A483" s="127">
        <v>9009194202</v>
      </c>
      <c r="B483">
        <v>1</v>
      </c>
      <c r="C483">
        <v>130404.20613695998</v>
      </c>
      <c r="D483">
        <v>29098.8796</v>
      </c>
    </row>
    <row r="484" spans="1:4" x14ac:dyDescent="0.2">
      <c r="A484" s="127">
        <v>9009341100</v>
      </c>
      <c r="B484">
        <v>1</v>
      </c>
      <c r="C484">
        <v>139240.40006879999</v>
      </c>
      <c r="D484">
        <v>125450.95</v>
      </c>
    </row>
    <row r="485" spans="1:4" x14ac:dyDescent="0.2">
      <c r="A485" s="127">
        <v>9009343101</v>
      </c>
      <c r="B485">
        <v>3</v>
      </c>
      <c r="C485">
        <v>83717.416045440026</v>
      </c>
      <c r="D485">
        <v>42478.22</v>
      </c>
    </row>
    <row r="486" spans="1:4" x14ac:dyDescent="0.2">
      <c r="A486" s="127">
        <v>9009343102</v>
      </c>
      <c r="B486">
        <v>1</v>
      </c>
      <c r="C486">
        <v>82879.846151039994</v>
      </c>
      <c r="D486">
        <v>29712.117900000001</v>
      </c>
    </row>
    <row r="487" spans="1:4" x14ac:dyDescent="0.2">
      <c r="A487" s="127">
        <v>9009343200</v>
      </c>
      <c r="B487">
        <v>1</v>
      </c>
      <c r="C487">
        <v>124500.06834911999</v>
      </c>
      <c r="D487">
        <v>63604.970600000001</v>
      </c>
    </row>
    <row r="488" spans="1:4" x14ac:dyDescent="0.2">
      <c r="A488" s="127">
        <v>9009343300</v>
      </c>
      <c r="B488">
        <v>1</v>
      </c>
      <c r="C488">
        <v>135596.24742815999</v>
      </c>
      <c r="D488">
        <v>35106.553699999997</v>
      </c>
    </row>
    <row r="489" spans="1:4" x14ac:dyDescent="0.2">
      <c r="A489" s="127">
        <v>9009343400</v>
      </c>
      <c r="B489">
        <v>1</v>
      </c>
      <c r="C489">
        <v>319177.76662368001</v>
      </c>
      <c r="D489">
        <v>233729.35649999999</v>
      </c>
    </row>
    <row r="490" spans="1:4" x14ac:dyDescent="0.2">
      <c r="A490" s="127">
        <v>9009344100</v>
      </c>
      <c r="B490">
        <v>2</v>
      </c>
      <c r="C490">
        <v>166772.47238496001</v>
      </c>
      <c r="D490">
        <v>51741.262999999999</v>
      </c>
    </row>
    <row r="491" spans="1:4" x14ac:dyDescent="0.2">
      <c r="A491" s="127">
        <v>9009344200</v>
      </c>
      <c r="B491">
        <v>2</v>
      </c>
      <c r="C491">
        <v>67061.241023040013</v>
      </c>
      <c r="D491">
        <v>18638.996200000001</v>
      </c>
    </row>
    <row r="492" spans="1:4" x14ac:dyDescent="0.2">
      <c r="A492" s="127">
        <v>9009345100</v>
      </c>
      <c r="B492">
        <v>2</v>
      </c>
      <c r="C492">
        <v>117094.27531968</v>
      </c>
      <c r="D492">
        <v>53381.299099999997</v>
      </c>
    </row>
    <row r="493" spans="1:4" x14ac:dyDescent="0.2">
      <c r="A493" s="127">
        <v>9009345201</v>
      </c>
      <c r="B493">
        <v>1</v>
      </c>
      <c r="C493">
        <v>120469.52720159998</v>
      </c>
      <c r="D493">
        <v>55301.3724</v>
      </c>
    </row>
    <row r="494" spans="1:4" x14ac:dyDescent="0.2">
      <c r="A494" s="127">
        <v>9009345202</v>
      </c>
      <c r="B494">
        <v>1</v>
      </c>
      <c r="C494">
        <v>76552.852731840016</v>
      </c>
      <c r="D494">
        <v>51535.862300000001</v>
      </c>
    </row>
    <row r="495" spans="1:4" x14ac:dyDescent="0.2">
      <c r="A495" s="127">
        <v>9009345300</v>
      </c>
      <c r="B495">
        <v>2</v>
      </c>
      <c r="C495">
        <v>93895.705051199999</v>
      </c>
      <c r="D495">
        <v>25594.8802</v>
      </c>
    </row>
    <row r="496" spans="1:4" x14ac:dyDescent="0.2">
      <c r="A496" s="127">
        <v>9009345400</v>
      </c>
      <c r="B496">
        <v>2</v>
      </c>
      <c r="C496">
        <v>283816.30468032003</v>
      </c>
      <c r="D496">
        <v>1161160.6663000002</v>
      </c>
    </row>
    <row r="497" spans="1:4" x14ac:dyDescent="0.2">
      <c r="A497" s="127">
        <v>9009346101</v>
      </c>
      <c r="B497">
        <v>1</v>
      </c>
      <c r="C497">
        <v>219250.79363231998</v>
      </c>
      <c r="D497">
        <v>135049.008</v>
      </c>
    </row>
    <row r="498" spans="1:4" x14ac:dyDescent="0.2">
      <c r="A498" s="127">
        <v>9009346102</v>
      </c>
      <c r="B498">
        <v>3</v>
      </c>
      <c r="C498">
        <v>132310.82151360001</v>
      </c>
      <c r="D498">
        <v>36296.912199999999</v>
      </c>
    </row>
    <row r="499" spans="1:4" x14ac:dyDescent="0.2">
      <c r="A499" s="127">
        <v>9009347100</v>
      </c>
      <c r="B499">
        <v>3</v>
      </c>
      <c r="C499">
        <v>166953.82680575998</v>
      </c>
      <c r="D499">
        <v>114759.0438</v>
      </c>
    </row>
    <row r="500" spans="1:4" x14ac:dyDescent="0.2">
      <c r="A500" s="127">
        <v>9009347200</v>
      </c>
      <c r="B500">
        <v>2</v>
      </c>
      <c r="C500">
        <v>70613.553193920001</v>
      </c>
      <c r="D500">
        <v>19924.240000000002</v>
      </c>
    </row>
    <row r="501" spans="1:4" x14ac:dyDescent="0.2">
      <c r="A501" s="127">
        <v>9009348111</v>
      </c>
      <c r="B501">
        <v>1</v>
      </c>
      <c r="C501">
        <v>50319.654572159998</v>
      </c>
      <c r="D501">
        <v>14313.4704</v>
      </c>
    </row>
    <row r="502" spans="1:4" x14ac:dyDescent="0.2">
      <c r="A502" s="127">
        <v>9009348122</v>
      </c>
      <c r="B502">
        <v>1</v>
      </c>
      <c r="C502">
        <v>93121.412529599998</v>
      </c>
      <c r="D502">
        <v>28005.930799999998</v>
      </c>
    </row>
    <row r="503" spans="1:4" x14ac:dyDescent="0.2">
      <c r="A503" s="127">
        <v>9009348123</v>
      </c>
      <c r="B503">
        <v>1</v>
      </c>
      <c r="C503">
        <v>126459.8903232</v>
      </c>
      <c r="D503">
        <v>17211.9856</v>
      </c>
    </row>
    <row r="504" spans="1:4" x14ac:dyDescent="0.2">
      <c r="A504" s="127">
        <v>9009348124</v>
      </c>
      <c r="B504">
        <v>1</v>
      </c>
      <c r="C504">
        <v>139376.27825568002</v>
      </c>
      <c r="D504">
        <v>20548.512500000001</v>
      </c>
    </row>
    <row r="505" spans="1:4" x14ac:dyDescent="0.2">
      <c r="A505" s="127">
        <v>9009348125</v>
      </c>
      <c r="B505">
        <v>1</v>
      </c>
      <c r="C505">
        <v>292580.02630944003</v>
      </c>
      <c r="D505">
        <v>232556.77870000002</v>
      </c>
    </row>
    <row r="506" spans="1:4" x14ac:dyDescent="0.2">
      <c r="A506" s="127">
        <v>9009350100</v>
      </c>
      <c r="B506">
        <v>1</v>
      </c>
      <c r="C506">
        <v>38315.271240000002</v>
      </c>
      <c r="D506">
        <v>12377.77</v>
      </c>
    </row>
    <row r="507" spans="1:4" x14ac:dyDescent="0.2">
      <c r="A507" s="127">
        <v>9009350200</v>
      </c>
      <c r="B507">
        <v>1</v>
      </c>
      <c r="C507">
        <v>44886.648113279996</v>
      </c>
      <c r="D507">
        <v>14823.31</v>
      </c>
    </row>
    <row r="508" spans="1:4" x14ac:dyDescent="0.2">
      <c r="A508" s="127">
        <v>9009350300</v>
      </c>
      <c r="B508">
        <v>1</v>
      </c>
      <c r="C508">
        <v>26865.736862400001</v>
      </c>
      <c r="D508">
        <v>7264.46</v>
      </c>
    </row>
    <row r="509" spans="1:4" x14ac:dyDescent="0.2">
      <c r="A509" s="127">
        <v>9009350400</v>
      </c>
      <c r="B509">
        <v>1</v>
      </c>
      <c r="C509">
        <v>37398.924460800001</v>
      </c>
      <c r="D509">
        <v>1172.21</v>
      </c>
    </row>
    <row r="510" spans="1:4" x14ac:dyDescent="0.2">
      <c r="A510" s="127">
        <v>9009350500</v>
      </c>
      <c r="B510">
        <v>1</v>
      </c>
      <c r="C510">
        <v>30786.989518080001</v>
      </c>
      <c r="D510">
        <v>5469.22</v>
      </c>
    </row>
    <row r="511" spans="1:4" x14ac:dyDescent="0.2">
      <c r="A511" s="127">
        <v>9009350800</v>
      </c>
      <c r="B511">
        <v>1</v>
      </c>
      <c r="C511">
        <v>75308.789249280017</v>
      </c>
      <c r="D511">
        <v>26025.75</v>
      </c>
    </row>
    <row r="512" spans="1:4" x14ac:dyDescent="0.2">
      <c r="A512" s="127">
        <v>9009350900</v>
      </c>
      <c r="B512">
        <v>1</v>
      </c>
      <c r="C512">
        <v>30064.937443199997</v>
      </c>
      <c r="D512">
        <v>35858.410000000003</v>
      </c>
    </row>
    <row r="513" spans="1:4" x14ac:dyDescent="0.2">
      <c r="A513" s="127">
        <v>9009351000</v>
      </c>
      <c r="B513">
        <v>1</v>
      </c>
      <c r="C513">
        <v>60298.793807040005</v>
      </c>
      <c r="D513">
        <v>118554.3701</v>
      </c>
    </row>
    <row r="514" spans="1:4" x14ac:dyDescent="0.2">
      <c r="A514" s="127">
        <v>9009351100</v>
      </c>
      <c r="B514">
        <v>1</v>
      </c>
      <c r="C514">
        <v>82675.970403840009</v>
      </c>
      <c r="D514">
        <v>57259.17</v>
      </c>
    </row>
    <row r="515" spans="1:4" x14ac:dyDescent="0.2">
      <c r="A515" s="127">
        <v>9009351200</v>
      </c>
      <c r="B515">
        <v>1</v>
      </c>
      <c r="C515">
        <v>54356.397840000005</v>
      </c>
      <c r="D515">
        <v>7114.2227999999996</v>
      </c>
    </row>
    <row r="516" spans="1:4" x14ac:dyDescent="0.2">
      <c r="A516" s="127">
        <v>9009351300</v>
      </c>
      <c r="B516">
        <v>1</v>
      </c>
      <c r="C516">
        <v>73467.303661440004</v>
      </c>
      <c r="D516">
        <v>32921.589999999997</v>
      </c>
    </row>
    <row r="517" spans="1:4" x14ac:dyDescent="0.2">
      <c r="A517" s="127">
        <v>9009351400</v>
      </c>
      <c r="B517">
        <v>1</v>
      </c>
      <c r="C517">
        <v>53848.322968320004</v>
      </c>
      <c r="D517">
        <v>3381.01</v>
      </c>
    </row>
    <row r="518" spans="1:4" x14ac:dyDescent="0.2">
      <c r="A518" s="127">
        <v>9009351500</v>
      </c>
      <c r="B518">
        <v>1</v>
      </c>
      <c r="C518">
        <v>73375.150596480002</v>
      </c>
      <c r="D518">
        <v>79377.770300000004</v>
      </c>
    </row>
    <row r="519" spans="1:4" x14ac:dyDescent="0.2">
      <c r="A519" s="127">
        <v>9009351601</v>
      </c>
      <c r="B519">
        <v>1</v>
      </c>
      <c r="C519">
        <v>54795.537365759999</v>
      </c>
      <c r="D519">
        <v>22097.49</v>
      </c>
    </row>
    <row r="520" spans="1:4" x14ac:dyDescent="0.2">
      <c r="A520" s="127">
        <v>9009351602</v>
      </c>
      <c r="B520">
        <v>1</v>
      </c>
      <c r="C520">
        <v>928086.51075263997</v>
      </c>
      <c r="D520">
        <v>1583684.9359000002</v>
      </c>
    </row>
    <row r="521" spans="1:4" x14ac:dyDescent="0.2">
      <c r="A521" s="127">
        <v>9009351700</v>
      </c>
      <c r="B521">
        <v>1</v>
      </c>
      <c r="C521">
        <v>40955.166647999999</v>
      </c>
      <c r="D521">
        <v>9409.7900000000009</v>
      </c>
    </row>
    <row r="522" spans="1:4" x14ac:dyDescent="0.2">
      <c r="A522" s="127">
        <v>9009351800</v>
      </c>
      <c r="B522">
        <v>1</v>
      </c>
      <c r="C522">
        <v>78965.426015999998</v>
      </c>
      <c r="D522">
        <v>32630.14</v>
      </c>
    </row>
    <row r="523" spans="1:4" x14ac:dyDescent="0.2">
      <c r="A523" s="127">
        <v>9009351900</v>
      </c>
      <c r="B523">
        <v>2</v>
      </c>
      <c r="C523">
        <v>46716.587939519995</v>
      </c>
      <c r="D523">
        <v>33038.6175</v>
      </c>
    </row>
    <row r="524" spans="1:4" x14ac:dyDescent="0.2">
      <c r="A524" s="127">
        <v>9009352000</v>
      </c>
      <c r="B524">
        <v>1</v>
      </c>
      <c r="C524">
        <v>86934.247574400011</v>
      </c>
      <c r="D524">
        <v>43374.961799999997</v>
      </c>
    </row>
    <row r="525" spans="1:4" x14ac:dyDescent="0.2">
      <c r="A525" s="127">
        <v>9009352100</v>
      </c>
      <c r="B525">
        <v>2</v>
      </c>
      <c r="C525">
        <v>66408.297379199998</v>
      </c>
      <c r="D525">
        <v>16926.25</v>
      </c>
    </row>
    <row r="526" spans="1:4" x14ac:dyDescent="0.2">
      <c r="A526" s="127">
        <v>9009352200</v>
      </c>
      <c r="B526">
        <v>1</v>
      </c>
      <c r="C526">
        <v>30857.74312608</v>
      </c>
      <c r="D526">
        <v>3404.86</v>
      </c>
    </row>
    <row r="527" spans="1:4" x14ac:dyDescent="0.2">
      <c r="A527" s="127">
        <v>9009352300</v>
      </c>
      <c r="B527">
        <v>1</v>
      </c>
      <c r="C527">
        <v>41957.293023359998</v>
      </c>
      <c r="D527">
        <v>70837.55</v>
      </c>
    </row>
    <row r="528" spans="1:4" x14ac:dyDescent="0.2">
      <c r="A528" s="127">
        <v>9009352400</v>
      </c>
      <c r="B528">
        <v>1</v>
      </c>
      <c r="C528">
        <v>67570.252522559997</v>
      </c>
      <c r="D528">
        <v>18995.95</v>
      </c>
    </row>
    <row r="529" spans="1:4" x14ac:dyDescent="0.2">
      <c r="A529" s="127">
        <v>9009352500</v>
      </c>
      <c r="B529">
        <v>1</v>
      </c>
      <c r="C529">
        <v>68249.952578880009</v>
      </c>
      <c r="D529">
        <v>82131.960000000006</v>
      </c>
    </row>
    <row r="530" spans="1:4" x14ac:dyDescent="0.2">
      <c r="A530" s="127">
        <v>9009352600</v>
      </c>
      <c r="B530">
        <v>2</v>
      </c>
      <c r="C530">
        <v>103238.61869664001</v>
      </c>
      <c r="D530">
        <v>126038.12</v>
      </c>
    </row>
    <row r="531" spans="1:4" x14ac:dyDescent="0.2">
      <c r="A531" s="127">
        <v>9009352701</v>
      </c>
      <c r="B531">
        <v>2</v>
      </c>
      <c r="C531">
        <v>41876.326814400003</v>
      </c>
      <c r="D531">
        <v>5658.59</v>
      </c>
    </row>
    <row r="532" spans="1:4" x14ac:dyDescent="0.2">
      <c r="A532" s="127">
        <v>9009352702</v>
      </c>
      <c r="B532">
        <v>1</v>
      </c>
      <c r="C532">
        <v>111415.61708064002</v>
      </c>
      <c r="D532">
        <v>168967.71100000001</v>
      </c>
    </row>
    <row r="533" spans="1:4" x14ac:dyDescent="0.2">
      <c r="A533" s="127">
        <v>9009352800</v>
      </c>
      <c r="B533">
        <v>3</v>
      </c>
      <c r="C533">
        <v>100100.21672447999</v>
      </c>
      <c r="D533">
        <v>58143.451700000005</v>
      </c>
    </row>
    <row r="534" spans="1:4" x14ac:dyDescent="0.2">
      <c r="A534" s="127">
        <v>9009361100</v>
      </c>
      <c r="B534">
        <v>2</v>
      </c>
      <c r="C534">
        <v>220322.53090655999</v>
      </c>
      <c r="D534">
        <v>257118.53869999998</v>
      </c>
    </row>
    <row r="535" spans="1:4" x14ac:dyDescent="0.2">
      <c r="A535" s="127">
        <v>9009361200</v>
      </c>
      <c r="B535">
        <v>1</v>
      </c>
      <c r="C535">
        <v>114930.85025088002</v>
      </c>
      <c r="D535">
        <v>58843.71</v>
      </c>
    </row>
    <row r="536" spans="1:4" x14ac:dyDescent="0.2">
      <c r="A536" s="127">
        <v>9009361300</v>
      </c>
      <c r="B536">
        <v>1</v>
      </c>
      <c r="C536">
        <v>84377.259360000011</v>
      </c>
      <c r="D536">
        <v>68011.649999999994</v>
      </c>
    </row>
    <row r="537" spans="1:4" x14ac:dyDescent="0.2">
      <c r="A537" s="127">
        <v>9011650100</v>
      </c>
      <c r="B537">
        <v>2</v>
      </c>
      <c r="C537">
        <v>88774.048621440015</v>
      </c>
      <c r="D537">
        <v>41069.801000000007</v>
      </c>
    </row>
    <row r="538" spans="1:4" x14ac:dyDescent="0.2">
      <c r="A538" s="127">
        <v>9011660101</v>
      </c>
      <c r="B538">
        <v>1</v>
      </c>
      <c r="C538">
        <v>111903.93362015999</v>
      </c>
      <c r="D538">
        <v>24522.071</v>
      </c>
    </row>
    <row r="539" spans="1:4" x14ac:dyDescent="0.2">
      <c r="A539" s="127">
        <v>9011660102</v>
      </c>
      <c r="B539">
        <v>1</v>
      </c>
      <c r="C539">
        <v>168222.66808896</v>
      </c>
      <c r="D539">
        <v>132131.85570000001</v>
      </c>
    </row>
    <row r="540" spans="1:4" x14ac:dyDescent="0.2">
      <c r="A540" s="127">
        <v>9011690300</v>
      </c>
      <c r="B540">
        <v>2</v>
      </c>
      <c r="C540">
        <v>79471.479438720009</v>
      </c>
      <c r="D540">
        <v>20285.972600000001</v>
      </c>
    </row>
    <row r="541" spans="1:4" x14ac:dyDescent="0.2">
      <c r="A541" s="127">
        <v>9011690400</v>
      </c>
      <c r="B541">
        <v>1</v>
      </c>
      <c r="C541">
        <v>39959.697971520007</v>
      </c>
      <c r="D541">
        <v>4461.97</v>
      </c>
    </row>
    <row r="542" spans="1:4" x14ac:dyDescent="0.2">
      <c r="A542" s="127">
        <v>9011690500</v>
      </c>
      <c r="B542">
        <v>1</v>
      </c>
      <c r="C542">
        <v>41927.549011199997</v>
      </c>
      <c r="D542">
        <v>16842.5</v>
      </c>
    </row>
    <row r="543" spans="1:4" x14ac:dyDescent="0.2">
      <c r="A543" s="127">
        <v>9011690700</v>
      </c>
      <c r="B543">
        <v>1</v>
      </c>
      <c r="C543">
        <v>14865.608877119999</v>
      </c>
      <c r="D543">
        <v>4541.3999999999996</v>
      </c>
    </row>
    <row r="544" spans="1:4" x14ac:dyDescent="0.2">
      <c r="A544" s="127">
        <v>9011690800</v>
      </c>
      <c r="B544">
        <v>1</v>
      </c>
      <c r="C544">
        <v>43011.512809920001</v>
      </c>
      <c r="D544">
        <v>11641.346100000001</v>
      </c>
    </row>
    <row r="545" spans="1:4" x14ac:dyDescent="0.2">
      <c r="A545" s="127">
        <v>9011690900</v>
      </c>
      <c r="B545">
        <v>1</v>
      </c>
      <c r="C545">
        <v>314079.29086463997</v>
      </c>
      <c r="D545">
        <v>226740.76459999999</v>
      </c>
    </row>
    <row r="546" spans="1:4" x14ac:dyDescent="0.2">
      <c r="A546" s="127">
        <v>9011693300</v>
      </c>
      <c r="B546">
        <v>1</v>
      </c>
      <c r="C546">
        <v>298229.70639455999</v>
      </c>
      <c r="D546">
        <v>526570.05579999997</v>
      </c>
    </row>
    <row r="547" spans="1:4" x14ac:dyDescent="0.2">
      <c r="A547" s="127">
        <v>9011693400</v>
      </c>
      <c r="B547">
        <v>3</v>
      </c>
      <c r="C547">
        <v>81944.137572480002</v>
      </c>
      <c r="D547">
        <v>20885.86</v>
      </c>
    </row>
    <row r="548" spans="1:4" x14ac:dyDescent="0.2">
      <c r="A548" s="127">
        <v>9011693500</v>
      </c>
      <c r="B548">
        <v>1</v>
      </c>
      <c r="C548">
        <v>82657.042764479993</v>
      </c>
      <c r="D548">
        <v>39929.422500000001</v>
      </c>
    </row>
    <row r="549" spans="1:4" x14ac:dyDescent="0.2">
      <c r="A549" s="127">
        <v>9011693600</v>
      </c>
      <c r="B549">
        <v>3</v>
      </c>
      <c r="C549">
        <v>53684.259693120002</v>
      </c>
      <c r="D549">
        <v>18171.203200000004</v>
      </c>
    </row>
    <row r="550" spans="1:4" x14ac:dyDescent="0.2">
      <c r="A550" s="127">
        <v>9011693700</v>
      </c>
      <c r="B550">
        <v>1</v>
      </c>
      <c r="C550">
        <v>68545.761995520006</v>
      </c>
      <c r="D550">
        <v>23494.13</v>
      </c>
    </row>
    <row r="551" spans="1:4" x14ac:dyDescent="0.2">
      <c r="A551" s="127">
        <v>9011695201</v>
      </c>
      <c r="B551">
        <v>2</v>
      </c>
      <c r="C551">
        <v>192593.48714496</v>
      </c>
      <c r="D551">
        <v>190334.15599999999</v>
      </c>
    </row>
    <row r="552" spans="1:4" x14ac:dyDescent="0.2">
      <c r="A552" s="127">
        <v>9011695202</v>
      </c>
      <c r="B552">
        <v>2</v>
      </c>
      <c r="C552">
        <v>99747.533505599989</v>
      </c>
      <c r="D552">
        <v>14638.392099999999</v>
      </c>
    </row>
    <row r="553" spans="1:4" x14ac:dyDescent="0.2">
      <c r="A553" s="127">
        <v>9011697000</v>
      </c>
      <c r="B553">
        <v>1</v>
      </c>
      <c r="C553">
        <v>68.452560000000005</v>
      </c>
      <c r="D553">
        <v>0</v>
      </c>
    </row>
    <row r="554" spans="1:4" x14ac:dyDescent="0.2">
      <c r="A554" s="127">
        <v>9011700100</v>
      </c>
      <c r="B554">
        <v>1</v>
      </c>
      <c r="C554">
        <v>130427.25598079999</v>
      </c>
      <c r="D554">
        <v>75747.447100000005</v>
      </c>
    </row>
    <row r="555" spans="1:4" x14ac:dyDescent="0.2">
      <c r="A555" s="127">
        <v>9011701100</v>
      </c>
      <c r="B555">
        <v>1</v>
      </c>
      <c r="C555">
        <v>233295.33706271998</v>
      </c>
      <c r="D555">
        <v>103588.01820000009</v>
      </c>
    </row>
    <row r="556" spans="1:4" x14ac:dyDescent="0.2">
      <c r="A556" s="127">
        <v>9011701200</v>
      </c>
      <c r="B556">
        <v>1</v>
      </c>
      <c r="C556">
        <v>138641.1926976</v>
      </c>
      <c r="D556">
        <v>35876.579899999997</v>
      </c>
    </row>
    <row r="557" spans="1:4" x14ac:dyDescent="0.2">
      <c r="A557" s="127">
        <v>9011702100</v>
      </c>
      <c r="B557">
        <v>2</v>
      </c>
      <c r="C557">
        <v>70836.377420159988</v>
      </c>
      <c r="D557">
        <v>20803.311399999999</v>
      </c>
    </row>
    <row r="558" spans="1:4" x14ac:dyDescent="0.2">
      <c r="A558" s="127">
        <v>9011702400</v>
      </c>
      <c r="B558">
        <v>1</v>
      </c>
      <c r="C558">
        <v>159.43512960000001</v>
      </c>
      <c r="D558">
        <v>0</v>
      </c>
    </row>
    <row r="559" spans="1:4" x14ac:dyDescent="0.2">
      <c r="A559" s="127">
        <v>9011702600</v>
      </c>
      <c r="B559">
        <v>1</v>
      </c>
      <c r="C559">
        <v>30.819571199999999</v>
      </c>
      <c r="D559">
        <v>0</v>
      </c>
    </row>
    <row r="560" spans="1:4" x14ac:dyDescent="0.2">
      <c r="A560" s="127">
        <v>9011702700</v>
      </c>
      <c r="B560">
        <v>1</v>
      </c>
      <c r="C560">
        <v>2747.5092</v>
      </c>
      <c r="D560">
        <v>59.2</v>
      </c>
    </row>
    <row r="561" spans="1:4" x14ac:dyDescent="0.2">
      <c r="A561" s="127">
        <v>9011702800</v>
      </c>
      <c r="B561">
        <v>2</v>
      </c>
      <c r="C561">
        <v>28040.3220096</v>
      </c>
      <c r="D561">
        <v>8554.2574000000004</v>
      </c>
    </row>
    <row r="562" spans="1:4" x14ac:dyDescent="0.2">
      <c r="A562" s="127">
        <v>9011702900</v>
      </c>
      <c r="B562">
        <v>2</v>
      </c>
      <c r="C562">
        <v>52961.82613632</v>
      </c>
      <c r="D562">
        <v>58206.132299999997</v>
      </c>
    </row>
    <row r="563" spans="1:4" x14ac:dyDescent="0.2">
      <c r="A563" s="127">
        <v>9011703000</v>
      </c>
      <c r="B563">
        <v>2</v>
      </c>
      <c r="C563">
        <v>88433.054726400005</v>
      </c>
      <c r="D563">
        <v>26386.0635</v>
      </c>
    </row>
    <row r="564" spans="1:4" x14ac:dyDescent="0.2">
      <c r="A564" s="127">
        <v>9011705101</v>
      </c>
      <c r="B564">
        <v>1</v>
      </c>
      <c r="C564">
        <v>81245.80684224001</v>
      </c>
      <c r="D564">
        <v>51276.364600000001</v>
      </c>
    </row>
    <row r="565" spans="1:4" x14ac:dyDescent="0.2">
      <c r="A565" s="127">
        <v>9011705102</v>
      </c>
      <c r="B565">
        <v>1</v>
      </c>
      <c r="C565">
        <v>70169.614752960013</v>
      </c>
      <c r="D565">
        <v>12001.766100000001</v>
      </c>
    </row>
    <row r="566" spans="1:4" x14ac:dyDescent="0.2">
      <c r="A566" s="127">
        <v>9011705200</v>
      </c>
      <c r="B566">
        <v>1</v>
      </c>
      <c r="C566">
        <v>323531.31702239998</v>
      </c>
      <c r="D566">
        <v>271299.88939999999</v>
      </c>
    </row>
    <row r="567" spans="1:4" x14ac:dyDescent="0.2">
      <c r="A567" s="127">
        <v>9011705300</v>
      </c>
      <c r="B567">
        <v>1</v>
      </c>
      <c r="C567">
        <v>81742.746957120005</v>
      </c>
      <c r="D567">
        <v>22836.517100000001</v>
      </c>
    </row>
    <row r="568" spans="1:4" x14ac:dyDescent="0.2">
      <c r="A568" s="127">
        <v>9011705400</v>
      </c>
      <c r="B568">
        <v>1</v>
      </c>
      <c r="C568">
        <v>64517.608149120002</v>
      </c>
      <c r="D568">
        <v>23641.341400000001</v>
      </c>
    </row>
    <row r="569" spans="1:4" x14ac:dyDescent="0.2">
      <c r="A569" s="127">
        <v>9011707100</v>
      </c>
      <c r="B569">
        <v>2</v>
      </c>
      <c r="C569">
        <v>149752.43944416</v>
      </c>
      <c r="D569">
        <v>51278.805999999997</v>
      </c>
    </row>
    <row r="570" spans="1:4" x14ac:dyDescent="0.2">
      <c r="A570" s="127">
        <v>9011708100</v>
      </c>
      <c r="B570">
        <v>2</v>
      </c>
      <c r="C570">
        <v>70984.119173759987</v>
      </c>
      <c r="D570">
        <v>36101.566500000001</v>
      </c>
    </row>
    <row r="571" spans="1:4" x14ac:dyDescent="0.2">
      <c r="A571" s="127">
        <v>9011709100</v>
      </c>
      <c r="B571">
        <v>4</v>
      </c>
      <c r="C571">
        <v>156288.92258880005</v>
      </c>
      <c r="D571">
        <v>76633.350099999996</v>
      </c>
    </row>
    <row r="572" spans="1:4" x14ac:dyDescent="0.2">
      <c r="A572" s="127">
        <v>9011709200</v>
      </c>
      <c r="B572">
        <v>2</v>
      </c>
      <c r="C572">
        <v>26278.703916480001</v>
      </c>
      <c r="D572">
        <v>3627.62</v>
      </c>
    </row>
    <row r="573" spans="1:4" x14ac:dyDescent="0.2">
      <c r="A573" s="127">
        <v>9011710100</v>
      </c>
      <c r="B573">
        <v>2</v>
      </c>
      <c r="C573">
        <v>93605.913671039991</v>
      </c>
      <c r="D573">
        <v>184063.5822</v>
      </c>
    </row>
    <row r="574" spans="1:4" x14ac:dyDescent="0.2">
      <c r="A574" s="127">
        <v>9011711100</v>
      </c>
      <c r="B574">
        <v>1</v>
      </c>
      <c r="C574">
        <v>70585.506457920012</v>
      </c>
      <c r="D574">
        <v>40892.65</v>
      </c>
    </row>
    <row r="575" spans="1:4" x14ac:dyDescent="0.2">
      <c r="A575" s="127">
        <v>9011712100</v>
      </c>
      <c r="B575">
        <v>2</v>
      </c>
      <c r="C575">
        <v>45664.230409919997</v>
      </c>
      <c r="D575">
        <v>14386.054400000001</v>
      </c>
    </row>
    <row r="576" spans="1:4" x14ac:dyDescent="0.2">
      <c r="A576" s="127">
        <v>9011714101</v>
      </c>
      <c r="B576">
        <v>1</v>
      </c>
      <c r="C576">
        <v>62837.596506239999</v>
      </c>
      <c r="D576">
        <v>68354.2</v>
      </c>
    </row>
    <row r="577" spans="1:4" x14ac:dyDescent="0.2">
      <c r="A577" s="127">
        <v>9011714103</v>
      </c>
      <c r="B577">
        <v>1</v>
      </c>
      <c r="C577">
        <v>220309.76660256003</v>
      </c>
      <c r="D577">
        <v>297088.71460000001</v>
      </c>
    </row>
    <row r="578" spans="1:4" x14ac:dyDescent="0.2">
      <c r="A578" s="127">
        <v>9011714104</v>
      </c>
      <c r="B578">
        <v>3</v>
      </c>
      <c r="C578">
        <v>99325.468624319998</v>
      </c>
      <c r="D578">
        <v>30020.496500000001</v>
      </c>
    </row>
    <row r="579" spans="1:4" x14ac:dyDescent="0.2">
      <c r="A579" s="127">
        <v>9011715100</v>
      </c>
      <c r="B579">
        <v>3</v>
      </c>
      <c r="C579">
        <v>114781.7533392</v>
      </c>
      <c r="D579">
        <v>57213.7</v>
      </c>
    </row>
    <row r="580" spans="1:4" x14ac:dyDescent="0.2">
      <c r="A580" s="127">
        <v>9011716101</v>
      </c>
      <c r="B580">
        <v>1</v>
      </c>
      <c r="C580">
        <v>94268.427937920002</v>
      </c>
      <c r="D580">
        <v>40280.123399999997</v>
      </c>
    </row>
    <row r="581" spans="1:4" x14ac:dyDescent="0.2">
      <c r="A581" s="127">
        <v>9011716102</v>
      </c>
      <c r="B581">
        <v>3</v>
      </c>
      <c r="C581">
        <v>255809.72153376002</v>
      </c>
      <c r="D581">
        <v>240683.9578</v>
      </c>
    </row>
    <row r="582" spans="1:4" x14ac:dyDescent="0.2">
      <c r="A582" s="127">
        <v>9011870100</v>
      </c>
      <c r="B582">
        <v>3</v>
      </c>
      <c r="C582">
        <v>107088.35188608001</v>
      </c>
      <c r="D582">
        <v>66859.39</v>
      </c>
    </row>
    <row r="583" spans="1:4" x14ac:dyDescent="0.2">
      <c r="A583" s="127">
        <v>9011870300</v>
      </c>
      <c r="B583">
        <v>2</v>
      </c>
      <c r="C583">
        <v>41336.513688960003</v>
      </c>
      <c r="D583">
        <v>21513.050299999999</v>
      </c>
    </row>
    <row r="584" spans="1:4" x14ac:dyDescent="0.2">
      <c r="A584" s="127">
        <v>9011870501</v>
      </c>
      <c r="B584">
        <v>1</v>
      </c>
      <c r="C584">
        <v>80574.145113599996</v>
      </c>
      <c r="D584">
        <v>31425.54</v>
      </c>
    </row>
    <row r="585" spans="1:4" x14ac:dyDescent="0.2">
      <c r="A585" s="127">
        <v>9011870502</v>
      </c>
      <c r="B585">
        <v>2</v>
      </c>
      <c r="C585">
        <v>40297.201799040005</v>
      </c>
      <c r="D585">
        <v>10395.2546</v>
      </c>
    </row>
    <row r="586" spans="1:4" x14ac:dyDescent="0.2">
      <c r="A586" s="127">
        <v>9011870701</v>
      </c>
      <c r="B586">
        <v>1</v>
      </c>
      <c r="C586">
        <v>50602.6302192</v>
      </c>
      <c r="D586">
        <v>7191.9422999999997</v>
      </c>
    </row>
    <row r="587" spans="1:4" x14ac:dyDescent="0.2">
      <c r="A587" s="127">
        <v>9011870703</v>
      </c>
      <c r="B587">
        <v>1</v>
      </c>
      <c r="C587">
        <v>42616.216497600006</v>
      </c>
      <c r="D587">
        <v>14608.0656</v>
      </c>
    </row>
    <row r="588" spans="1:4" x14ac:dyDescent="0.2">
      <c r="A588" s="127">
        <v>9011870704</v>
      </c>
      <c r="B588">
        <v>1</v>
      </c>
      <c r="C588">
        <v>110586.99898655999</v>
      </c>
      <c r="D588">
        <v>67520.932400000005</v>
      </c>
    </row>
    <row r="589" spans="1:4" x14ac:dyDescent="0.2">
      <c r="A589" s="127">
        <v>9011980000</v>
      </c>
      <c r="B589">
        <v>1</v>
      </c>
      <c r="C589">
        <v>64.956124800000012</v>
      </c>
      <c r="D589">
        <v>0</v>
      </c>
    </row>
    <row r="590" spans="1:4" x14ac:dyDescent="0.2">
      <c r="A590" s="127">
        <v>9013526101</v>
      </c>
      <c r="B590">
        <v>3</v>
      </c>
      <c r="C590">
        <v>50411.553508799996</v>
      </c>
      <c r="D590">
        <v>8012.84</v>
      </c>
    </row>
    <row r="591" spans="1:4" x14ac:dyDescent="0.2">
      <c r="A591" s="127">
        <v>9013526102</v>
      </c>
      <c r="B591">
        <v>3</v>
      </c>
      <c r="C591">
        <v>167297.14085184</v>
      </c>
      <c r="D591">
        <v>82230.272499999992</v>
      </c>
    </row>
    <row r="592" spans="1:4" x14ac:dyDescent="0.2">
      <c r="A592" s="127">
        <v>9013528100</v>
      </c>
      <c r="B592">
        <v>2</v>
      </c>
      <c r="C592">
        <v>78607.984982399983</v>
      </c>
      <c r="D592">
        <v>28236.48</v>
      </c>
    </row>
    <row r="593" spans="1:4" x14ac:dyDescent="0.2">
      <c r="A593" s="127">
        <v>9013529100</v>
      </c>
      <c r="B593">
        <v>2</v>
      </c>
      <c r="C593">
        <v>122846.97636288</v>
      </c>
      <c r="D593">
        <v>98228.382099999988</v>
      </c>
    </row>
    <row r="594" spans="1:4" x14ac:dyDescent="0.2">
      <c r="A594" s="127">
        <v>9013530100</v>
      </c>
      <c r="B594">
        <v>2</v>
      </c>
      <c r="C594">
        <v>34112.597808960003</v>
      </c>
      <c r="D594">
        <v>8725.9500000000007</v>
      </c>
    </row>
    <row r="595" spans="1:4" x14ac:dyDescent="0.2">
      <c r="A595" s="127">
        <v>9013530200</v>
      </c>
      <c r="B595">
        <v>1</v>
      </c>
      <c r="C595">
        <v>78604.228051200014</v>
      </c>
      <c r="D595">
        <v>29090.1</v>
      </c>
    </row>
    <row r="596" spans="1:4" x14ac:dyDescent="0.2">
      <c r="A596" s="127">
        <v>9013530301</v>
      </c>
      <c r="B596">
        <v>2</v>
      </c>
      <c r="C596">
        <v>74682.751368959987</v>
      </c>
      <c r="D596">
        <v>23277.45</v>
      </c>
    </row>
    <row r="597" spans="1:4" x14ac:dyDescent="0.2">
      <c r="A597" s="127">
        <v>9013530302</v>
      </c>
      <c r="B597">
        <v>2</v>
      </c>
      <c r="C597">
        <v>311447.5732944</v>
      </c>
      <c r="D597">
        <v>217918.8671</v>
      </c>
    </row>
    <row r="598" spans="1:4" x14ac:dyDescent="0.2">
      <c r="A598" s="127">
        <v>9013530400</v>
      </c>
      <c r="B598">
        <v>1</v>
      </c>
      <c r="C598">
        <v>65216.719788479997</v>
      </c>
      <c r="D598">
        <v>10887.23</v>
      </c>
    </row>
    <row r="599" spans="1:4" x14ac:dyDescent="0.2">
      <c r="A599" s="127">
        <v>9013530500</v>
      </c>
      <c r="B599">
        <v>2</v>
      </c>
      <c r="C599">
        <v>59279.894383679995</v>
      </c>
      <c r="D599">
        <v>19884.302</v>
      </c>
    </row>
    <row r="600" spans="1:4" x14ac:dyDescent="0.2">
      <c r="A600" s="127">
        <v>9013530600</v>
      </c>
      <c r="B600">
        <v>3</v>
      </c>
      <c r="C600">
        <v>53855.719896959999</v>
      </c>
      <c r="D600">
        <v>19791.499500000002</v>
      </c>
    </row>
    <row r="601" spans="1:4" x14ac:dyDescent="0.2">
      <c r="A601" s="127">
        <v>9013533101</v>
      </c>
      <c r="B601">
        <v>1</v>
      </c>
      <c r="C601">
        <v>211485.03391584003</v>
      </c>
      <c r="D601">
        <v>124145.8175</v>
      </c>
    </row>
    <row r="602" spans="1:4" x14ac:dyDescent="0.2">
      <c r="A602" s="127">
        <v>9013533102</v>
      </c>
      <c r="B602">
        <v>1</v>
      </c>
      <c r="C602">
        <v>102545.04115008</v>
      </c>
      <c r="D602">
        <v>28463.101999999999</v>
      </c>
    </row>
    <row r="603" spans="1:4" x14ac:dyDescent="0.2">
      <c r="A603" s="127">
        <v>9013535100</v>
      </c>
      <c r="B603">
        <v>2</v>
      </c>
      <c r="C603">
        <v>268972.95316032</v>
      </c>
      <c r="D603">
        <v>200421.26310000001</v>
      </c>
    </row>
    <row r="604" spans="1:4" x14ac:dyDescent="0.2">
      <c r="A604" s="127">
        <v>9013535200</v>
      </c>
      <c r="B604">
        <v>3</v>
      </c>
      <c r="C604">
        <v>128274.11066304002</v>
      </c>
      <c r="D604">
        <v>36380.263400000003</v>
      </c>
    </row>
    <row r="605" spans="1:4" x14ac:dyDescent="0.2">
      <c r="A605" s="127">
        <v>9013538201</v>
      </c>
      <c r="B605">
        <v>2</v>
      </c>
      <c r="C605">
        <v>148310.85979008002</v>
      </c>
      <c r="D605">
        <v>83172.125400000004</v>
      </c>
    </row>
    <row r="606" spans="1:4" x14ac:dyDescent="0.2">
      <c r="A606" s="127">
        <v>9013538202</v>
      </c>
      <c r="B606">
        <v>2</v>
      </c>
      <c r="C606">
        <v>88507.348185600014</v>
      </c>
      <c r="D606">
        <v>22506.682400000002</v>
      </c>
    </row>
    <row r="607" spans="1:4" x14ac:dyDescent="0.2">
      <c r="A607" s="127">
        <v>9013840100</v>
      </c>
      <c r="B607">
        <v>3</v>
      </c>
      <c r="C607">
        <v>139058.61380352001</v>
      </c>
      <c r="D607">
        <v>60554.824200000003</v>
      </c>
    </row>
    <row r="608" spans="1:4" x14ac:dyDescent="0.2">
      <c r="A608" s="127">
        <v>9013850100</v>
      </c>
      <c r="B608">
        <v>2</v>
      </c>
      <c r="C608">
        <v>114692.35342752001</v>
      </c>
      <c r="D608">
        <v>26282.479299999999</v>
      </c>
    </row>
    <row r="609" spans="1:4" x14ac:dyDescent="0.2">
      <c r="A609" s="127">
        <v>9013850200</v>
      </c>
      <c r="B609">
        <v>3</v>
      </c>
      <c r="C609">
        <v>175187.60405568001</v>
      </c>
      <c r="D609">
        <v>98738.7261</v>
      </c>
    </row>
    <row r="610" spans="1:4" x14ac:dyDescent="0.2">
      <c r="A610" s="127">
        <v>9013860100</v>
      </c>
      <c r="B610">
        <v>2</v>
      </c>
      <c r="C610">
        <v>134528.00427360003</v>
      </c>
      <c r="D610">
        <v>44825.78</v>
      </c>
    </row>
    <row r="611" spans="1:4" x14ac:dyDescent="0.2">
      <c r="A611" s="127">
        <v>9013881100</v>
      </c>
      <c r="B611">
        <v>2</v>
      </c>
      <c r="C611">
        <v>88733.925290879997</v>
      </c>
      <c r="D611">
        <v>31198.000400000001</v>
      </c>
    </row>
    <row r="612" spans="1:4" x14ac:dyDescent="0.2">
      <c r="A612" s="127">
        <v>9013881200</v>
      </c>
      <c r="B612">
        <v>1</v>
      </c>
      <c r="C612">
        <v>5767.4219616000009</v>
      </c>
      <c r="D612">
        <v>154</v>
      </c>
    </row>
    <row r="613" spans="1:4" x14ac:dyDescent="0.2">
      <c r="A613" s="127">
        <v>9013881300</v>
      </c>
      <c r="B613">
        <v>1</v>
      </c>
      <c r="C613">
        <v>61596.592404479998</v>
      </c>
      <c r="D613">
        <v>16521.36</v>
      </c>
    </row>
    <row r="614" spans="1:4" x14ac:dyDescent="0.2">
      <c r="A614" s="127">
        <v>9013881500</v>
      </c>
      <c r="B614">
        <v>2</v>
      </c>
      <c r="C614">
        <v>210168.59654016001</v>
      </c>
      <c r="D614">
        <v>189906.91070000012</v>
      </c>
    </row>
    <row r="615" spans="1:4" x14ac:dyDescent="0.2">
      <c r="A615" s="127">
        <v>9013890100</v>
      </c>
      <c r="B615">
        <v>2</v>
      </c>
      <c r="C615">
        <v>80249.990258880003</v>
      </c>
      <c r="D615">
        <v>10995.81</v>
      </c>
    </row>
    <row r="616" spans="1:4" x14ac:dyDescent="0.2">
      <c r="A616" s="127">
        <v>9013890201</v>
      </c>
      <c r="B616">
        <v>3</v>
      </c>
      <c r="C616">
        <v>73817.042117760007</v>
      </c>
      <c r="D616">
        <v>15660.502799999998</v>
      </c>
    </row>
    <row r="617" spans="1:4" x14ac:dyDescent="0.2">
      <c r="A617" s="127">
        <v>9013890202</v>
      </c>
      <c r="B617">
        <v>3</v>
      </c>
      <c r="C617">
        <v>207622.50053183999</v>
      </c>
      <c r="D617">
        <v>94722.85</v>
      </c>
    </row>
    <row r="618" spans="1:4" x14ac:dyDescent="0.2">
      <c r="A618" s="127">
        <v>9015800300</v>
      </c>
      <c r="B618">
        <v>1</v>
      </c>
      <c r="C618">
        <v>46300.286966400003</v>
      </c>
      <c r="D618">
        <v>43359.29</v>
      </c>
    </row>
    <row r="619" spans="1:4" x14ac:dyDescent="0.2">
      <c r="A619" s="127">
        <v>9015800400</v>
      </c>
      <c r="B619">
        <v>1</v>
      </c>
      <c r="C619">
        <v>60159.073014720001</v>
      </c>
      <c r="D619">
        <v>17243.333500000001</v>
      </c>
    </row>
    <row r="620" spans="1:4" x14ac:dyDescent="0.2">
      <c r="A620" s="127">
        <v>9015800500</v>
      </c>
      <c r="B620">
        <v>1</v>
      </c>
      <c r="C620">
        <v>292503.24829727999</v>
      </c>
      <c r="D620">
        <v>489387.0355</v>
      </c>
    </row>
    <row r="621" spans="1:4" x14ac:dyDescent="0.2">
      <c r="A621" s="127">
        <v>9015800600</v>
      </c>
      <c r="B621">
        <v>1</v>
      </c>
      <c r="C621">
        <v>64791.193204800002</v>
      </c>
      <c r="D621">
        <v>890.52359999999999</v>
      </c>
    </row>
    <row r="622" spans="1:4" x14ac:dyDescent="0.2">
      <c r="A622" s="127">
        <v>9015800700</v>
      </c>
      <c r="B622">
        <v>1</v>
      </c>
      <c r="C622">
        <v>41272.490139839996</v>
      </c>
      <c r="D622">
        <v>41619.35</v>
      </c>
    </row>
    <row r="623" spans="1:4" x14ac:dyDescent="0.2">
      <c r="A623" s="127">
        <v>9015815000</v>
      </c>
      <c r="B623">
        <v>3</v>
      </c>
      <c r="C623">
        <v>56999.095027200012</v>
      </c>
      <c r="D623">
        <v>36685.682000000001</v>
      </c>
    </row>
    <row r="624" spans="1:4" x14ac:dyDescent="0.2">
      <c r="A624" s="127">
        <v>9015820000</v>
      </c>
      <c r="B624">
        <v>1</v>
      </c>
      <c r="C624">
        <v>44289.82572768</v>
      </c>
      <c r="D624">
        <v>11419.08</v>
      </c>
    </row>
    <row r="625" spans="1:4" x14ac:dyDescent="0.2">
      <c r="A625" s="127">
        <v>9015825000</v>
      </c>
      <c r="B625">
        <v>4</v>
      </c>
      <c r="C625">
        <v>35607.01936608</v>
      </c>
      <c r="D625">
        <v>15297.96</v>
      </c>
    </row>
    <row r="626" spans="1:4" x14ac:dyDescent="0.2">
      <c r="A626" s="127">
        <v>9015830100</v>
      </c>
      <c r="B626">
        <v>2</v>
      </c>
      <c r="C626">
        <v>113150.45502720001</v>
      </c>
      <c r="D626">
        <v>106590.4568</v>
      </c>
    </row>
    <row r="627" spans="1:4" x14ac:dyDescent="0.2">
      <c r="A627" s="127">
        <v>9015900100</v>
      </c>
      <c r="B627">
        <v>1</v>
      </c>
      <c r="C627">
        <v>131978.84541119999</v>
      </c>
      <c r="D627">
        <v>55611.319199999998</v>
      </c>
    </row>
    <row r="628" spans="1:4" x14ac:dyDescent="0.2">
      <c r="A628" s="127">
        <v>9015900200</v>
      </c>
      <c r="B628">
        <v>2</v>
      </c>
      <c r="C628">
        <v>78391.372138560007</v>
      </c>
      <c r="D628">
        <v>10634.31</v>
      </c>
    </row>
    <row r="629" spans="1:4" x14ac:dyDescent="0.2">
      <c r="A629" s="127">
        <v>9015901100</v>
      </c>
      <c r="B629">
        <v>4</v>
      </c>
      <c r="C629">
        <v>213563.97781632</v>
      </c>
      <c r="D629">
        <v>106399.69559999999</v>
      </c>
    </row>
    <row r="630" spans="1:4" x14ac:dyDescent="0.2">
      <c r="A630" s="127">
        <v>9015902200</v>
      </c>
      <c r="B630">
        <v>4</v>
      </c>
      <c r="C630">
        <v>45315.740597760006</v>
      </c>
      <c r="D630">
        <v>24413.994499999997</v>
      </c>
    </row>
    <row r="631" spans="1:4" x14ac:dyDescent="0.2">
      <c r="A631" s="127">
        <v>9015902500</v>
      </c>
      <c r="B631">
        <v>4</v>
      </c>
      <c r="C631">
        <v>105201.22913568001</v>
      </c>
      <c r="D631">
        <v>64848.626700000008</v>
      </c>
    </row>
    <row r="632" spans="1:4" x14ac:dyDescent="0.2">
      <c r="A632" s="127">
        <v>9015903100</v>
      </c>
      <c r="B632">
        <v>1</v>
      </c>
      <c r="C632">
        <v>224139.23609759999</v>
      </c>
      <c r="D632">
        <v>277851.3052</v>
      </c>
    </row>
    <row r="633" spans="1:4" x14ac:dyDescent="0.2">
      <c r="A633" s="127">
        <v>9015903200</v>
      </c>
      <c r="B633">
        <v>2</v>
      </c>
      <c r="C633">
        <v>45723.849840000003</v>
      </c>
      <c r="D633">
        <v>4946.6899999999996</v>
      </c>
    </row>
    <row r="634" spans="1:4" x14ac:dyDescent="0.2">
      <c r="A634" s="127">
        <v>9015904100</v>
      </c>
      <c r="B634">
        <v>2</v>
      </c>
      <c r="C634">
        <v>259775.91438047998</v>
      </c>
      <c r="D634">
        <v>230692.6937</v>
      </c>
    </row>
    <row r="635" spans="1:4" x14ac:dyDescent="0.2">
      <c r="A635" s="127">
        <v>9015904400</v>
      </c>
      <c r="B635">
        <v>1</v>
      </c>
      <c r="C635">
        <v>60618.712996800001</v>
      </c>
      <c r="D635">
        <v>12798.2778</v>
      </c>
    </row>
    <row r="636" spans="1:4" x14ac:dyDescent="0.2">
      <c r="A636" s="127">
        <v>9015904500</v>
      </c>
      <c r="B636">
        <v>1</v>
      </c>
      <c r="C636">
        <v>103701.58665984</v>
      </c>
      <c r="D636">
        <v>41168.17</v>
      </c>
    </row>
    <row r="637" spans="1:4" x14ac:dyDescent="0.2">
      <c r="A637" s="127">
        <v>9015905100</v>
      </c>
      <c r="B637">
        <v>3</v>
      </c>
      <c r="C637">
        <v>191417.40790848</v>
      </c>
      <c r="D637">
        <v>124998.14720000001</v>
      </c>
    </row>
    <row r="638" spans="1:4" x14ac:dyDescent="0.2">
      <c r="A638" s="127">
        <v>9015906100</v>
      </c>
      <c r="B638">
        <v>2</v>
      </c>
      <c r="C638">
        <v>116975.7345888</v>
      </c>
      <c r="D638">
        <v>37815.000800000002</v>
      </c>
    </row>
    <row r="639" spans="1:4" x14ac:dyDescent="0.2">
      <c r="A639" s="127">
        <v>9015907100</v>
      </c>
      <c r="B639">
        <v>2</v>
      </c>
      <c r="C639">
        <v>74094.42809952001</v>
      </c>
      <c r="D639">
        <v>10386.07</v>
      </c>
    </row>
    <row r="640" spans="1:4" x14ac:dyDescent="0.2">
      <c r="A640" s="127">
        <v>9015907200</v>
      </c>
      <c r="B640">
        <v>3</v>
      </c>
      <c r="C640">
        <v>95656.089551040015</v>
      </c>
      <c r="D640">
        <v>24022.759900000001</v>
      </c>
    </row>
    <row r="641" spans="1:4" x14ac:dyDescent="0.2">
      <c r="A641" s="127">
        <v>9015907300</v>
      </c>
      <c r="B641">
        <v>1</v>
      </c>
      <c r="C641">
        <v>207982.41048864002</v>
      </c>
      <c r="D641">
        <v>197372.1023</v>
      </c>
    </row>
    <row r="642" spans="1:4" x14ac:dyDescent="0.2">
      <c r="A642" s="127">
        <v>9015908100</v>
      </c>
      <c r="B642">
        <v>4</v>
      </c>
      <c r="C642">
        <v>86048.875506240001</v>
      </c>
      <c r="D642">
        <v>33246.379999999997</v>
      </c>
    </row>
    <row r="643" spans="1:4" x14ac:dyDescent="0.2">
      <c r="A643" s="127" t="s">
        <v>2710</v>
      </c>
      <c r="B643">
        <v>1</v>
      </c>
      <c r="C643">
        <v>70659148.926617205</v>
      </c>
      <c r="D643">
        <v>44405301.081499971</v>
      </c>
    </row>
    <row r="644" spans="1:4" x14ac:dyDescent="0.2">
      <c r="A644" s="127" t="s">
        <v>951</v>
      </c>
      <c r="B644" t="e">
        <v>#N/A</v>
      </c>
      <c r="C644">
        <v>141318297.85323447</v>
      </c>
      <c r="D644">
        <v>88810602.162999988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41A9-99DD-4FB1-9844-C1EDDBA14169}">
  <sheetPr>
    <tabColor theme="6" tint="0.59999389629810485"/>
    <pageSetUpPr fitToPage="1"/>
  </sheetPr>
  <dimension ref="A1:S942"/>
  <sheetViews>
    <sheetView zoomScale="90" zoomScaleNormal="90" workbookViewId="0">
      <pane ySplit="5" topLeftCell="A6" activePane="bottomLeft" state="frozen"/>
      <selection pane="bottomLeft" activeCell="S6" sqref="S6"/>
    </sheetView>
  </sheetViews>
  <sheetFormatPr baseColWidth="10" defaultColWidth="8.83203125" defaultRowHeight="15" x14ac:dyDescent="0.2"/>
  <cols>
    <col min="1" max="1" width="15.6640625" customWidth="1"/>
    <col min="2" max="2" width="23.33203125" customWidth="1"/>
    <col min="3" max="3" width="20" customWidth="1"/>
    <col min="4" max="4" width="20.6640625" style="35" customWidth="1"/>
    <col min="5" max="5" width="20.6640625" style="34" customWidth="1"/>
    <col min="6" max="6" width="20.6640625" style="35" customWidth="1"/>
    <col min="7" max="7" width="20.6640625" style="34" customWidth="1"/>
    <col min="8" max="8" width="20.6640625" style="33" customWidth="1"/>
    <col min="9" max="9" width="20.6640625" style="28" customWidth="1"/>
    <col min="10" max="10" width="20.6640625" customWidth="1"/>
    <col min="11" max="11" width="20.6640625" style="28" customWidth="1"/>
    <col min="12" max="12" width="20.6640625" customWidth="1"/>
    <col min="13" max="13" width="20.6640625" style="28" customWidth="1"/>
    <col min="14" max="14" width="20.6640625" customWidth="1"/>
    <col min="15" max="15" width="20.6640625" style="28" customWidth="1"/>
    <col min="16" max="16" width="20.5" customWidth="1"/>
    <col min="17" max="18" width="14.1640625" customWidth="1"/>
    <col min="19" max="19" width="12.6640625" customWidth="1"/>
  </cols>
  <sheetData>
    <row r="1" spans="1:19" x14ac:dyDescent="0.2">
      <c r="A1" s="284" t="s">
        <v>2711</v>
      </c>
      <c r="B1" s="285"/>
      <c r="C1" s="285"/>
      <c r="D1" s="285"/>
      <c r="E1" s="285"/>
      <c r="F1" s="285"/>
      <c r="G1" s="285"/>
      <c r="H1" s="285"/>
      <c r="I1" s="285"/>
      <c r="J1" s="285"/>
      <c r="K1" s="285"/>
      <c r="L1" s="285"/>
      <c r="M1" s="285"/>
      <c r="N1" s="285"/>
      <c r="O1" s="286"/>
    </row>
    <row r="2" spans="1:19" ht="16" thickBot="1" x14ac:dyDescent="0.25">
      <c r="A2" s="287"/>
      <c r="B2" s="288"/>
      <c r="C2" s="288"/>
      <c r="D2" s="288"/>
      <c r="E2" s="288"/>
      <c r="F2" s="288"/>
      <c r="G2" s="288"/>
      <c r="H2" s="288"/>
      <c r="I2" s="288"/>
      <c r="J2" s="288"/>
      <c r="K2" s="288"/>
      <c r="L2" s="288"/>
      <c r="M2" s="288"/>
      <c r="N2" s="288"/>
      <c r="O2" s="289"/>
    </row>
    <row r="3" spans="1:19" ht="17" thickBot="1" x14ac:dyDescent="0.25">
      <c r="A3" s="299" t="s">
        <v>2695</v>
      </c>
      <c r="B3" s="300"/>
      <c r="C3" s="301"/>
      <c r="D3" s="281" t="s">
        <v>2698</v>
      </c>
      <c r="E3" s="282"/>
      <c r="F3" s="282"/>
      <c r="G3" s="282"/>
      <c r="H3" s="282"/>
      <c r="I3" s="282"/>
      <c r="J3" s="282"/>
      <c r="K3" s="282"/>
      <c r="L3" s="282"/>
      <c r="M3" s="282"/>
      <c r="N3" s="282"/>
      <c r="O3" s="283"/>
    </row>
    <row r="4" spans="1:19" x14ac:dyDescent="0.2">
      <c r="A4" s="302"/>
      <c r="B4" s="303"/>
      <c r="C4" s="304"/>
      <c r="D4" s="293" t="s">
        <v>2700</v>
      </c>
      <c r="E4" s="294"/>
      <c r="F4" s="294"/>
      <c r="G4" s="295"/>
      <c r="H4" s="296" t="s">
        <v>2701</v>
      </c>
      <c r="I4" s="297"/>
      <c r="J4" s="297"/>
      <c r="K4" s="298"/>
      <c r="L4" s="290" t="s">
        <v>2702</v>
      </c>
      <c r="M4" s="291"/>
      <c r="N4" s="291"/>
      <c r="O4" s="292"/>
    </row>
    <row r="5" spans="1:19" ht="74.25" customHeight="1" x14ac:dyDescent="0.2">
      <c r="A5" s="49" t="s">
        <v>2712</v>
      </c>
      <c r="B5" s="49" t="s">
        <v>2713</v>
      </c>
      <c r="C5" s="48" t="s">
        <v>2714</v>
      </c>
      <c r="D5" s="47" t="s">
        <v>2715</v>
      </c>
      <c r="E5" s="46" t="s">
        <v>2716</v>
      </c>
      <c r="F5" s="47" t="s">
        <v>2717</v>
      </c>
      <c r="G5" s="46" t="s">
        <v>2718</v>
      </c>
      <c r="H5" s="45" t="s">
        <v>2719</v>
      </c>
      <c r="I5" s="44" t="s">
        <v>2720</v>
      </c>
      <c r="J5" s="45" t="s">
        <v>2721</v>
      </c>
      <c r="K5" s="44" t="s">
        <v>2722</v>
      </c>
      <c r="L5" s="45" t="s">
        <v>2723</v>
      </c>
      <c r="M5" s="44" t="s">
        <v>2724</v>
      </c>
      <c r="N5" s="45" t="s">
        <v>2725</v>
      </c>
      <c r="O5" s="44" t="s">
        <v>2726</v>
      </c>
      <c r="P5" s="95" t="s">
        <v>2727</v>
      </c>
      <c r="Q5" s="95" t="s">
        <v>2728</v>
      </c>
      <c r="R5" s="120" t="s">
        <v>2729</v>
      </c>
      <c r="S5" s="120" t="s">
        <v>2730</v>
      </c>
    </row>
    <row r="6" spans="1:19" x14ac:dyDescent="0.2">
      <c r="A6" s="100">
        <v>9013528100</v>
      </c>
      <c r="B6" s="38" t="s">
        <v>2731</v>
      </c>
      <c r="C6" s="38" t="s">
        <v>944</v>
      </c>
      <c r="D6" s="40">
        <f>[1]!Table3[[#This Row],[Residential CLM $ Collected]]+[1]!Table3[[#This Row],[C&amp;I CLM $ Collected]]</f>
        <v>78377.260780799988</v>
      </c>
      <c r="E6" s="36">
        <f>[1]!Table3[[#This Row],[CLM $ Collected ]]/'[1]1.) CLM Reference'!$B$4</f>
        <v>6.9533496548274587E-4</v>
      </c>
      <c r="F6" s="40">
        <f>[1]!Table3[[#This Row],[Residential Incentive Disbursements]]+[1]!Table3[[#This Row],[C&amp;I Incentive Disbursements]]</f>
        <v>28236.48</v>
      </c>
      <c r="G6" s="36">
        <f>[1]!Table3[[#This Row],[Incentive Disbursements]]/'[1]1.) CLM Reference'!$B$5</f>
        <v>3.4546350888550357E-4</v>
      </c>
      <c r="H6" s="40">
        <v>66033.272865599996</v>
      </c>
      <c r="I6" s="36">
        <f>[1]!Table3[[#This Row],[Residential CLM $ Collected]]/'[1]1.) CLM Reference'!$B$4</f>
        <v>5.8582352906064476E-4</v>
      </c>
      <c r="J6" s="41">
        <v>14369.65</v>
      </c>
      <c r="K6" s="36">
        <f>[1]!Table3[[#This Row],[Residential Incentive Disbursements]]/'[1]1.) CLM Reference'!$B$5</f>
        <v>1.7580766832326749E-4</v>
      </c>
      <c r="L6" s="37">
        <v>12343.987915199999</v>
      </c>
      <c r="M6" s="36">
        <f>[1]!Table3[[#This Row],[C&amp;I CLM $ Collected]]/'[1]1.) CLM Reference'!$B$4</f>
        <v>1.0951143642210119E-4</v>
      </c>
      <c r="N6" s="41">
        <v>13866.83</v>
      </c>
      <c r="O6" s="36">
        <f>[1]!Table3[[#This Row],[C&amp;I Incentive Disbursements]]/'[1]1.) CLM Reference'!$B$5</f>
        <v>1.6965584056223608E-4</v>
      </c>
      <c r="Q6">
        <f>VLOOKUP(Table3[[#This Row],[Census Tract]],'Population and Diversity Data'!$B$2:$K$823,10,FALSE)</f>
        <v>1</v>
      </c>
      <c r="R6" t="str">
        <f>VLOOKUP(Table3[[#This Row],[Census Tract]],'ES Energy Burden'!$B$2:$E$914,4,FALSE)</f>
        <v>No</v>
      </c>
    </row>
    <row r="7" spans="1:19" x14ac:dyDescent="0.2">
      <c r="A7" s="100">
        <v>9013529100</v>
      </c>
      <c r="B7" s="38" t="s">
        <v>2731</v>
      </c>
      <c r="C7" s="38" t="s">
        <v>944</v>
      </c>
      <c r="D7" s="40">
        <f>[1]!Table3[[#This Row],[Residential CLM $ Collected]]+[1]!Table3[[#This Row],[C&amp;I CLM $ Collected]]</f>
        <v>992.09612159999995</v>
      </c>
      <c r="E7" s="36">
        <f>[1]!Table3[[#This Row],[CLM $ Collected ]]/'[1]1.) CLM Reference'!$B$4</f>
        <v>8.8015212013800227E-6</v>
      </c>
      <c r="F7" s="40">
        <f>[1]!Table3[[#This Row],[Residential Incentive Disbursements]]+[1]!Table3[[#This Row],[C&amp;I Incentive Disbursements]]</f>
        <v>0</v>
      </c>
      <c r="G7" s="36">
        <f>[1]!Table3[[#This Row],[Incentive Disbursements]]/'[1]1.) CLM Reference'!$B$5</f>
        <v>0</v>
      </c>
      <c r="H7" s="40">
        <v>992.09612159999995</v>
      </c>
      <c r="I7" s="36">
        <f>[1]!Table3[[#This Row],[Residential CLM $ Collected]]/'[1]1.) CLM Reference'!$B$4</f>
        <v>8.8015212013800227E-6</v>
      </c>
      <c r="J7" s="41">
        <v>0</v>
      </c>
      <c r="K7" s="36">
        <f>[1]!Table3[[#This Row],[Residential Incentive Disbursements]]/'[1]1.) CLM Reference'!$B$5</f>
        <v>0</v>
      </c>
      <c r="L7" s="37">
        <v>0</v>
      </c>
      <c r="M7" s="36">
        <f>[1]!Table3[[#This Row],[C&amp;I CLM $ Collected]]/'[1]1.) CLM Reference'!$B$4</f>
        <v>0</v>
      </c>
      <c r="N7" s="41">
        <v>0</v>
      </c>
      <c r="O7" s="36">
        <f>[1]!Table3[[#This Row],[C&amp;I Incentive Disbursements]]/'[1]1.) CLM Reference'!$B$5</f>
        <v>0</v>
      </c>
      <c r="Q7">
        <f>VLOOKUP(Table3[[#This Row],[Census Tract]],'Population and Diversity Data'!$B$2:$K$823,10,FALSE)</f>
        <v>2</v>
      </c>
      <c r="R7" t="str">
        <f>VLOOKUP(Table3[[#This Row],[Census Tract]],'ES Energy Burden'!$B$2:$E$914,4,FALSE)</f>
        <v>No</v>
      </c>
    </row>
    <row r="8" spans="1:19" x14ac:dyDescent="0.2">
      <c r="A8" s="100">
        <v>9013850100</v>
      </c>
      <c r="B8" s="38" t="s">
        <v>2731</v>
      </c>
      <c r="C8" s="38" t="s">
        <v>944</v>
      </c>
      <c r="D8" s="40">
        <f>[1]!Table3[[#This Row],[Residential CLM $ Collected]]+[1]!Table3[[#This Row],[C&amp;I CLM $ Collected]]</f>
        <v>209.21302080000001</v>
      </c>
      <c r="E8" s="36">
        <f>[1]!Table3[[#This Row],[CLM $ Collected ]]/'[1]1.) CLM Reference'!$B$4</f>
        <v>1.8560629339083183E-6</v>
      </c>
      <c r="F8" s="40">
        <f>[1]!Table3[[#This Row],[Residential Incentive Disbursements]]+[1]!Table3[[#This Row],[C&amp;I Incentive Disbursements]]</f>
        <v>0</v>
      </c>
      <c r="G8" s="36">
        <f>[1]!Table3[[#This Row],[Incentive Disbursements]]/'[1]1.) CLM Reference'!$B$5</f>
        <v>0</v>
      </c>
      <c r="H8" s="40">
        <v>209.21302080000001</v>
      </c>
      <c r="I8" s="36">
        <f>[1]!Table3[[#This Row],[Residential CLM $ Collected]]/'[1]1.) CLM Reference'!$B$4</f>
        <v>1.8560629339083183E-6</v>
      </c>
      <c r="J8" s="41">
        <v>0</v>
      </c>
      <c r="K8" s="36">
        <f>[1]!Table3[[#This Row],[Residential Incentive Disbursements]]/'[1]1.) CLM Reference'!$B$5</f>
        <v>0</v>
      </c>
      <c r="L8" s="37">
        <v>0</v>
      </c>
      <c r="M8" s="36">
        <f>[1]!Table3[[#This Row],[C&amp;I CLM $ Collected]]/'[1]1.) CLM Reference'!$B$4</f>
        <v>0</v>
      </c>
      <c r="N8" s="41">
        <v>0</v>
      </c>
      <c r="O8" s="36">
        <f>[1]!Table3[[#This Row],[C&amp;I Incentive Disbursements]]/'[1]1.) CLM Reference'!$B$5</f>
        <v>0</v>
      </c>
      <c r="Q8">
        <f>VLOOKUP(Table3[[#This Row],[Census Tract]],'Population and Diversity Data'!$B$2:$K$823,10,FALSE)</f>
        <v>3</v>
      </c>
      <c r="R8" t="str">
        <f>VLOOKUP(Table3[[#This Row],[Census Tract]],'ES Energy Burden'!$B$2:$E$914,4,FALSE)</f>
        <v>No</v>
      </c>
    </row>
    <row r="9" spans="1:19" x14ac:dyDescent="0.2">
      <c r="A9" s="100">
        <v>9015830100</v>
      </c>
      <c r="B9" s="38" t="s">
        <v>2732</v>
      </c>
      <c r="C9" s="38" t="s">
        <v>944</v>
      </c>
      <c r="D9" s="40">
        <f>[1]!Table3[[#This Row],[Residential CLM $ Collected]]+[1]!Table3[[#This Row],[C&amp;I CLM $ Collected]]</f>
        <v>112486.96013760001</v>
      </c>
      <c r="E9" s="36">
        <f>[1]!Table3[[#This Row],[CLM $ Collected ]]/'[1]1.) CLM Reference'!$B$4</f>
        <v>9.9794399249657933E-4</v>
      </c>
      <c r="F9" s="40">
        <f>[1]!Table3[[#This Row],[Residential Incentive Disbursements]]+[1]!Table3[[#This Row],[C&amp;I Incentive Disbursements]]</f>
        <v>106590.4568</v>
      </c>
      <c r="G9" s="36">
        <f>[1]!Table3[[#This Row],[Incentive Disbursements]]/'[1]1.) CLM Reference'!$B$5</f>
        <v>1.3040971544553955E-3</v>
      </c>
      <c r="H9" s="40">
        <v>88003.867884480002</v>
      </c>
      <c r="I9" s="36">
        <f>[1]!Table3[[#This Row],[Residential CLM $ Collected]]/'[1]1.) CLM Reference'!$B$4</f>
        <v>7.8073877331514521E-4</v>
      </c>
      <c r="J9" s="41">
        <v>106590.4568</v>
      </c>
      <c r="K9" s="36">
        <f>[1]!Table3[[#This Row],[Residential Incentive Disbursements]]/'[1]1.) CLM Reference'!$B$5</f>
        <v>1.3040971544553955E-3</v>
      </c>
      <c r="L9" s="37">
        <v>24483.092253120005</v>
      </c>
      <c r="M9" s="36">
        <f>[1]!Table3[[#This Row],[C&amp;I CLM $ Collected]]/'[1]1.) CLM Reference'!$B$4</f>
        <v>2.1720521918143412E-4</v>
      </c>
      <c r="N9" s="41">
        <v>0</v>
      </c>
      <c r="O9" s="36">
        <f>[1]!Table3[[#This Row],[C&amp;I Incentive Disbursements]]/'[1]1.) CLM Reference'!$B$5</f>
        <v>0</v>
      </c>
      <c r="Q9">
        <f>VLOOKUP(Table3[[#This Row],[Census Tract]],'Population and Diversity Data'!$B$2:$K$823,10,FALSE)</f>
        <v>4</v>
      </c>
      <c r="R9" t="str">
        <f>VLOOKUP(Table3[[#This Row],[Census Tract]],'ES Energy Burden'!$B$2:$E$914,4,FALSE)</f>
        <v>No</v>
      </c>
    </row>
    <row r="10" spans="1:19" x14ac:dyDescent="0.2">
      <c r="A10" s="100">
        <v>9015902200</v>
      </c>
      <c r="B10" s="38" t="s">
        <v>2732</v>
      </c>
      <c r="C10" s="38" t="s">
        <v>944</v>
      </c>
      <c r="D10" s="40">
        <f>[1]!Table3[[#This Row],[Residential CLM $ Collected]]+[1]!Table3[[#This Row],[C&amp;I CLM $ Collected]]</f>
        <v>1561.7371968000002</v>
      </c>
      <c r="E10" s="36">
        <f>[1]!Table3[[#This Row],[CLM $ Collected ]]/'[1]1.) CLM Reference'!$B$4</f>
        <v>1.3855172648443309E-5</v>
      </c>
      <c r="F10" s="40">
        <f>[1]!Table3[[#This Row],[Residential Incentive Disbursements]]+[1]!Table3[[#This Row],[C&amp;I Incentive Disbursements]]</f>
        <v>2802.3708999999999</v>
      </c>
      <c r="G10" s="36">
        <f>[1]!Table3[[#This Row],[Incentive Disbursements]]/'[1]1.) CLM Reference'!$B$5</f>
        <v>3.4286032972687342E-5</v>
      </c>
      <c r="H10" s="40">
        <v>1561.7371968000002</v>
      </c>
      <c r="I10" s="36">
        <f>[1]!Table3[[#This Row],[Residential CLM $ Collected]]/'[1]1.) CLM Reference'!$B$4</f>
        <v>1.3855172648443309E-5</v>
      </c>
      <c r="J10" s="41">
        <v>2802.3708999999999</v>
      </c>
      <c r="K10" s="36">
        <f>[1]!Table3[[#This Row],[Residential Incentive Disbursements]]/'[1]1.) CLM Reference'!$B$5</f>
        <v>3.4286032972687342E-5</v>
      </c>
      <c r="L10" s="37">
        <v>0</v>
      </c>
      <c r="M10" s="36">
        <f>[1]!Table3[[#This Row],[C&amp;I CLM $ Collected]]/'[1]1.) CLM Reference'!$B$4</f>
        <v>0</v>
      </c>
      <c r="N10" s="41">
        <v>0</v>
      </c>
      <c r="O10" s="36">
        <f>[1]!Table3[[#This Row],[C&amp;I Incentive Disbursements]]/'[1]1.) CLM Reference'!$B$5</f>
        <v>0</v>
      </c>
      <c r="Q10">
        <f>VLOOKUP(Table3[[#This Row],[Census Tract]],'Population and Diversity Data'!$B$2:$K$823,10,FALSE)</f>
        <v>2</v>
      </c>
      <c r="R10" t="str">
        <f>VLOOKUP(Table3[[#This Row],[Census Tract]],'ES Energy Burden'!$B$2:$E$914,4,FALSE)</f>
        <v>No</v>
      </c>
    </row>
    <row r="11" spans="1:19" x14ac:dyDescent="0.2">
      <c r="A11" s="100">
        <v>9003460301</v>
      </c>
      <c r="B11" s="38" t="s">
        <v>2733</v>
      </c>
      <c r="C11" s="38" t="s">
        <v>944</v>
      </c>
      <c r="D11" s="40">
        <f>[1]!Table3[[#This Row],[Residential CLM $ Collected]]+[1]!Table3[[#This Row],[C&amp;I CLM $ Collected]]</f>
        <v>456.74789760000004</v>
      </c>
      <c r="E11" s="36">
        <f>[1]!Table3[[#This Row],[CLM $ Collected ]]/'[1]1.) CLM Reference'!$B$4</f>
        <v>4.0521036388377228E-6</v>
      </c>
      <c r="F11" s="40">
        <f>[1]!Table3[[#This Row],[Residential Incentive Disbursements]]+[1]!Table3[[#This Row],[C&amp;I Incentive Disbursements]]</f>
        <v>0</v>
      </c>
      <c r="G11" s="36">
        <f>[1]!Table3[[#This Row],[Incentive Disbursements]]/'[1]1.) CLM Reference'!$B$5</f>
        <v>0</v>
      </c>
      <c r="H11" s="40">
        <v>456.74789760000004</v>
      </c>
      <c r="I11" s="36">
        <f>[1]!Table3[[#This Row],[Residential CLM $ Collected]]/'[1]1.) CLM Reference'!$B$4</f>
        <v>4.0521036388377228E-6</v>
      </c>
      <c r="J11" s="41">
        <v>0</v>
      </c>
      <c r="K11" s="36">
        <f>[1]!Table3[[#This Row],[Residential Incentive Disbursements]]/'[1]1.) CLM Reference'!$B$5</f>
        <v>0</v>
      </c>
      <c r="L11" s="37">
        <v>0</v>
      </c>
      <c r="M11" s="36">
        <f>[1]!Table3[[#This Row],[C&amp;I CLM $ Collected]]/'[1]1.) CLM Reference'!$B$4</f>
        <v>0</v>
      </c>
      <c r="N11" s="41">
        <v>0</v>
      </c>
      <c r="O11" s="36">
        <f>[1]!Table3[[#This Row],[C&amp;I Incentive Disbursements]]/'[1]1.) CLM Reference'!$B$5</f>
        <v>0</v>
      </c>
      <c r="Q11">
        <f>VLOOKUP(Table3[[#This Row],[Census Tract]],'Population and Diversity Data'!$B$2:$K$823,10,FALSE)</f>
        <v>3</v>
      </c>
      <c r="R11" t="str">
        <f>VLOOKUP(Table3[[#This Row],[Census Tract]],'ES Energy Burden'!$B$2:$E$914,4,FALSE)</f>
        <v>No</v>
      </c>
    </row>
    <row r="12" spans="1:19" x14ac:dyDescent="0.2">
      <c r="A12" s="100">
        <v>9003460302</v>
      </c>
      <c r="B12" s="38" t="s">
        <v>2733</v>
      </c>
      <c r="C12" s="38" t="s">
        <v>944</v>
      </c>
      <c r="D12" s="40">
        <f>[1]!Table3[[#This Row],[Residential CLM $ Collected]]+[1]!Table3[[#This Row],[C&amp;I CLM $ Collected]]</f>
        <v>1956.2149727999999</v>
      </c>
      <c r="E12" s="36">
        <f>[1]!Table3[[#This Row],[CLM $ Collected ]]/'[1]1.) CLM Reference'!$B$4</f>
        <v>1.7354838087451147E-5</v>
      </c>
      <c r="F12" s="40">
        <f>[1]!Table3[[#This Row],[Residential Incentive Disbursements]]+[1]!Table3[[#This Row],[C&amp;I Incentive Disbursements]]</f>
        <v>0</v>
      </c>
      <c r="G12" s="36">
        <f>[1]!Table3[[#This Row],[Incentive Disbursements]]/'[1]1.) CLM Reference'!$B$5</f>
        <v>0</v>
      </c>
      <c r="H12" s="40">
        <v>1956.2149727999999</v>
      </c>
      <c r="I12" s="36">
        <f>[1]!Table3[[#This Row],[Residential CLM $ Collected]]/'[1]1.) CLM Reference'!$B$4</f>
        <v>1.7354838087451147E-5</v>
      </c>
      <c r="J12" s="41">
        <v>0</v>
      </c>
      <c r="K12" s="36">
        <f>[1]!Table3[[#This Row],[Residential Incentive Disbursements]]/'[1]1.) CLM Reference'!$B$5</f>
        <v>0</v>
      </c>
      <c r="L12" s="37">
        <v>0</v>
      </c>
      <c r="M12" s="36">
        <f>[1]!Table3[[#This Row],[C&amp;I CLM $ Collected]]/'[1]1.) CLM Reference'!$B$4</f>
        <v>0</v>
      </c>
      <c r="N12" s="41">
        <v>0</v>
      </c>
      <c r="O12" s="36">
        <f>[1]!Table3[[#This Row],[C&amp;I Incentive Disbursements]]/'[1]1.) CLM Reference'!$B$5</f>
        <v>0</v>
      </c>
      <c r="Q12">
        <f>VLOOKUP(Table3[[#This Row],[Census Tract]],'Population and Diversity Data'!$B$2:$K$823,10,FALSE)</f>
        <v>3</v>
      </c>
      <c r="R12" t="str">
        <f>VLOOKUP(Table3[[#This Row],[Census Tract]],'ES Energy Burden'!$B$2:$E$914,4,FALSE)</f>
        <v>No</v>
      </c>
    </row>
    <row r="13" spans="1:19" x14ac:dyDescent="0.2">
      <c r="A13" s="100">
        <v>9003462101</v>
      </c>
      <c r="B13" s="38" t="s">
        <v>2733</v>
      </c>
      <c r="C13" s="38" t="s">
        <v>944</v>
      </c>
      <c r="D13" s="40">
        <f>[1]!Table3[[#This Row],[Residential CLM $ Collected]]+[1]!Table3[[#This Row],[C&amp;I CLM $ Collected]]</f>
        <v>275379.37238880002</v>
      </c>
      <c r="E13" s="36">
        <f>[1]!Table3[[#This Row],[CLM $ Collected ]]/'[1]1.) CLM Reference'!$B$4</f>
        <v>2.4430670897028005E-3</v>
      </c>
      <c r="F13" s="40">
        <f>[1]!Table3[[#This Row],[Residential Incentive Disbursements]]+[1]!Table3[[#This Row],[C&amp;I Incentive Disbursements]]</f>
        <v>220994.56520000001</v>
      </c>
      <c r="G13" s="36">
        <f>[1]!Table3[[#This Row],[Incentive Disbursements]]/'[1]1.) CLM Reference'!$B$5</f>
        <v>2.7037916177447829E-3</v>
      </c>
      <c r="H13" s="40">
        <v>138431.24565696</v>
      </c>
      <c r="I13" s="36">
        <f>[1]!Table3[[#This Row],[Residential CLM $ Collected]]/'[1]1.) CLM Reference'!$B$4</f>
        <v>1.2281123946117235E-3</v>
      </c>
      <c r="J13" s="41">
        <v>186175.93520000001</v>
      </c>
      <c r="K13" s="36">
        <f>[1]!Table3[[#This Row],[Residential Incentive Disbursements]]/'[1]1.) CLM Reference'!$B$5</f>
        <v>2.2777977936425551E-3</v>
      </c>
      <c r="L13" s="37">
        <v>136948.12673184002</v>
      </c>
      <c r="M13" s="36">
        <f>[1]!Table3[[#This Row],[C&amp;I CLM $ Collected]]/'[1]1.) CLM Reference'!$B$4</f>
        <v>1.214954695091077E-3</v>
      </c>
      <c r="N13" s="41">
        <v>34818.629999999997</v>
      </c>
      <c r="O13" s="36">
        <f>[1]!Table3[[#This Row],[C&amp;I Incentive Disbursements]]/'[1]1.) CLM Reference'!$B$5</f>
        <v>4.2599382410222732E-4</v>
      </c>
      <c r="Q13">
        <f>VLOOKUP(Table3[[#This Row],[Census Tract]],'Population and Diversity Data'!$B$2:$K$823,10,FALSE)</f>
        <v>4</v>
      </c>
      <c r="R13" t="str">
        <f>VLOOKUP(Table3[[#This Row],[Census Tract]],'ES Energy Burden'!$B$2:$E$914,4,FALSE)</f>
        <v>No</v>
      </c>
    </row>
    <row r="14" spans="1:19" x14ac:dyDescent="0.2">
      <c r="A14" s="100">
        <v>9003462102</v>
      </c>
      <c r="B14" s="38" t="s">
        <v>2733</v>
      </c>
      <c r="C14" s="38" t="s">
        <v>944</v>
      </c>
      <c r="D14" s="40">
        <f>[1]!Table3[[#This Row],[Residential CLM $ Collected]]+[1]!Table3[[#This Row],[C&amp;I CLM $ Collected]]</f>
        <v>95029.398115199991</v>
      </c>
      <c r="E14" s="36">
        <f>[1]!Table3[[#This Row],[CLM $ Collected ]]/'[1]1.) CLM Reference'!$B$4</f>
        <v>8.4306675941481224E-4</v>
      </c>
      <c r="F14" s="40">
        <f>[1]!Table3[[#This Row],[Residential Incentive Disbursements]]+[1]!Table3[[#This Row],[C&amp;I Incentive Disbursements]]</f>
        <v>14426.35</v>
      </c>
      <c r="G14" s="36">
        <f>[1]!Table3[[#This Row],[Incentive Disbursements]]/'[1]1.) CLM Reference'!$B$5</f>
        <v>1.7650137309644775E-4</v>
      </c>
      <c r="H14" s="40">
        <v>95029.398115199991</v>
      </c>
      <c r="I14" s="36">
        <f>[1]!Table3[[#This Row],[Residential CLM $ Collected]]/'[1]1.) CLM Reference'!$B$4</f>
        <v>8.4306675941481224E-4</v>
      </c>
      <c r="J14" s="41">
        <v>14426.35</v>
      </c>
      <c r="K14" s="36">
        <f>[1]!Table3[[#This Row],[Residential Incentive Disbursements]]/'[1]1.) CLM Reference'!$B$5</f>
        <v>1.7650137309644775E-4</v>
      </c>
      <c r="L14" s="37">
        <v>0</v>
      </c>
      <c r="M14" s="36">
        <f>[1]!Table3[[#This Row],[C&amp;I CLM $ Collected]]/'[1]1.) CLM Reference'!$B$4</f>
        <v>0</v>
      </c>
      <c r="N14" s="41">
        <v>0</v>
      </c>
      <c r="O14" s="36">
        <f>[1]!Table3[[#This Row],[C&amp;I Incentive Disbursements]]/'[1]1.) CLM Reference'!$B$5</f>
        <v>0</v>
      </c>
      <c r="Q14">
        <f>VLOOKUP(Table3[[#This Row],[Census Tract]],'Population and Diversity Data'!$B$2:$K$823,10,FALSE)</f>
        <v>4</v>
      </c>
      <c r="R14" t="str">
        <f>VLOOKUP(Table3[[#This Row],[Census Tract]],'ES Energy Burden'!$B$2:$E$914,4,FALSE)</f>
        <v>No</v>
      </c>
    </row>
    <row r="15" spans="1:19" x14ac:dyDescent="0.2">
      <c r="A15" s="100">
        <v>9003462201</v>
      </c>
      <c r="B15" s="38" t="s">
        <v>2733</v>
      </c>
      <c r="C15" s="38" t="s">
        <v>944</v>
      </c>
      <c r="D15" s="40">
        <f>[1]!Table3[[#This Row],[Residential CLM $ Collected]]+[1]!Table3[[#This Row],[C&amp;I CLM $ Collected]]</f>
        <v>111900.19984415999</v>
      </c>
      <c r="E15" s="36">
        <f>[1]!Table3[[#This Row],[CLM $ Collected ]]/'[1]1.) CLM Reference'!$B$4</f>
        <v>9.9273846548120171E-4</v>
      </c>
      <c r="F15" s="40">
        <f>[1]!Table3[[#This Row],[Residential Incentive Disbursements]]+[1]!Table3[[#This Row],[C&amp;I Incentive Disbursements]]</f>
        <v>68021.914199999999</v>
      </c>
      <c r="G15" s="36">
        <f>[1]!Table3[[#This Row],[Incentive Disbursements]]/'[1]1.) CLM Reference'!$B$5</f>
        <v>8.3222445434560758E-4</v>
      </c>
      <c r="H15" s="40">
        <v>111899.55728735999</v>
      </c>
      <c r="I15" s="36">
        <f>[1]!Table3[[#This Row],[Residential CLM $ Collected]]/'[1]1.) CLM Reference'!$B$4</f>
        <v>9.9273276494757866E-4</v>
      </c>
      <c r="J15" s="41">
        <v>68021.914199999999</v>
      </c>
      <c r="K15" s="36">
        <f>[1]!Table3[[#This Row],[Residential Incentive Disbursements]]/'[1]1.) CLM Reference'!$B$5</f>
        <v>8.3222445434560758E-4</v>
      </c>
      <c r="L15" s="37">
        <v>0.64255680000000004</v>
      </c>
      <c r="M15" s="36">
        <f>[1]!Table3[[#This Row],[C&amp;I CLM $ Collected]]/'[1]1.) CLM Reference'!$B$4</f>
        <v>5.7005336228611085E-9</v>
      </c>
      <c r="N15" s="41">
        <v>0</v>
      </c>
      <c r="O15" s="36">
        <f>[1]!Table3[[#This Row],[C&amp;I Incentive Disbursements]]/'[1]1.) CLM Reference'!$B$5</f>
        <v>0</v>
      </c>
      <c r="Q15">
        <f>VLOOKUP(Table3[[#This Row],[Census Tract]],'Population and Diversity Data'!$B$2:$K$823,10,FALSE)</f>
        <v>4</v>
      </c>
      <c r="R15" t="str">
        <f>VLOOKUP(Table3[[#This Row],[Census Tract]],'ES Energy Burden'!$B$2:$E$914,4,FALSE)</f>
        <v>No</v>
      </c>
    </row>
    <row r="16" spans="1:19" x14ac:dyDescent="0.2">
      <c r="A16" s="100">
        <v>9003462202</v>
      </c>
      <c r="B16" s="38" t="s">
        <v>2733</v>
      </c>
      <c r="C16" s="38" t="s">
        <v>944</v>
      </c>
      <c r="D16" s="40">
        <f>[1]!Table3[[#This Row],[Residential CLM $ Collected]]+[1]!Table3[[#This Row],[C&amp;I CLM $ Collected]]</f>
        <v>83246.663882880006</v>
      </c>
      <c r="E16" s="36">
        <f>[1]!Table3[[#This Row],[CLM $ Collected ]]/'[1]1.) CLM Reference'!$B$4</f>
        <v>7.3853456450134053E-4</v>
      </c>
      <c r="F16" s="40">
        <f>[1]!Table3[[#This Row],[Residential Incentive Disbursements]]+[1]!Table3[[#This Row],[C&amp;I Incentive Disbursements]]</f>
        <v>17796.78</v>
      </c>
      <c r="G16" s="36">
        <f>[1]!Table3[[#This Row],[Incentive Disbursements]]/'[1]1.) CLM Reference'!$B$5</f>
        <v>2.1773741152095983E-4</v>
      </c>
      <c r="H16" s="40">
        <v>83246.663882880006</v>
      </c>
      <c r="I16" s="36">
        <f>[1]!Table3[[#This Row],[Residential CLM $ Collected]]/'[1]1.) CLM Reference'!$B$4</f>
        <v>7.3853456450134053E-4</v>
      </c>
      <c r="J16" s="41">
        <v>17796.78</v>
      </c>
      <c r="K16" s="36">
        <f>[1]!Table3[[#This Row],[Residential Incentive Disbursements]]/'[1]1.) CLM Reference'!$B$5</f>
        <v>2.1773741152095983E-4</v>
      </c>
      <c r="L16" s="37">
        <v>0</v>
      </c>
      <c r="M16" s="36">
        <f>[1]!Table3[[#This Row],[C&amp;I CLM $ Collected]]/'[1]1.) CLM Reference'!$B$4</f>
        <v>0</v>
      </c>
      <c r="N16" s="41">
        <v>0</v>
      </c>
      <c r="O16" s="36">
        <f>[1]!Table3[[#This Row],[C&amp;I Incentive Disbursements]]/'[1]1.) CLM Reference'!$B$5</f>
        <v>0</v>
      </c>
      <c r="Q16">
        <f>VLOOKUP(Table3[[#This Row],[Census Tract]],'Population and Diversity Data'!$B$2:$K$823,10,FALSE)</f>
        <v>5</v>
      </c>
      <c r="R16" t="str">
        <f>VLOOKUP(Table3[[#This Row],[Census Tract]],'ES Energy Burden'!$B$2:$E$914,4,FALSE)</f>
        <v>No</v>
      </c>
    </row>
    <row r="17" spans="1:18" x14ac:dyDescent="0.2">
      <c r="A17" s="100">
        <v>9003330100</v>
      </c>
      <c r="B17" s="38" t="s">
        <v>2734</v>
      </c>
      <c r="C17" s="38" t="s">
        <v>944</v>
      </c>
      <c r="D17" s="40">
        <f>[1]!Table3[[#This Row],[Residential CLM $ Collected]]+[1]!Table3[[#This Row],[C&amp;I CLM $ Collected]]</f>
        <v>3140.5924540799997</v>
      </c>
      <c r="E17" s="36">
        <f>[1]!Table3[[#This Row],[CLM $ Collected ]]/'[1]1.) CLM Reference'!$B$4</f>
        <v>2.7862210593969155E-5</v>
      </c>
      <c r="F17" s="40">
        <f>[1]!Table3[[#This Row],[Residential Incentive Disbursements]]+[1]!Table3[[#This Row],[C&amp;I Incentive Disbursements]]</f>
        <v>0</v>
      </c>
      <c r="G17" s="36">
        <f>[1]!Table3[[#This Row],[Incentive Disbursements]]/'[1]1.) CLM Reference'!$B$5</f>
        <v>0</v>
      </c>
      <c r="H17" s="40">
        <v>3140.5924540799997</v>
      </c>
      <c r="I17" s="36">
        <f>[1]!Table3[[#This Row],[Residential CLM $ Collected]]/'[1]1.) CLM Reference'!$B$4</f>
        <v>2.7862210593969155E-5</v>
      </c>
      <c r="J17" s="41">
        <v>0</v>
      </c>
      <c r="K17" s="36">
        <f>[1]!Table3[[#This Row],[Residential Incentive Disbursements]]/'[1]1.) CLM Reference'!$B$5</f>
        <v>0</v>
      </c>
      <c r="L17" s="37">
        <v>0</v>
      </c>
      <c r="M17" s="36">
        <f>[1]!Table3[[#This Row],[C&amp;I CLM $ Collected]]/'[1]1.) CLM Reference'!$B$4</f>
        <v>0</v>
      </c>
      <c r="N17" s="41">
        <v>0</v>
      </c>
      <c r="O17" s="36">
        <f>[1]!Table3[[#This Row],[C&amp;I Incentive Disbursements]]/'[1]1.) CLM Reference'!$B$5</f>
        <v>0</v>
      </c>
      <c r="Q17">
        <f>VLOOKUP(Table3[[#This Row],[Census Tract]],'Population and Diversity Data'!$B$2:$K$823,10,FALSE)</f>
        <v>3</v>
      </c>
      <c r="R17" t="str">
        <f>VLOOKUP(Table3[[#This Row],[Census Tract]],'ES Energy Burden'!$B$2:$E$914,4,FALSE)</f>
        <v>No</v>
      </c>
    </row>
    <row r="18" spans="1:18" x14ac:dyDescent="0.2">
      <c r="A18" s="100">
        <v>9005290100</v>
      </c>
      <c r="B18" s="38" t="s">
        <v>2734</v>
      </c>
      <c r="C18" s="38" t="s">
        <v>944</v>
      </c>
      <c r="D18" s="40">
        <f>[1]!Table3[[#This Row],[Residential CLM $ Collected]]+[1]!Table3[[#This Row],[C&amp;I CLM $ Collected]]</f>
        <v>80928.668013120012</v>
      </c>
      <c r="E18" s="36">
        <f>[1]!Table3[[#This Row],[CLM $ Collected ]]/'[1]1.) CLM Reference'!$B$4</f>
        <v>7.1797013596643121E-4</v>
      </c>
      <c r="F18" s="40">
        <f>[1]!Table3[[#This Row],[Residential Incentive Disbursements]]+[1]!Table3[[#This Row],[C&amp;I Incentive Disbursements]]</f>
        <v>51220.400099999999</v>
      </c>
      <c r="G18" s="36">
        <f>[1]!Table3[[#This Row],[Incentive Disbursements]]/'[1]1.) CLM Reference'!$B$5</f>
        <v>6.2666377484252279E-4</v>
      </c>
      <c r="H18" s="40">
        <v>72807.389144640008</v>
      </c>
      <c r="I18" s="36">
        <f>[1]!Table3[[#This Row],[Residential CLM $ Collected]]/'[1]1.) CLM Reference'!$B$4</f>
        <v>6.4592106069339436E-4</v>
      </c>
      <c r="J18" s="41">
        <v>47244.700100000002</v>
      </c>
      <c r="K18" s="36">
        <f>[1]!Table3[[#This Row],[Residential Incentive Disbursements]]/'[1]1.) CLM Reference'!$B$5</f>
        <v>5.7802246855094195E-4</v>
      </c>
      <c r="L18" s="37">
        <v>8121.2788684800007</v>
      </c>
      <c r="M18" s="36">
        <f>[1]!Table3[[#This Row],[C&amp;I CLM $ Collected]]/'[1]1.) CLM Reference'!$B$4</f>
        <v>7.2049075273036814E-5</v>
      </c>
      <c r="N18" s="41">
        <v>3975.7</v>
      </c>
      <c r="O18" s="36">
        <f>[1]!Table3[[#This Row],[C&amp;I Incentive Disbursements]]/'[1]1.) CLM Reference'!$B$5</f>
        <v>4.8641306291580841E-5</v>
      </c>
      <c r="Q18">
        <f>VLOOKUP(Table3[[#This Row],[Census Tract]],'Population and Diversity Data'!$B$2:$K$823,10,FALSE)</f>
        <v>2</v>
      </c>
      <c r="R18" t="str">
        <f>VLOOKUP(Table3[[#This Row],[Census Tract]],'ES Energy Burden'!$B$2:$E$914,4,FALSE)</f>
        <v>No</v>
      </c>
    </row>
    <row r="19" spans="1:18" x14ac:dyDescent="0.2">
      <c r="A19" s="100">
        <v>9005320100</v>
      </c>
      <c r="B19" s="38" t="s">
        <v>2734</v>
      </c>
      <c r="C19" s="38" t="s">
        <v>944</v>
      </c>
      <c r="D19" s="40">
        <f>[1]!Table3[[#This Row],[Residential CLM $ Collected]]+[1]!Table3[[#This Row],[C&amp;I CLM $ Collected]]</f>
        <v>168.22252800000001</v>
      </c>
      <c r="E19" s="36">
        <f>[1]!Table3[[#This Row],[CLM $ Collected ]]/'[1]1.) CLM Reference'!$B$4</f>
        <v>1.4924099736967913E-6</v>
      </c>
      <c r="F19" s="40">
        <f>[1]!Table3[[#This Row],[Residential Incentive Disbursements]]+[1]!Table3[[#This Row],[C&amp;I Incentive Disbursements]]</f>
        <v>0</v>
      </c>
      <c r="G19" s="36">
        <f>[1]!Table3[[#This Row],[Incentive Disbursements]]/'[1]1.) CLM Reference'!$B$5</f>
        <v>0</v>
      </c>
      <c r="H19" s="40">
        <v>168.22252800000001</v>
      </c>
      <c r="I19" s="36">
        <f>[1]!Table3[[#This Row],[Residential CLM $ Collected]]/'[1]1.) CLM Reference'!$B$4</f>
        <v>1.4924099736967913E-6</v>
      </c>
      <c r="J19" s="41">
        <v>0</v>
      </c>
      <c r="K19" s="36">
        <f>[1]!Table3[[#This Row],[Residential Incentive Disbursements]]/'[1]1.) CLM Reference'!$B$5</f>
        <v>0</v>
      </c>
      <c r="L19" s="37">
        <v>0</v>
      </c>
      <c r="M19" s="36">
        <f>[1]!Table3[[#This Row],[C&amp;I CLM $ Collected]]/'[1]1.) CLM Reference'!$B$4</f>
        <v>0</v>
      </c>
      <c r="N19" s="41">
        <v>0</v>
      </c>
      <c r="O19" s="36">
        <f>[1]!Table3[[#This Row],[C&amp;I Incentive Disbursements]]/'[1]1.) CLM Reference'!$B$5</f>
        <v>0</v>
      </c>
      <c r="Q19">
        <f>VLOOKUP(Table3[[#This Row],[Census Tract]],'Population and Diversity Data'!$B$2:$K$823,10,FALSE)</f>
        <v>1</v>
      </c>
      <c r="R19" t="str">
        <f>VLOOKUP(Table3[[#This Row],[Census Tract]],'ES Energy Burden'!$B$2:$E$914,4,FALSE)</f>
        <v>No</v>
      </c>
    </row>
    <row r="20" spans="1:18" x14ac:dyDescent="0.2">
      <c r="A20" s="100">
        <v>9009130101</v>
      </c>
      <c r="B20" s="38" t="s">
        <v>2735</v>
      </c>
      <c r="C20" s="38" t="s">
        <v>944</v>
      </c>
      <c r="D20" s="40">
        <f>[1]!Table3[[#This Row],[Residential CLM $ Collected]]+[1]!Table3[[#This Row],[C&amp;I CLM $ Collected]]</f>
        <v>639.00826559999996</v>
      </c>
      <c r="E20" s="36">
        <f>[1]!Table3[[#This Row],[CLM $ Collected ]]/'[1]1.) CLM Reference'!$B$4</f>
        <v>5.6690522975384611E-6</v>
      </c>
      <c r="F20" s="40">
        <f>[1]!Table3[[#This Row],[Residential Incentive Disbursements]]+[1]!Table3[[#This Row],[C&amp;I Incentive Disbursements]]</f>
        <v>0</v>
      </c>
      <c r="G20" s="36">
        <f>[1]!Table3[[#This Row],[Incentive Disbursements]]/'[1]1.) CLM Reference'!$B$5</f>
        <v>0</v>
      </c>
      <c r="H20" s="40">
        <v>639.00826559999996</v>
      </c>
      <c r="I20" s="36">
        <f>[1]!Table3[[#This Row],[Residential CLM $ Collected]]/'[1]1.) CLM Reference'!$B$4</f>
        <v>5.6690522975384611E-6</v>
      </c>
      <c r="J20" s="41">
        <v>0</v>
      </c>
      <c r="K20" s="36">
        <f>[1]!Table3[[#This Row],[Residential Incentive Disbursements]]/'[1]1.) CLM Reference'!$B$5</f>
        <v>0</v>
      </c>
      <c r="L20" s="37">
        <v>0</v>
      </c>
      <c r="M20" s="36">
        <f>[1]!Table3[[#This Row],[C&amp;I CLM $ Collected]]/'[1]1.) CLM Reference'!$B$4</f>
        <v>0</v>
      </c>
      <c r="N20" s="41">
        <v>0</v>
      </c>
      <c r="O20" s="36">
        <f>[1]!Table3[[#This Row],[C&amp;I Incentive Disbursements]]/'[1]1.) CLM Reference'!$B$5</f>
        <v>0</v>
      </c>
      <c r="Q20">
        <f>VLOOKUP(Table3[[#This Row],[Census Tract]],'Population and Diversity Data'!$B$2:$K$823,10,FALSE)</f>
        <v>2</v>
      </c>
      <c r="R20" t="str">
        <f>VLOOKUP(Table3[[#This Row],[Census Tract]],'ES Energy Burden'!$B$2:$E$914,4,FALSE)</f>
        <v>No</v>
      </c>
    </row>
    <row r="21" spans="1:18" x14ac:dyDescent="0.2">
      <c r="A21" s="100">
        <v>9009341100</v>
      </c>
      <c r="B21" s="38" t="s">
        <v>2735</v>
      </c>
      <c r="C21" s="38" t="s">
        <v>944</v>
      </c>
      <c r="D21" s="40">
        <f>[1]!Table3[[#This Row],[Residential CLM $ Collected]]+[1]!Table3[[#This Row],[C&amp;I CLM $ Collected]]</f>
        <v>139240.40006879999</v>
      </c>
      <c r="E21" s="36">
        <f>[1]!Table3[[#This Row],[CLM $ Collected ]]/'[1]1.) CLM Reference'!$B$4</f>
        <v>1.235290922534516E-3</v>
      </c>
      <c r="F21" s="40">
        <f>[1]!Table3[[#This Row],[Residential Incentive Disbursements]]+[1]!Table3[[#This Row],[C&amp;I Incentive Disbursements]]</f>
        <v>125450.95</v>
      </c>
      <c r="G21" s="36">
        <f>[1]!Table3[[#This Row],[Incentive Disbursements]]/'[1]1.) CLM Reference'!$B$5</f>
        <v>1.5348487268958405E-3</v>
      </c>
      <c r="H21" s="40">
        <v>113902.65690912001</v>
      </c>
      <c r="I21" s="36">
        <f>[1]!Table3[[#This Row],[Residential CLM $ Collected]]/'[1]1.) CLM Reference'!$B$4</f>
        <v>1.0105035468360956E-3</v>
      </c>
      <c r="J21" s="41">
        <v>123113.15</v>
      </c>
      <c r="K21" s="36">
        <f>[1]!Table3[[#This Row],[Residential Incentive Disbursements]]/'[1]1.) CLM Reference'!$B$5</f>
        <v>1.5062465572531468E-3</v>
      </c>
      <c r="L21" s="37">
        <v>25337.743159679998</v>
      </c>
      <c r="M21" s="36">
        <f>[1]!Table3[[#This Row],[C&amp;I CLM $ Collected]]/'[1]1.) CLM Reference'!$B$4</f>
        <v>2.2478737569842056E-4</v>
      </c>
      <c r="N21" s="41">
        <v>2337.8000000000002</v>
      </c>
      <c r="O21" s="36">
        <f>[1]!Table3[[#This Row],[C&amp;I Incentive Disbursements]]/'[1]1.) CLM Reference'!$B$5</f>
        <v>2.8602169642693788E-5</v>
      </c>
      <c r="Q21">
        <f>VLOOKUP(Table3[[#This Row],[Census Tract]],'Population and Diversity Data'!$B$2:$K$823,10,FALSE)</f>
        <v>1</v>
      </c>
      <c r="R21" t="str">
        <f>VLOOKUP(Table3[[#This Row],[Census Tract]],'ES Energy Burden'!$B$2:$E$914,4,FALSE)</f>
        <v>No</v>
      </c>
    </row>
    <row r="22" spans="1:18" x14ac:dyDescent="0.2">
      <c r="A22" s="100">
        <v>9003400100</v>
      </c>
      <c r="B22" s="38" t="s">
        <v>2736</v>
      </c>
      <c r="C22" s="38" t="s">
        <v>944</v>
      </c>
      <c r="D22" s="40">
        <f>[1]!Table3[[#This Row],[Residential CLM $ Collected]]+[1]!Table3[[#This Row],[C&amp;I CLM $ Collected]]</f>
        <v>308615.61708</v>
      </c>
      <c r="E22" s="36">
        <f>[1]!Table3[[#This Row],[CLM $ Collected ]]/'[1]1.) CLM Reference'!$B$4</f>
        <v>2.7379271399891325E-3</v>
      </c>
      <c r="F22" s="40">
        <f>[1]!Table3[[#This Row],[Residential Incentive Disbursements]]+[1]!Table3[[#This Row],[C&amp;I Incentive Disbursements]]</f>
        <v>439874.09740000003</v>
      </c>
      <c r="G22" s="36">
        <f>[1]!Table3[[#This Row],[Incentive Disbursements]]/'[1]1.) CLM Reference'!$B$5</f>
        <v>5.3817065425877369E-3</v>
      </c>
      <c r="H22" s="40">
        <v>134773.82566560002</v>
      </c>
      <c r="I22" s="36">
        <f>[1]!Table3[[#This Row],[Residential CLM $ Collected]]/'[1]1.) CLM Reference'!$B$4</f>
        <v>1.1956650753495632E-3</v>
      </c>
      <c r="J22" s="41">
        <v>362603.68420000002</v>
      </c>
      <c r="K22" s="36">
        <f>[1]!Table3[[#This Row],[Residential Incentive Disbursements]]/'[1]1.) CLM Reference'!$B$5</f>
        <v>4.4363299206750641E-3</v>
      </c>
      <c r="L22" s="37">
        <v>173841.79141439998</v>
      </c>
      <c r="M22" s="36">
        <f>[1]!Table3[[#This Row],[C&amp;I CLM $ Collected]]/'[1]1.) CLM Reference'!$B$4</f>
        <v>1.5422620646395691E-3</v>
      </c>
      <c r="N22" s="41">
        <v>77270.413199999995</v>
      </c>
      <c r="O22" s="36">
        <f>[1]!Table3[[#This Row],[C&amp;I Incentive Disbursements]]/'[1]1.) CLM Reference'!$B$5</f>
        <v>9.4537662191267224E-4</v>
      </c>
      <c r="Q22">
        <f>VLOOKUP(Table3[[#This Row],[Census Tract]],'Population and Diversity Data'!$B$2:$K$823,10,FALSE)</f>
        <v>2</v>
      </c>
      <c r="R22" t="str">
        <f>VLOOKUP(Table3[[#This Row],[Census Tract]],'ES Energy Burden'!$B$2:$E$914,4,FALSE)</f>
        <v>No</v>
      </c>
    </row>
    <row r="23" spans="1:18" x14ac:dyDescent="0.2">
      <c r="A23" s="100">
        <v>9003400200</v>
      </c>
      <c r="B23" s="38" t="s">
        <v>2736</v>
      </c>
      <c r="C23" s="38" t="s">
        <v>944</v>
      </c>
      <c r="D23" s="40">
        <f>[1]!Table3[[#This Row],[Residential CLM $ Collected]]+[1]!Table3[[#This Row],[C&amp;I CLM $ Collected]]</f>
        <v>119228.18040288001</v>
      </c>
      <c r="E23" s="36">
        <f>[1]!Table3[[#This Row],[CLM $ Collected ]]/'[1]1.) CLM Reference'!$B$4</f>
        <v>1.0577496824859178E-3</v>
      </c>
      <c r="F23" s="40">
        <f>[1]!Table3[[#This Row],[Residential Incentive Disbursements]]+[1]!Table3[[#This Row],[C&amp;I Incentive Disbursements]]</f>
        <v>19579.490000000002</v>
      </c>
      <c r="G23" s="36">
        <f>[1]!Table3[[#This Row],[Incentive Disbursements]]/'[1]1.) CLM Reference'!$B$5</f>
        <v>2.3954824813817547E-4</v>
      </c>
      <c r="H23" s="40">
        <v>119228.18040288001</v>
      </c>
      <c r="I23" s="36">
        <f>[1]!Table3[[#This Row],[Residential CLM $ Collected]]/'[1]1.) CLM Reference'!$B$4</f>
        <v>1.0577496824859178E-3</v>
      </c>
      <c r="J23" s="41">
        <v>19579.490000000002</v>
      </c>
      <c r="K23" s="36">
        <f>[1]!Table3[[#This Row],[Residential Incentive Disbursements]]/'[1]1.) CLM Reference'!$B$5</f>
        <v>2.3954824813817547E-4</v>
      </c>
      <c r="L23" s="37">
        <v>0</v>
      </c>
      <c r="M23" s="36">
        <f>[1]!Table3[[#This Row],[C&amp;I CLM $ Collected]]/'[1]1.) CLM Reference'!$B$4</f>
        <v>0</v>
      </c>
      <c r="N23" s="41">
        <v>0</v>
      </c>
      <c r="O23" s="36">
        <f>[1]!Table3[[#This Row],[C&amp;I Incentive Disbursements]]/'[1]1.) CLM Reference'!$B$5</f>
        <v>0</v>
      </c>
      <c r="Q23">
        <f>VLOOKUP(Table3[[#This Row],[Census Tract]],'Population and Diversity Data'!$B$2:$K$823,10,FALSE)</f>
        <v>2</v>
      </c>
      <c r="R23" t="str">
        <f>VLOOKUP(Table3[[#This Row],[Census Tract]],'ES Energy Burden'!$B$2:$E$914,4,FALSE)</f>
        <v>No</v>
      </c>
    </row>
    <row r="24" spans="1:18" x14ac:dyDescent="0.2">
      <c r="A24" s="100">
        <v>9003400300</v>
      </c>
      <c r="B24" s="38" t="s">
        <v>2736</v>
      </c>
      <c r="C24" s="38" t="s">
        <v>944</v>
      </c>
      <c r="D24" s="40">
        <f>[1]!Table3[[#This Row],[Residential CLM $ Collected]]+[1]!Table3[[#This Row],[C&amp;I CLM $ Collected]]</f>
        <v>118629.3053088</v>
      </c>
      <c r="E24" s="36">
        <f>[1]!Table3[[#This Row],[CLM $ Collected ]]/'[1]1.) CLM Reference'!$B$4</f>
        <v>1.0524366773014778E-3</v>
      </c>
      <c r="F24" s="40">
        <f>[1]!Table3[[#This Row],[Residential Incentive Disbursements]]+[1]!Table3[[#This Row],[C&amp;I Incentive Disbursements]]</f>
        <v>26337.480200000002</v>
      </c>
      <c r="G24" s="36">
        <f>[1]!Table3[[#This Row],[Incentive Disbursements]]/'[1]1.) CLM Reference'!$B$5</f>
        <v>3.2222990702433432E-4</v>
      </c>
      <c r="H24" s="40">
        <v>118629.3053088</v>
      </c>
      <c r="I24" s="36">
        <f>[1]!Table3[[#This Row],[Residential CLM $ Collected]]/'[1]1.) CLM Reference'!$B$4</f>
        <v>1.0524366773014778E-3</v>
      </c>
      <c r="J24" s="41">
        <v>26337.480200000002</v>
      </c>
      <c r="K24" s="36">
        <f>[1]!Table3[[#This Row],[Residential Incentive Disbursements]]/'[1]1.) CLM Reference'!$B$5</f>
        <v>3.2222990702433432E-4</v>
      </c>
      <c r="L24" s="37">
        <v>0</v>
      </c>
      <c r="M24" s="36">
        <f>[1]!Table3[[#This Row],[C&amp;I CLM $ Collected]]/'[1]1.) CLM Reference'!$B$4</f>
        <v>0</v>
      </c>
      <c r="N24" s="41">
        <v>0</v>
      </c>
      <c r="O24" s="36">
        <f>[1]!Table3[[#This Row],[C&amp;I Incentive Disbursements]]/'[1]1.) CLM Reference'!$B$5</f>
        <v>0</v>
      </c>
      <c r="Q24">
        <f>VLOOKUP(Table3[[#This Row],[Census Tract]],'Population and Diversity Data'!$B$2:$K$823,10,FALSE)</f>
        <v>2</v>
      </c>
      <c r="R24" t="str">
        <f>VLOOKUP(Table3[[#This Row],[Census Tract]],'ES Energy Burden'!$B$2:$E$914,4,FALSE)</f>
        <v>No</v>
      </c>
    </row>
    <row r="25" spans="1:18" x14ac:dyDescent="0.2">
      <c r="A25" s="100">
        <v>9003490302</v>
      </c>
      <c r="B25" s="38" t="s">
        <v>2736</v>
      </c>
      <c r="C25" s="38" t="s">
        <v>944</v>
      </c>
      <c r="D25" s="40">
        <f>[1]!Table3[[#This Row],[Residential CLM $ Collected]]+[1]!Table3[[#This Row],[C&amp;I CLM $ Collected]]</f>
        <v>76.724755200000004</v>
      </c>
      <c r="E25" s="36">
        <f>[1]!Table3[[#This Row],[CLM $ Collected ]]/'[1]1.) CLM Reference'!$B$4</f>
        <v>6.8067452826487507E-7</v>
      </c>
      <c r="F25" s="40">
        <f>[1]!Table3[[#This Row],[Residential Incentive Disbursements]]+[1]!Table3[[#This Row],[C&amp;I Incentive Disbursements]]</f>
        <v>0</v>
      </c>
      <c r="G25" s="36">
        <f>[1]!Table3[[#This Row],[Incentive Disbursements]]/'[1]1.) CLM Reference'!$B$5</f>
        <v>0</v>
      </c>
      <c r="H25" s="40">
        <v>76.724755200000004</v>
      </c>
      <c r="I25" s="36">
        <f>[1]!Table3[[#This Row],[Residential CLM $ Collected]]/'[1]1.) CLM Reference'!$B$4</f>
        <v>6.8067452826487507E-7</v>
      </c>
      <c r="J25" s="41">
        <v>0</v>
      </c>
      <c r="K25" s="36">
        <f>[1]!Table3[[#This Row],[Residential Incentive Disbursements]]/'[1]1.) CLM Reference'!$B$5</f>
        <v>0</v>
      </c>
      <c r="L25" s="37">
        <v>0</v>
      </c>
      <c r="M25" s="36">
        <f>[1]!Table3[[#This Row],[C&amp;I CLM $ Collected]]/'[1]1.) CLM Reference'!$B$4</f>
        <v>0</v>
      </c>
      <c r="N25" s="41">
        <v>0</v>
      </c>
      <c r="O25" s="36">
        <f>[1]!Table3[[#This Row],[C&amp;I Incentive Disbursements]]/'[1]1.) CLM Reference'!$B$5</f>
        <v>0</v>
      </c>
      <c r="Q25">
        <f>VLOOKUP(Table3[[#This Row],[Census Tract]],'Population and Diversity Data'!$B$2:$K$823,10,FALSE)</f>
        <v>5</v>
      </c>
      <c r="R25" t="str">
        <f>VLOOKUP(Table3[[#This Row],[Census Tract]],'ES Energy Burden'!$B$2:$E$914,4,FALSE)</f>
        <v>No</v>
      </c>
    </row>
    <row r="26" spans="1:18" x14ac:dyDescent="0.2">
      <c r="A26" s="100">
        <v>9009171600</v>
      </c>
      <c r="B26" s="38" t="s">
        <v>2736</v>
      </c>
      <c r="C26" s="38" t="s">
        <v>944</v>
      </c>
      <c r="D26" s="40">
        <f>[1]!Table3[[#This Row],[Residential CLM $ Collected]]+[1]!Table3[[#This Row],[C&amp;I CLM $ Collected]]</f>
        <v>154.1210112</v>
      </c>
      <c r="E26" s="36">
        <f>[1]!Table3[[#This Row],[CLM $ Collected ]]/'[1]1.) CLM Reference'!$B$4</f>
        <v>1.3673063709464338E-6</v>
      </c>
      <c r="F26" s="40">
        <f>[1]!Table3[[#This Row],[Residential Incentive Disbursements]]+[1]!Table3[[#This Row],[C&amp;I Incentive Disbursements]]</f>
        <v>228.35</v>
      </c>
      <c r="G26" s="36">
        <f>[1]!Table3[[#This Row],[Incentive Disbursements]]/'[1]1.) CLM Reference'!$B$5</f>
        <v>2.7937828034515895E-6</v>
      </c>
      <c r="H26" s="40">
        <v>154.1210112</v>
      </c>
      <c r="I26" s="36">
        <f>[1]!Table3[[#This Row],[Residential CLM $ Collected]]/'[1]1.) CLM Reference'!$B$4</f>
        <v>1.3673063709464338E-6</v>
      </c>
      <c r="J26" s="41">
        <v>228.35</v>
      </c>
      <c r="K26" s="36">
        <f>[1]!Table3[[#This Row],[Residential Incentive Disbursements]]/'[1]1.) CLM Reference'!$B$5</f>
        <v>2.7937828034515895E-6</v>
      </c>
      <c r="L26" s="37">
        <v>0</v>
      </c>
      <c r="M26" s="36">
        <f>[1]!Table3[[#This Row],[C&amp;I CLM $ Collected]]/'[1]1.) CLM Reference'!$B$4</f>
        <v>0</v>
      </c>
      <c r="N26" s="41">
        <v>0</v>
      </c>
      <c r="O26" s="36">
        <f>[1]!Table3[[#This Row],[C&amp;I Incentive Disbursements]]/'[1]1.) CLM Reference'!$B$5</f>
        <v>0</v>
      </c>
      <c r="Q26">
        <f>VLOOKUP(Table3[[#This Row],[Census Tract]],'Population and Diversity Data'!$B$2:$K$823,10,FALSE)</f>
        <v>3</v>
      </c>
      <c r="R26" t="str">
        <f>VLOOKUP(Table3[[#This Row],[Census Tract]],'ES Energy Burden'!$B$2:$E$914,4,FALSE)</f>
        <v>No</v>
      </c>
    </row>
    <row r="27" spans="1:18" x14ac:dyDescent="0.2">
      <c r="A27" s="100">
        <v>9009161100</v>
      </c>
      <c r="B27" s="38" t="s">
        <v>2737</v>
      </c>
      <c r="C27" s="38" t="s">
        <v>944</v>
      </c>
      <c r="D27" s="40">
        <f>[1]!Table3[[#This Row],[Residential CLM $ Collected]]+[1]!Table3[[#This Row],[C&amp;I CLM $ Collected]]</f>
        <v>139960.93200479998</v>
      </c>
      <c r="E27" s="36">
        <f>[1]!Table3[[#This Row],[CLM $ Collected ]]/'[1]1.) CLM Reference'!$B$4</f>
        <v>1.2416832236159352E-3</v>
      </c>
      <c r="F27" s="40">
        <f>[1]!Table3[[#This Row],[Residential Incentive Disbursements]]+[1]!Table3[[#This Row],[C&amp;I Incentive Disbursements]]</f>
        <v>52036.621699999996</v>
      </c>
      <c r="G27" s="36">
        <f>[1]!Table3[[#This Row],[Incentive Disbursements]]/'[1]1.) CLM Reference'!$B$5</f>
        <v>6.366499621422195E-4</v>
      </c>
      <c r="H27" s="40">
        <v>119240.17653311999</v>
      </c>
      <c r="I27" s="36">
        <f>[1]!Table3[[#This Row],[Residential CLM $ Collected]]/'[1]1.) CLM Reference'!$B$4</f>
        <v>1.0578561078537253E-3</v>
      </c>
      <c r="J27" s="41">
        <v>37333.951699999998</v>
      </c>
      <c r="K27" s="36">
        <f>[1]!Table3[[#This Row],[Residential Incentive Disbursements]]/'[1]1.) CLM Reference'!$B$5</f>
        <v>4.5676790998183594E-4</v>
      </c>
      <c r="L27" s="37">
        <v>20720.75547168</v>
      </c>
      <c r="M27" s="36">
        <f>[1]!Table3[[#This Row],[C&amp;I CLM $ Collected]]/'[1]1.) CLM Reference'!$B$4</f>
        <v>1.8382711576220986E-4</v>
      </c>
      <c r="N27" s="41">
        <v>14702.67</v>
      </c>
      <c r="O27" s="36">
        <f>[1]!Table3[[#This Row],[C&amp;I Incentive Disbursements]]/'[1]1.) CLM Reference'!$B$5</f>
        <v>1.7988205216038354E-4</v>
      </c>
      <c r="Q27">
        <f>VLOOKUP(Table3[[#This Row],[Census Tract]],'Population and Diversity Data'!$B$2:$K$823,10,FALSE)</f>
        <v>4</v>
      </c>
      <c r="R27" t="str">
        <f>VLOOKUP(Table3[[#This Row],[Census Tract]],'ES Energy Burden'!$B$2:$E$914,4,FALSE)</f>
        <v>No</v>
      </c>
    </row>
    <row r="28" spans="1:18" x14ac:dyDescent="0.2">
      <c r="A28" s="100">
        <v>9001200100</v>
      </c>
      <c r="B28" s="38" t="s">
        <v>2738</v>
      </c>
      <c r="C28" s="38" t="s">
        <v>944</v>
      </c>
      <c r="D28" s="40">
        <f>[1]!Table3[[#This Row],[Residential CLM $ Collected]]+[1]!Table3[[#This Row],[C&amp;I CLM $ Collected]]</f>
        <v>67102.061904000002</v>
      </c>
      <c r="E28" s="36">
        <f>[1]!Table3[[#This Row],[CLM $ Collected ]]/'[1]1.) CLM Reference'!$B$4</f>
        <v>5.9530544233141647E-4</v>
      </c>
      <c r="F28" s="40">
        <f>[1]!Table3[[#This Row],[Residential Incentive Disbursements]]+[1]!Table3[[#This Row],[C&amp;I Incentive Disbursements]]</f>
        <v>10371.963599999999</v>
      </c>
      <c r="G28" s="36">
        <f>[1]!Table3[[#This Row],[Incentive Disbursements]]/'[1]1.) CLM Reference'!$B$5</f>
        <v>1.2689736607710025E-4</v>
      </c>
      <c r="H28" s="40">
        <v>67101.224843520002</v>
      </c>
      <c r="I28" s="36">
        <f>[1]!Table3[[#This Row],[Residential CLM $ Collected]]/'[1]1.) CLM Reference'!$B$4</f>
        <v>5.9529801623085907E-4</v>
      </c>
      <c r="J28" s="41">
        <v>10371.963599999999</v>
      </c>
      <c r="K28" s="36">
        <f>[1]!Table3[[#This Row],[Residential Incentive Disbursements]]/'[1]1.) CLM Reference'!$B$5</f>
        <v>1.2689736607710025E-4</v>
      </c>
      <c r="L28" s="37">
        <v>0.83706048000000011</v>
      </c>
      <c r="M28" s="36">
        <f>[1]!Table3[[#This Row],[C&amp;I CLM $ Collected]]/'[1]1.) CLM Reference'!$B$4</f>
        <v>7.4261005573487962E-9</v>
      </c>
      <c r="N28" s="41">
        <v>0</v>
      </c>
      <c r="O28" s="36">
        <f>[1]!Table3[[#This Row],[C&amp;I Incentive Disbursements]]/'[1]1.) CLM Reference'!$B$5</f>
        <v>0</v>
      </c>
      <c r="Q28">
        <f>VLOOKUP(Table3[[#This Row],[Census Tract]],'Population and Diversity Data'!$B$2:$K$823,10,FALSE)</f>
        <v>4</v>
      </c>
      <c r="R28" t="str">
        <f>VLOOKUP(Table3[[#This Row],[Census Tract]],'ES Energy Burden'!$B$2:$E$914,4,FALSE)</f>
        <v>No</v>
      </c>
    </row>
    <row r="29" spans="1:18" x14ac:dyDescent="0.2">
      <c r="A29" s="100">
        <v>9001200200</v>
      </c>
      <c r="B29" s="38" t="s">
        <v>2738</v>
      </c>
      <c r="C29" s="38" t="s">
        <v>944</v>
      </c>
      <c r="D29" s="40">
        <f>[1]!Table3[[#This Row],[Residential CLM $ Collected]]+[1]!Table3[[#This Row],[C&amp;I CLM $ Collected]]</f>
        <v>247653.1882944</v>
      </c>
      <c r="E29" s="36">
        <f>[1]!Table3[[#This Row],[CLM $ Collected ]]/'[1]1.) CLM Reference'!$B$4</f>
        <v>2.1970903221022334E-3</v>
      </c>
      <c r="F29" s="40">
        <f>[1]!Table3[[#This Row],[Residential Incentive Disbursements]]+[1]!Table3[[#This Row],[C&amp;I Incentive Disbursements]]</f>
        <v>176536.53519999998</v>
      </c>
      <c r="G29" s="36">
        <f>[1]!Table3[[#This Row],[Incentive Disbursements]]/'[1]1.) CLM Reference'!$B$5</f>
        <v>2.1598630883410824E-3</v>
      </c>
      <c r="H29" s="40">
        <v>130171.54616064001</v>
      </c>
      <c r="I29" s="36">
        <f>[1]!Table3[[#This Row],[Residential CLM $ Collected]]/'[1]1.) CLM Reference'!$B$4</f>
        <v>1.1548353011415415E-3</v>
      </c>
      <c r="J29" s="41">
        <v>103523.648</v>
      </c>
      <c r="K29" s="36">
        <f>[1]!Table3[[#This Row],[Residential Incentive Disbursements]]/'[1]1.) CLM Reference'!$B$5</f>
        <v>1.2665758157783032E-3</v>
      </c>
      <c r="L29" s="37">
        <v>117481.64213376</v>
      </c>
      <c r="M29" s="36">
        <f>[1]!Table3[[#This Row],[C&amp;I CLM $ Collected]]/'[1]1.) CLM Reference'!$B$4</f>
        <v>1.0422550209606919E-3</v>
      </c>
      <c r="N29" s="41">
        <v>73012.887199999997</v>
      </c>
      <c r="O29" s="36">
        <f>[1]!Table3[[#This Row],[C&amp;I Incentive Disbursements]]/'[1]1.) CLM Reference'!$B$5</f>
        <v>8.9328727256277941E-4</v>
      </c>
      <c r="Q29">
        <f>VLOOKUP(Table3[[#This Row],[Census Tract]],'Population and Diversity Data'!$B$2:$K$823,10,FALSE)</f>
        <v>4</v>
      </c>
      <c r="R29" t="str">
        <f>VLOOKUP(Table3[[#This Row],[Census Tract]],'ES Energy Burden'!$B$2:$E$914,4,FALSE)</f>
        <v>No</v>
      </c>
    </row>
    <row r="30" spans="1:18" x14ac:dyDescent="0.2">
      <c r="A30" s="100">
        <v>9001200301</v>
      </c>
      <c r="B30" s="38" t="s">
        <v>2738</v>
      </c>
      <c r="C30" s="38" t="s">
        <v>944</v>
      </c>
      <c r="D30" s="40">
        <f>[1]!Table3[[#This Row],[Residential CLM $ Collected]]+[1]!Table3[[#This Row],[C&amp;I CLM $ Collected]]</f>
        <v>95432.935363199998</v>
      </c>
      <c r="E30" s="36">
        <f>[1]!Table3[[#This Row],[CLM $ Collected ]]/'[1]1.) CLM Reference'!$B$4</f>
        <v>8.4664679724228656E-4</v>
      </c>
      <c r="F30" s="40">
        <f>[1]!Table3[[#This Row],[Residential Incentive Disbursements]]+[1]!Table3[[#This Row],[C&amp;I Incentive Disbursements]]</f>
        <v>16100.537899999999</v>
      </c>
      <c r="G30" s="36">
        <f>[1]!Table3[[#This Row],[Incentive Disbursements]]/'[1]1.) CLM Reference'!$B$5</f>
        <v>1.9698447957670491E-4</v>
      </c>
      <c r="H30" s="40">
        <v>95432.935363199998</v>
      </c>
      <c r="I30" s="36">
        <f>[1]!Table3[[#This Row],[Residential CLM $ Collected]]/'[1]1.) CLM Reference'!$B$4</f>
        <v>8.4664679724228656E-4</v>
      </c>
      <c r="J30" s="41">
        <v>16100.537899999999</v>
      </c>
      <c r="K30" s="36">
        <f>[1]!Table3[[#This Row],[Residential Incentive Disbursements]]/'[1]1.) CLM Reference'!$B$5</f>
        <v>1.9698447957670491E-4</v>
      </c>
      <c r="L30" s="37">
        <v>0</v>
      </c>
      <c r="M30" s="36">
        <f>[1]!Table3[[#This Row],[C&amp;I CLM $ Collected]]/'[1]1.) CLM Reference'!$B$4</f>
        <v>0</v>
      </c>
      <c r="N30" s="41">
        <v>0</v>
      </c>
      <c r="O30" s="36">
        <f>[1]!Table3[[#This Row],[C&amp;I Incentive Disbursements]]/'[1]1.) CLM Reference'!$B$5</f>
        <v>0</v>
      </c>
      <c r="Q30">
        <f>VLOOKUP(Table3[[#This Row],[Census Tract]],'Population and Diversity Data'!$B$2:$K$823,10,FALSE)</f>
        <v>4</v>
      </c>
      <c r="R30" t="str">
        <f>VLOOKUP(Table3[[#This Row],[Census Tract]],'ES Energy Burden'!$B$2:$E$914,4,FALSE)</f>
        <v>No</v>
      </c>
    </row>
    <row r="31" spans="1:18" x14ac:dyDescent="0.2">
      <c r="A31" s="100">
        <v>9001200302</v>
      </c>
      <c r="B31" s="38" t="s">
        <v>2738</v>
      </c>
      <c r="C31" s="38" t="s">
        <v>944</v>
      </c>
      <c r="D31" s="40">
        <f>[1]!Table3[[#This Row],[Residential CLM $ Collected]]+[1]!Table3[[#This Row],[C&amp;I CLM $ Collected]]</f>
        <v>112578.35429088002</v>
      </c>
      <c r="E31" s="36">
        <f>[1]!Table3[[#This Row],[CLM $ Collected ]]/'[1]1.) CLM Reference'!$B$4</f>
        <v>9.9875480866676953E-4</v>
      </c>
      <c r="F31" s="40">
        <f>[1]!Table3[[#This Row],[Residential Incentive Disbursements]]+[1]!Table3[[#This Row],[C&amp;I Incentive Disbursements]]</f>
        <v>17053.723399999999</v>
      </c>
      <c r="G31" s="36">
        <f>[1]!Table3[[#This Row],[Incentive Disbursements]]/'[1]1.) CLM Reference'!$B$5</f>
        <v>2.0864637254101149E-4</v>
      </c>
      <c r="H31" s="40">
        <v>112578.35429088002</v>
      </c>
      <c r="I31" s="36">
        <f>[1]!Table3[[#This Row],[Residential CLM $ Collected]]/'[1]1.) CLM Reference'!$B$4</f>
        <v>9.9875480866676953E-4</v>
      </c>
      <c r="J31" s="41">
        <v>17053.723399999999</v>
      </c>
      <c r="K31" s="36">
        <f>[1]!Table3[[#This Row],[Residential Incentive Disbursements]]/'[1]1.) CLM Reference'!$B$5</f>
        <v>2.0864637254101149E-4</v>
      </c>
      <c r="L31" s="37">
        <v>0</v>
      </c>
      <c r="M31" s="36">
        <f>[1]!Table3[[#This Row],[C&amp;I CLM $ Collected]]/'[1]1.) CLM Reference'!$B$4</f>
        <v>0</v>
      </c>
      <c r="N31" s="41">
        <v>0</v>
      </c>
      <c r="O31" s="36">
        <f>[1]!Table3[[#This Row],[C&amp;I Incentive Disbursements]]/'[1]1.) CLM Reference'!$B$5</f>
        <v>0</v>
      </c>
      <c r="Q31">
        <f>VLOOKUP(Table3[[#This Row],[Census Tract]],'Population and Diversity Data'!$B$2:$K$823,10,FALSE)</f>
        <v>1</v>
      </c>
      <c r="R31" t="str">
        <f>VLOOKUP(Table3[[#This Row],[Census Tract]],'ES Energy Burden'!$B$2:$E$914,4,FALSE)</f>
        <v>No</v>
      </c>
    </row>
    <row r="32" spans="1:18" x14ac:dyDescent="0.2">
      <c r="A32" s="100">
        <v>9001205300</v>
      </c>
      <c r="B32" s="38" t="s">
        <v>2738</v>
      </c>
      <c r="C32" s="38" t="s">
        <v>944</v>
      </c>
      <c r="D32" s="40">
        <f>[1]!Table3[[#This Row],[Residential CLM $ Collected]]+[1]!Table3[[#This Row],[C&amp;I CLM $ Collected]]</f>
        <v>227.8298016</v>
      </c>
      <c r="E32" s="36">
        <f>[1]!Table3[[#This Row],[CLM $ Collected ]]/'[1]1.) CLM Reference'!$B$4</f>
        <v>2.0212243404949967E-6</v>
      </c>
      <c r="F32" s="40">
        <f>[1]!Table3[[#This Row],[Residential Incentive Disbursements]]+[1]!Table3[[#This Row],[C&amp;I Incentive Disbursements]]</f>
        <v>0</v>
      </c>
      <c r="G32" s="36">
        <f>[1]!Table3[[#This Row],[Incentive Disbursements]]/'[1]1.) CLM Reference'!$B$5</f>
        <v>0</v>
      </c>
      <c r="H32" s="40">
        <v>227.8298016</v>
      </c>
      <c r="I32" s="36">
        <f>[1]!Table3[[#This Row],[Residential CLM $ Collected]]/'[1]1.) CLM Reference'!$B$4</f>
        <v>2.0212243404949967E-6</v>
      </c>
      <c r="J32" s="41">
        <v>0</v>
      </c>
      <c r="K32" s="36">
        <f>[1]!Table3[[#This Row],[Residential Incentive Disbursements]]/'[1]1.) CLM Reference'!$B$5</f>
        <v>0</v>
      </c>
      <c r="L32" s="37">
        <v>0</v>
      </c>
      <c r="M32" s="36">
        <f>[1]!Table3[[#This Row],[C&amp;I CLM $ Collected]]/'[1]1.) CLM Reference'!$B$4</f>
        <v>0</v>
      </c>
      <c r="N32" s="41">
        <v>0</v>
      </c>
      <c r="O32" s="36">
        <f>[1]!Table3[[#This Row],[C&amp;I Incentive Disbursements]]/'[1]1.) CLM Reference'!$B$5</f>
        <v>0</v>
      </c>
      <c r="Q32">
        <f>VLOOKUP(Table3[[#This Row],[Census Tract]],'Population and Diversity Data'!$B$2:$K$823,10,FALSE)</f>
        <v>4</v>
      </c>
      <c r="R32" t="str">
        <f>VLOOKUP(Table3[[#This Row],[Census Tract]],'ES Energy Burden'!$B$2:$E$914,4,FALSE)</f>
        <v>No</v>
      </c>
    </row>
    <row r="33" spans="1:18" x14ac:dyDescent="0.2">
      <c r="A33" s="100">
        <v>9001210400</v>
      </c>
      <c r="B33" s="38" t="s">
        <v>2738</v>
      </c>
      <c r="C33" s="38" t="s">
        <v>944</v>
      </c>
      <c r="D33" s="40">
        <f>[1]!Table3[[#This Row],[Residential CLM $ Collected]]+[1]!Table3[[#This Row],[C&amp;I CLM $ Collected]]</f>
        <v>2053.6578431999997</v>
      </c>
      <c r="E33" s="36">
        <f>[1]!Table3[[#This Row],[CLM $ Collected ]]/'[1]1.) CLM Reference'!$B$4</f>
        <v>1.8219316307934214E-5</v>
      </c>
      <c r="F33" s="40">
        <f>[1]!Table3[[#This Row],[Residential Incentive Disbursements]]+[1]!Table3[[#This Row],[C&amp;I Incentive Disbursements]]</f>
        <v>0</v>
      </c>
      <c r="G33" s="36">
        <f>[1]!Table3[[#This Row],[Incentive Disbursements]]/'[1]1.) CLM Reference'!$B$5</f>
        <v>0</v>
      </c>
      <c r="H33" s="40">
        <v>2053.6578431999997</v>
      </c>
      <c r="I33" s="36">
        <f>[1]!Table3[[#This Row],[Residential CLM $ Collected]]/'[1]1.) CLM Reference'!$B$4</f>
        <v>1.8219316307934214E-5</v>
      </c>
      <c r="J33" s="41">
        <v>0</v>
      </c>
      <c r="K33" s="36">
        <f>[1]!Table3[[#This Row],[Residential Incentive Disbursements]]/'[1]1.) CLM Reference'!$B$5</f>
        <v>0</v>
      </c>
      <c r="L33" s="37">
        <v>0</v>
      </c>
      <c r="M33" s="36">
        <f>[1]!Table3[[#This Row],[C&amp;I CLM $ Collected]]/'[1]1.) CLM Reference'!$B$4</f>
        <v>0</v>
      </c>
      <c r="N33" s="41">
        <v>0</v>
      </c>
      <c r="O33" s="36">
        <f>[1]!Table3[[#This Row],[C&amp;I Incentive Disbursements]]/'[1]1.) CLM Reference'!$B$5</f>
        <v>0</v>
      </c>
      <c r="Q33">
        <f>VLOOKUP(Table3[[#This Row],[Census Tract]],'Population and Diversity Data'!$B$2:$K$823,10,FALSE)</f>
        <v>5</v>
      </c>
      <c r="R33" t="str">
        <f>VLOOKUP(Table3[[#This Row],[Census Tract]],'ES Energy Burden'!$B$2:$E$914,4,FALSE)</f>
        <v>No</v>
      </c>
    </row>
    <row r="34" spans="1:18" x14ac:dyDescent="0.2">
      <c r="A34" s="100">
        <v>9001210500</v>
      </c>
      <c r="B34" s="38" t="s">
        <v>2738</v>
      </c>
      <c r="C34" s="38" t="s">
        <v>944</v>
      </c>
      <c r="D34" s="40">
        <f>[1]!Table3[[#This Row],[Residential CLM $ Collected]]+[1]!Table3[[#This Row],[C&amp;I CLM $ Collected]]</f>
        <v>232.81395839999999</v>
      </c>
      <c r="E34" s="36">
        <f>[1]!Table3[[#This Row],[CLM $ Collected ]]/'[1]1.) CLM Reference'!$B$4</f>
        <v>2.0654419931912439E-6</v>
      </c>
      <c r="F34" s="40">
        <f>[1]!Table3[[#This Row],[Residential Incentive Disbursements]]+[1]!Table3[[#This Row],[C&amp;I Incentive Disbursements]]</f>
        <v>0</v>
      </c>
      <c r="G34" s="36">
        <f>[1]!Table3[[#This Row],[Incentive Disbursements]]/'[1]1.) CLM Reference'!$B$5</f>
        <v>0</v>
      </c>
      <c r="H34" s="40">
        <v>232.81395839999999</v>
      </c>
      <c r="I34" s="36">
        <f>[1]!Table3[[#This Row],[Residential CLM $ Collected]]/'[1]1.) CLM Reference'!$B$4</f>
        <v>2.0654419931912439E-6</v>
      </c>
      <c r="J34" s="41">
        <v>0</v>
      </c>
      <c r="K34" s="36">
        <f>[1]!Table3[[#This Row],[Residential Incentive Disbursements]]/'[1]1.) CLM Reference'!$B$5</f>
        <v>0</v>
      </c>
      <c r="L34" s="37">
        <v>0</v>
      </c>
      <c r="M34" s="36">
        <f>[1]!Table3[[#This Row],[C&amp;I CLM $ Collected]]/'[1]1.) CLM Reference'!$B$4</f>
        <v>0</v>
      </c>
      <c r="N34" s="41">
        <v>0</v>
      </c>
      <c r="O34" s="36">
        <f>[1]!Table3[[#This Row],[C&amp;I Incentive Disbursements]]/'[1]1.) CLM Reference'!$B$5</f>
        <v>0</v>
      </c>
      <c r="Q34">
        <f>VLOOKUP(Table3[[#This Row],[Census Tract]],'Population and Diversity Data'!$B$2:$K$823,10,FALSE)</f>
        <v>4</v>
      </c>
      <c r="R34" t="str">
        <f>VLOOKUP(Table3[[#This Row],[Census Tract]],'ES Energy Burden'!$B$2:$E$914,4,FALSE)</f>
        <v>No</v>
      </c>
    </row>
    <row r="35" spans="1:18" x14ac:dyDescent="0.2">
      <c r="A35" s="100">
        <v>9001230400</v>
      </c>
      <c r="B35" s="38" t="s">
        <v>2738</v>
      </c>
      <c r="C35" s="38" t="s">
        <v>944</v>
      </c>
      <c r="D35" s="40">
        <f>[1]!Table3[[#This Row],[Residential CLM $ Collected]]+[1]!Table3[[#This Row],[C&amp;I CLM $ Collected]]</f>
        <v>1151.9191007999998</v>
      </c>
      <c r="E35" s="36">
        <f>[1]!Table3[[#This Row],[CLM $ Collected ]]/'[1]1.) CLM Reference'!$B$4</f>
        <v>1.0219413388709501E-5</v>
      </c>
      <c r="F35" s="40">
        <f>[1]!Table3[[#This Row],[Residential Incentive Disbursements]]+[1]!Table3[[#This Row],[C&amp;I Incentive Disbursements]]</f>
        <v>1429.53</v>
      </c>
      <c r="G35" s="36">
        <f>[1]!Table3[[#This Row],[Incentive Disbursements]]/'[1]1.) CLM Reference'!$B$5</f>
        <v>1.7489802194079926E-5</v>
      </c>
      <c r="H35" s="40">
        <v>1151.9191007999998</v>
      </c>
      <c r="I35" s="36">
        <f>[1]!Table3[[#This Row],[Residential CLM $ Collected]]/'[1]1.) CLM Reference'!$B$4</f>
        <v>1.0219413388709501E-5</v>
      </c>
      <c r="J35" s="41">
        <v>1429.53</v>
      </c>
      <c r="K35" s="36">
        <f>[1]!Table3[[#This Row],[Residential Incentive Disbursements]]/'[1]1.) CLM Reference'!$B$5</f>
        <v>1.7489802194079926E-5</v>
      </c>
      <c r="L35" s="37">
        <v>0</v>
      </c>
      <c r="M35" s="36">
        <f>[1]!Table3[[#This Row],[C&amp;I CLM $ Collected]]/'[1]1.) CLM Reference'!$B$4</f>
        <v>0</v>
      </c>
      <c r="N35" s="41">
        <v>0</v>
      </c>
      <c r="O35" s="36">
        <f>[1]!Table3[[#This Row],[C&amp;I Incentive Disbursements]]/'[1]1.) CLM Reference'!$B$5</f>
        <v>0</v>
      </c>
      <c r="Q35">
        <f>VLOOKUP(Table3[[#This Row],[Census Tract]],'Population and Diversity Data'!$B$2:$K$823,10,FALSE)</f>
        <v>2</v>
      </c>
      <c r="R35" t="str">
        <f>VLOOKUP(Table3[[#This Row],[Census Tract]],'ES Energy Burden'!$B$2:$E$914,4,FALSE)</f>
        <v>No</v>
      </c>
    </row>
    <row r="36" spans="1:18" x14ac:dyDescent="0.2">
      <c r="A36" s="100">
        <v>9005303100</v>
      </c>
      <c r="B36" s="38" t="s">
        <v>2739</v>
      </c>
      <c r="C36" s="38" t="s">
        <v>944</v>
      </c>
      <c r="D36" s="40">
        <f>[1]!Table3[[#This Row],[Residential CLM $ Collected]]+[1]!Table3[[#This Row],[C&amp;I CLM $ Collected]]</f>
        <v>164.1356352</v>
      </c>
      <c r="E36" s="36">
        <f>[1]!Table3[[#This Row],[CLM $ Collected ]]/'[1]1.) CLM Reference'!$B$4</f>
        <v>1.4561525256090438E-6</v>
      </c>
      <c r="F36" s="40">
        <f>[1]!Table3[[#This Row],[Residential Incentive Disbursements]]+[1]!Table3[[#This Row],[C&amp;I Incentive Disbursements]]</f>
        <v>0</v>
      </c>
      <c r="G36" s="36">
        <f>[1]!Table3[[#This Row],[Incentive Disbursements]]/'[1]1.) CLM Reference'!$B$5</f>
        <v>0</v>
      </c>
      <c r="H36" s="40">
        <v>164.1356352</v>
      </c>
      <c r="I36" s="36">
        <f>[1]!Table3[[#This Row],[Residential CLM $ Collected]]/'[1]1.) CLM Reference'!$B$4</f>
        <v>1.4561525256090438E-6</v>
      </c>
      <c r="J36" s="41">
        <v>0</v>
      </c>
      <c r="K36" s="36">
        <f>[1]!Table3[[#This Row],[Residential Incentive Disbursements]]/'[1]1.) CLM Reference'!$B$5</f>
        <v>0</v>
      </c>
      <c r="L36" s="37">
        <v>0</v>
      </c>
      <c r="M36" s="36">
        <f>[1]!Table3[[#This Row],[C&amp;I CLM $ Collected]]/'[1]1.) CLM Reference'!$B$4</f>
        <v>0</v>
      </c>
      <c r="N36" s="41">
        <v>0</v>
      </c>
      <c r="O36" s="36">
        <f>[1]!Table3[[#This Row],[C&amp;I Incentive Disbursements]]/'[1]1.) CLM Reference'!$B$5</f>
        <v>0</v>
      </c>
      <c r="Q36">
        <f>VLOOKUP(Table3[[#This Row],[Census Tract]],'Population and Diversity Data'!$B$2:$K$823,10,FALSE)</f>
        <v>1</v>
      </c>
      <c r="R36" t="str">
        <f>VLOOKUP(Table3[[#This Row],[Census Tract]],'ES Energy Burden'!$B$2:$E$914,4,FALSE)</f>
        <v>No</v>
      </c>
    </row>
    <row r="37" spans="1:18" x14ac:dyDescent="0.2">
      <c r="A37" s="100">
        <v>9005342100</v>
      </c>
      <c r="B37" s="38" t="s">
        <v>2739</v>
      </c>
      <c r="C37" s="38" t="s">
        <v>944</v>
      </c>
      <c r="D37" s="40">
        <f>[1]!Table3[[#This Row],[Residential CLM $ Collected]]+[1]!Table3[[#This Row],[C&amp;I CLM $ Collected]]</f>
        <v>102039.57239616</v>
      </c>
      <c r="E37" s="36">
        <f>[1]!Table3[[#This Row],[CLM $ Collected ]]/'[1]1.) CLM Reference'!$B$4</f>
        <v>9.0525851303212463E-4</v>
      </c>
      <c r="F37" s="40">
        <f>[1]!Table3[[#This Row],[Residential Incentive Disbursements]]+[1]!Table3[[#This Row],[C&amp;I Incentive Disbursements]]</f>
        <v>35443.029300000002</v>
      </c>
      <c r="G37" s="36">
        <f>[1]!Table3[[#This Row],[Incentive Disbursements]]/'[1]1.) CLM Reference'!$B$5</f>
        <v>4.3363313229941247E-4</v>
      </c>
      <c r="H37" s="40">
        <v>86632.990318080003</v>
      </c>
      <c r="I37" s="36">
        <f>[1]!Table3[[#This Row],[Residential CLM $ Collected]]/'[1]1.) CLM Reference'!$B$4</f>
        <v>7.6857683889924736E-4</v>
      </c>
      <c r="J37" s="41">
        <v>35443.029300000002</v>
      </c>
      <c r="K37" s="36">
        <f>[1]!Table3[[#This Row],[Residential Incentive Disbursements]]/'[1]1.) CLM Reference'!$B$5</f>
        <v>4.3363313229941247E-4</v>
      </c>
      <c r="L37" s="37">
        <v>15406.582078080002</v>
      </c>
      <c r="M37" s="36">
        <f>[1]!Table3[[#This Row],[C&amp;I CLM $ Collected]]/'[1]1.) CLM Reference'!$B$4</f>
        <v>1.366816741328773E-4</v>
      </c>
      <c r="N37" s="41">
        <v>0</v>
      </c>
      <c r="O37" s="36">
        <f>[1]!Table3[[#This Row],[C&amp;I Incentive Disbursements]]/'[1]1.) CLM Reference'!$B$5</f>
        <v>0</v>
      </c>
      <c r="Q37">
        <f>VLOOKUP(Table3[[#This Row],[Census Tract]],'Population and Diversity Data'!$B$2:$K$823,10,FALSE)</f>
        <v>2</v>
      </c>
      <c r="R37" t="str">
        <f>VLOOKUP(Table3[[#This Row],[Census Tract]],'ES Energy Burden'!$B$2:$E$914,4,FALSE)</f>
        <v>No</v>
      </c>
    </row>
    <row r="38" spans="1:18" x14ac:dyDescent="0.2">
      <c r="A38" s="100">
        <v>9005362102</v>
      </c>
      <c r="B38" s="38" t="s">
        <v>2739</v>
      </c>
      <c r="C38" s="38" t="s">
        <v>944</v>
      </c>
      <c r="D38" s="40">
        <f>[1]!Table3[[#This Row],[Residential CLM $ Collected]]+[1]!Table3[[#This Row],[C&amp;I CLM $ Collected]]</f>
        <v>203.81785919999999</v>
      </c>
      <c r="E38" s="36">
        <f>[1]!Table3[[#This Row],[CLM $ Collected ]]/'[1]1.) CLM Reference'!$B$4</f>
        <v>1.8081989939397906E-6</v>
      </c>
      <c r="F38" s="40">
        <f>[1]!Table3[[#This Row],[Residential Incentive Disbursements]]+[1]!Table3[[#This Row],[C&amp;I Incentive Disbursements]]</f>
        <v>0</v>
      </c>
      <c r="G38" s="36">
        <f>[1]!Table3[[#This Row],[Incentive Disbursements]]/'[1]1.) CLM Reference'!$B$5</f>
        <v>0</v>
      </c>
      <c r="H38" s="40">
        <v>203.81785919999999</v>
      </c>
      <c r="I38" s="36">
        <f>[1]!Table3[[#This Row],[Residential CLM $ Collected]]/'[1]1.) CLM Reference'!$B$4</f>
        <v>1.8081989939397906E-6</v>
      </c>
      <c r="J38" s="41">
        <v>0</v>
      </c>
      <c r="K38" s="36">
        <f>[1]!Table3[[#This Row],[Residential Incentive Disbursements]]/'[1]1.) CLM Reference'!$B$5</f>
        <v>0</v>
      </c>
      <c r="L38" s="37">
        <v>0</v>
      </c>
      <c r="M38" s="36">
        <f>[1]!Table3[[#This Row],[C&amp;I CLM $ Collected]]/'[1]1.) CLM Reference'!$B$4</f>
        <v>0</v>
      </c>
      <c r="N38" s="41">
        <v>0</v>
      </c>
      <c r="O38" s="36">
        <f>[1]!Table3[[#This Row],[C&amp;I Incentive Disbursements]]/'[1]1.) CLM Reference'!$B$5</f>
        <v>0</v>
      </c>
      <c r="Q38">
        <f>VLOOKUP(Table3[[#This Row],[Census Tract]],'Population and Diversity Data'!$B$2:$K$823,10,FALSE)</f>
        <v>1</v>
      </c>
      <c r="R38" t="str">
        <f>VLOOKUP(Table3[[#This Row],[Census Tract]],'ES Energy Burden'!$B$2:$E$914,4,FALSE)</f>
        <v>No</v>
      </c>
    </row>
    <row r="39" spans="1:18" x14ac:dyDescent="0.2">
      <c r="A39" s="100">
        <v>9003471100</v>
      </c>
      <c r="B39" s="38" t="s">
        <v>2740</v>
      </c>
      <c r="C39" s="38" t="s">
        <v>944</v>
      </c>
      <c r="D39" s="40">
        <f>[1]!Table3[[#This Row],[Residential CLM $ Collected]]+[1]!Table3[[#This Row],[C&amp;I CLM $ Collected]]</f>
        <v>47323.947098880002</v>
      </c>
      <c r="E39" s="36">
        <f>[1]!Table3[[#This Row],[CLM $ Collected ]]/'[1]1.) CLM Reference'!$B$4</f>
        <v>4.1984109669941373E-4</v>
      </c>
      <c r="F39" s="40">
        <f>[1]!Table3[[#This Row],[Residential Incentive Disbursements]]+[1]!Table3[[#This Row],[C&amp;I Incentive Disbursements]]</f>
        <v>41951.821199999998</v>
      </c>
      <c r="G39" s="36">
        <f>[1]!Table3[[#This Row],[Incentive Disbursements]]/'[1]1.) CLM Reference'!$B$5</f>
        <v>5.1326593668507038E-4</v>
      </c>
      <c r="H39" s="40">
        <v>47323.947098880002</v>
      </c>
      <c r="I39" s="36">
        <f>[1]!Table3[[#This Row],[Residential CLM $ Collected]]/'[1]1.) CLM Reference'!$B$4</f>
        <v>4.1984109669941373E-4</v>
      </c>
      <c r="J39" s="41">
        <v>41951.821199999998</v>
      </c>
      <c r="K39" s="36">
        <f>[1]!Table3[[#This Row],[Residential Incentive Disbursements]]/'[1]1.) CLM Reference'!$B$5</f>
        <v>5.1326593668507038E-4</v>
      </c>
      <c r="L39" s="37">
        <v>0</v>
      </c>
      <c r="M39" s="36">
        <f>[1]!Table3[[#This Row],[C&amp;I CLM $ Collected]]/'[1]1.) CLM Reference'!$B$4</f>
        <v>0</v>
      </c>
      <c r="N39" s="41">
        <v>0</v>
      </c>
      <c r="O39" s="36">
        <f>[1]!Table3[[#This Row],[C&amp;I Incentive Disbursements]]/'[1]1.) CLM Reference'!$B$5</f>
        <v>0</v>
      </c>
      <c r="Q39">
        <f>VLOOKUP(Table3[[#This Row],[Census Tract]],'Population and Diversity Data'!$B$2:$K$823,10,FALSE)</f>
        <v>3</v>
      </c>
      <c r="R39" t="str">
        <f>VLOOKUP(Table3[[#This Row],[Census Tract]],'ES Energy Burden'!$B$2:$E$914,4,FALSE)</f>
        <v>No</v>
      </c>
    </row>
    <row r="40" spans="1:18" x14ac:dyDescent="0.2">
      <c r="A40" s="100">
        <v>9003471200</v>
      </c>
      <c r="B40" s="38" t="s">
        <v>2740</v>
      </c>
      <c r="C40" s="38" t="s">
        <v>944</v>
      </c>
      <c r="D40" s="40">
        <f>[1]!Table3[[#This Row],[Residential CLM $ Collected]]+[1]!Table3[[#This Row],[C&amp;I CLM $ Collected]]</f>
        <v>39966.161745599995</v>
      </c>
      <c r="E40" s="36">
        <f>[1]!Table3[[#This Row],[CLM $ Collected ]]/'[1]1.) CLM Reference'!$B$4</f>
        <v>3.5456546224006685E-4</v>
      </c>
      <c r="F40" s="40">
        <f>[1]!Table3[[#This Row],[Residential Incentive Disbursements]]+[1]!Table3[[#This Row],[C&amp;I Incentive Disbursements]]</f>
        <v>17709.740000000002</v>
      </c>
      <c r="G40" s="36">
        <f>[1]!Table3[[#This Row],[Incentive Disbursements]]/'[1]1.) CLM Reference'!$B$5</f>
        <v>2.1667250740354176E-4</v>
      </c>
      <c r="H40" s="40">
        <v>39966.161745599995</v>
      </c>
      <c r="I40" s="36">
        <f>[1]!Table3[[#This Row],[Residential CLM $ Collected]]/'[1]1.) CLM Reference'!$B$4</f>
        <v>3.5456546224006685E-4</v>
      </c>
      <c r="J40" s="41">
        <v>17709.740000000002</v>
      </c>
      <c r="K40" s="36">
        <f>[1]!Table3[[#This Row],[Residential Incentive Disbursements]]/'[1]1.) CLM Reference'!$B$5</f>
        <v>2.1667250740354176E-4</v>
      </c>
      <c r="L40" s="37">
        <v>0</v>
      </c>
      <c r="M40" s="36">
        <f>[1]!Table3[[#This Row],[C&amp;I CLM $ Collected]]/'[1]1.) CLM Reference'!$B$4</f>
        <v>0</v>
      </c>
      <c r="N40" s="41">
        <v>0</v>
      </c>
      <c r="O40" s="36">
        <f>[1]!Table3[[#This Row],[C&amp;I Incentive Disbursements]]/'[1]1.) CLM Reference'!$B$5</f>
        <v>0</v>
      </c>
      <c r="Q40">
        <f>VLOOKUP(Table3[[#This Row],[Census Tract]],'Population and Diversity Data'!$B$2:$K$823,10,FALSE)</f>
        <v>1</v>
      </c>
      <c r="R40" t="str">
        <f>VLOOKUP(Table3[[#This Row],[Census Tract]],'ES Energy Burden'!$B$2:$E$914,4,FALSE)</f>
        <v>No</v>
      </c>
    </row>
    <row r="41" spans="1:18" x14ac:dyDescent="0.2">
      <c r="A41" s="100">
        <v>9003471300</v>
      </c>
      <c r="B41" s="38" t="s">
        <v>2740</v>
      </c>
      <c r="C41" s="38" t="s">
        <v>944</v>
      </c>
      <c r="D41" s="40">
        <f>[1]!Table3[[#This Row],[Residential CLM $ Collected]]+[1]!Table3[[#This Row],[C&amp;I CLM $ Collected]]</f>
        <v>96587.341911359996</v>
      </c>
      <c r="E41" s="36">
        <f>[1]!Table3[[#This Row],[CLM $ Collected ]]/'[1]1.) CLM Reference'!$B$4</f>
        <v>8.5688827837241712E-4</v>
      </c>
      <c r="F41" s="40">
        <f>[1]!Table3[[#This Row],[Residential Incentive Disbursements]]+[1]!Table3[[#This Row],[C&amp;I Incentive Disbursements]]</f>
        <v>52661.58</v>
      </c>
      <c r="G41" s="36">
        <f>[1]!Table3[[#This Row],[Incentive Disbursements]]/'[1]1.) CLM Reference'!$B$5</f>
        <v>6.4429610950991973E-4</v>
      </c>
      <c r="H41" s="40">
        <v>96587.341911359996</v>
      </c>
      <c r="I41" s="36">
        <f>[1]!Table3[[#This Row],[Residential CLM $ Collected]]/'[1]1.) CLM Reference'!$B$4</f>
        <v>8.5688827837241712E-4</v>
      </c>
      <c r="J41" s="41">
        <v>52661.58</v>
      </c>
      <c r="K41" s="36">
        <f>[1]!Table3[[#This Row],[Residential Incentive Disbursements]]/'[1]1.) CLM Reference'!$B$5</f>
        <v>6.4429610950991973E-4</v>
      </c>
      <c r="L41" s="37">
        <v>0</v>
      </c>
      <c r="M41" s="36">
        <f>[1]!Table3[[#This Row],[C&amp;I CLM $ Collected]]/'[1]1.) CLM Reference'!$B$4</f>
        <v>0</v>
      </c>
      <c r="N41" s="41">
        <v>0</v>
      </c>
      <c r="O41" s="36">
        <f>[1]!Table3[[#This Row],[C&amp;I Incentive Disbursements]]/'[1]1.) CLM Reference'!$B$5</f>
        <v>0</v>
      </c>
      <c r="Q41">
        <f>VLOOKUP(Table3[[#This Row],[Census Tract]],'Population and Diversity Data'!$B$2:$K$823,10,FALSE)</f>
        <v>1</v>
      </c>
      <c r="R41" t="str">
        <f>VLOOKUP(Table3[[#This Row],[Census Tract]],'ES Energy Burden'!$B$2:$E$914,4,FALSE)</f>
        <v>No</v>
      </c>
    </row>
    <row r="42" spans="1:18" x14ac:dyDescent="0.2">
      <c r="A42" s="100">
        <v>9003471400</v>
      </c>
      <c r="B42" s="38" t="s">
        <v>2740</v>
      </c>
      <c r="C42" s="38" t="s">
        <v>944</v>
      </c>
      <c r="D42" s="40">
        <f>[1]!Table3[[#This Row],[Residential CLM $ Collected]]+[1]!Table3[[#This Row],[C&amp;I CLM $ Collected]]</f>
        <v>363014.11744128005</v>
      </c>
      <c r="E42" s="36">
        <f>[1]!Table3[[#This Row],[CLM $ Collected ]]/'[1]1.) CLM Reference'!$B$4</f>
        <v>3.2205311375543269E-3</v>
      </c>
      <c r="F42" s="40">
        <f>[1]!Table3[[#This Row],[Residential Incentive Disbursements]]+[1]!Table3[[#This Row],[C&amp;I Incentive Disbursements]]</f>
        <v>478020.00659999996</v>
      </c>
      <c r="G42" s="36">
        <f>[1]!Table3[[#This Row],[Incentive Disbursements]]/'[1]1.) CLM Reference'!$B$5</f>
        <v>5.8484084700893158E-3</v>
      </c>
      <c r="H42" s="40">
        <v>142783.02120960003</v>
      </c>
      <c r="I42" s="36">
        <f>[1]!Table3[[#This Row],[Residential CLM $ Collected]]/'[1]1.) CLM Reference'!$B$4</f>
        <v>1.2667197875409859E-3</v>
      </c>
      <c r="J42" s="41">
        <v>440854.14079999999</v>
      </c>
      <c r="K42" s="36">
        <f>[1]!Table3[[#This Row],[Residential Incentive Disbursements]]/'[1]1.) CLM Reference'!$B$5</f>
        <v>5.3936970326142579E-3</v>
      </c>
      <c r="L42" s="37">
        <v>220231.09623168001</v>
      </c>
      <c r="M42" s="36">
        <f>[1]!Table3[[#This Row],[C&amp;I CLM $ Collected]]/'[1]1.) CLM Reference'!$B$4</f>
        <v>1.953811350013341E-3</v>
      </c>
      <c r="N42" s="41">
        <v>37165.8658</v>
      </c>
      <c r="O42" s="36">
        <f>[1]!Table3[[#This Row],[C&amp;I Incentive Disbursements]]/'[1]1.) CLM Reference'!$B$5</f>
        <v>4.5471143747505824E-4</v>
      </c>
      <c r="Q42">
        <f>VLOOKUP(Table3[[#This Row],[Census Tract]],'Population and Diversity Data'!$B$2:$K$823,10,FALSE)</f>
        <v>2</v>
      </c>
      <c r="R42" t="str">
        <f>VLOOKUP(Table3[[#This Row],[Census Tract]],'ES Energy Burden'!$B$2:$E$914,4,FALSE)</f>
        <v>No</v>
      </c>
    </row>
    <row r="43" spans="1:18" x14ac:dyDescent="0.2">
      <c r="A43" s="100">
        <v>9003471500</v>
      </c>
      <c r="B43" s="38" t="s">
        <v>2740</v>
      </c>
      <c r="C43" s="38" t="s">
        <v>944</v>
      </c>
      <c r="D43" s="40">
        <f>[1]!Table3[[#This Row],[Residential CLM $ Collected]]+[1]!Table3[[#This Row],[C&amp;I CLM $ Collected]]</f>
        <v>49318.771052159995</v>
      </c>
      <c r="E43" s="36">
        <f>[1]!Table3[[#This Row],[CLM $ Collected ]]/'[1]1.) CLM Reference'!$B$4</f>
        <v>4.3753845982336066E-4</v>
      </c>
      <c r="F43" s="40">
        <f>[1]!Table3[[#This Row],[Residential Incentive Disbursements]]+[1]!Table3[[#This Row],[C&amp;I Incentive Disbursements]]</f>
        <v>38345.180200000003</v>
      </c>
      <c r="G43" s="36">
        <f>[1]!Table3[[#This Row],[Incentive Disbursements]]/'[1]1.) CLM Reference'!$B$5</f>
        <v>4.6913993885707198E-4</v>
      </c>
      <c r="H43" s="40">
        <v>49318.771052159995</v>
      </c>
      <c r="I43" s="36">
        <f>[1]!Table3[[#This Row],[Residential CLM $ Collected]]/'[1]1.) CLM Reference'!$B$4</f>
        <v>4.3753845982336066E-4</v>
      </c>
      <c r="J43" s="41">
        <v>38345.180200000003</v>
      </c>
      <c r="K43" s="36">
        <f>[1]!Table3[[#This Row],[Residential Incentive Disbursements]]/'[1]1.) CLM Reference'!$B$5</f>
        <v>4.6913993885707198E-4</v>
      </c>
      <c r="L43" s="37">
        <v>0</v>
      </c>
      <c r="M43" s="36">
        <f>[1]!Table3[[#This Row],[C&amp;I CLM $ Collected]]/'[1]1.) CLM Reference'!$B$4</f>
        <v>0</v>
      </c>
      <c r="N43" s="41">
        <v>0</v>
      </c>
      <c r="O43" s="36">
        <f>[1]!Table3[[#This Row],[C&amp;I Incentive Disbursements]]/'[1]1.) CLM Reference'!$B$5</f>
        <v>0</v>
      </c>
      <c r="Q43">
        <f>VLOOKUP(Table3[[#This Row],[Census Tract]],'Population and Diversity Data'!$B$2:$K$823,10,FALSE)</f>
        <v>3</v>
      </c>
      <c r="R43" t="str">
        <f>VLOOKUP(Table3[[#This Row],[Census Tract]],'ES Energy Burden'!$B$2:$E$914,4,FALSE)</f>
        <v>No</v>
      </c>
    </row>
    <row r="44" spans="1:18" x14ac:dyDescent="0.2">
      <c r="A44" s="100">
        <v>9003473100</v>
      </c>
      <c r="B44" s="38" t="s">
        <v>2740</v>
      </c>
      <c r="C44" s="38" t="s">
        <v>944</v>
      </c>
      <c r="D44" s="40">
        <f>[1]!Table3[[#This Row],[Residential CLM $ Collected]]+[1]!Table3[[#This Row],[C&amp;I CLM $ Collected]]</f>
        <v>1546.3737216000002</v>
      </c>
      <c r="E44" s="36">
        <f>[1]!Table3[[#This Row],[CLM $ Collected ]]/'[1]1.) CLM Reference'!$B$4</f>
        <v>1.3718873403082286E-5</v>
      </c>
      <c r="F44" s="40">
        <f>[1]!Table3[[#This Row],[Residential Incentive Disbursements]]+[1]!Table3[[#This Row],[C&amp;I Incentive Disbursements]]</f>
        <v>6947.03</v>
      </c>
      <c r="G44" s="36">
        <f>[1]!Table3[[#This Row],[Incentive Disbursements]]/'[1]1.) CLM Reference'!$B$5</f>
        <v>8.4994495069245872E-5</v>
      </c>
      <c r="H44" s="40">
        <v>1546.3737216000002</v>
      </c>
      <c r="I44" s="36">
        <f>[1]!Table3[[#This Row],[Residential CLM $ Collected]]/'[1]1.) CLM Reference'!$B$4</f>
        <v>1.3718873403082286E-5</v>
      </c>
      <c r="J44" s="41">
        <v>6947.03</v>
      </c>
      <c r="K44" s="36">
        <f>[1]!Table3[[#This Row],[Residential Incentive Disbursements]]/'[1]1.) CLM Reference'!$B$5</f>
        <v>8.4994495069245872E-5</v>
      </c>
      <c r="L44" s="37">
        <v>0</v>
      </c>
      <c r="M44" s="36">
        <f>[1]!Table3[[#This Row],[C&amp;I CLM $ Collected]]/'[1]1.) CLM Reference'!$B$4</f>
        <v>0</v>
      </c>
      <c r="N44" s="41">
        <v>0</v>
      </c>
      <c r="O44" s="36">
        <f>[1]!Table3[[#This Row],[C&amp;I Incentive Disbursements]]/'[1]1.) CLM Reference'!$B$5</f>
        <v>0</v>
      </c>
      <c r="Q44">
        <f>VLOOKUP(Table3[[#This Row],[Census Tract]],'Population and Diversity Data'!$B$2:$K$823,10,FALSE)</f>
        <v>1</v>
      </c>
      <c r="R44" t="str">
        <f>VLOOKUP(Table3[[#This Row],[Census Tract]],'ES Energy Burden'!$B$2:$E$914,4,FALSE)</f>
        <v>No</v>
      </c>
    </row>
    <row r="45" spans="1:18" x14ac:dyDescent="0.2">
      <c r="A45" s="100">
        <v>9003473501</v>
      </c>
      <c r="B45" s="38" t="s">
        <v>2740</v>
      </c>
      <c r="C45" s="38" t="s">
        <v>944</v>
      </c>
      <c r="D45" s="40">
        <f>[1]!Table3[[#This Row],[Residential CLM $ Collected]]+[1]!Table3[[#This Row],[C&amp;I CLM $ Collected]]</f>
        <v>287.77282560000003</v>
      </c>
      <c r="E45" s="36">
        <f>[1]!Table3[[#This Row],[CLM $ Collected ]]/'[1]1.) CLM Reference'!$B$4</f>
        <v>2.5530173645015446E-6</v>
      </c>
      <c r="F45" s="40">
        <f>[1]!Table3[[#This Row],[Residential Incentive Disbursements]]+[1]!Table3[[#This Row],[C&amp;I Incentive Disbursements]]</f>
        <v>0</v>
      </c>
      <c r="G45" s="36">
        <f>[1]!Table3[[#This Row],[Incentive Disbursements]]/'[1]1.) CLM Reference'!$B$5</f>
        <v>0</v>
      </c>
      <c r="H45" s="40">
        <v>287.77282560000003</v>
      </c>
      <c r="I45" s="36">
        <f>[1]!Table3[[#This Row],[Residential CLM $ Collected]]/'[1]1.) CLM Reference'!$B$4</f>
        <v>2.5530173645015446E-6</v>
      </c>
      <c r="J45" s="41">
        <v>0</v>
      </c>
      <c r="K45" s="36">
        <f>[1]!Table3[[#This Row],[Residential Incentive Disbursements]]/'[1]1.) CLM Reference'!$B$5</f>
        <v>0</v>
      </c>
      <c r="L45" s="37">
        <v>0</v>
      </c>
      <c r="M45" s="36">
        <f>[1]!Table3[[#This Row],[C&amp;I CLM $ Collected]]/'[1]1.) CLM Reference'!$B$4</f>
        <v>0</v>
      </c>
      <c r="N45" s="41">
        <v>0</v>
      </c>
      <c r="O45" s="36">
        <f>[1]!Table3[[#This Row],[C&amp;I Incentive Disbursements]]/'[1]1.) CLM Reference'!$B$5</f>
        <v>0</v>
      </c>
      <c r="Q45">
        <f>VLOOKUP(Table3[[#This Row],[Census Tract]],'Population and Diversity Data'!$B$2:$K$823,10,FALSE)</f>
        <v>3</v>
      </c>
      <c r="R45" t="str">
        <f>VLOOKUP(Table3[[#This Row],[Census Tract]],'ES Energy Burden'!$B$2:$E$914,4,FALSE)</f>
        <v>No</v>
      </c>
    </row>
    <row r="46" spans="1:18" x14ac:dyDescent="0.2">
      <c r="A46" s="100">
        <v>9003503900</v>
      </c>
      <c r="B46" s="38" t="s">
        <v>2740</v>
      </c>
      <c r="C46" s="38" t="s">
        <v>944</v>
      </c>
      <c r="D46" s="40">
        <f>[1]!Table3[[#This Row],[Residential CLM $ Collected]]+[1]!Table3[[#This Row],[C&amp;I CLM $ Collected]]</f>
        <v>201.31130880000001</v>
      </c>
      <c r="E46" s="36">
        <f>[1]!Table3[[#This Row],[CLM $ Collected ]]/'[1]1.) CLM Reference'!$B$4</f>
        <v>1.785961777194756E-6</v>
      </c>
      <c r="F46" s="40">
        <f>[1]!Table3[[#This Row],[Residential Incentive Disbursements]]+[1]!Table3[[#This Row],[C&amp;I Incentive Disbursements]]</f>
        <v>0</v>
      </c>
      <c r="G46" s="36">
        <f>[1]!Table3[[#This Row],[Incentive Disbursements]]/'[1]1.) CLM Reference'!$B$5</f>
        <v>0</v>
      </c>
      <c r="H46" s="40">
        <v>201.31130880000001</v>
      </c>
      <c r="I46" s="36">
        <f>[1]!Table3[[#This Row],[Residential CLM $ Collected]]/'[1]1.) CLM Reference'!$B$4</f>
        <v>1.785961777194756E-6</v>
      </c>
      <c r="J46" s="41">
        <v>0</v>
      </c>
      <c r="K46" s="36">
        <f>[1]!Table3[[#This Row],[Residential Incentive Disbursements]]/'[1]1.) CLM Reference'!$B$5</f>
        <v>0</v>
      </c>
      <c r="L46" s="37">
        <v>0</v>
      </c>
      <c r="M46" s="36">
        <f>[1]!Table3[[#This Row],[C&amp;I CLM $ Collected]]/'[1]1.) CLM Reference'!$B$4</f>
        <v>0</v>
      </c>
      <c r="N46" s="41">
        <v>0</v>
      </c>
      <c r="O46" s="36">
        <f>[1]!Table3[[#This Row],[C&amp;I Incentive Disbursements]]/'[1]1.) CLM Reference'!$B$5</f>
        <v>0</v>
      </c>
      <c r="Q46">
        <f>VLOOKUP(Table3[[#This Row],[Census Tract]],'Population and Diversity Data'!$B$2:$K$823,10,FALSE)</f>
        <v>2</v>
      </c>
      <c r="R46" t="str">
        <f>VLOOKUP(Table3[[#This Row],[Census Tract]],'ES Energy Burden'!$B$2:$E$914,4,FALSE)</f>
        <v>No</v>
      </c>
    </row>
    <row r="47" spans="1:18" x14ac:dyDescent="0.2">
      <c r="A47" s="100">
        <v>9003514900</v>
      </c>
      <c r="B47" s="38" t="s">
        <v>2741</v>
      </c>
      <c r="C47" s="38" t="s">
        <v>944</v>
      </c>
      <c r="D47" s="40">
        <f>[1]!Table3[[#This Row],[Residential CLM $ Collected]]+[1]!Table3[[#This Row],[C&amp;I CLM $ Collected]]</f>
        <v>157.35695040000002</v>
      </c>
      <c r="E47" s="36">
        <f>[1]!Table3[[#This Row],[CLM $ Collected ]]/'[1]1.) CLM Reference'!$B$4</f>
        <v>1.3960144636957974E-6</v>
      </c>
      <c r="F47" s="40">
        <f>[1]!Table3[[#This Row],[Residential Incentive Disbursements]]+[1]!Table3[[#This Row],[C&amp;I Incentive Disbursements]]</f>
        <v>0</v>
      </c>
      <c r="G47" s="36">
        <f>[1]!Table3[[#This Row],[Incentive Disbursements]]/'[1]1.) CLM Reference'!$B$5</f>
        <v>0</v>
      </c>
      <c r="H47" s="40">
        <v>157.35695040000002</v>
      </c>
      <c r="I47" s="36">
        <f>[1]!Table3[[#This Row],[Residential CLM $ Collected]]/'[1]1.) CLM Reference'!$B$4</f>
        <v>1.3960144636957974E-6</v>
      </c>
      <c r="J47" s="41">
        <v>0</v>
      </c>
      <c r="K47" s="36">
        <f>[1]!Table3[[#This Row],[Residential Incentive Disbursements]]/'[1]1.) CLM Reference'!$B$5</f>
        <v>0</v>
      </c>
      <c r="L47" s="37">
        <v>0</v>
      </c>
      <c r="M47" s="36">
        <f>[1]!Table3[[#This Row],[C&amp;I CLM $ Collected]]/'[1]1.) CLM Reference'!$B$4</f>
        <v>0</v>
      </c>
      <c r="N47" s="41">
        <v>0</v>
      </c>
      <c r="O47" s="36">
        <f>[1]!Table3[[#This Row],[C&amp;I Incentive Disbursements]]/'[1]1.) CLM Reference'!$B$5</f>
        <v>0</v>
      </c>
      <c r="Q47">
        <f>VLOOKUP(Table3[[#This Row],[Census Tract]],'Population and Diversity Data'!$B$2:$K$823,10,FALSE)</f>
        <v>3</v>
      </c>
      <c r="R47" t="str">
        <f>VLOOKUP(Table3[[#This Row],[Census Tract]],'ES Energy Burden'!$B$2:$E$914,4,FALSE)</f>
        <v>No</v>
      </c>
    </row>
    <row r="48" spans="1:18" x14ac:dyDescent="0.2">
      <c r="A48" s="100">
        <v>9013526102</v>
      </c>
      <c r="B48" s="38" t="s">
        <v>2741</v>
      </c>
      <c r="C48" s="38" t="s">
        <v>944</v>
      </c>
      <c r="D48" s="40">
        <f>[1]!Table3[[#This Row],[Residential CLM $ Collected]]+[1]!Table3[[#This Row],[C&amp;I CLM $ Collected]]</f>
        <v>146.4682176</v>
      </c>
      <c r="E48" s="36">
        <f>[1]!Table3[[#This Row],[CLM $ Collected ]]/'[1]1.) CLM Reference'!$B$4</f>
        <v>1.2994135290597457E-6</v>
      </c>
      <c r="F48" s="40">
        <f>[1]!Table3[[#This Row],[Residential Incentive Disbursements]]+[1]!Table3[[#This Row],[C&amp;I Incentive Disbursements]]</f>
        <v>0</v>
      </c>
      <c r="G48" s="36">
        <f>[1]!Table3[[#This Row],[Incentive Disbursements]]/'[1]1.) CLM Reference'!$B$5</f>
        <v>0</v>
      </c>
      <c r="H48" s="40">
        <v>146.4682176</v>
      </c>
      <c r="I48" s="36">
        <f>[1]!Table3[[#This Row],[Residential CLM $ Collected]]/'[1]1.) CLM Reference'!$B$4</f>
        <v>1.2994135290597457E-6</v>
      </c>
      <c r="J48" s="41">
        <v>0</v>
      </c>
      <c r="K48" s="36">
        <f>[1]!Table3[[#This Row],[Residential Incentive Disbursements]]/'[1]1.) CLM Reference'!$B$5</f>
        <v>0</v>
      </c>
      <c r="L48" s="37">
        <v>0</v>
      </c>
      <c r="M48" s="36">
        <f>[1]!Table3[[#This Row],[C&amp;I CLM $ Collected]]/'[1]1.) CLM Reference'!$B$4</f>
        <v>0</v>
      </c>
      <c r="N48" s="41">
        <v>0</v>
      </c>
      <c r="O48" s="36">
        <f>[1]!Table3[[#This Row],[C&amp;I Incentive Disbursements]]/'[1]1.) CLM Reference'!$B$5</f>
        <v>0</v>
      </c>
      <c r="Q48">
        <f>VLOOKUP(Table3[[#This Row],[Census Tract]],'Population and Diversity Data'!$B$2:$K$823,10,FALSE)</f>
        <v>1</v>
      </c>
      <c r="R48" t="str">
        <f>VLOOKUP(Table3[[#This Row],[Census Tract]],'ES Energy Burden'!$B$2:$E$914,4,FALSE)</f>
        <v>No</v>
      </c>
    </row>
    <row r="49" spans="1:18" x14ac:dyDescent="0.2">
      <c r="A49" s="100">
        <v>9013528100</v>
      </c>
      <c r="B49" s="38" t="s">
        <v>2741</v>
      </c>
      <c r="C49" s="38" t="s">
        <v>944</v>
      </c>
      <c r="D49" s="40">
        <f>[1]!Table3[[#This Row],[Residential CLM $ Collected]]+[1]!Table3[[#This Row],[C&amp;I CLM $ Collected]]</f>
        <v>230.72420160000001</v>
      </c>
      <c r="E49" s="36">
        <f>[1]!Table3[[#This Row],[CLM $ Collected ]]/'[1]1.) CLM Reference'!$B$4</f>
        <v>2.0469024198772541E-6</v>
      </c>
      <c r="F49" s="40">
        <f>[1]!Table3[[#This Row],[Residential Incentive Disbursements]]+[1]!Table3[[#This Row],[C&amp;I Incentive Disbursements]]</f>
        <v>0</v>
      </c>
      <c r="G49" s="36">
        <f>[1]!Table3[[#This Row],[Incentive Disbursements]]/'[1]1.) CLM Reference'!$B$5</f>
        <v>0</v>
      </c>
      <c r="H49" s="40">
        <v>230.72420160000001</v>
      </c>
      <c r="I49" s="36">
        <f>[1]!Table3[[#This Row],[Residential CLM $ Collected]]/'[1]1.) CLM Reference'!$B$4</f>
        <v>2.0469024198772541E-6</v>
      </c>
      <c r="J49" s="41">
        <v>0</v>
      </c>
      <c r="K49" s="36">
        <f>[1]!Table3[[#This Row],[Residential Incentive Disbursements]]/'[1]1.) CLM Reference'!$B$5</f>
        <v>0</v>
      </c>
      <c r="L49" s="37">
        <v>0</v>
      </c>
      <c r="M49" s="36">
        <f>[1]!Table3[[#This Row],[C&amp;I CLM $ Collected]]/'[1]1.) CLM Reference'!$B$4</f>
        <v>0</v>
      </c>
      <c r="N49" s="41">
        <v>0</v>
      </c>
      <c r="O49" s="36">
        <f>[1]!Table3[[#This Row],[C&amp;I Incentive Disbursements]]/'[1]1.) CLM Reference'!$B$5</f>
        <v>0</v>
      </c>
      <c r="Q49">
        <f>VLOOKUP(Table3[[#This Row],[Census Tract]],'Population and Diversity Data'!$B$2:$K$823,10,FALSE)</f>
        <v>1</v>
      </c>
      <c r="R49" t="str">
        <f>VLOOKUP(Table3[[#This Row],[Census Tract]],'ES Energy Burden'!$B$2:$E$914,4,FALSE)</f>
        <v>No</v>
      </c>
    </row>
    <row r="50" spans="1:18" x14ac:dyDescent="0.2">
      <c r="A50" s="100">
        <v>9013529100</v>
      </c>
      <c r="B50" s="38" t="s">
        <v>2741</v>
      </c>
      <c r="C50" s="38" t="s">
        <v>944</v>
      </c>
      <c r="D50" s="40">
        <f>[1]!Table3[[#This Row],[Residential CLM $ Collected]]+[1]!Table3[[#This Row],[C&amp;I CLM $ Collected]]</f>
        <v>121854.88024128</v>
      </c>
      <c r="E50" s="36">
        <f>[1]!Table3[[#This Row],[CLM $ Collected ]]/'[1]1.) CLM Reference'!$B$4</f>
        <v>1.0810528219841894E-3</v>
      </c>
      <c r="F50" s="40">
        <f>[1]!Table3[[#This Row],[Residential Incentive Disbursements]]+[1]!Table3[[#This Row],[C&amp;I Incentive Disbursements]]</f>
        <v>98228.382099999988</v>
      </c>
      <c r="G50" s="36">
        <f>[1]!Table3[[#This Row],[Incentive Disbursements]]/'[1]1.) CLM Reference'!$B$5</f>
        <v>1.2017900797979062E-3</v>
      </c>
      <c r="H50" s="40">
        <v>101516.74534656</v>
      </c>
      <c r="I50" s="36">
        <f>[1]!Table3[[#This Row],[Residential CLM $ Collected]]/'[1]1.) CLM Reference'!$B$4</f>
        <v>9.0062017884098996E-4</v>
      </c>
      <c r="J50" s="41">
        <v>75181.872099999993</v>
      </c>
      <c r="K50" s="36">
        <f>[1]!Table3[[#This Row],[Residential Incentive Disbursements]]/'[1]1.) CLM Reference'!$B$5</f>
        <v>9.1982404819039554E-4</v>
      </c>
      <c r="L50" s="37">
        <v>20338.134894720002</v>
      </c>
      <c r="M50" s="36">
        <f>[1]!Table3[[#This Row],[C&amp;I CLM $ Collected]]/'[1]1.) CLM Reference'!$B$4</f>
        <v>1.8043264314319938E-4</v>
      </c>
      <c r="N50" s="41">
        <v>23046.51</v>
      </c>
      <c r="O50" s="36">
        <f>[1]!Table3[[#This Row],[C&amp;I Incentive Disbursements]]/'[1]1.) CLM Reference'!$B$5</f>
        <v>2.819660316075108E-4</v>
      </c>
      <c r="Q50">
        <f>VLOOKUP(Table3[[#This Row],[Census Tract]],'Population and Diversity Data'!$B$2:$K$823,10,FALSE)</f>
        <v>2</v>
      </c>
      <c r="R50" t="str">
        <f>VLOOKUP(Table3[[#This Row],[Census Tract]],'ES Energy Burden'!$B$2:$E$914,4,FALSE)</f>
        <v>No</v>
      </c>
    </row>
    <row r="51" spans="1:18" x14ac:dyDescent="0.2">
      <c r="A51" s="100">
        <v>9013530600</v>
      </c>
      <c r="B51" s="38" t="s">
        <v>2741</v>
      </c>
      <c r="C51" s="38" t="s">
        <v>944</v>
      </c>
      <c r="D51" s="40">
        <f>[1]!Table3[[#This Row],[Residential CLM $ Collected]]+[1]!Table3[[#This Row],[C&amp;I CLM $ Collected]]</f>
        <v>388.26639360000001</v>
      </c>
      <c r="E51" s="36">
        <f>[1]!Table3[[#This Row],[CLM $ Collected ]]/'[1]1.) CLM Reference'!$B$4</f>
        <v>3.4445602806535159E-6</v>
      </c>
      <c r="F51" s="40">
        <f>[1]!Table3[[#This Row],[Residential Incentive Disbursements]]+[1]!Table3[[#This Row],[C&amp;I Incentive Disbursements]]</f>
        <v>0</v>
      </c>
      <c r="G51" s="36">
        <f>[1]!Table3[[#This Row],[Incentive Disbursements]]/'[1]1.) CLM Reference'!$B$5</f>
        <v>0</v>
      </c>
      <c r="H51" s="40">
        <v>388.26639360000001</v>
      </c>
      <c r="I51" s="36">
        <f>[1]!Table3[[#This Row],[Residential CLM $ Collected]]/'[1]1.) CLM Reference'!$B$4</f>
        <v>3.4445602806535159E-6</v>
      </c>
      <c r="J51" s="41">
        <v>0</v>
      </c>
      <c r="K51" s="36">
        <f>[1]!Table3[[#This Row],[Residential Incentive Disbursements]]/'[1]1.) CLM Reference'!$B$5</f>
        <v>0</v>
      </c>
      <c r="L51" s="37">
        <v>0</v>
      </c>
      <c r="M51" s="36">
        <f>[1]!Table3[[#This Row],[C&amp;I CLM $ Collected]]/'[1]1.) CLM Reference'!$B$4</f>
        <v>0</v>
      </c>
      <c r="N51" s="41">
        <v>0</v>
      </c>
      <c r="O51" s="36">
        <f>[1]!Table3[[#This Row],[C&amp;I Incentive Disbursements]]/'[1]1.) CLM Reference'!$B$5</f>
        <v>0</v>
      </c>
      <c r="Q51">
        <f>VLOOKUP(Table3[[#This Row],[Census Tract]],'Population and Diversity Data'!$B$2:$K$823,10,FALSE)</f>
        <v>4</v>
      </c>
      <c r="R51" t="str">
        <f>VLOOKUP(Table3[[#This Row],[Census Tract]],'ES Energy Burden'!$B$2:$E$914,4,FALSE)</f>
        <v>No</v>
      </c>
    </row>
    <row r="52" spans="1:18" x14ac:dyDescent="0.2">
      <c r="A52" s="100">
        <v>9009184100</v>
      </c>
      <c r="B52" s="38" t="s">
        <v>2742</v>
      </c>
      <c r="C52" s="38" t="s">
        <v>944</v>
      </c>
      <c r="D52" s="40">
        <f>[1]!Table3[[#This Row],[Residential CLM $ Collected]]+[1]!Table3[[#This Row],[C&amp;I CLM $ Collected]]</f>
        <v>98810.04429215999</v>
      </c>
      <c r="E52" s="36">
        <f>[1]!Table3[[#This Row],[CLM $ Collected ]]/'[1]1.) CLM Reference'!$B$4</f>
        <v>8.7660729722859271E-4</v>
      </c>
      <c r="F52" s="40">
        <f>[1]!Table3[[#This Row],[Residential Incentive Disbursements]]+[1]!Table3[[#This Row],[C&amp;I Incentive Disbursements]]</f>
        <v>14180.251700000001</v>
      </c>
      <c r="G52" s="36">
        <f>[1]!Table3[[#This Row],[Incentive Disbursements]]/'[1]1.) CLM Reference'!$B$5</f>
        <v>1.7349044601740825E-4</v>
      </c>
      <c r="H52" s="40">
        <v>98810.04429215999</v>
      </c>
      <c r="I52" s="36">
        <f>[1]!Table3[[#This Row],[Residential CLM $ Collected]]/'[1]1.) CLM Reference'!$B$4</f>
        <v>8.7660729722859271E-4</v>
      </c>
      <c r="J52" s="41">
        <v>14180.251700000001</v>
      </c>
      <c r="K52" s="36">
        <f>[1]!Table3[[#This Row],[Residential Incentive Disbursements]]/'[1]1.) CLM Reference'!$B$5</f>
        <v>1.7349044601740825E-4</v>
      </c>
      <c r="L52" s="37">
        <v>0</v>
      </c>
      <c r="M52" s="36">
        <f>[1]!Table3[[#This Row],[C&amp;I CLM $ Collected]]/'[1]1.) CLM Reference'!$B$4</f>
        <v>0</v>
      </c>
      <c r="N52" s="41">
        <v>0</v>
      </c>
      <c r="O52" s="36">
        <f>[1]!Table3[[#This Row],[C&amp;I Incentive Disbursements]]/'[1]1.) CLM Reference'!$B$5</f>
        <v>0</v>
      </c>
      <c r="Q52">
        <f>VLOOKUP(Table3[[#This Row],[Census Tract]],'Population and Diversity Data'!$B$2:$K$823,10,FALSE)</f>
        <v>3</v>
      </c>
      <c r="R52" t="str">
        <f>VLOOKUP(Table3[[#This Row],[Census Tract]],'ES Energy Burden'!$B$2:$E$914,4,FALSE)</f>
        <v>No</v>
      </c>
    </row>
    <row r="53" spans="1:18" x14ac:dyDescent="0.2">
      <c r="A53" s="100">
        <v>9009184200</v>
      </c>
      <c r="B53" s="38" t="s">
        <v>2742</v>
      </c>
      <c r="C53" s="38" t="s">
        <v>944</v>
      </c>
      <c r="D53" s="40">
        <f>[1]!Table3[[#This Row],[Residential CLM $ Collected]]+[1]!Table3[[#This Row],[C&amp;I CLM $ Collected]]</f>
        <v>64502.505169920005</v>
      </c>
      <c r="E53" s="36">
        <f>[1]!Table3[[#This Row],[CLM $ Collected ]]/'[1]1.) CLM Reference'!$B$4</f>
        <v>5.7224310672597577E-4</v>
      </c>
      <c r="F53" s="40">
        <f>[1]!Table3[[#This Row],[Residential Incentive Disbursements]]+[1]!Table3[[#This Row],[C&amp;I Incentive Disbursements]]</f>
        <v>10900.4157</v>
      </c>
      <c r="G53" s="36">
        <f>[1]!Table3[[#This Row],[Incentive Disbursements]]/'[1]1.) CLM Reference'!$B$5</f>
        <v>1.3336279366382185E-4</v>
      </c>
      <c r="H53" s="40">
        <v>64502.505169920005</v>
      </c>
      <c r="I53" s="36">
        <f>[1]!Table3[[#This Row],[Residential CLM $ Collected]]/'[1]1.) CLM Reference'!$B$4</f>
        <v>5.7224310672597577E-4</v>
      </c>
      <c r="J53" s="41">
        <v>10900.4157</v>
      </c>
      <c r="K53" s="36">
        <f>[1]!Table3[[#This Row],[Residential Incentive Disbursements]]/'[1]1.) CLM Reference'!$B$5</f>
        <v>1.3336279366382185E-4</v>
      </c>
      <c r="L53" s="37">
        <v>0</v>
      </c>
      <c r="M53" s="36">
        <f>[1]!Table3[[#This Row],[C&amp;I CLM $ Collected]]/'[1]1.) CLM Reference'!$B$4</f>
        <v>0</v>
      </c>
      <c r="N53" s="41">
        <v>0</v>
      </c>
      <c r="O53" s="36">
        <f>[1]!Table3[[#This Row],[C&amp;I Incentive Disbursements]]/'[1]1.) CLM Reference'!$B$5</f>
        <v>0</v>
      </c>
      <c r="Q53">
        <f>VLOOKUP(Table3[[#This Row],[Census Tract]],'Population and Diversity Data'!$B$2:$K$823,10,FALSE)</f>
        <v>5</v>
      </c>
      <c r="R53" t="str">
        <f>VLOOKUP(Table3[[#This Row],[Census Tract]],'ES Energy Burden'!$B$2:$E$914,4,FALSE)</f>
        <v>No</v>
      </c>
    </row>
    <row r="54" spans="1:18" x14ac:dyDescent="0.2">
      <c r="A54" s="100">
        <v>9009184300</v>
      </c>
      <c r="B54" s="38" t="s">
        <v>2742</v>
      </c>
      <c r="C54" s="38" t="s">
        <v>944</v>
      </c>
      <c r="D54" s="40">
        <f>[1]!Table3[[#This Row],[Residential CLM $ Collected]]+[1]!Table3[[#This Row],[C&amp;I CLM $ Collected]]</f>
        <v>83683.552723200002</v>
      </c>
      <c r="E54" s="36">
        <f>[1]!Table3[[#This Row],[CLM $ Collected ]]/'[1]1.) CLM Reference'!$B$4</f>
        <v>7.4241048570192062E-4</v>
      </c>
      <c r="F54" s="40">
        <f>[1]!Table3[[#This Row],[Residential Incentive Disbursements]]+[1]!Table3[[#This Row],[C&amp;I Incentive Disbursements]]</f>
        <v>11085.186100000001</v>
      </c>
      <c r="G54" s="36">
        <f>[1]!Table3[[#This Row],[Incentive Disbursements]]/'[1]1.) CLM Reference'!$B$5</f>
        <v>1.3562339522330019E-4</v>
      </c>
      <c r="H54" s="40">
        <v>83683.552723200002</v>
      </c>
      <c r="I54" s="36">
        <f>[1]!Table3[[#This Row],[Residential CLM $ Collected]]/'[1]1.) CLM Reference'!$B$4</f>
        <v>7.4241048570192062E-4</v>
      </c>
      <c r="J54" s="41">
        <v>11085.186100000001</v>
      </c>
      <c r="K54" s="36">
        <f>[1]!Table3[[#This Row],[Residential Incentive Disbursements]]/'[1]1.) CLM Reference'!$B$5</f>
        <v>1.3562339522330019E-4</v>
      </c>
      <c r="L54" s="37">
        <v>0</v>
      </c>
      <c r="M54" s="36">
        <f>[1]!Table3[[#This Row],[C&amp;I CLM $ Collected]]/'[1]1.) CLM Reference'!$B$4</f>
        <v>0</v>
      </c>
      <c r="N54" s="41">
        <v>0</v>
      </c>
      <c r="O54" s="36">
        <f>[1]!Table3[[#This Row],[C&amp;I Incentive Disbursements]]/'[1]1.) CLM Reference'!$B$5</f>
        <v>0</v>
      </c>
      <c r="Q54">
        <f>VLOOKUP(Table3[[#This Row],[Census Tract]],'Population and Diversity Data'!$B$2:$K$823,10,FALSE)</f>
        <v>2</v>
      </c>
      <c r="R54" t="str">
        <f>VLOOKUP(Table3[[#This Row],[Census Tract]],'ES Energy Burden'!$B$2:$E$914,4,FALSE)</f>
        <v>No</v>
      </c>
    </row>
    <row r="55" spans="1:18" x14ac:dyDescent="0.2">
      <c r="A55" s="100">
        <v>9009184400</v>
      </c>
      <c r="B55" s="38" t="s">
        <v>2742</v>
      </c>
      <c r="C55" s="38" t="s">
        <v>944</v>
      </c>
      <c r="D55" s="40">
        <f>[1]!Table3[[#This Row],[Residential CLM $ Collected]]+[1]!Table3[[#This Row],[C&amp;I CLM $ Collected]]</f>
        <v>71578.025161919999</v>
      </c>
      <c r="E55" s="36">
        <f>[1]!Table3[[#This Row],[CLM $ Collected ]]/'[1]1.) CLM Reference'!$B$4</f>
        <v>6.3501458407026962E-4</v>
      </c>
      <c r="F55" s="40">
        <f>[1]!Table3[[#This Row],[Residential Incentive Disbursements]]+[1]!Table3[[#This Row],[C&amp;I Incentive Disbursements]]</f>
        <v>22676.038700000001</v>
      </c>
      <c r="G55" s="36">
        <f>[1]!Table3[[#This Row],[Incentive Disbursements]]/'[1]1.) CLM Reference'!$B$5</f>
        <v>2.7743344414478974E-4</v>
      </c>
      <c r="H55" s="40">
        <v>71578.025161919999</v>
      </c>
      <c r="I55" s="36">
        <f>[1]!Table3[[#This Row],[Residential CLM $ Collected]]/'[1]1.) CLM Reference'!$B$4</f>
        <v>6.3501458407026962E-4</v>
      </c>
      <c r="J55" s="41">
        <v>22676.038700000001</v>
      </c>
      <c r="K55" s="36">
        <f>[1]!Table3[[#This Row],[Residential Incentive Disbursements]]/'[1]1.) CLM Reference'!$B$5</f>
        <v>2.7743344414478974E-4</v>
      </c>
      <c r="L55" s="37">
        <v>0</v>
      </c>
      <c r="M55" s="36">
        <f>[1]!Table3[[#This Row],[C&amp;I CLM $ Collected]]/'[1]1.) CLM Reference'!$B$4</f>
        <v>0</v>
      </c>
      <c r="N55" s="41">
        <v>0</v>
      </c>
      <c r="O55" s="36">
        <f>[1]!Table3[[#This Row],[C&amp;I Incentive Disbursements]]/'[1]1.) CLM Reference'!$B$5</f>
        <v>0</v>
      </c>
      <c r="Q55">
        <f>VLOOKUP(Table3[[#This Row],[Census Tract]],'Population and Diversity Data'!$B$2:$K$823,10,FALSE)</f>
        <v>1</v>
      </c>
      <c r="R55" t="str">
        <f>VLOOKUP(Table3[[#This Row],[Census Tract]],'ES Energy Burden'!$B$2:$E$914,4,FALSE)</f>
        <v>No</v>
      </c>
    </row>
    <row r="56" spans="1:18" x14ac:dyDescent="0.2">
      <c r="A56" s="100">
        <v>9009184500</v>
      </c>
      <c r="B56" s="38" t="s">
        <v>2742</v>
      </c>
      <c r="C56" s="38" t="s">
        <v>944</v>
      </c>
      <c r="D56" s="40">
        <f>[1]!Table3[[#This Row],[Residential CLM $ Collected]]+[1]!Table3[[#This Row],[C&amp;I CLM $ Collected]]</f>
        <v>51159.279490560002</v>
      </c>
      <c r="E56" s="36">
        <f>[1]!Table3[[#This Row],[CLM $ Collected ]]/'[1]1.) CLM Reference'!$B$4</f>
        <v>4.5386679100942672E-4</v>
      </c>
      <c r="F56" s="40">
        <f>[1]!Table3[[#This Row],[Residential Incentive Disbursements]]+[1]!Table3[[#This Row],[C&amp;I Incentive Disbursements]]</f>
        <v>16216.5388</v>
      </c>
      <c r="G56" s="36">
        <f>[1]!Table3[[#This Row],[Incentive Disbursements]]/'[1]1.) CLM Reference'!$B$5</f>
        <v>1.9840371022967145E-4</v>
      </c>
      <c r="H56" s="40">
        <v>51159.279490560002</v>
      </c>
      <c r="I56" s="36">
        <f>[1]!Table3[[#This Row],[Residential CLM $ Collected]]/'[1]1.) CLM Reference'!$B$4</f>
        <v>4.5386679100942672E-4</v>
      </c>
      <c r="J56" s="41">
        <v>16216.5388</v>
      </c>
      <c r="K56" s="36">
        <f>[1]!Table3[[#This Row],[Residential Incentive Disbursements]]/'[1]1.) CLM Reference'!$B$5</f>
        <v>1.9840371022967145E-4</v>
      </c>
      <c r="L56" s="37">
        <v>0</v>
      </c>
      <c r="M56" s="36">
        <f>[1]!Table3[[#This Row],[C&amp;I CLM $ Collected]]/'[1]1.) CLM Reference'!$B$4</f>
        <v>0</v>
      </c>
      <c r="N56" s="41">
        <v>0</v>
      </c>
      <c r="O56" s="36">
        <f>[1]!Table3[[#This Row],[C&amp;I Incentive Disbursements]]/'[1]1.) CLM Reference'!$B$5</f>
        <v>0</v>
      </c>
      <c r="Q56">
        <f>VLOOKUP(Table3[[#This Row],[Census Tract]],'Population and Diversity Data'!$B$2:$K$823,10,FALSE)</f>
        <v>1</v>
      </c>
      <c r="R56" t="str">
        <f>VLOOKUP(Table3[[#This Row],[Census Tract]],'ES Energy Burden'!$B$2:$E$914,4,FALSE)</f>
        <v>No</v>
      </c>
    </row>
    <row r="57" spans="1:18" x14ac:dyDescent="0.2">
      <c r="A57" s="100">
        <v>9009184600</v>
      </c>
      <c r="B57" s="38" t="s">
        <v>2742</v>
      </c>
      <c r="C57" s="38" t="s">
        <v>944</v>
      </c>
      <c r="D57" s="40">
        <f>[1]!Table3[[#This Row],[Residential CLM $ Collected]]+[1]!Table3[[#This Row],[C&amp;I CLM $ Collected]]</f>
        <v>71746.751315519999</v>
      </c>
      <c r="E57" s="36">
        <f>[1]!Table3[[#This Row],[CLM $ Collected ]]/'[1]1.) CLM Reference'!$B$4</f>
        <v>6.3651146202977889E-4</v>
      </c>
      <c r="F57" s="40">
        <f>[1]!Table3[[#This Row],[Residential Incentive Disbursements]]+[1]!Table3[[#This Row],[C&amp;I Incentive Disbursements]]</f>
        <v>19083.82</v>
      </c>
      <c r="G57" s="36">
        <f>[1]!Table3[[#This Row],[Incentive Disbursements]]/'[1]1.) CLM Reference'!$B$5</f>
        <v>2.3348389813954683E-4</v>
      </c>
      <c r="H57" s="40">
        <v>71746.751315519999</v>
      </c>
      <c r="I57" s="36">
        <f>[1]!Table3[[#This Row],[Residential CLM $ Collected]]/'[1]1.) CLM Reference'!$B$4</f>
        <v>6.3651146202977889E-4</v>
      </c>
      <c r="J57" s="41">
        <v>19083.82</v>
      </c>
      <c r="K57" s="36">
        <f>[1]!Table3[[#This Row],[Residential Incentive Disbursements]]/'[1]1.) CLM Reference'!$B$5</f>
        <v>2.3348389813954683E-4</v>
      </c>
      <c r="L57" s="37">
        <v>0</v>
      </c>
      <c r="M57" s="36">
        <f>[1]!Table3[[#This Row],[C&amp;I CLM $ Collected]]/'[1]1.) CLM Reference'!$B$4</f>
        <v>0</v>
      </c>
      <c r="N57" s="41">
        <v>0</v>
      </c>
      <c r="O57" s="36">
        <f>[1]!Table3[[#This Row],[C&amp;I Incentive Disbursements]]/'[1]1.) CLM Reference'!$B$5</f>
        <v>0</v>
      </c>
      <c r="Q57">
        <f>VLOOKUP(Table3[[#This Row],[Census Tract]],'Population and Diversity Data'!$B$2:$K$823,10,FALSE)</f>
        <v>1</v>
      </c>
      <c r="R57" t="str">
        <f>VLOOKUP(Table3[[#This Row],[Census Tract]],'ES Energy Burden'!$B$2:$E$914,4,FALSE)</f>
        <v>No</v>
      </c>
    </row>
    <row r="58" spans="1:18" x14ac:dyDescent="0.2">
      <c r="A58" s="100">
        <v>9009184700</v>
      </c>
      <c r="B58" s="38" t="s">
        <v>2742</v>
      </c>
      <c r="C58" s="38" t="s">
        <v>944</v>
      </c>
      <c r="D58" s="40">
        <f>[1]!Table3[[#This Row],[Residential CLM $ Collected]]+[1]!Table3[[#This Row],[C&amp;I CLM $ Collected]]</f>
        <v>386662.77964512003</v>
      </c>
      <c r="E58" s="36">
        <f>[1]!Table3[[#This Row],[CLM $ Collected ]]/'[1]1.) CLM Reference'!$B$4</f>
        <v>3.4303335924169543E-3</v>
      </c>
      <c r="F58" s="40">
        <f>[1]!Table3[[#This Row],[Residential Incentive Disbursements]]+[1]!Table3[[#This Row],[C&amp;I Incentive Disbursements]]</f>
        <v>306803.8248</v>
      </c>
      <c r="G58" s="36">
        <f>[1]!Table3[[#This Row],[Incentive Disbursements]]/'[1]1.) CLM Reference'!$B$5</f>
        <v>3.7536380545627954E-3</v>
      </c>
      <c r="H58" s="40">
        <v>127510.82612351999</v>
      </c>
      <c r="I58" s="36">
        <f>[1]!Table3[[#This Row],[Residential CLM $ Collected]]/'[1]1.) CLM Reference'!$B$4</f>
        <v>1.1312303466338265E-3</v>
      </c>
      <c r="J58" s="41">
        <v>184133.80179999999</v>
      </c>
      <c r="K58" s="36">
        <f>[1]!Table3[[#This Row],[Residential Incentive Disbursements]]/'[1]1.) CLM Reference'!$B$5</f>
        <v>2.2528130019838113E-3</v>
      </c>
      <c r="L58" s="37">
        <v>259151.95352160002</v>
      </c>
      <c r="M58" s="36">
        <f>[1]!Table3[[#This Row],[C&amp;I CLM $ Collected]]/'[1]1.) CLM Reference'!$B$4</f>
        <v>2.299103245783128E-3</v>
      </c>
      <c r="N58" s="41">
        <v>122670.023</v>
      </c>
      <c r="O58" s="36">
        <f>[1]!Table3[[#This Row],[C&amp;I Incentive Disbursements]]/'[1]1.) CLM Reference'!$B$5</f>
        <v>1.500825052578984E-3</v>
      </c>
      <c r="Q58">
        <f>VLOOKUP(Table3[[#This Row],[Census Tract]],'Population and Diversity Data'!$B$2:$K$823,10,FALSE)</f>
        <v>4</v>
      </c>
      <c r="R58" t="str">
        <f>VLOOKUP(Table3[[#This Row],[Census Tract]],'ES Energy Burden'!$B$2:$E$914,4,FALSE)</f>
        <v>No</v>
      </c>
    </row>
    <row r="59" spans="1:18" x14ac:dyDescent="0.2">
      <c r="A59" s="100">
        <v>9005250100</v>
      </c>
      <c r="B59" s="38" t="s">
        <v>2743</v>
      </c>
      <c r="C59" s="38" t="s">
        <v>944</v>
      </c>
      <c r="D59" s="40">
        <f>[1]!Table3[[#This Row],[Residential CLM $ Collected]]+[1]!Table3[[#This Row],[C&amp;I CLM $ Collected]]</f>
        <v>69851.627285760012</v>
      </c>
      <c r="E59" s="36">
        <f>[1]!Table3[[#This Row],[CLM $ Collected ]]/'[1]1.) CLM Reference'!$B$4</f>
        <v>6.1969860089261736E-4</v>
      </c>
      <c r="F59" s="40">
        <f>[1]!Table3[[#This Row],[Residential Incentive Disbursements]]+[1]!Table3[[#This Row],[C&amp;I Incentive Disbursements]]</f>
        <v>14188.062400000001</v>
      </c>
      <c r="G59" s="36">
        <f>[1]!Table3[[#This Row],[Incentive Disbursements]]/'[1]1.) CLM Reference'!$B$5</f>
        <v>1.7358600721444314E-4</v>
      </c>
      <c r="H59" s="40">
        <v>63737.97777504001</v>
      </c>
      <c r="I59" s="36">
        <f>[1]!Table3[[#This Row],[Residential CLM $ Collected]]/'[1]1.) CLM Reference'!$B$4</f>
        <v>5.6546049370233048E-4</v>
      </c>
      <c r="J59" s="41">
        <v>14188.062400000001</v>
      </c>
      <c r="K59" s="36">
        <f>[1]!Table3[[#This Row],[Residential Incentive Disbursements]]/'[1]1.) CLM Reference'!$B$5</f>
        <v>1.7358600721444314E-4</v>
      </c>
      <c r="L59" s="37">
        <v>6113.6495107199999</v>
      </c>
      <c r="M59" s="36">
        <f>[1]!Table3[[#This Row],[C&amp;I CLM $ Collected]]/'[1]1.) CLM Reference'!$B$4</f>
        <v>5.4238107190286871E-5</v>
      </c>
      <c r="N59" s="41">
        <v>0</v>
      </c>
      <c r="O59" s="36">
        <f>[1]!Table3[[#This Row],[C&amp;I Incentive Disbursements]]/'[1]1.) CLM Reference'!$B$5</f>
        <v>0</v>
      </c>
      <c r="Q59">
        <f>VLOOKUP(Table3[[#This Row],[Census Tract]],'Population and Diversity Data'!$B$2:$K$823,10,FALSE)</f>
        <v>2</v>
      </c>
      <c r="R59" t="str">
        <f>VLOOKUP(Table3[[#This Row],[Census Tract]],'ES Energy Burden'!$B$2:$E$914,4,FALSE)</f>
        <v>No</v>
      </c>
    </row>
    <row r="60" spans="1:18" x14ac:dyDescent="0.2">
      <c r="A60" s="100">
        <v>9005268100</v>
      </c>
      <c r="B60" s="38" t="s">
        <v>2743</v>
      </c>
      <c r="C60" s="38" t="s">
        <v>944</v>
      </c>
      <c r="D60" s="40">
        <f>[1]!Table3[[#This Row],[Residential CLM $ Collected]]+[1]!Table3[[#This Row],[C&amp;I CLM $ Collected]]</f>
        <v>1019.2745376</v>
      </c>
      <c r="E60" s="36">
        <f>[1]!Table3[[#This Row],[CLM $ Collected ]]/'[1]1.) CLM Reference'!$B$4</f>
        <v>9.0426383667794178E-6</v>
      </c>
      <c r="F60" s="40">
        <f>[1]!Table3[[#This Row],[Residential Incentive Disbursements]]+[1]!Table3[[#This Row],[C&amp;I Incentive Disbursements]]</f>
        <v>0</v>
      </c>
      <c r="G60" s="36">
        <f>[1]!Table3[[#This Row],[Incentive Disbursements]]/'[1]1.) CLM Reference'!$B$5</f>
        <v>0</v>
      </c>
      <c r="H60" s="40">
        <v>1019.2745376</v>
      </c>
      <c r="I60" s="36">
        <f>[1]!Table3[[#This Row],[Residential CLM $ Collected]]/'[1]1.) CLM Reference'!$B$4</f>
        <v>9.0426383667794178E-6</v>
      </c>
      <c r="J60" s="41">
        <v>0</v>
      </c>
      <c r="K60" s="36">
        <f>[1]!Table3[[#This Row],[Residential Incentive Disbursements]]/'[1]1.) CLM Reference'!$B$5</f>
        <v>0</v>
      </c>
      <c r="L60" s="37">
        <v>0</v>
      </c>
      <c r="M60" s="36">
        <f>[1]!Table3[[#This Row],[C&amp;I CLM $ Collected]]/'[1]1.) CLM Reference'!$B$4</f>
        <v>0</v>
      </c>
      <c r="N60" s="41">
        <v>0</v>
      </c>
      <c r="O60" s="36">
        <f>[1]!Table3[[#This Row],[C&amp;I Incentive Disbursements]]/'[1]1.) CLM Reference'!$B$5</f>
        <v>0</v>
      </c>
      <c r="Q60">
        <f>VLOOKUP(Table3[[#This Row],[Census Tract]],'Population and Diversity Data'!$B$2:$K$823,10,FALSE)</f>
        <v>1</v>
      </c>
      <c r="R60" t="str">
        <f>VLOOKUP(Table3[[#This Row],[Census Tract]],'ES Energy Burden'!$B$2:$E$914,4,FALSE)</f>
        <v>No</v>
      </c>
    </row>
    <row r="61" spans="1:18" x14ac:dyDescent="0.2">
      <c r="A61" s="100">
        <v>9003405100</v>
      </c>
      <c r="B61" s="38" t="s">
        <v>2744</v>
      </c>
      <c r="C61" s="38" t="s">
        <v>944</v>
      </c>
      <c r="D61" s="40">
        <f>[1]!Table3[[#This Row],[Residential CLM $ Collected]]+[1]!Table3[[#This Row],[C&amp;I CLM $ Collected]]</f>
        <v>73591.994413439999</v>
      </c>
      <c r="E61" s="36">
        <f>[1]!Table3[[#This Row],[CLM $ Collected ]]/'[1]1.) CLM Reference'!$B$4</f>
        <v>6.5288179741809836E-4</v>
      </c>
      <c r="F61" s="40">
        <f>[1]!Table3[[#This Row],[Residential Incentive Disbursements]]+[1]!Table3[[#This Row],[C&amp;I Incentive Disbursements]]</f>
        <v>30053.519799999998</v>
      </c>
      <c r="G61" s="36">
        <f>[1]!Table3[[#This Row],[Incentive Disbursements]]/'[1]1.) CLM Reference'!$B$5</f>
        <v>3.6769435866184302E-4</v>
      </c>
      <c r="H61" s="40">
        <v>73591.994413439999</v>
      </c>
      <c r="I61" s="36">
        <f>[1]!Table3[[#This Row],[Residential CLM $ Collected]]/'[1]1.) CLM Reference'!$B$4</f>
        <v>6.5288179741809836E-4</v>
      </c>
      <c r="J61" s="41">
        <v>30053.519799999998</v>
      </c>
      <c r="K61" s="36">
        <f>[1]!Table3[[#This Row],[Residential Incentive Disbursements]]/'[1]1.) CLM Reference'!$B$5</f>
        <v>3.6769435866184302E-4</v>
      </c>
      <c r="L61" s="37">
        <v>0</v>
      </c>
      <c r="M61" s="36">
        <f>[1]!Table3[[#This Row],[C&amp;I CLM $ Collected]]/'[1]1.) CLM Reference'!$B$4</f>
        <v>0</v>
      </c>
      <c r="N61" s="41">
        <v>0</v>
      </c>
      <c r="O61" s="36">
        <f>[1]!Table3[[#This Row],[C&amp;I Incentive Disbursements]]/'[1]1.) CLM Reference'!$B$5</f>
        <v>0</v>
      </c>
      <c r="Q61">
        <f>VLOOKUP(Table3[[#This Row],[Census Tract]],'Population and Diversity Data'!$B$2:$K$823,10,FALSE)</f>
        <v>4</v>
      </c>
      <c r="R61" t="str">
        <f>VLOOKUP(Table3[[#This Row],[Census Tract]],'ES Energy Burden'!$B$2:$E$914,4,FALSE)</f>
        <v>No</v>
      </c>
    </row>
    <row r="62" spans="1:18" x14ac:dyDescent="0.2">
      <c r="A62" s="100">
        <v>9003405200</v>
      </c>
      <c r="B62" s="38" t="s">
        <v>2744</v>
      </c>
      <c r="C62" s="38" t="s">
        <v>944</v>
      </c>
      <c r="D62" s="40">
        <f>[1]!Table3[[#This Row],[Residential CLM $ Collected]]+[1]!Table3[[#This Row],[C&amp;I CLM $ Collected]]</f>
        <v>78441.760748159999</v>
      </c>
      <c r="E62" s="36">
        <f>[1]!Table3[[#This Row],[CLM $ Collected ]]/'[1]1.) CLM Reference'!$B$4</f>
        <v>6.9590718607493189E-4</v>
      </c>
      <c r="F62" s="40">
        <f>[1]!Table3[[#This Row],[Residential Incentive Disbursements]]+[1]!Table3[[#This Row],[C&amp;I Incentive Disbursements]]</f>
        <v>42995.71</v>
      </c>
      <c r="G62" s="36">
        <f>[1]!Table3[[#This Row],[Incentive Disbursements]]/'[1]1.) CLM Reference'!$B$5</f>
        <v>5.2603755296777555E-4</v>
      </c>
      <c r="H62" s="40">
        <v>78441.760748159999</v>
      </c>
      <c r="I62" s="36">
        <f>[1]!Table3[[#This Row],[Residential CLM $ Collected]]/'[1]1.) CLM Reference'!$B$4</f>
        <v>6.9590718607493189E-4</v>
      </c>
      <c r="J62" s="41">
        <v>42995.71</v>
      </c>
      <c r="K62" s="36">
        <f>[1]!Table3[[#This Row],[Residential Incentive Disbursements]]/'[1]1.) CLM Reference'!$B$5</f>
        <v>5.2603755296777555E-4</v>
      </c>
      <c r="L62" s="37">
        <v>0</v>
      </c>
      <c r="M62" s="36">
        <f>[1]!Table3[[#This Row],[C&amp;I CLM $ Collected]]/'[1]1.) CLM Reference'!$B$4</f>
        <v>0</v>
      </c>
      <c r="N62" s="41">
        <v>0</v>
      </c>
      <c r="O62" s="36">
        <f>[1]!Table3[[#This Row],[C&amp;I Incentive Disbursements]]/'[1]1.) CLM Reference'!$B$5</f>
        <v>0</v>
      </c>
      <c r="Q62">
        <f>VLOOKUP(Table3[[#This Row],[Census Tract]],'Population and Diversity Data'!$B$2:$K$823,10,FALSE)</f>
        <v>2</v>
      </c>
      <c r="R62" t="str">
        <f>VLOOKUP(Table3[[#This Row],[Census Tract]],'ES Energy Burden'!$B$2:$E$914,4,FALSE)</f>
        <v>No</v>
      </c>
    </row>
    <row r="63" spans="1:18" x14ac:dyDescent="0.2">
      <c r="A63" s="100">
        <v>9003405300</v>
      </c>
      <c r="B63" s="38" t="s">
        <v>2744</v>
      </c>
      <c r="C63" s="38" t="s">
        <v>944</v>
      </c>
      <c r="D63" s="40">
        <f>[1]!Table3[[#This Row],[Residential CLM $ Collected]]+[1]!Table3[[#This Row],[C&amp;I CLM $ Collected]]</f>
        <v>104034.2122656</v>
      </c>
      <c r="E63" s="36">
        <f>[1]!Table3[[#This Row],[CLM $ Collected ]]/'[1]1.) CLM Reference'!$B$4</f>
        <v>9.2295424303022293E-4</v>
      </c>
      <c r="F63" s="40">
        <f>[1]!Table3[[#This Row],[Residential Incentive Disbursements]]+[1]!Table3[[#This Row],[C&amp;I Incentive Disbursements]]</f>
        <v>85654.017500000002</v>
      </c>
      <c r="G63" s="36">
        <f>[1]!Table3[[#This Row],[Incentive Disbursements]]/'[1]1.) CLM Reference'!$B$5</f>
        <v>1.0479471037356757E-3</v>
      </c>
      <c r="H63" s="40">
        <v>104034.2122656</v>
      </c>
      <c r="I63" s="36">
        <f>[1]!Table3[[#This Row],[Residential CLM $ Collected]]/'[1]1.) CLM Reference'!$B$4</f>
        <v>9.2295424303022293E-4</v>
      </c>
      <c r="J63" s="41">
        <v>85654.017500000002</v>
      </c>
      <c r="K63" s="36">
        <f>[1]!Table3[[#This Row],[Residential Incentive Disbursements]]/'[1]1.) CLM Reference'!$B$5</f>
        <v>1.0479471037356757E-3</v>
      </c>
      <c r="L63" s="37">
        <v>0</v>
      </c>
      <c r="M63" s="36">
        <f>[1]!Table3[[#This Row],[C&amp;I CLM $ Collected]]/'[1]1.) CLM Reference'!$B$4</f>
        <v>0</v>
      </c>
      <c r="N63" s="41">
        <v>0</v>
      </c>
      <c r="O63" s="36">
        <f>[1]!Table3[[#This Row],[C&amp;I Incentive Disbursements]]/'[1]1.) CLM Reference'!$B$5</f>
        <v>0</v>
      </c>
      <c r="Q63">
        <f>VLOOKUP(Table3[[#This Row],[Census Tract]],'Population and Diversity Data'!$B$2:$K$823,10,FALSE)</f>
        <v>3</v>
      </c>
      <c r="R63" t="str">
        <f>VLOOKUP(Table3[[#This Row],[Census Tract]],'ES Energy Burden'!$B$2:$E$914,4,FALSE)</f>
        <v>No</v>
      </c>
    </row>
    <row r="64" spans="1:18" x14ac:dyDescent="0.2">
      <c r="A64" s="100">
        <v>9003405401</v>
      </c>
      <c r="B64" s="38" t="s">
        <v>2744</v>
      </c>
      <c r="C64" s="38" t="s">
        <v>944</v>
      </c>
      <c r="D64" s="40">
        <f>[1]!Table3[[#This Row],[Residential CLM $ Collected]]+[1]!Table3[[#This Row],[C&amp;I CLM $ Collected]]</f>
        <v>70101.589985280007</v>
      </c>
      <c r="E64" s="36">
        <f>[1]!Table3[[#This Row],[CLM $ Collected ]]/'[1]1.) CLM Reference'!$B$4</f>
        <v>6.2191618037053256E-4</v>
      </c>
      <c r="F64" s="40">
        <f>[1]!Table3[[#This Row],[Residential Incentive Disbursements]]+[1]!Table3[[#This Row],[C&amp;I Incentive Disbursements]]</f>
        <v>9810.9004999999997</v>
      </c>
      <c r="G64" s="36">
        <f>[1]!Table3[[#This Row],[Incentive Disbursements]]/'[1]1.) CLM Reference'!$B$5</f>
        <v>1.2003295425125728E-4</v>
      </c>
      <c r="H64" s="40">
        <v>70101.589985280007</v>
      </c>
      <c r="I64" s="36">
        <f>[1]!Table3[[#This Row],[Residential CLM $ Collected]]/'[1]1.) CLM Reference'!$B$4</f>
        <v>6.2191618037053256E-4</v>
      </c>
      <c r="J64" s="41">
        <v>9810.9004999999997</v>
      </c>
      <c r="K64" s="36">
        <f>[1]!Table3[[#This Row],[Residential Incentive Disbursements]]/'[1]1.) CLM Reference'!$B$5</f>
        <v>1.2003295425125728E-4</v>
      </c>
      <c r="L64" s="37">
        <v>0</v>
      </c>
      <c r="M64" s="36">
        <f>[1]!Table3[[#This Row],[C&amp;I CLM $ Collected]]/'[1]1.) CLM Reference'!$B$4</f>
        <v>0</v>
      </c>
      <c r="N64" s="41">
        <v>0</v>
      </c>
      <c r="O64" s="36">
        <f>[1]!Table3[[#This Row],[C&amp;I Incentive Disbursements]]/'[1]1.) CLM Reference'!$B$5</f>
        <v>0</v>
      </c>
      <c r="Q64">
        <f>VLOOKUP(Table3[[#This Row],[Census Tract]],'Population and Diversity Data'!$B$2:$K$823,10,FALSE)</f>
        <v>4</v>
      </c>
      <c r="R64" t="str">
        <f>VLOOKUP(Table3[[#This Row],[Census Tract]],'ES Energy Burden'!$B$2:$E$914,4,FALSE)</f>
        <v>No</v>
      </c>
    </row>
    <row r="65" spans="1:18" x14ac:dyDescent="0.2">
      <c r="A65" s="100">
        <v>9003405402</v>
      </c>
      <c r="B65" s="38" t="s">
        <v>2744</v>
      </c>
      <c r="C65" s="38" t="s">
        <v>944</v>
      </c>
      <c r="D65" s="40">
        <f>[1]!Table3[[#This Row],[Residential CLM $ Collected]]+[1]!Table3[[#This Row],[C&amp;I CLM $ Collected]]</f>
        <v>84617.753319359996</v>
      </c>
      <c r="E65" s="36">
        <f>[1]!Table3[[#This Row],[CLM $ Collected ]]/'[1]1.) CLM Reference'!$B$4</f>
        <v>7.5069837855264903E-4</v>
      </c>
      <c r="F65" s="40">
        <f>[1]!Table3[[#This Row],[Residential Incentive Disbursements]]+[1]!Table3[[#This Row],[C&amp;I Incentive Disbursements]]</f>
        <v>14170.022000000001</v>
      </c>
      <c r="G65" s="36">
        <f>[1]!Table3[[#This Row],[Incentive Disbursements]]/'[1]1.) CLM Reference'!$B$5</f>
        <v>1.7336528919698139E-4</v>
      </c>
      <c r="H65" s="40">
        <v>84617.753319359996</v>
      </c>
      <c r="I65" s="36">
        <f>[1]!Table3[[#This Row],[Residential CLM $ Collected]]/'[1]1.) CLM Reference'!$B$4</f>
        <v>7.5069837855264903E-4</v>
      </c>
      <c r="J65" s="41">
        <v>14170.022000000001</v>
      </c>
      <c r="K65" s="36">
        <f>[1]!Table3[[#This Row],[Residential Incentive Disbursements]]/'[1]1.) CLM Reference'!$B$5</f>
        <v>1.7336528919698139E-4</v>
      </c>
      <c r="L65" s="37">
        <v>0</v>
      </c>
      <c r="M65" s="36">
        <f>[1]!Table3[[#This Row],[C&amp;I CLM $ Collected]]/'[1]1.) CLM Reference'!$B$4</f>
        <v>0</v>
      </c>
      <c r="N65" s="41">
        <v>0</v>
      </c>
      <c r="O65" s="36">
        <f>[1]!Table3[[#This Row],[C&amp;I Incentive Disbursements]]/'[1]1.) CLM Reference'!$B$5</f>
        <v>0</v>
      </c>
      <c r="Q65">
        <f>VLOOKUP(Table3[[#This Row],[Census Tract]],'Population and Diversity Data'!$B$2:$K$823,10,FALSE)</f>
        <v>5</v>
      </c>
      <c r="R65" t="str">
        <f>VLOOKUP(Table3[[#This Row],[Census Tract]],'ES Energy Burden'!$B$2:$E$914,4,FALSE)</f>
        <v>No</v>
      </c>
    </row>
    <row r="66" spans="1:18" x14ac:dyDescent="0.2">
      <c r="A66" s="100">
        <v>9003405500</v>
      </c>
      <c r="B66" s="38" t="s">
        <v>2744</v>
      </c>
      <c r="C66" s="38" t="s">
        <v>944</v>
      </c>
      <c r="D66" s="40">
        <f>[1]!Table3[[#This Row],[Residential CLM $ Collected]]+[1]!Table3[[#This Row],[C&amp;I CLM $ Collected]]</f>
        <v>95029.491893759987</v>
      </c>
      <c r="E66" s="36">
        <f>[1]!Table3[[#This Row],[CLM $ Collected ]]/'[1]1.) CLM Reference'!$B$4</f>
        <v>8.4306759138458418E-4</v>
      </c>
      <c r="F66" s="40">
        <f>[1]!Table3[[#This Row],[Residential Incentive Disbursements]]+[1]!Table3[[#This Row],[C&amp;I Incentive Disbursements]]</f>
        <v>79289.1728</v>
      </c>
      <c r="G66" s="36">
        <f>[1]!Table3[[#This Row],[Incentive Disbursements]]/'[1]1.) CLM Reference'!$B$5</f>
        <v>9.7007544326052782E-4</v>
      </c>
      <c r="H66" s="40">
        <v>95029.491893759987</v>
      </c>
      <c r="I66" s="36">
        <f>[1]!Table3[[#This Row],[Residential CLM $ Collected]]/'[1]1.) CLM Reference'!$B$4</f>
        <v>8.4306759138458418E-4</v>
      </c>
      <c r="J66" s="41">
        <v>79289.1728</v>
      </c>
      <c r="K66" s="36">
        <f>[1]!Table3[[#This Row],[Residential Incentive Disbursements]]/'[1]1.) CLM Reference'!$B$5</f>
        <v>9.7007544326052782E-4</v>
      </c>
      <c r="L66" s="37">
        <v>0</v>
      </c>
      <c r="M66" s="36">
        <f>[1]!Table3[[#This Row],[C&amp;I CLM $ Collected]]/'[1]1.) CLM Reference'!$B$4</f>
        <v>0</v>
      </c>
      <c r="N66" s="41">
        <v>0</v>
      </c>
      <c r="O66" s="36">
        <f>[1]!Table3[[#This Row],[C&amp;I Incentive Disbursements]]/'[1]1.) CLM Reference'!$B$5</f>
        <v>0</v>
      </c>
      <c r="Q66">
        <f>VLOOKUP(Table3[[#This Row],[Census Tract]],'Population and Diversity Data'!$B$2:$K$823,10,FALSE)</f>
        <v>2</v>
      </c>
      <c r="R66" t="str">
        <f>VLOOKUP(Table3[[#This Row],[Census Tract]],'ES Energy Burden'!$B$2:$E$914,4,FALSE)</f>
        <v>No</v>
      </c>
    </row>
    <row r="67" spans="1:18" x14ac:dyDescent="0.2">
      <c r="A67" s="100">
        <v>9003405600</v>
      </c>
      <c r="B67" s="38" t="s">
        <v>2744</v>
      </c>
      <c r="C67" s="38" t="s">
        <v>944</v>
      </c>
      <c r="D67" s="40">
        <f>[1]!Table3[[#This Row],[Residential CLM $ Collected]]+[1]!Table3[[#This Row],[C&amp;I CLM $ Collected]]</f>
        <v>125510.08948992001</v>
      </c>
      <c r="E67" s="36">
        <f>[1]!Table3[[#This Row],[CLM $ Collected ]]/'[1]1.) CLM Reference'!$B$4</f>
        <v>1.1134805283293176E-3</v>
      </c>
      <c r="F67" s="40">
        <f>[1]!Table3[[#This Row],[Residential Incentive Disbursements]]+[1]!Table3[[#This Row],[C&amp;I Incentive Disbursements]]</f>
        <v>64317.655200000001</v>
      </c>
      <c r="G67" s="36">
        <f>[1]!Table3[[#This Row],[Incentive Disbursements]]/'[1]1.) CLM Reference'!$B$5</f>
        <v>7.8690413425044328E-4</v>
      </c>
      <c r="H67" s="40">
        <v>125510.08948992001</v>
      </c>
      <c r="I67" s="36">
        <f>[1]!Table3[[#This Row],[Residential CLM $ Collected]]/'[1]1.) CLM Reference'!$B$4</f>
        <v>1.1134805283293176E-3</v>
      </c>
      <c r="J67" s="41">
        <v>64317.655200000001</v>
      </c>
      <c r="K67" s="36">
        <f>[1]!Table3[[#This Row],[Residential Incentive Disbursements]]/'[1]1.) CLM Reference'!$B$5</f>
        <v>7.8690413425044328E-4</v>
      </c>
      <c r="L67" s="37">
        <v>0</v>
      </c>
      <c r="M67" s="36">
        <f>[1]!Table3[[#This Row],[C&amp;I CLM $ Collected]]/'[1]1.) CLM Reference'!$B$4</f>
        <v>0</v>
      </c>
      <c r="N67" s="41">
        <v>0</v>
      </c>
      <c r="O67" s="36">
        <f>[1]!Table3[[#This Row],[C&amp;I Incentive Disbursements]]/'[1]1.) CLM Reference'!$B$5</f>
        <v>0</v>
      </c>
      <c r="Q67">
        <f>VLOOKUP(Table3[[#This Row],[Census Tract]],'Population and Diversity Data'!$B$2:$K$823,10,FALSE)</f>
        <v>3</v>
      </c>
      <c r="R67" t="str">
        <f>VLOOKUP(Table3[[#This Row],[Census Tract]],'ES Energy Burden'!$B$2:$E$914,4,FALSE)</f>
        <v>No</v>
      </c>
    </row>
    <row r="68" spans="1:18" x14ac:dyDescent="0.2">
      <c r="A68" s="100">
        <v>9003405700</v>
      </c>
      <c r="B68" s="38" t="s">
        <v>2744</v>
      </c>
      <c r="C68" s="38" t="s">
        <v>944</v>
      </c>
      <c r="D68" s="40">
        <f>[1]!Table3[[#This Row],[Residential CLM $ Collected]]+[1]!Table3[[#This Row],[C&amp;I CLM $ Collected]]</f>
        <v>33239.069625599994</v>
      </c>
      <c r="E68" s="36">
        <f>[1]!Table3[[#This Row],[CLM $ Collected ]]/'[1]1.) CLM Reference'!$B$4</f>
        <v>2.9488511209180908E-4</v>
      </c>
      <c r="F68" s="40">
        <f>[1]!Table3[[#This Row],[Residential Incentive Disbursements]]+[1]!Table3[[#This Row],[C&amp;I Incentive Disbursements]]</f>
        <v>28576.05</v>
      </c>
      <c r="G68" s="36">
        <f>[1]!Table3[[#This Row],[Incentive Disbursements]]/'[1]1.) CLM Reference'!$B$5</f>
        <v>3.496180296937718E-4</v>
      </c>
      <c r="H68" s="40">
        <v>33239.069625599994</v>
      </c>
      <c r="I68" s="36">
        <f>[1]!Table3[[#This Row],[Residential CLM $ Collected]]/'[1]1.) CLM Reference'!$B$4</f>
        <v>2.9488511209180908E-4</v>
      </c>
      <c r="J68" s="41">
        <v>28576.05</v>
      </c>
      <c r="K68" s="36">
        <f>[1]!Table3[[#This Row],[Residential Incentive Disbursements]]/'[1]1.) CLM Reference'!$B$5</f>
        <v>3.496180296937718E-4</v>
      </c>
      <c r="L68" s="37">
        <v>0</v>
      </c>
      <c r="M68" s="36">
        <f>[1]!Table3[[#This Row],[C&amp;I CLM $ Collected]]/'[1]1.) CLM Reference'!$B$4</f>
        <v>0</v>
      </c>
      <c r="N68" s="41">
        <v>0</v>
      </c>
      <c r="O68" s="36">
        <f>[1]!Table3[[#This Row],[C&amp;I Incentive Disbursements]]/'[1]1.) CLM Reference'!$B$5</f>
        <v>0</v>
      </c>
      <c r="Q68">
        <f>VLOOKUP(Table3[[#This Row],[Census Tract]],'Population and Diversity Data'!$B$2:$K$823,10,FALSE)</f>
        <v>3</v>
      </c>
      <c r="R68" t="str">
        <f>VLOOKUP(Table3[[#This Row],[Census Tract]],'ES Energy Burden'!$B$2:$E$914,4,FALSE)</f>
        <v>Yes</v>
      </c>
    </row>
    <row r="69" spans="1:18" x14ac:dyDescent="0.2">
      <c r="A69" s="100">
        <v>9003405800</v>
      </c>
      <c r="B69" s="38" t="s">
        <v>2744</v>
      </c>
      <c r="C69" s="38" t="s">
        <v>944</v>
      </c>
      <c r="D69" s="40">
        <f>[1]!Table3[[#This Row],[Residential CLM $ Collected]]+[1]!Table3[[#This Row],[C&amp;I CLM $ Collected]]</f>
        <v>509551.29354240006</v>
      </c>
      <c r="E69" s="36">
        <f>[1]!Table3[[#This Row],[CLM $ Collected ]]/'[1]1.) CLM Reference'!$B$4</f>
        <v>4.5205564417197391E-3</v>
      </c>
      <c r="F69" s="40">
        <f>[1]!Table3[[#This Row],[Residential Incentive Disbursements]]+[1]!Table3[[#This Row],[C&amp;I Incentive Disbursements]]</f>
        <v>739362.14009999996</v>
      </c>
      <c r="G69" s="36">
        <f>[1]!Table3[[#This Row],[Incentive Disbursements]]/'[1]1.) CLM Reference'!$B$5</f>
        <v>9.0458385484324284E-3</v>
      </c>
      <c r="H69" s="40">
        <v>199806.49982016004</v>
      </c>
      <c r="I69" s="36">
        <f>[1]!Table3[[#This Row],[Residential CLM $ Collected]]/'[1]1.) CLM Reference'!$B$4</f>
        <v>1.7726116512828348E-3</v>
      </c>
      <c r="J69" s="41">
        <v>450736.245</v>
      </c>
      <c r="K69" s="36">
        <f>[1]!Table3[[#This Row],[Residential Incentive Disbursements]]/'[1]1.) CLM Reference'!$B$5</f>
        <v>5.5146011393621304E-3</v>
      </c>
      <c r="L69" s="37">
        <v>309744.79372224002</v>
      </c>
      <c r="M69" s="36">
        <f>[1]!Table3[[#This Row],[C&amp;I CLM $ Collected]]/'[1]1.) CLM Reference'!$B$4</f>
        <v>2.7479447904369039E-3</v>
      </c>
      <c r="N69" s="41">
        <v>288625.89510000002</v>
      </c>
      <c r="O69" s="36">
        <f>[1]!Table3[[#This Row],[C&amp;I Incentive Disbursements]]/'[1]1.) CLM Reference'!$B$5</f>
        <v>3.5312374090702976E-3</v>
      </c>
      <c r="Q69">
        <f>VLOOKUP(Table3[[#This Row],[Census Tract]],'Population and Diversity Data'!$B$2:$K$823,10,FALSE)</f>
        <v>2</v>
      </c>
      <c r="R69" t="str">
        <f>VLOOKUP(Table3[[#This Row],[Census Tract]],'ES Energy Burden'!$B$2:$E$914,4,FALSE)</f>
        <v>No</v>
      </c>
    </row>
    <row r="70" spans="1:18" x14ac:dyDescent="0.2">
      <c r="A70" s="100">
        <v>9003405900</v>
      </c>
      <c r="B70" s="38" t="s">
        <v>2744</v>
      </c>
      <c r="C70" s="38" t="s">
        <v>944</v>
      </c>
      <c r="D70" s="40">
        <f>[1]!Table3[[#This Row],[Residential CLM $ Collected]]+[1]!Table3[[#This Row],[C&amp;I CLM $ Collected]]</f>
        <v>95207.098066559993</v>
      </c>
      <c r="E70" s="36">
        <f>[1]!Table3[[#This Row],[CLM $ Collected ]]/'[1]1.) CLM Reference'!$B$4</f>
        <v>8.4464324969163831E-4</v>
      </c>
      <c r="F70" s="40">
        <f>[1]!Table3[[#This Row],[Residential Incentive Disbursements]]+[1]!Table3[[#This Row],[C&amp;I Incentive Disbursements]]</f>
        <v>47858.912400000001</v>
      </c>
      <c r="G70" s="36">
        <f>[1]!Table3[[#This Row],[Incentive Disbursements]]/'[1]1.) CLM Reference'!$B$5</f>
        <v>5.8553714234734421E-4</v>
      </c>
      <c r="H70" s="40">
        <v>95207.098066559993</v>
      </c>
      <c r="I70" s="36">
        <f>[1]!Table3[[#This Row],[Residential CLM $ Collected]]/'[1]1.) CLM Reference'!$B$4</f>
        <v>8.4464324969163831E-4</v>
      </c>
      <c r="J70" s="41">
        <v>47858.912400000001</v>
      </c>
      <c r="K70" s="36">
        <f>[1]!Table3[[#This Row],[Residential Incentive Disbursements]]/'[1]1.) CLM Reference'!$B$5</f>
        <v>5.8553714234734421E-4</v>
      </c>
      <c r="L70" s="37">
        <v>0</v>
      </c>
      <c r="M70" s="36">
        <f>[1]!Table3[[#This Row],[C&amp;I CLM $ Collected]]/'[1]1.) CLM Reference'!$B$4</f>
        <v>0</v>
      </c>
      <c r="N70" s="41">
        <v>0</v>
      </c>
      <c r="O70" s="36">
        <f>[1]!Table3[[#This Row],[C&amp;I Incentive Disbursements]]/'[1]1.) CLM Reference'!$B$5</f>
        <v>0</v>
      </c>
      <c r="Q70">
        <f>VLOOKUP(Table3[[#This Row],[Census Tract]],'Population and Diversity Data'!$B$2:$K$823,10,FALSE)</f>
        <v>1</v>
      </c>
      <c r="R70" t="str">
        <f>VLOOKUP(Table3[[#This Row],[Census Tract]],'ES Energy Burden'!$B$2:$E$914,4,FALSE)</f>
        <v>No</v>
      </c>
    </row>
    <row r="71" spans="1:18" x14ac:dyDescent="0.2">
      <c r="A71" s="100">
        <v>9003406001</v>
      </c>
      <c r="B71" s="38" t="s">
        <v>2744</v>
      </c>
      <c r="C71" s="38" t="s">
        <v>944</v>
      </c>
      <c r="D71" s="40">
        <f>[1]!Table3[[#This Row],[Residential CLM $ Collected]]+[1]!Table3[[#This Row],[C&amp;I CLM $ Collected]]</f>
        <v>65823.076327679999</v>
      </c>
      <c r="E71" s="36">
        <f>[1]!Table3[[#This Row],[CLM $ Collected ]]/'[1]1.) CLM Reference'!$B$4</f>
        <v>5.8395874071536229E-4</v>
      </c>
      <c r="F71" s="40">
        <f>[1]!Table3[[#This Row],[Residential Incentive Disbursements]]+[1]!Table3[[#This Row],[C&amp;I Incentive Disbursements]]</f>
        <v>61190</v>
      </c>
      <c r="G71" s="36">
        <f>[1]!Table3[[#This Row],[Incentive Disbursements]]/'[1]1.) CLM Reference'!$B$5</f>
        <v>7.4863836103876847E-4</v>
      </c>
      <c r="H71" s="40">
        <v>65823.076327679999</v>
      </c>
      <c r="I71" s="36">
        <f>[1]!Table3[[#This Row],[Residential CLM $ Collected]]/'[1]1.) CLM Reference'!$B$4</f>
        <v>5.8395874071536229E-4</v>
      </c>
      <c r="J71" s="41">
        <v>61190</v>
      </c>
      <c r="K71" s="36">
        <f>[1]!Table3[[#This Row],[Residential Incentive Disbursements]]/'[1]1.) CLM Reference'!$B$5</f>
        <v>7.4863836103876847E-4</v>
      </c>
      <c r="L71" s="37">
        <v>0</v>
      </c>
      <c r="M71" s="36">
        <f>[1]!Table3[[#This Row],[C&amp;I CLM $ Collected]]/'[1]1.) CLM Reference'!$B$4</f>
        <v>0</v>
      </c>
      <c r="N71" s="41">
        <v>0</v>
      </c>
      <c r="O71" s="36">
        <f>[1]!Table3[[#This Row],[C&amp;I Incentive Disbursements]]/'[1]1.) CLM Reference'!$B$5</f>
        <v>0</v>
      </c>
      <c r="Q71">
        <f>VLOOKUP(Table3[[#This Row],[Census Tract]],'Population and Diversity Data'!$B$2:$K$823,10,FALSE)</f>
        <v>4</v>
      </c>
      <c r="R71" t="str">
        <f>VLOOKUP(Table3[[#This Row],[Census Tract]],'ES Energy Burden'!$B$2:$E$914,4,FALSE)</f>
        <v>No</v>
      </c>
    </row>
    <row r="72" spans="1:18" x14ac:dyDescent="0.2">
      <c r="A72" s="100">
        <v>9003406002</v>
      </c>
      <c r="B72" s="38" t="s">
        <v>2744</v>
      </c>
      <c r="C72" s="38" t="s">
        <v>944</v>
      </c>
      <c r="D72" s="40">
        <f>[1]!Table3[[#This Row],[Residential CLM $ Collected]]+[1]!Table3[[#This Row],[C&amp;I CLM $ Collected]]</f>
        <v>98369.128762559994</v>
      </c>
      <c r="E72" s="36">
        <f>[1]!Table3[[#This Row],[CLM $ Collected ]]/'[1]1.) CLM Reference'!$B$4</f>
        <v>8.7269565268397592E-4</v>
      </c>
      <c r="F72" s="40">
        <f>[1]!Table3[[#This Row],[Residential Incentive Disbursements]]+[1]!Table3[[#This Row],[C&amp;I Incentive Disbursements]]</f>
        <v>88476.909499999994</v>
      </c>
      <c r="G72" s="36">
        <f>[1]!Table3[[#This Row],[Incentive Disbursements]]/'[1]1.) CLM Reference'!$B$5</f>
        <v>1.0824842052272502E-3</v>
      </c>
      <c r="H72" s="40">
        <v>98369.128762559994</v>
      </c>
      <c r="I72" s="36">
        <f>[1]!Table3[[#This Row],[Residential CLM $ Collected]]/'[1]1.) CLM Reference'!$B$4</f>
        <v>8.7269565268397592E-4</v>
      </c>
      <c r="J72" s="41">
        <v>88476.909499999994</v>
      </c>
      <c r="K72" s="36">
        <f>[1]!Table3[[#This Row],[Residential Incentive Disbursements]]/'[1]1.) CLM Reference'!$B$5</f>
        <v>1.0824842052272502E-3</v>
      </c>
      <c r="L72" s="37">
        <v>0</v>
      </c>
      <c r="M72" s="36">
        <f>[1]!Table3[[#This Row],[C&amp;I CLM $ Collected]]/'[1]1.) CLM Reference'!$B$4</f>
        <v>0</v>
      </c>
      <c r="N72" s="41">
        <v>0</v>
      </c>
      <c r="O72" s="36">
        <f>[1]!Table3[[#This Row],[C&amp;I Incentive Disbursements]]/'[1]1.) CLM Reference'!$B$5</f>
        <v>0</v>
      </c>
      <c r="Q72">
        <f>VLOOKUP(Table3[[#This Row],[Census Tract]],'Population and Diversity Data'!$B$2:$K$823,10,FALSE)</f>
        <v>2</v>
      </c>
      <c r="R72" t="str">
        <f>VLOOKUP(Table3[[#This Row],[Census Tract]],'ES Energy Burden'!$B$2:$E$914,4,FALSE)</f>
        <v>No</v>
      </c>
    </row>
    <row r="73" spans="1:18" x14ac:dyDescent="0.2">
      <c r="A73" s="100">
        <v>9003406100</v>
      </c>
      <c r="B73" s="38" t="s">
        <v>2744</v>
      </c>
      <c r="C73" s="38" t="s">
        <v>944</v>
      </c>
      <c r="D73" s="40">
        <f>[1]!Table3[[#This Row],[Residential CLM $ Collected]]+[1]!Table3[[#This Row],[C&amp;I CLM $ Collected]]</f>
        <v>52063.520731199998</v>
      </c>
      <c r="E73" s="36">
        <f>[1]!Table3[[#This Row],[CLM $ Collected ]]/'[1]1.) CLM Reference'!$B$4</f>
        <v>4.6188889519608532E-4</v>
      </c>
      <c r="F73" s="40">
        <f>[1]!Table3[[#This Row],[Residential Incentive Disbursements]]+[1]!Table3[[#This Row],[C&amp;I Incentive Disbursements]]</f>
        <v>10335.120000000001</v>
      </c>
      <c r="G73" s="36">
        <f>[1]!Table3[[#This Row],[Incentive Disbursements]]/'[1]1.) CLM Reference'!$B$5</f>
        <v>1.2644659744956687E-4</v>
      </c>
      <c r="H73" s="40">
        <v>52048.524265920001</v>
      </c>
      <c r="I73" s="36">
        <f>[1]!Table3[[#This Row],[Residential CLM $ Collected]]/'[1]1.) CLM Reference'!$B$4</f>
        <v>4.6175585193118998E-4</v>
      </c>
      <c r="J73" s="41">
        <v>10335.120000000001</v>
      </c>
      <c r="K73" s="36">
        <f>[1]!Table3[[#This Row],[Residential Incentive Disbursements]]/'[1]1.) CLM Reference'!$B$5</f>
        <v>1.2644659744956687E-4</v>
      </c>
      <c r="L73" s="37">
        <v>14.996465279999999</v>
      </c>
      <c r="M73" s="36">
        <f>[1]!Table3[[#This Row],[C&amp;I CLM $ Collected]]/'[1]1.) CLM Reference'!$B$4</f>
        <v>1.3304326489535124E-7</v>
      </c>
      <c r="N73" s="41">
        <v>0</v>
      </c>
      <c r="O73" s="36">
        <f>[1]!Table3[[#This Row],[C&amp;I Incentive Disbursements]]/'[1]1.) CLM Reference'!$B$5</f>
        <v>0</v>
      </c>
      <c r="Q73">
        <f>VLOOKUP(Table3[[#This Row],[Census Tract]],'Population and Diversity Data'!$B$2:$K$823,10,FALSE)</f>
        <v>4</v>
      </c>
      <c r="R73" t="str">
        <f>VLOOKUP(Table3[[#This Row],[Census Tract]],'ES Energy Burden'!$B$2:$E$914,4,FALSE)</f>
        <v>No</v>
      </c>
    </row>
    <row r="74" spans="1:18" x14ac:dyDescent="0.2">
      <c r="A74" s="100">
        <v>9003410101</v>
      </c>
      <c r="B74" s="38" t="s">
        <v>2744</v>
      </c>
      <c r="C74" s="38" t="s">
        <v>944</v>
      </c>
      <c r="D74" s="40">
        <f>[1]!Table3[[#This Row],[Residential CLM $ Collected]]+[1]!Table3[[#This Row],[C&amp;I CLM $ Collected]]</f>
        <v>392.66588160000003</v>
      </c>
      <c r="E74" s="36">
        <f>[1]!Table3[[#This Row],[CLM $ Collected ]]/'[1]1.) CLM Reference'!$B$4</f>
        <v>3.4835909613145471E-6</v>
      </c>
      <c r="F74" s="40">
        <f>[1]!Table3[[#This Row],[Residential Incentive Disbursements]]+[1]!Table3[[#This Row],[C&amp;I Incentive Disbursements]]</f>
        <v>0</v>
      </c>
      <c r="G74" s="36">
        <f>[1]!Table3[[#This Row],[Incentive Disbursements]]/'[1]1.) CLM Reference'!$B$5</f>
        <v>0</v>
      </c>
      <c r="H74" s="40">
        <v>392.66588160000003</v>
      </c>
      <c r="I74" s="36">
        <f>[1]!Table3[[#This Row],[Residential CLM $ Collected]]/'[1]1.) CLM Reference'!$B$4</f>
        <v>3.4835909613145471E-6</v>
      </c>
      <c r="J74" s="41">
        <v>0</v>
      </c>
      <c r="K74" s="36">
        <f>[1]!Table3[[#This Row],[Residential Incentive Disbursements]]/'[1]1.) CLM Reference'!$B$5</f>
        <v>0</v>
      </c>
      <c r="L74" s="37">
        <v>0</v>
      </c>
      <c r="M74" s="36">
        <f>[1]!Table3[[#This Row],[C&amp;I CLM $ Collected]]/'[1]1.) CLM Reference'!$B$4</f>
        <v>0</v>
      </c>
      <c r="N74" s="41">
        <v>0</v>
      </c>
      <c r="O74" s="36">
        <f>[1]!Table3[[#This Row],[C&amp;I Incentive Disbursements]]/'[1]1.) CLM Reference'!$B$5</f>
        <v>0</v>
      </c>
      <c r="Q74">
        <f>VLOOKUP(Table3[[#This Row],[Census Tract]],'Population and Diversity Data'!$B$2:$K$823,10,FALSE)</f>
        <v>1</v>
      </c>
      <c r="R74" t="str">
        <f>VLOOKUP(Table3[[#This Row],[Census Tract]],'ES Energy Burden'!$B$2:$E$914,4,FALSE)</f>
        <v>No</v>
      </c>
    </row>
    <row r="75" spans="1:18" x14ac:dyDescent="0.2">
      <c r="A75" s="100">
        <v>9003420500</v>
      </c>
      <c r="B75" s="38" t="s">
        <v>2744</v>
      </c>
      <c r="C75" s="38" t="s">
        <v>944</v>
      </c>
      <c r="D75" s="40">
        <f>[1]!Table3[[#This Row],[Residential CLM $ Collected]]+[1]!Table3[[#This Row],[C&amp;I CLM $ Collected]]</f>
        <v>546.64217280000003</v>
      </c>
      <c r="E75" s="36">
        <f>[1]!Table3[[#This Row],[CLM $ Collected ]]/'[1]1.) CLM Reference'!$B$4</f>
        <v>4.8496134282918682E-6</v>
      </c>
      <c r="F75" s="40">
        <f>[1]!Table3[[#This Row],[Residential Incentive Disbursements]]+[1]!Table3[[#This Row],[C&amp;I Incentive Disbursements]]</f>
        <v>894.67</v>
      </c>
      <c r="G75" s="36">
        <f>[1]!Table3[[#This Row],[Incentive Disbursements]]/'[1]1.) CLM Reference'!$B$5</f>
        <v>1.0945976180267281E-5</v>
      </c>
      <c r="H75" s="40">
        <v>546.64217280000003</v>
      </c>
      <c r="I75" s="36">
        <f>[1]!Table3[[#This Row],[Residential CLM $ Collected]]/'[1]1.) CLM Reference'!$B$4</f>
        <v>4.8496134282918682E-6</v>
      </c>
      <c r="J75" s="41">
        <v>894.67</v>
      </c>
      <c r="K75" s="36">
        <f>[1]!Table3[[#This Row],[Residential Incentive Disbursements]]/'[1]1.) CLM Reference'!$B$5</f>
        <v>1.0945976180267281E-5</v>
      </c>
      <c r="L75" s="37">
        <v>0</v>
      </c>
      <c r="M75" s="36">
        <f>[1]!Table3[[#This Row],[C&amp;I CLM $ Collected]]/'[1]1.) CLM Reference'!$B$4</f>
        <v>0</v>
      </c>
      <c r="N75" s="41">
        <v>0</v>
      </c>
      <c r="O75" s="36">
        <f>[1]!Table3[[#This Row],[C&amp;I Incentive Disbursements]]/'[1]1.) CLM Reference'!$B$5</f>
        <v>0</v>
      </c>
      <c r="Q75">
        <f>VLOOKUP(Table3[[#This Row],[Census Tract]],'Population and Diversity Data'!$B$2:$K$823,10,FALSE)</f>
        <v>4</v>
      </c>
      <c r="R75" t="str">
        <f>VLOOKUP(Table3[[#This Row],[Census Tract]],'ES Energy Burden'!$B$2:$E$914,4,FALSE)</f>
        <v>No</v>
      </c>
    </row>
    <row r="76" spans="1:18" x14ac:dyDescent="0.2">
      <c r="A76" s="100">
        <v>9003430601</v>
      </c>
      <c r="B76" s="38" t="s">
        <v>2744</v>
      </c>
      <c r="C76" s="38" t="s">
        <v>944</v>
      </c>
      <c r="D76" s="40">
        <f>[1]!Table3[[#This Row],[Residential CLM $ Collected]]+[1]!Table3[[#This Row],[C&amp;I CLM $ Collected]]</f>
        <v>1476.5607936000001</v>
      </c>
      <c r="E76" s="36">
        <f>[1]!Table3[[#This Row],[CLM $ Collected ]]/'[1]1.) CLM Reference'!$B$4</f>
        <v>1.3099518128382241E-5</v>
      </c>
      <c r="F76" s="40">
        <f>[1]!Table3[[#This Row],[Residential Incentive Disbursements]]+[1]!Table3[[#This Row],[C&amp;I Incentive Disbursements]]</f>
        <v>0</v>
      </c>
      <c r="G76" s="36">
        <f>[1]!Table3[[#This Row],[Incentive Disbursements]]/'[1]1.) CLM Reference'!$B$5</f>
        <v>0</v>
      </c>
      <c r="H76" s="40">
        <v>1476.5607936000001</v>
      </c>
      <c r="I76" s="36">
        <f>[1]!Table3[[#This Row],[Residential CLM $ Collected]]/'[1]1.) CLM Reference'!$B$4</f>
        <v>1.3099518128382241E-5</v>
      </c>
      <c r="J76" s="41">
        <v>0</v>
      </c>
      <c r="K76" s="36">
        <f>[1]!Table3[[#This Row],[Residential Incentive Disbursements]]/'[1]1.) CLM Reference'!$B$5</f>
        <v>0</v>
      </c>
      <c r="L76" s="37">
        <v>0</v>
      </c>
      <c r="M76" s="36">
        <f>[1]!Table3[[#This Row],[C&amp;I CLM $ Collected]]/'[1]1.) CLM Reference'!$B$4</f>
        <v>0</v>
      </c>
      <c r="N76" s="41">
        <v>0</v>
      </c>
      <c r="O76" s="36">
        <f>[1]!Table3[[#This Row],[C&amp;I Incentive Disbursements]]/'[1]1.) CLM Reference'!$B$5</f>
        <v>0</v>
      </c>
      <c r="Q76">
        <f>VLOOKUP(Table3[[#This Row],[Census Tract]],'Population and Diversity Data'!$B$2:$K$823,10,FALSE)</f>
        <v>2</v>
      </c>
      <c r="R76" t="str">
        <f>VLOOKUP(Table3[[#This Row],[Census Tract]],'ES Energy Burden'!$B$2:$E$914,4,FALSE)</f>
        <v>No</v>
      </c>
    </row>
    <row r="77" spans="1:18" x14ac:dyDescent="0.2">
      <c r="A77" s="100">
        <v>9005425400</v>
      </c>
      <c r="B77" s="38" t="s">
        <v>2744</v>
      </c>
      <c r="C77" s="38" t="s">
        <v>944</v>
      </c>
      <c r="D77" s="40">
        <f>[1]!Table3[[#This Row],[Residential CLM $ Collected]]+[1]!Table3[[#This Row],[C&amp;I CLM $ Collected]]</f>
        <v>559.63802880000003</v>
      </c>
      <c r="E77" s="36">
        <f>[1]!Table3[[#This Row],[CLM $ Collected ]]/'[1]1.) CLM Reference'!$B$4</f>
        <v>4.964908004718203E-6</v>
      </c>
      <c r="F77" s="40">
        <f>[1]!Table3[[#This Row],[Residential Incentive Disbursements]]+[1]!Table3[[#This Row],[C&amp;I Incentive Disbursements]]</f>
        <v>0</v>
      </c>
      <c r="G77" s="36">
        <f>[1]!Table3[[#This Row],[Incentive Disbursements]]/'[1]1.) CLM Reference'!$B$5</f>
        <v>0</v>
      </c>
      <c r="H77" s="40">
        <v>559.63802880000003</v>
      </c>
      <c r="I77" s="36">
        <f>[1]!Table3[[#This Row],[Residential CLM $ Collected]]/'[1]1.) CLM Reference'!$B$4</f>
        <v>4.964908004718203E-6</v>
      </c>
      <c r="J77" s="41">
        <v>0</v>
      </c>
      <c r="K77" s="36">
        <f>[1]!Table3[[#This Row],[Residential Incentive Disbursements]]/'[1]1.) CLM Reference'!$B$5</f>
        <v>0</v>
      </c>
      <c r="L77" s="37">
        <v>0</v>
      </c>
      <c r="M77" s="36">
        <f>[1]!Table3[[#This Row],[C&amp;I CLM $ Collected]]/'[1]1.) CLM Reference'!$B$4</f>
        <v>0</v>
      </c>
      <c r="N77" s="41">
        <v>0</v>
      </c>
      <c r="O77" s="36">
        <f>[1]!Table3[[#This Row],[C&amp;I Incentive Disbursements]]/'[1]1.) CLM Reference'!$B$5</f>
        <v>0</v>
      </c>
      <c r="Q77">
        <f>VLOOKUP(Table3[[#This Row],[Census Tract]],'Population and Diversity Data'!$B$2:$K$823,10,FALSE)</f>
        <v>2</v>
      </c>
      <c r="R77" t="str">
        <f>VLOOKUP(Table3[[#This Row],[Census Tract]],'ES Energy Burden'!$B$2:$E$914,4,FALSE)</f>
        <v>No</v>
      </c>
    </row>
    <row r="78" spans="1:18" x14ac:dyDescent="0.2">
      <c r="A78" s="100">
        <v>9001205100</v>
      </c>
      <c r="B78" s="38" t="s">
        <v>2745</v>
      </c>
      <c r="C78" s="38" t="s">
        <v>944</v>
      </c>
      <c r="D78" s="40">
        <f>[1]!Table3[[#This Row],[Residential CLM $ Collected]]+[1]!Table3[[#This Row],[C&amp;I CLM $ Collected]]</f>
        <v>93675.313857600006</v>
      </c>
      <c r="E78" s="36">
        <f>[1]!Table3[[#This Row],[CLM $ Collected ]]/'[1]1.) CLM Reference'!$B$4</f>
        <v>8.310538092154903E-4</v>
      </c>
      <c r="F78" s="40">
        <f>[1]!Table3[[#This Row],[Residential Incentive Disbursements]]+[1]!Table3[[#This Row],[C&amp;I Incentive Disbursements]]</f>
        <v>12836.5</v>
      </c>
      <c r="G78" s="36">
        <f>[1]!Table3[[#This Row],[Incentive Disbursements]]/'[1]1.) CLM Reference'!$B$5</f>
        <v>1.5705011148021164E-4</v>
      </c>
      <c r="H78" s="40">
        <v>93675.313857600006</v>
      </c>
      <c r="I78" s="36">
        <f>[1]!Table3[[#This Row],[Residential CLM $ Collected]]/'[1]1.) CLM Reference'!$B$4</f>
        <v>8.310538092154903E-4</v>
      </c>
      <c r="J78" s="41">
        <v>12836.5</v>
      </c>
      <c r="K78" s="36">
        <f>[1]!Table3[[#This Row],[Residential Incentive Disbursements]]/'[1]1.) CLM Reference'!$B$5</f>
        <v>1.5705011148021164E-4</v>
      </c>
      <c r="L78" s="37">
        <v>0</v>
      </c>
      <c r="M78" s="36">
        <f>[1]!Table3[[#This Row],[C&amp;I CLM $ Collected]]/'[1]1.) CLM Reference'!$B$4</f>
        <v>0</v>
      </c>
      <c r="N78" s="41">
        <v>0</v>
      </c>
      <c r="O78" s="36">
        <f>[1]!Table3[[#This Row],[C&amp;I Incentive Disbursements]]/'[1]1.) CLM Reference'!$B$5</f>
        <v>0</v>
      </c>
      <c r="Q78">
        <f>VLOOKUP(Table3[[#This Row],[Census Tract]],'Population and Diversity Data'!$B$2:$K$823,10,FALSE)</f>
        <v>3</v>
      </c>
      <c r="R78" t="str">
        <f>VLOOKUP(Table3[[#This Row],[Census Tract]],'ES Energy Burden'!$B$2:$E$914,4,FALSE)</f>
        <v>No</v>
      </c>
    </row>
    <row r="79" spans="1:18" x14ac:dyDescent="0.2">
      <c r="A79" s="100">
        <v>9001205200</v>
      </c>
      <c r="B79" s="38" t="s">
        <v>2745</v>
      </c>
      <c r="C79" s="38" t="s">
        <v>944</v>
      </c>
      <c r="D79" s="40">
        <f>[1]!Table3[[#This Row],[Residential CLM $ Collected]]+[1]!Table3[[#This Row],[C&amp;I CLM $ Collected]]</f>
        <v>332730.52255008003</v>
      </c>
      <c r="E79" s="36">
        <f>[1]!Table3[[#This Row],[CLM $ Collected ]]/'[1]1.) CLM Reference'!$B$4</f>
        <v>2.9518659379978197E-3</v>
      </c>
      <c r="F79" s="40">
        <f>[1]!Table3[[#This Row],[Residential Incentive Disbursements]]+[1]!Table3[[#This Row],[C&amp;I Incentive Disbursements]]</f>
        <v>427613.46220000001</v>
      </c>
      <c r="G79" s="36">
        <f>[1]!Table3[[#This Row],[Incentive Disbursements]]/'[1]1.) CLM Reference'!$B$5</f>
        <v>5.2317019365831245E-3</v>
      </c>
      <c r="H79" s="40">
        <v>173065.61753280001</v>
      </c>
      <c r="I79" s="36">
        <f>[1]!Table3[[#This Row],[Residential CLM $ Collected]]/'[1]1.) CLM Reference'!$B$4</f>
        <v>1.5353761281601058E-3</v>
      </c>
      <c r="J79" s="41">
        <v>346329.2622</v>
      </c>
      <c r="K79" s="36">
        <f>[1]!Table3[[#This Row],[Residential Incentive Disbursements]]/'[1]1.) CLM Reference'!$B$5</f>
        <v>4.2372180296318665E-3</v>
      </c>
      <c r="L79" s="37">
        <v>159664.90501728002</v>
      </c>
      <c r="M79" s="36">
        <f>[1]!Table3[[#This Row],[C&amp;I CLM $ Collected]]/'[1]1.) CLM Reference'!$B$4</f>
        <v>1.416489809837714E-3</v>
      </c>
      <c r="N79" s="41">
        <v>81284.2</v>
      </c>
      <c r="O79" s="36">
        <f>[1]!Table3[[#This Row],[C&amp;I Incentive Disbursements]]/'[1]1.) CLM Reference'!$B$5</f>
        <v>9.9448390695125758E-4</v>
      </c>
      <c r="Q79">
        <f>VLOOKUP(Table3[[#This Row],[Census Tract]],'Population and Diversity Data'!$B$2:$K$823,10,FALSE)</f>
        <v>1</v>
      </c>
      <c r="R79" t="str">
        <f>VLOOKUP(Table3[[#This Row],[Census Tract]],'ES Energy Burden'!$B$2:$E$914,4,FALSE)</f>
        <v>No</v>
      </c>
    </row>
    <row r="80" spans="1:18" x14ac:dyDescent="0.2">
      <c r="A80" s="100">
        <v>9001205300</v>
      </c>
      <c r="B80" s="38" t="s">
        <v>2745</v>
      </c>
      <c r="C80" s="38" t="s">
        <v>944</v>
      </c>
      <c r="D80" s="40">
        <f>[1]!Table3[[#This Row],[Residential CLM $ Collected]]+[1]!Table3[[#This Row],[C&amp;I CLM $ Collected]]</f>
        <v>134676.70291584003</v>
      </c>
      <c r="E80" s="36">
        <f>[1]!Table3[[#This Row],[CLM $ Collected ]]/'[1]1.) CLM Reference'!$B$4</f>
        <v>1.19480343712466E-3</v>
      </c>
      <c r="F80" s="40">
        <f>[1]!Table3[[#This Row],[Residential Incentive Disbursements]]+[1]!Table3[[#This Row],[C&amp;I Incentive Disbursements]]</f>
        <v>17564.3</v>
      </c>
      <c r="G80" s="36">
        <f>[1]!Table3[[#This Row],[Incentive Disbursements]]/'[1]1.) CLM Reference'!$B$5</f>
        <v>2.1489309960440005E-4</v>
      </c>
      <c r="H80" s="40">
        <v>134676.70291584003</v>
      </c>
      <c r="I80" s="36">
        <f>[1]!Table3[[#This Row],[Residential CLM $ Collected]]/'[1]1.) CLM Reference'!$B$4</f>
        <v>1.19480343712466E-3</v>
      </c>
      <c r="J80" s="41">
        <v>17564.3</v>
      </c>
      <c r="K80" s="36">
        <f>[1]!Table3[[#This Row],[Residential Incentive Disbursements]]/'[1]1.) CLM Reference'!$B$5</f>
        <v>2.1489309960440005E-4</v>
      </c>
      <c r="L80" s="37">
        <v>0</v>
      </c>
      <c r="M80" s="36">
        <f>[1]!Table3[[#This Row],[C&amp;I CLM $ Collected]]/'[1]1.) CLM Reference'!$B$4</f>
        <v>0</v>
      </c>
      <c r="N80" s="41">
        <v>0</v>
      </c>
      <c r="O80" s="36">
        <f>[1]!Table3[[#This Row],[C&amp;I Incentive Disbursements]]/'[1]1.) CLM Reference'!$B$5</f>
        <v>0</v>
      </c>
      <c r="Q80">
        <f>VLOOKUP(Table3[[#This Row],[Census Tract]],'Population and Diversity Data'!$B$2:$K$823,10,FALSE)</f>
        <v>4</v>
      </c>
      <c r="R80" t="str">
        <f>VLOOKUP(Table3[[#This Row],[Census Tract]],'ES Energy Burden'!$B$2:$E$914,4,FALSE)</f>
        <v>No</v>
      </c>
    </row>
    <row r="81" spans="1:18" x14ac:dyDescent="0.2">
      <c r="A81" s="100">
        <v>9001211400</v>
      </c>
      <c r="B81" s="38" t="s">
        <v>2745</v>
      </c>
      <c r="C81" s="38" t="s">
        <v>944</v>
      </c>
      <c r="D81" s="40">
        <f>[1]!Table3[[#This Row],[Residential CLM $ Collected]]+[1]!Table3[[#This Row],[C&amp;I CLM $ Collected]]</f>
        <v>1156.7643264000001</v>
      </c>
      <c r="E81" s="36">
        <f>[1]!Table3[[#This Row],[CLM $ Collected ]]/'[1]1.) CLM Reference'!$B$4</f>
        <v>1.0262398493595402E-5</v>
      </c>
      <c r="F81" s="40">
        <f>[1]!Table3[[#This Row],[Residential Incentive Disbursements]]+[1]!Table3[[#This Row],[C&amp;I Incentive Disbursements]]</f>
        <v>0</v>
      </c>
      <c r="G81" s="36">
        <f>[1]!Table3[[#This Row],[Incentive Disbursements]]/'[1]1.) CLM Reference'!$B$5</f>
        <v>0</v>
      </c>
      <c r="H81" s="40">
        <v>1156.7643264000001</v>
      </c>
      <c r="I81" s="36">
        <f>[1]!Table3[[#This Row],[Residential CLM $ Collected]]/'[1]1.) CLM Reference'!$B$4</f>
        <v>1.0262398493595402E-5</v>
      </c>
      <c r="J81" s="41">
        <v>0</v>
      </c>
      <c r="K81" s="36">
        <f>[1]!Table3[[#This Row],[Residential Incentive Disbursements]]/'[1]1.) CLM Reference'!$B$5</f>
        <v>0</v>
      </c>
      <c r="L81" s="37">
        <v>0</v>
      </c>
      <c r="M81" s="36">
        <f>[1]!Table3[[#This Row],[C&amp;I CLM $ Collected]]/'[1]1.) CLM Reference'!$B$4</f>
        <v>0</v>
      </c>
      <c r="N81" s="41">
        <v>0</v>
      </c>
      <c r="O81" s="36">
        <f>[1]!Table3[[#This Row],[C&amp;I Incentive Disbursements]]/'[1]1.) CLM Reference'!$B$5</f>
        <v>0</v>
      </c>
      <c r="Q81">
        <f>VLOOKUP(Table3[[#This Row],[Census Tract]],'Population and Diversity Data'!$B$2:$K$823,10,FALSE)</f>
        <v>4</v>
      </c>
      <c r="R81" t="str">
        <f>VLOOKUP(Table3[[#This Row],[Census Tract]],'ES Energy Burden'!$B$2:$E$914,4,FALSE)</f>
        <v>No</v>
      </c>
    </row>
    <row r="82" spans="1:18" x14ac:dyDescent="0.2">
      <c r="A82" s="100">
        <v>9005253400</v>
      </c>
      <c r="B82" s="38" t="s">
        <v>2745</v>
      </c>
      <c r="C82" s="38" t="s">
        <v>944</v>
      </c>
      <c r="D82" s="40">
        <f>[1]!Table3[[#This Row],[Residential CLM $ Collected]]+[1]!Table3[[#This Row],[C&amp;I CLM $ Collected]]</f>
        <v>1729.7165952</v>
      </c>
      <c r="E82" s="36">
        <f>[1]!Table3[[#This Row],[CLM $ Collected ]]/'[1]1.) CLM Reference'!$B$4</f>
        <v>1.5345425663471989E-5</v>
      </c>
      <c r="F82" s="40">
        <f>[1]!Table3[[#This Row],[Residential Incentive Disbursements]]+[1]!Table3[[#This Row],[C&amp;I Incentive Disbursements]]</f>
        <v>888.71</v>
      </c>
      <c r="G82" s="36">
        <f>[1]!Table3[[#This Row],[Incentive Disbursements]]/'[1]1.) CLM Reference'!$B$5</f>
        <v>1.087305765384481E-5</v>
      </c>
      <c r="H82" s="40">
        <v>1729.7165952</v>
      </c>
      <c r="I82" s="36">
        <f>[1]!Table3[[#This Row],[Residential CLM $ Collected]]/'[1]1.) CLM Reference'!$B$4</f>
        <v>1.5345425663471989E-5</v>
      </c>
      <c r="J82" s="41">
        <v>888.71</v>
      </c>
      <c r="K82" s="36">
        <f>[1]!Table3[[#This Row],[Residential Incentive Disbursements]]/'[1]1.) CLM Reference'!$B$5</f>
        <v>1.087305765384481E-5</v>
      </c>
      <c r="L82" s="37">
        <v>0</v>
      </c>
      <c r="M82" s="36">
        <f>[1]!Table3[[#This Row],[C&amp;I CLM $ Collected]]/'[1]1.) CLM Reference'!$B$4</f>
        <v>0</v>
      </c>
      <c r="N82" s="41">
        <v>0</v>
      </c>
      <c r="O82" s="36">
        <f>[1]!Table3[[#This Row],[C&amp;I Incentive Disbursements]]/'[1]1.) CLM Reference'!$B$5</f>
        <v>0</v>
      </c>
      <c r="Q82">
        <f>VLOOKUP(Table3[[#This Row],[Census Tract]],'Population and Diversity Data'!$B$2:$K$823,10,FALSE)</f>
        <v>2</v>
      </c>
      <c r="R82" t="str">
        <f>VLOOKUP(Table3[[#This Row],[Census Tract]],'ES Energy Burden'!$B$2:$E$914,4,FALSE)</f>
        <v>No</v>
      </c>
    </row>
    <row r="83" spans="1:18" x14ac:dyDescent="0.2">
      <c r="A83" s="100">
        <v>9015902500</v>
      </c>
      <c r="B83" s="38" t="s">
        <v>2746</v>
      </c>
      <c r="C83" s="38" t="s">
        <v>944</v>
      </c>
      <c r="D83" s="40">
        <f>[1]!Table3[[#This Row],[Residential CLM $ Collected]]+[1]!Table3[[#This Row],[C&amp;I CLM $ Collected]]</f>
        <v>40.784411519999999</v>
      </c>
      <c r="E83" s="36">
        <f>[1]!Table3[[#This Row],[CLM $ Collected ]]/'[1]1.) CLM Reference'!$B$4</f>
        <v>3.6182468095951038E-7</v>
      </c>
      <c r="F83" s="40">
        <f>[1]!Table3[[#This Row],[Residential Incentive Disbursements]]+[1]!Table3[[#This Row],[C&amp;I Incentive Disbursements]]</f>
        <v>0</v>
      </c>
      <c r="G83" s="36">
        <f>[1]!Table3[[#This Row],[Incentive Disbursements]]/'[1]1.) CLM Reference'!$B$5</f>
        <v>0</v>
      </c>
      <c r="H83" s="40">
        <v>40.784411519999999</v>
      </c>
      <c r="I83" s="36">
        <f>[1]!Table3[[#This Row],[Residential CLM $ Collected]]/'[1]1.) CLM Reference'!$B$4</f>
        <v>3.6182468095951038E-7</v>
      </c>
      <c r="J83" s="41">
        <v>0</v>
      </c>
      <c r="K83" s="36">
        <f>[1]!Table3[[#This Row],[Residential Incentive Disbursements]]/'[1]1.) CLM Reference'!$B$5</f>
        <v>0</v>
      </c>
      <c r="L83" s="37">
        <v>0</v>
      </c>
      <c r="M83" s="36">
        <f>[1]!Table3[[#This Row],[C&amp;I CLM $ Collected]]/'[1]1.) CLM Reference'!$B$4</f>
        <v>0</v>
      </c>
      <c r="N83" s="41">
        <v>0</v>
      </c>
      <c r="O83" s="36">
        <f>[1]!Table3[[#This Row],[C&amp;I Incentive Disbursements]]/'[1]1.) CLM Reference'!$B$5</f>
        <v>0</v>
      </c>
      <c r="Q83">
        <f>VLOOKUP(Table3[[#This Row],[Census Tract]],'Population and Diversity Data'!$B$2:$K$823,10,FALSE)</f>
        <v>2</v>
      </c>
      <c r="R83" t="str">
        <f>VLOOKUP(Table3[[#This Row],[Census Tract]],'ES Energy Burden'!$B$2:$E$914,4,FALSE)</f>
        <v>No</v>
      </c>
    </row>
    <row r="84" spans="1:18" x14ac:dyDescent="0.2">
      <c r="A84" s="100">
        <v>9015905100</v>
      </c>
      <c r="B84" s="38" t="s">
        <v>2746</v>
      </c>
      <c r="C84" s="38" t="s">
        <v>944</v>
      </c>
      <c r="D84" s="40">
        <f>[1]!Table3[[#This Row],[Residential CLM $ Collected]]+[1]!Table3[[#This Row],[C&amp;I CLM $ Collected]]</f>
        <v>190454.70152448001</v>
      </c>
      <c r="E84" s="36">
        <f>[1]!Table3[[#This Row],[CLM $ Collected ]]/'[1]1.) CLM Reference'!$B$4</f>
        <v>1.6896458486973839E-3</v>
      </c>
      <c r="F84" s="40">
        <f>[1]!Table3[[#This Row],[Residential Incentive Disbursements]]+[1]!Table3[[#This Row],[C&amp;I Incentive Disbursements]]</f>
        <v>124998.14720000001</v>
      </c>
      <c r="G84" s="36">
        <f>[1]!Table3[[#This Row],[Incentive Disbursements]]/'[1]1.) CLM Reference'!$B$5</f>
        <v>1.5293088421750405E-3</v>
      </c>
      <c r="H84" s="40">
        <v>149299.51099680003</v>
      </c>
      <c r="I84" s="36">
        <f>[1]!Table3[[#This Row],[Residential CLM $ Collected]]/'[1]1.) CLM Reference'!$B$4</f>
        <v>1.3245317492772317E-3</v>
      </c>
      <c r="J84" s="41">
        <v>89586.357199999999</v>
      </c>
      <c r="K84" s="36">
        <f>[1]!Table3[[#This Row],[Residential Incentive Disbursements]]/'[1]1.) CLM Reference'!$B$5</f>
        <v>1.0960579118424853E-3</v>
      </c>
      <c r="L84" s="37">
        <v>41155.190527679995</v>
      </c>
      <c r="M84" s="36">
        <f>[1]!Table3[[#This Row],[C&amp;I CLM $ Collected]]/'[1]1.) CLM Reference'!$B$4</f>
        <v>3.6511409942015217E-4</v>
      </c>
      <c r="N84" s="41">
        <v>35411.79</v>
      </c>
      <c r="O84" s="36">
        <f>[1]!Table3[[#This Row],[C&amp;I Incentive Disbursements]]/'[1]1.) CLM Reference'!$B$5</f>
        <v>4.3325093033255518E-4</v>
      </c>
      <c r="Q84">
        <f>VLOOKUP(Table3[[#This Row],[Census Tract]],'Population and Diversity Data'!$B$2:$K$823,10,FALSE)</f>
        <v>4</v>
      </c>
      <c r="R84" t="str">
        <f>VLOOKUP(Table3[[#This Row],[Census Tract]],'ES Energy Burden'!$B$2:$E$914,4,FALSE)</f>
        <v>No</v>
      </c>
    </row>
    <row r="85" spans="1:18" x14ac:dyDescent="0.2">
      <c r="A85" s="100">
        <v>9003406001</v>
      </c>
      <c r="B85" s="38" t="s">
        <v>2747</v>
      </c>
      <c r="C85" s="38" t="s">
        <v>944</v>
      </c>
      <c r="D85" s="40">
        <f>[1]!Table3[[#This Row],[Residential CLM $ Collected]]+[1]!Table3[[#This Row],[C&amp;I CLM $ Collected]]</f>
        <v>70.362864000000002</v>
      </c>
      <c r="E85" s="36">
        <f>[1]!Table3[[#This Row],[CLM $ Collected ]]/'[1]1.) CLM Reference'!$B$4</f>
        <v>6.2423410978267364E-7</v>
      </c>
      <c r="F85" s="40">
        <f>[1]!Table3[[#This Row],[Residential Incentive Disbursements]]+[1]!Table3[[#This Row],[C&amp;I Incentive Disbursements]]</f>
        <v>0</v>
      </c>
      <c r="G85" s="36">
        <f>[1]!Table3[[#This Row],[Incentive Disbursements]]/'[1]1.) CLM Reference'!$B$5</f>
        <v>0</v>
      </c>
      <c r="H85" s="40">
        <v>70.362864000000002</v>
      </c>
      <c r="I85" s="36">
        <f>[1]!Table3[[#This Row],[Residential CLM $ Collected]]/'[1]1.) CLM Reference'!$B$4</f>
        <v>6.2423410978267364E-7</v>
      </c>
      <c r="J85" s="41">
        <v>0</v>
      </c>
      <c r="K85" s="36">
        <f>[1]!Table3[[#This Row],[Residential Incentive Disbursements]]/'[1]1.) CLM Reference'!$B$5</f>
        <v>0</v>
      </c>
      <c r="L85" s="37">
        <v>0</v>
      </c>
      <c r="M85" s="36">
        <f>[1]!Table3[[#This Row],[C&amp;I CLM $ Collected]]/'[1]1.) CLM Reference'!$B$4</f>
        <v>0</v>
      </c>
      <c r="N85" s="41">
        <v>0</v>
      </c>
      <c r="O85" s="36">
        <f>[1]!Table3[[#This Row],[C&amp;I Incentive Disbursements]]/'[1]1.) CLM Reference'!$B$5</f>
        <v>0</v>
      </c>
      <c r="Q85">
        <f>VLOOKUP(Table3[[#This Row],[Census Tract]],'Population and Diversity Data'!$B$2:$K$823,10,FALSE)</f>
        <v>4</v>
      </c>
      <c r="R85" t="str">
        <f>VLOOKUP(Table3[[#This Row],[Census Tract]],'ES Energy Burden'!$B$2:$E$914,4,FALSE)</f>
        <v>No</v>
      </c>
    </row>
    <row r="86" spans="1:18" x14ac:dyDescent="0.2">
      <c r="A86" s="100">
        <v>9003410101</v>
      </c>
      <c r="B86" s="38" t="s">
        <v>2747</v>
      </c>
      <c r="C86" s="38" t="s">
        <v>944</v>
      </c>
      <c r="D86" s="40">
        <f>[1]!Table3[[#This Row],[Residential CLM $ Collected]]+[1]!Table3[[#This Row],[C&amp;I CLM $ Collected]]</f>
        <v>142207.52071104001</v>
      </c>
      <c r="E86" s="36">
        <f>[1]!Table3[[#This Row],[CLM $ Collected ]]/'[1]1.) CLM Reference'!$B$4</f>
        <v>1.2616141533900208E-3</v>
      </c>
      <c r="F86" s="40">
        <f>[1]!Table3[[#This Row],[Residential Incentive Disbursements]]+[1]!Table3[[#This Row],[C&amp;I Incentive Disbursements]]</f>
        <v>95237.751399999994</v>
      </c>
      <c r="G86" s="36">
        <f>[1]!Table3[[#This Row],[Incentive Disbursements]]/'[1]1.) CLM Reference'!$B$5</f>
        <v>1.1652007536707579E-3</v>
      </c>
      <c r="H86" s="40">
        <v>121175.56571904001</v>
      </c>
      <c r="I86" s="36">
        <f>[1]!Table3[[#This Row],[Residential CLM $ Collected]]/'[1]1.) CLM Reference'!$B$4</f>
        <v>1.0750261870244055E-3</v>
      </c>
      <c r="J86" s="41">
        <v>88803.831399999995</v>
      </c>
      <c r="K86" s="36">
        <f>[1]!Table3[[#This Row],[Residential Incentive Disbursements]]/'[1]1.) CLM Reference'!$B$5</f>
        <v>1.0864839809324909E-3</v>
      </c>
      <c r="L86" s="37">
        <v>21031.954991999999</v>
      </c>
      <c r="M86" s="36">
        <f>[1]!Table3[[#This Row],[C&amp;I CLM $ Collected]]/'[1]1.) CLM Reference'!$B$4</f>
        <v>1.8658796636561551E-4</v>
      </c>
      <c r="N86" s="41">
        <v>6433.92</v>
      </c>
      <c r="O86" s="36">
        <f>[1]!Table3[[#This Row],[C&amp;I Incentive Disbursements]]/'[1]1.) CLM Reference'!$B$5</f>
        <v>7.8716772738266925E-5</v>
      </c>
      <c r="Q86">
        <f>VLOOKUP(Table3[[#This Row],[Census Tract]],'Population and Diversity Data'!$B$2:$K$823,10,FALSE)</f>
        <v>1</v>
      </c>
      <c r="R86" t="str">
        <f>VLOOKUP(Table3[[#This Row],[Census Tract]],'ES Energy Burden'!$B$2:$E$914,4,FALSE)</f>
        <v>No</v>
      </c>
    </row>
    <row r="87" spans="1:18" x14ac:dyDescent="0.2">
      <c r="A87" s="100">
        <v>9003410102</v>
      </c>
      <c r="B87" s="38" t="s">
        <v>2747</v>
      </c>
      <c r="C87" s="38" t="s">
        <v>944</v>
      </c>
      <c r="D87" s="40">
        <f>[1]!Table3[[#This Row],[Residential CLM $ Collected]]+[1]!Table3[[#This Row],[C&amp;I CLM $ Collected]]</f>
        <v>91578.06808704001</v>
      </c>
      <c r="E87" s="36">
        <f>[1]!Table3[[#This Row],[CLM $ Collected ]]/'[1]1.) CLM Reference'!$B$4</f>
        <v>8.124477964389069E-4</v>
      </c>
      <c r="F87" s="40">
        <f>[1]!Table3[[#This Row],[Residential Incentive Disbursements]]+[1]!Table3[[#This Row],[C&amp;I Incentive Disbursements]]</f>
        <v>36952.3531</v>
      </c>
      <c r="G87" s="36">
        <f>[1]!Table3[[#This Row],[Incentive Disbursements]]/'[1]1.) CLM Reference'!$B$5</f>
        <v>4.5209918387497717E-4</v>
      </c>
      <c r="H87" s="40">
        <v>91578.06808704001</v>
      </c>
      <c r="I87" s="36">
        <f>[1]!Table3[[#This Row],[Residential CLM $ Collected]]/'[1]1.) CLM Reference'!$B$4</f>
        <v>8.124477964389069E-4</v>
      </c>
      <c r="J87" s="41">
        <v>36952.3531</v>
      </c>
      <c r="K87" s="36">
        <f>[1]!Table3[[#This Row],[Residential Incentive Disbursements]]/'[1]1.) CLM Reference'!$B$5</f>
        <v>4.5209918387497717E-4</v>
      </c>
      <c r="L87" s="37">
        <v>0</v>
      </c>
      <c r="M87" s="36">
        <f>[1]!Table3[[#This Row],[C&amp;I CLM $ Collected]]/'[1]1.) CLM Reference'!$B$4</f>
        <v>0</v>
      </c>
      <c r="N87" s="41">
        <v>0</v>
      </c>
      <c r="O87" s="36">
        <f>[1]!Table3[[#This Row],[C&amp;I Incentive Disbursements]]/'[1]1.) CLM Reference'!$B$5</f>
        <v>0</v>
      </c>
      <c r="Q87">
        <f>VLOOKUP(Table3[[#This Row],[Census Tract]],'Population and Diversity Data'!$B$2:$K$823,10,FALSE)</f>
        <v>2</v>
      </c>
      <c r="R87" t="str">
        <f>VLOOKUP(Table3[[#This Row],[Census Tract]],'ES Energy Burden'!$B$2:$E$914,4,FALSE)</f>
        <v>No</v>
      </c>
    </row>
    <row r="88" spans="1:18" x14ac:dyDescent="0.2">
      <c r="A88" s="100">
        <v>9003460302</v>
      </c>
      <c r="B88" s="38" t="s">
        <v>2747</v>
      </c>
      <c r="C88" s="38" t="s">
        <v>944</v>
      </c>
      <c r="D88" s="40">
        <f>[1]!Table3[[#This Row],[Residential CLM $ Collected]]+[1]!Table3[[#This Row],[C&amp;I CLM $ Collected]]</f>
        <v>255.88232640000001</v>
      </c>
      <c r="E88" s="36">
        <f>[1]!Table3[[#This Row],[CLM $ Collected ]]/'[1]1.) CLM Reference'!$B$4</f>
        <v>2.270096285867834E-6</v>
      </c>
      <c r="F88" s="40">
        <f>[1]!Table3[[#This Row],[Residential Incentive Disbursements]]+[1]!Table3[[#This Row],[C&amp;I Incentive Disbursements]]</f>
        <v>0</v>
      </c>
      <c r="G88" s="36">
        <f>[1]!Table3[[#This Row],[Incentive Disbursements]]/'[1]1.) CLM Reference'!$B$5</f>
        <v>0</v>
      </c>
      <c r="H88" s="40">
        <v>255.88232640000001</v>
      </c>
      <c r="I88" s="36">
        <f>[1]!Table3[[#This Row],[Residential CLM $ Collected]]/'[1]1.) CLM Reference'!$B$4</f>
        <v>2.270096285867834E-6</v>
      </c>
      <c r="J88" s="41">
        <v>0</v>
      </c>
      <c r="K88" s="36">
        <f>[1]!Table3[[#This Row],[Residential Incentive Disbursements]]/'[1]1.) CLM Reference'!$B$5</f>
        <v>0</v>
      </c>
      <c r="L88" s="37">
        <v>0</v>
      </c>
      <c r="M88" s="36">
        <f>[1]!Table3[[#This Row],[C&amp;I CLM $ Collected]]/'[1]1.) CLM Reference'!$B$4</f>
        <v>0</v>
      </c>
      <c r="N88" s="41">
        <v>0</v>
      </c>
      <c r="O88" s="36">
        <f>[1]!Table3[[#This Row],[C&amp;I Incentive Disbursements]]/'[1]1.) CLM Reference'!$B$5</f>
        <v>0</v>
      </c>
      <c r="Q88">
        <f>VLOOKUP(Table3[[#This Row],[Census Tract]],'Population and Diversity Data'!$B$2:$K$823,10,FALSE)</f>
        <v>3</v>
      </c>
      <c r="R88" t="str">
        <f>VLOOKUP(Table3[[#This Row],[Census Tract]],'ES Energy Burden'!$B$2:$E$914,4,FALSE)</f>
        <v>No</v>
      </c>
    </row>
    <row r="89" spans="1:18" x14ac:dyDescent="0.2">
      <c r="A89" s="100">
        <v>9005260200</v>
      </c>
      <c r="B89" s="38" t="s">
        <v>2748</v>
      </c>
      <c r="C89" s="38" t="s">
        <v>944</v>
      </c>
      <c r="D89" s="40">
        <f>[1]!Table3[[#This Row],[Residential CLM $ Collected]]+[1]!Table3[[#This Row],[C&amp;I CLM $ Collected]]</f>
        <v>19721.679793920001</v>
      </c>
      <c r="E89" s="36">
        <f>[1]!Table3[[#This Row],[CLM $ Collected ]]/'[1]1.) CLM Reference'!$B$4</f>
        <v>1.7496367444020747E-4</v>
      </c>
      <c r="F89" s="40">
        <f>[1]!Table3[[#This Row],[Residential Incentive Disbursements]]+[1]!Table3[[#This Row],[C&amp;I Incentive Disbursements]]</f>
        <v>14058.66</v>
      </c>
      <c r="G89" s="36">
        <f>[1]!Table3[[#This Row],[Incentive Disbursements]]/'[1]1.) CLM Reference'!$B$5</f>
        <v>1.7200281387156876E-4</v>
      </c>
      <c r="H89" s="40">
        <v>19721.679793920001</v>
      </c>
      <c r="I89" s="36">
        <f>[1]!Table3[[#This Row],[Residential CLM $ Collected]]/'[1]1.) CLM Reference'!$B$4</f>
        <v>1.7496367444020747E-4</v>
      </c>
      <c r="J89" s="41">
        <v>14058.66</v>
      </c>
      <c r="K89" s="36">
        <f>[1]!Table3[[#This Row],[Residential Incentive Disbursements]]/'[1]1.) CLM Reference'!$B$5</f>
        <v>1.7200281387156876E-4</v>
      </c>
      <c r="L89" s="37">
        <v>0</v>
      </c>
      <c r="M89" s="36">
        <f>[1]!Table3[[#This Row],[C&amp;I CLM $ Collected]]/'[1]1.) CLM Reference'!$B$4</f>
        <v>0</v>
      </c>
      <c r="N89" s="41">
        <v>0</v>
      </c>
      <c r="O89" s="36">
        <f>[1]!Table3[[#This Row],[C&amp;I Incentive Disbursements]]/'[1]1.) CLM Reference'!$B$5</f>
        <v>0</v>
      </c>
      <c r="Q89">
        <f>VLOOKUP(Table3[[#This Row],[Census Tract]],'Population and Diversity Data'!$B$2:$K$823,10,FALSE)</f>
        <v>1</v>
      </c>
      <c r="R89" t="str">
        <f>VLOOKUP(Table3[[#This Row],[Census Tract]],'ES Energy Burden'!$B$2:$E$914,4,FALSE)</f>
        <v>No</v>
      </c>
    </row>
    <row r="90" spans="1:18" x14ac:dyDescent="0.2">
      <c r="A90" s="100">
        <v>9005261100</v>
      </c>
      <c r="B90" s="38" t="s">
        <v>2748</v>
      </c>
      <c r="C90" s="38" t="s">
        <v>944</v>
      </c>
      <c r="D90" s="40">
        <f>[1]!Table3[[#This Row],[Residential CLM $ Collected]]+[1]!Table3[[#This Row],[C&amp;I CLM $ Collected]]</f>
        <v>51.971846400000004</v>
      </c>
      <c r="E90" s="36">
        <f>[1]!Table3[[#This Row],[CLM $ Collected ]]/'[1]1.) CLM Reference'!$B$4</f>
        <v>4.6107559338781112E-7</v>
      </c>
      <c r="F90" s="40">
        <f>[1]!Table3[[#This Row],[Residential Incentive Disbursements]]+[1]!Table3[[#This Row],[C&amp;I Incentive Disbursements]]</f>
        <v>0</v>
      </c>
      <c r="G90" s="36">
        <f>[1]!Table3[[#This Row],[Incentive Disbursements]]/'[1]1.) CLM Reference'!$B$5</f>
        <v>0</v>
      </c>
      <c r="H90" s="40">
        <v>51.971846400000004</v>
      </c>
      <c r="I90" s="36">
        <f>[1]!Table3[[#This Row],[Residential CLM $ Collected]]/'[1]1.) CLM Reference'!$B$4</f>
        <v>4.6107559338781112E-7</v>
      </c>
      <c r="J90" s="41">
        <v>0</v>
      </c>
      <c r="K90" s="36">
        <f>[1]!Table3[[#This Row],[Residential Incentive Disbursements]]/'[1]1.) CLM Reference'!$B$5</f>
        <v>0</v>
      </c>
      <c r="L90" s="37">
        <v>0</v>
      </c>
      <c r="M90" s="36">
        <f>[1]!Table3[[#This Row],[C&amp;I CLM $ Collected]]/'[1]1.) CLM Reference'!$B$4</f>
        <v>0</v>
      </c>
      <c r="N90" s="41">
        <v>0</v>
      </c>
      <c r="O90" s="36">
        <f>[1]!Table3[[#This Row],[C&amp;I Incentive Disbursements]]/'[1]1.) CLM Reference'!$B$5</f>
        <v>0</v>
      </c>
      <c r="Q90">
        <f>VLOOKUP(Table3[[#This Row],[Census Tract]],'Population and Diversity Data'!$B$2:$K$823,10,FALSE)</f>
        <v>1</v>
      </c>
      <c r="R90" t="str">
        <f>VLOOKUP(Table3[[#This Row],[Census Tract]],'ES Energy Burden'!$B$2:$E$914,4,FALSE)</f>
        <v>No</v>
      </c>
    </row>
    <row r="91" spans="1:18" x14ac:dyDescent="0.2">
      <c r="A91" s="100">
        <v>9005263200</v>
      </c>
      <c r="B91" s="38" t="s">
        <v>2748</v>
      </c>
      <c r="C91" s="38" t="s">
        <v>944</v>
      </c>
      <c r="D91" s="40">
        <f>[1]!Table3[[#This Row],[Residential CLM $ Collected]]+[1]!Table3[[#This Row],[C&amp;I CLM $ Collected]]</f>
        <v>63.364204800000003</v>
      </c>
      <c r="E91" s="36">
        <f>[1]!Table3[[#This Row],[CLM $ Collected ]]/'[1]1.) CLM Reference'!$B$4</f>
        <v>5.6214451383637567E-7</v>
      </c>
      <c r="F91" s="40">
        <f>[1]!Table3[[#This Row],[Residential Incentive Disbursements]]+[1]!Table3[[#This Row],[C&amp;I Incentive Disbursements]]</f>
        <v>0</v>
      </c>
      <c r="G91" s="36">
        <f>[1]!Table3[[#This Row],[Incentive Disbursements]]/'[1]1.) CLM Reference'!$B$5</f>
        <v>0</v>
      </c>
      <c r="H91" s="40">
        <v>63.364204800000003</v>
      </c>
      <c r="I91" s="36">
        <f>[1]!Table3[[#This Row],[Residential CLM $ Collected]]/'[1]1.) CLM Reference'!$B$4</f>
        <v>5.6214451383637567E-7</v>
      </c>
      <c r="J91" s="41">
        <v>0</v>
      </c>
      <c r="K91" s="36">
        <f>[1]!Table3[[#This Row],[Residential Incentive Disbursements]]/'[1]1.) CLM Reference'!$B$5</f>
        <v>0</v>
      </c>
      <c r="L91" s="37">
        <v>0</v>
      </c>
      <c r="M91" s="36">
        <f>[1]!Table3[[#This Row],[C&amp;I CLM $ Collected]]/'[1]1.) CLM Reference'!$B$4</f>
        <v>0</v>
      </c>
      <c r="N91" s="41">
        <v>0</v>
      </c>
      <c r="O91" s="36">
        <f>[1]!Table3[[#This Row],[C&amp;I Incentive Disbursements]]/'[1]1.) CLM Reference'!$B$5</f>
        <v>0</v>
      </c>
      <c r="Q91">
        <f>VLOOKUP(Table3[[#This Row],[Census Tract]],'Population and Diversity Data'!$B$2:$K$823,10,FALSE)</f>
        <v>3</v>
      </c>
      <c r="R91" t="str">
        <f>VLOOKUP(Table3[[#This Row],[Census Tract]],'ES Energy Burden'!$B$2:$E$914,4,FALSE)</f>
        <v>No</v>
      </c>
    </row>
    <row r="92" spans="1:18" x14ac:dyDescent="0.2">
      <c r="A92" s="100">
        <v>9005425600</v>
      </c>
      <c r="B92" s="38" t="s">
        <v>2748</v>
      </c>
      <c r="C92" s="38" t="s">
        <v>944</v>
      </c>
      <c r="D92" s="40">
        <f>[1]!Table3[[#This Row],[Residential CLM $ Collected]]+[1]!Table3[[#This Row],[C&amp;I CLM $ Collected]]</f>
        <v>46016.585982720004</v>
      </c>
      <c r="E92" s="36">
        <f>[1]!Table3[[#This Row],[CLM $ Collected ]]/'[1]1.) CLM Reference'!$B$4</f>
        <v>4.0824265746432778E-4</v>
      </c>
      <c r="F92" s="40">
        <f>[1]!Table3[[#This Row],[Residential Incentive Disbursements]]+[1]!Table3[[#This Row],[C&amp;I Incentive Disbursements]]</f>
        <v>27381.788800000002</v>
      </c>
      <c r="G92" s="36">
        <f>[1]!Table3[[#This Row],[Incentive Disbursements]]/'[1]1.) CLM Reference'!$B$5</f>
        <v>3.3500665941398441E-4</v>
      </c>
      <c r="H92" s="40">
        <v>29049.917094720004</v>
      </c>
      <c r="I92" s="36">
        <f>[1]!Table3[[#This Row],[Residential CLM $ Collected]]/'[1]1.) CLM Reference'!$B$4</f>
        <v>2.5772045232387092E-4</v>
      </c>
      <c r="J92" s="41">
        <v>18845.7088</v>
      </c>
      <c r="K92" s="36">
        <f>[1]!Table3[[#This Row],[Residential Incentive Disbursements]]/'[1]1.) CLM Reference'!$B$5</f>
        <v>2.3057069045016989E-4</v>
      </c>
      <c r="L92" s="37">
        <v>16966.668888</v>
      </c>
      <c r="M92" s="36">
        <f>[1]!Table3[[#This Row],[C&amp;I CLM $ Collected]]/'[1]1.) CLM Reference'!$B$4</f>
        <v>1.5052220514045683E-4</v>
      </c>
      <c r="N92" s="41">
        <v>8536.08</v>
      </c>
      <c r="O92" s="36">
        <f>[1]!Table3[[#This Row],[C&amp;I Incentive Disbursements]]/'[1]1.) CLM Reference'!$B$5</f>
        <v>1.0443596896381451E-4</v>
      </c>
      <c r="Q92">
        <f>VLOOKUP(Table3[[#This Row],[Census Tract]],'Population and Diversity Data'!$B$2:$K$823,10,FALSE)</f>
        <v>1</v>
      </c>
      <c r="R92" t="str">
        <f>VLOOKUP(Table3[[#This Row],[Census Tract]],'ES Energy Burden'!$B$2:$E$914,4,FALSE)</f>
        <v>No</v>
      </c>
    </row>
    <row r="93" spans="1:18" x14ac:dyDescent="0.2">
      <c r="A93" s="100">
        <v>9015825000</v>
      </c>
      <c r="B93" s="38" t="s">
        <v>2749</v>
      </c>
      <c r="C93" s="38" t="s">
        <v>944</v>
      </c>
      <c r="D93" s="40">
        <f>[1]!Table3[[#This Row],[Residential CLM $ Collected]]+[1]!Table3[[#This Row],[C&amp;I CLM $ Collected]]</f>
        <v>1158.3620352</v>
      </c>
      <c r="E93" s="36">
        <f>[1]!Table3[[#This Row],[CLM $ Collected ]]/'[1]1.) CLM Reference'!$B$4</f>
        <v>1.0276572793414407E-5</v>
      </c>
      <c r="F93" s="40">
        <f>[1]!Table3[[#This Row],[Residential Incentive Disbursements]]+[1]!Table3[[#This Row],[C&amp;I Incentive Disbursements]]</f>
        <v>1214.33</v>
      </c>
      <c r="G93" s="36">
        <f>[1]!Table3[[#This Row],[Incentive Disbursements]]/'[1]1.) CLM Reference'!$B$5</f>
        <v>1.4856905065536977E-5</v>
      </c>
      <c r="H93" s="40">
        <v>1158.3620352</v>
      </c>
      <c r="I93" s="36">
        <f>[1]!Table3[[#This Row],[Residential CLM $ Collected]]/'[1]1.) CLM Reference'!$B$4</f>
        <v>1.0276572793414407E-5</v>
      </c>
      <c r="J93" s="41">
        <v>1214.33</v>
      </c>
      <c r="K93" s="36">
        <f>[1]!Table3[[#This Row],[Residential Incentive Disbursements]]/'[1]1.) CLM Reference'!$B$5</f>
        <v>1.4856905065536977E-5</v>
      </c>
      <c r="L93" s="37">
        <v>0</v>
      </c>
      <c r="M93" s="36">
        <f>[1]!Table3[[#This Row],[C&amp;I CLM $ Collected]]/'[1]1.) CLM Reference'!$B$4</f>
        <v>0</v>
      </c>
      <c r="N93" s="41">
        <v>0</v>
      </c>
      <c r="O93" s="36">
        <f>[1]!Table3[[#This Row],[C&amp;I Incentive Disbursements]]/'[1]1.) CLM Reference'!$B$5</f>
        <v>0</v>
      </c>
      <c r="Q93">
        <f>VLOOKUP(Table3[[#This Row],[Census Tract]],'Population and Diversity Data'!$B$2:$K$823,10,FALSE)</f>
        <v>2</v>
      </c>
      <c r="R93" t="str">
        <f>VLOOKUP(Table3[[#This Row],[Census Tract]],'ES Energy Burden'!$B$2:$E$914,4,FALSE)</f>
        <v>No</v>
      </c>
    </row>
    <row r="94" spans="1:18" x14ac:dyDescent="0.2">
      <c r="A94" s="100">
        <v>9015906100</v>
      </c>
      <c r="B94" s="38" t="s">
        <v>2749</v>
      </c>
      <c r="C94" s="38" t="s">
        <v>944</v>
      </c>
      <c r="D94" s="40">
        <f>[1]!Table3[[#This Row],[Residential CLM $ Collected]]+[1]!Table3[[#This Row],[C&amp;I CLM $ Collected]]</f>
        <v>116609.2051392</v>
      </c>
      <c r="E94" s="36">
        <f>[1]!Table3[[#This Row],[CLM $ Collected ]]/'[1]1.) CLM Reference'!$B$4</f>
        <v>1.0345150726459014E-3</v>
      </c>
      <c r="F94" s="40">
        <f>[1]!Table3[[#This Row],[Residential Incentive Disbursements]]+[1]!Table3[[#This Row],[C&amp;I Incentive Disbursements]]</f>
        <v>37815.000800000002</v>
      </c>
      <c r="G94" s="36">
        <f>[1]!Table3[[#This Row],[Incentive Disbursements]]/'[1]1.) CLM Reference'!$B$5</f>
        <v>4.6265337835580517E-4</v>
      </c>
      <c r="H94" s="40">
        <v>101396.99244096001</v>
      </c>
      <c r="I94" s="36">
        <f>[1]!Table3[[#This Row],[Residential CLM $ Collected]]/'[1]1.) CLM Reference'!$B$4</f>
        <v>8.995577739846285E-4</v>
      </c>
      <c r="J94" s="41">
        <v>34497.020799999998</v>
      </c>
      <c r="K94" s="36">
        <f>[1]!Table3[[#This Row],[Residential Incentive Disbursements]]/'[1]1.) CLM Reference'!$B$5</f>
        <v>4.2205904743311491E-4</v>
      </c>
      <c r="L94" s="37">
        <v>15212.212698239999</v>
      </c>
      <c r="M94" s="36">
        <f>[1]!Table3[[#This Row],[C&amp;I CLM $ Collected]]/'[1]1.) CLM Reference'!$B$4</f>
        <v>1.3495729866127293E-4</v>
      </c>
      <c r="N94" s="41">
        <v>3317.98</v>
      </c>
      <c r="O94" s="36">
        <f>[1]!Table3[[#This Row],[C&amp;I Incentive Disbursements]]/'[1]1.) CLM Reference'!$B$5</f>
        <v>4.0594330922690195E-5</v>
      </c>
      <c r="Q94">
        <f>VLOOKUP(Table3[[#This Row],[Census Tract]],'Population and Diversity Data'!$B$2:$K$823,10,FALSE)</f>
        <v>1</v>
      </c>
      <c r="R94" t="str">
        <f>VLOOKUP(Table3[[#This Row],[Census Tract]],'ES Energy Burden'!$B$2:$E$914,4,FALSE)</f>
        <v>No</v>
      </c>
    </row>
    <row r="95" spans="1:18" x14ac:dyDescent="0.2">
      <c r="A95" s="100">
        <v>9003464101</v>
      </c>
      <c r="B95" s="38" t="s">
        <v>2750</v>
      </c>
      <c r="C95" s="38" t="s">
        <v>944</v>
      </c>
      <c r="D95" s="40">
        <f>[1]!Table3[[#This Row],[Residential CLM $ Collected]]+[1]!Table3[[#This Row],[C&amp;I CLM $ Collected]]</f>
        <v>203315.20553952002</v>
      </c>
      <c r="E95" s="36">
        <f>[1]!Table3[[#This Row],[CLM $ Collected ]]/'[1]1.) CLM Reference'!$B$4</f>
        <v>1.8037396308263347E-3</v>
      </c>
      <c r="F95" s="40">
        <f>[1]!Table3[[#This Row],[Residential Incentive Disbursements]]+[1]!Table3[[#This Row],[C&amp;I Incentive Disbursements]]</f>
        <v>381996.05530000001</v>
      </c>
      <c r="G95" s="36">
        <f>[1]!Table3[[#This Row],[Incentive Disbursements]]/'[1]1.) CLM Reference'!$B$5</f>
        <v>4.6735888341733409E-3</v>
      </c>
      <c r="H95" s="40">
        <v>118631.9710512</v>
      </c>
      <c r="I95" s="36">
        <f>[1]!Table3[[#This Row],[Residential CLM $ Collected]]/'[1]1.) CLM Reference'!$B$4</f>
        <v>1.0524603268125888E-3</v>
      </c>
      <c r="J95" s="41">
        <v>275715.35590000002</v>
      </c>
      <c r="K95" s="36">
        <f>[1]!Table3[[#This Row],[Residential Incentive Disbursements]]/'[1]1.) CLM Reference'!$B$5</f>
        <v>3.3732814537374856E-3</v>
      </c>
      <c r="L95" s="37">
        <v>84683.234488320013</v>
      </c>
      <c r="M95" s="36">
        <f>[1]!Table3[[#This Row],[C&amp;I CLM $ Collected]]/'[1]1.) CLM Reference'!$B$4</f>
        <v>7.5127930401374581E-4</v>
      </c>
      <c r="N95" s="41">
        <v>106280.6994</v>
      </c>
      <c r="O95" s="36">
        <f>[1]!Table3[[#This Row],[C&amp;I Incentive Disbursements]]/'[1]1.) CLM Reference'!$B$5</f>
        <v>1.3003073804358559E-3</v>
      </c>
      <c r="Q95">
        <f>VLOOKUP(Table3[[#This Row],[Census Tract]],'Population and Diversity Data'!$B$2:$K$823,10,FALSE)</f>
        <v>1</v>
      </c>
      <c r="R95" t="str">
        <f>VLOOKUP(Table3[[#This Row],[Census Tract]],'ES Energy Burden'!$B$2:$E$914,4,FALSE)</f>
        <v>No</v>
      </c>
    </row>
    <row r="96" spans="1:18" x14ac:dyDescent="0.2">
      <c r="A96" s="100">
        <v>9003464102</v>
      </c>
      <c r="B96" s="38" t="s">
        <v>2750</v>
      </c>
      <c r="C96" s="38" t="s">
        <v>944</v>
      </c>
      <c r="D96" s="40">
        <f>[1]!Table3[[#This Row],[Residential CLM $ Collected]]+[1]!Table3[[#This Row],[C&amp;I CLM $ Collected]]</f>
        <v>92435.087191679995</v>
      </c>
      <c r="E96" s="36">
        <f>[1]!Table3[[#This Row],[CLM $ Collected ]]/'[1]1.) CLM Reference'!$B$4</f>
        <v>8.2005096276044386E-4</v>
      </c>
      <c r="F96" s="40">
        <f>[1]!Table3[[#This Row],[Residential Incentive Disbursements]]+[1]!Table3[[#This Row],[C&amp;I Incentive Disbursements]]</f>
        <v>43294.517699999997</v>
      </c>
      <c r="G96" s="36">
        <f>[1]!Table3[[#This Row],[Incentive Disbursements]]/'[1]1.) CLM Reference'!$B$5</f>
        <v>5.2969336121738762E-4</v>
      </c>
      <c r="H96" s="40">
        <v>92435.087191679995</v>
      </c>
      <c r="I96" s="36">
        <f>[1]!Table3[[#This Row],[Residential CLM $ Collected]]/'[1]1.) CLM Reference'!$B$4</f>
        <v>8.2005096276044386E-4</v>
      </c>
      <c r="J96" s="41">
        <v>43294.517699999997</v>
      </c>
      <c r="K96" s="36">
        <f>[1]!Table3[[#This Row],[Residential Incentive Disbursements]]/'[1]1.) CLM Reference'!$B$5</f>
        <v>5.2969336121738762E-4</v>
      </c>
      <c r="L96" s="37">
        <v>0</v>
      </c>
      <c r="M96" s="36">
        <f>[1]!Table3[[#This Row],[C&amp;I CLM $ Collected]]/'[1]1.) CLM Reference'!$B$4</f>
        <v>0</v>
      </c>
      <c r="N96" s="41">
        <v>0</v>
      </c>
      <c r="O96" s="36">
        <f>[1]!Table3[[#This Row],[C&amp;I Incentive Disbursements]]/'[1]1.) CLM Reference'!$B$5</f>
        <v>0</v>
      </c>
      <c r="Q96">
        <f>VLOOKUP(Table3[[#This Row],[Census Tract]],'Population and Diversity Data'!$B$2:$K$823,10,FALSE)</f>
        <v>3</v>
      </c>
      <c r="R96" t="str">
        <f>VLOOKUP(Table3[[#This Row],[Census Tract]],'ES Energy Burden'!$B$2:$E$914,4,FALSE)</f>
        <v>No</v>
      </c>
    </row>
    <row r="97" spans="1:18" x14ac:dyDescent="0.2">
      <c r="A97" s="100">
        <v>9003466102</v>
      </c>
      <c r="B97" s="38" t="s">
        <v>2750</v>
      </c>
      <c r="C97" s="38" t="s">
        <v>944</v>
      </c>
      <c r="D97" s="40">
        <f>[1]!Table3[[#This Row],[Residential CLM $ Collected]]+[1]!Table3[[#This Row],[C&amp;I CLM $ Collected]]</f>
        <v>243.67374719999998</v>
      </c>
      <c r="E97" s="36">
        <f>[1]!Table3[[#This Row],[CLM $ Collected ]]/'[1]1.) CLM Reference'!$B$4</f>
        <v>2.1617861470334727E-6</v>
      </c>
      <c r="F97" s="40">
        <f>[1]!Table3[[#This Row],[Residential Incentive Disbursements]]+[1]!Table3[[#This Row],[C&amp;I Incentive Disbursements]]</f>
        <v>0</v>
      </c>
      <c r="G97" s="36">
        <f>[1]!Table3[[#This Row],[Incentive Disbursements]]/'[1]1.) CLM Reference'!$B$5</f>
        <v>0</v>
      </c>
      <c r="H97" s="40">
        <v>243.67374719999998</v>
      </c>
      <c r="I97" s="36">
        <f>[1]!Table3[[#This Row],[Residential CLM $ Collected]]/'[1]1.) CLM Reference'!$B$4</f>
        <v>2.1617861470334727E-6</v>
      </c>
      <c r="J97" s="41">
        <v>0</v>
      </c>
      <c r="K97" s="36">
        <f>[1]!Table3[[#This Row],[Residential Incentive Disbursements]]/'[1]1.) CLM Reference'!$B$5</f>
        <v>0</v>
      </c>
      <c r="L97" s="37">
        <v>0</v>
      </c>
      <c r="M97" s="36">
        <f>[1]!Table3[[#This Row],[C&amp;I CLM $ Collected]]/'[1]1.) CLM Reference'!$B$4</f>
        <v>0</v>
      </c>
      <c r="N97" s="41">
        <v>0</v>
      </c>
      <c r="O97" s="36">
        <f>[1]!Table3[[#This Row],[C&amp;I Incentive Disbursements]]/'[1]1.) CLM Reference'!$B$5</f>
        <v>0</v>
      </c>
      <c r="Q97">
        <f>VLOOKUP(Table3[[#This Row],[Census Tract]],'Population and Diversity Data'!$B$2:$K$823,10,FALSE)</f>
        <v>2</v>
      </c>
      <c r="R97" t="str">
        <f>VLOOKUP(Table3[[#This Row],[Census Tract]],'ES Energy Burden'!$B$2:$E$914,4,FALSE)</f>
        <v>No</v>
      </c>
    </row>
    <row r="98" spans="1:18" x14ac:dyDescent="0.2">
      <c r="A98" s="100">
        <v>9003466202</v>
      </c>
      <c r="B98" s="38" t="s">
        <v>2750</v>
      </c>
      <c r="C98" s="38" t="s">
        <v>944</v>
      </c>
      <c r="D98" s="40">
        <f>[1]!Table3[[#This Row],[Residential CLM $ Collected]]+[1]!Table3[[#This Row],[C&amp;I CLM $ Collected]]</f>
        <v>466.21258560000001</v>
      </c>
      <c r="E98" s="36">
        <f>[1]!Table3[[#This Row],[CLM $ Collected ]]/'[1]1.) CLM Reference'!$B$4</f>
        <v>4.1360709584177033E-6</v>
      </c>
      <c r="F98" s="40">
        <f>[1]!Table3[[#This Row],[Residential Incentive Disbursements]]+[1]!Table3[[#This Row],[C&amp;I Incentive Disbursements]]</f>
        <v>0</v>
      </c>
      <c r="G98" s="36">
        <f>[1]!Table3[[#This Row],[Incentive Disbursements]]/'[1]1.) CLM Reference'!$B$5</f>
        <v>0</v>
      </c>
      <c r="H98" s="40">
        <v>466.21258560000001</v>
      </c>
      <c r="I98" s="36">
        <f>[1]!Table3[[#This Row],[Residential CLM $ Collected]]/'[1]1.) CLM Reference'!$B$4</f>
        <v>4.1360709584177033E-6</v>
      </c>
      <c r="J98" s="41">
        <v>0</v>
      </c>
      <c r="K98" s="36">
        <f>[1]!Table3[[#This Row],[Residential Incentive Disbursements]]/'[1]1.) CLM Reference'!$B$5</f>
        <v>0</v>
      </c>
      <c r="L98" s="37">
        <v>0</v>
      </c>
      <c r="M98" s="36">
        <f>[1]!Table3[[#This Row],[C&amp;I CLM $ Collected]]/'[1]1.) CLM Reference'!$B$4</f>
        <v>0</v>
      </c>
      <c r="N98" s="41">
        <v>0</v>
      </c>
      <c r="O98" s="36">
        <f>[1]!Table3[[#This Row],[C&amp;I Incentive Disbursements]]/'[1]1.) CLM Reference'!$B$5</f>
        <v>0</v>
      </c>
      <c r="Q98">
        <f>VLOOKUP(Table3[[#This Row],[Census Tract]],'Population and Diversity Data'!$B$2:$K$823,10,FALSE)</f>
        <v>2</v>
      </c>
      <c r="R98" t="str">
        <f>VLOOKUP(Table3[[#This Row],[Census Tract]],'ES Energy Burden'!$B$2:$E$914,4,FALSE)</f>
        <v>No</v>
      </c>
    </row>
    <row r="99" spans="1:18" x14ac:dyDescent="0.2">
      <c r="A99" s="100">
        <v>9013881100</v>
      </c>
      <c r="B99" s="38" t="s">
        <v>2751</v>
      </c>
      <c r="C99" s="38" t="s">
        <v>944</v>
      </c>
      <c r="D99" s="40">
        <f>[1]!Table3[[#This Row],[Residential CLM $ Collected]]+[1]!Table3[[#This Row],[C&amp;I CLM $ Collected]]</f>
        <v>94.999996800000005</v>
      </c>
      <c r="E99" s="36">
        <f>[1]!Table3[[#This Row],[CLM $ Collected ]]/'[1]1.) CLM Reference'!$B$4</f>
        <v>8.4280592148444735E-7</v>
      </c>
      <c r="F99" s="40">
        <f>[1]!Table3[[#This Row],[Residential Incentive Disbursements]]+[1]!Table3[[#This Row],[C&amp;I Incentive Disbursements]]</f>
        <v>0</v>
      </c>
      <c r="G99" s="36">
        <f>[1]!Table3[[#This Row],[Incentive Disbursements]]/'[1]1.) CLM Reference'!$B$5</f>
        <v>0</v>
      </c>
      <c r="H99" s="40">
        <v>94.999996800000005</v>
      </c>
      <c r="I99" s="36">
        <f>[1]!Table3[[#This Row],[Residential CLM $ Collected]]/'[1]1.) CLM Reference'!$B$4</f>
        <v>8.4280592148444735E-7</v>
      </c>
      <c r="J99" s="41">
        <v>0</v>
      </c>
      <c r="K99" s="36">
        <f>[1]!Table3[[#This Row],[Residential Incentive Disbursements]]/'[1]1.) CLM Reference'!$B$5</f>
        <v>0</v>
      </c>
      <c r="L99" s="37">
        <v>0</v>
      </c>
      <c r="M99" s="36">
        <f>[1]!Table3[[#This Row],[C&amp;I CLM $ Collected]]/'[1]1.) CLM Reference'!$B$4</f>
        <v>0</v>
      </c>
      <c r="N99" s="41">
        <v>0</v>
      </c>
      <c r="O99" s="36">
        <f>[1]!Table3[[#This Row],[C&amp;I Incentive Disbursements]]/'[1]1.) CLM Reference'!$B$5</f>
        <v>0</v>
      </c>
      <c r="Q99">
        <f>VLOOKUP(Table3[[#This Row],[Census Tract]],'Population and Diversity Data'!$B$2:$K$823,10,FALSE)</f>
        <v>4</v>
      </c>
      <c r="R99" t="str">
        <f>VLOOKUP(Table3[[#This Row],[Census Tract]],'ES Energy Burden'!$B$2:$E$914,4,FALSE)</f>
        <v>No</v>
      </c>
    </row>
    <row r="100" spans="1:18" x14ac:dyDescent="0.2">
      <c r="A100" s="100">
        <v>9015815000</v>
      </c>
      <c r="B100" s="38" t="s">
        <v>2751</v>
      </c>
      <c r="C100" s="38" t="s">
        <v>944</v>
      </c>
      <c r="D100" s="40">
        <f>[1]!Table3[[#This Row],[Residential CLM $ Collected]]+[1]!Table3[[#This Row],[C&amp;I CLM $ Collected]]</f>
        <v>56435.665334400008</v>
      </c>
      <c r="E100" s="36">
        <f>[1]!Table3[[#This Row],[CLM $ Collected ]]/'[1]1.) CLM Reference'!$B$4</f>
        <v>5.0067699504119227E-4</v>
      </c>
      <c r="F100" s="40">
        <f>[1]!Table3[[#This Row],[Residential Incentive Disbursements]]+[1]!Table3[[#This Row],[C&amp;I Incentive Disbursements]]</f>
        <v>36685.682000000001</v>
      </c>
      <c r="G100" s="36">
        <f>[1]!Table3[[#This Row],[Incentive Disbursements]]/'[1]1.) CLM Reference'!$B$5</f>
        <v>4.4883655574553763E-4</v>
      </c>
      <c r="H100" s="40">
        <v>47722.246640640005</v>
      </c>
      <c r="I100" s="36">
        <f>[1]!Table3[[#This Row],[Residential CLM $ Collected]]/'[1]1.) CLM Reference'!$B$4</f>
        <v>4.2337466747443793E-4</v>
      </c>
      <c r="J100" s="41">
        <v>36685.682000000001</v>
      </c>
      <c r="K100" s="36">
        <f>[1]!Table3[[#This Row],[Residential Incentive Disbursements]]/'[1]1.) CLM Reference'!$B$5</f>
        <v>4.4883655574553763E-4</v>
      </c>
      <c r="L100" s="37">
        <v>8713.4186937600007</v>
      </c>
      <c r="M100" s="36">
        <f>[1]!Table3[[#This Row],[C&amp;I CLM $ Collected]]/'[1]1.) CLM Reference'!$B$4</f>
        <v>7.7302327566754265E-5</v>
      </c>
      <c r="N100" s="41">
        <v>0</v>
      </c>
      <c r="O100" s="36">
        <f>[1]!Table3[[#This Row],[C&amp;I Incentive Disbursements]]/'[1]1.) CLM Reference'!$B$5</f>
        <v>0</v>
      </c>
      <c r="Q100">
        <f>VLOOKUP(Table3[[#This Row],[Census Tract]],'Population and Diversity Data'!$B$2:$K$823,10,FALSE)</f>
        <v>5</v>
      </c>
      <c r="R100" t="str">
        <f>VLOOKUP(Table3[[#This Row],[Census Tract]],'ES Energy Burden'!$B$2:$E$914,4,FALSE)</f>
        <v>No</v>
      </c>
    </row>
    <row r="101" spans="1:18" x14ac:dyDescent="0.2">
      <c r="A101" s="100">
        <v>9009166002</v>
      </c>
      <c r="B101" s="38" t="s">
        <v>2752</v>
      </c>
      <c r="C101" s="38" t="s">
        <v>944</v>
      </c>
      <c r="D101" s="40">
        <f>[1]!Table3[[#This Row],[Residential CLM $ Collected]]+[1]!Table3[[#This Row],[C&amp;I CLM $ Collected]]</f>
        <v>481.21136640000003</v>
      </c>
      <c r="E101" s="36">
        <f>[1]!Table3[[#This Row],[CLM $ Collected ]]/'[1]1.) CLM Reference'!$B$4</f>
        <v>4.2691347657765608E-6</v>
      </c>
      <c r="F101" s="40">
        <f>[1]!Table3[[#This Row],[Residential Incentive Disbursements]]+[1]!Table3[[#This Row],[C&amp;I Incentive Disbursements]]</f>
        <v>0</v>
      </c>
      <c r="G101" s="36">
        <f>[1]!Table3[[#This Row],[Incentive Disbursements]]/'[1]1.) CLM Reference'!$B$5</f>
        <v>0</v>
      </c>
      <c r="H101" s="40">
        <v>481.21136640000003</v>
      </c>
      <c r="I101" s="36">
        <f>[1]!Table3[[#This Row],[Residential CLM $ Collected]]/'[1]1.) CLM Reference'!$B$4</f>
        <v>4.2691347657765608E-6</v>
      </c>
      <c r="J101" s="41">
        <v>0</v>
      </c>
      <c r="K101" s="36">
        <f>[1]!Table3[[#This Row],[Residential Incentive Disbursements]]/'[1]1.) CLM Reference'!$B$5</f>
        <v>0</v>
      </c>
      <c r="L101" s="37">
        <v>0</v>
      </c>
      <c r="M101" s="36">
        <f>[1]!Table3[[#This Row],[C&amp;I CLM $ Collected]]/'[1]1.) CLM Reference'!$B$4</f>
        <v>0</v>
      </c>
      <c r="N101" s="41">
        <v>0</v>
      </c>
      <c r="O101" s="36">
        <f>[1]!Table3[[#This Row],[C&amp;I Incentive Disbursements]]/'[1]1.) CLM Reference'!$B$5</f>
        <v>0</v>
      </c>
      <c r="Q101">
        <f>VLOOKUP(Table3[[#This Row],[Census Tract]],'Population and Diversity Data'!$B$2:$K$823,10,FALSE)</f>
        <v>3</v>
      </c>
      <c r="R101" t="str">
        <f>VLOOKUP(Table3[[#This Row],[Census Tract]],'ES Energy Burden'!$B$2:$E$914,4,FALSE)</f>
        <v>No</v>
      </c>
    </row>
    <row r="102" spans="1:18" x14ac:dyDescent="0.2">
      <c r="A102" s="100">
        <v>9009343101</v>
      </c>
      <c r="B102" s="38" t="s">
        <v>2752</v>
      </c>
      <c r="C102" s="38" t="s">
        <v>944</v>
      </c>
      <c r="D102" s="40">
        <f>[1]!Table3[[#This Row],[Residential CLM $ Collected]]+[1]!Table3[[#This Row],[C&amp;I CLM $ Collected]]</f>
        <v>82328.833434240019</v>
      </c>
      <c r="E102" s="36">
        <f>[1]!Table3[[#This Row],[CLM $ Collected ]]/'[1]1.) CLM Reference'!$B$4</f>
        <v>7.3039190173198232E-4</v>
      </c>
      <c r="F102" s="40">
        <f>[1]!Table3[[#This Row],[Residential Incentive Disbursements]]+[1]!Table3[[#This Row],[C&amp;I Incentive Disbursements]]</f>
        <v>39982.78</v>
      </c>
      <c r="G102" s="36">
        <f>[1]!Table3[[#This Row],[Incentive Disbursements]]/'[1]1.) CLM Reference'!$B$5</f>
        <v>4.8917540266340328E-4</v>
      </c>
      <c r="H102" s="40">
        <v>82328.833434240019</v>
      </c>
      <c r="I102" s="36">
        <f>[1]!Table3[[#This Row],[Residential CLM $ Collected]]/'[1]1.) CLM Reference'!$B$4</f>
        <v>7.3039190173198232E-4</v>
      </c>
      <c r="J102" s="41">
        <v>39982.78</v>
      </c>
      <c r="K102" s="36">
        <f>[1]!Table3[[#This Row],[Residential Incentive Disbursements]]/'[1]1.) CLM Reference'!$B$5</f>
        <v>4.8917540266340328E-4</v>
      </c>
      <c r="L102" s="37">
        <v>0</v>
      </c>
      <c r="M102" s="36">
        <f>[1]!Table3[[#This Row],[C&amp;I CLM $ Collected]]/'[1]1.) CLM Reference'!$B$4</f>
        <v>0</v>
      </c>
      <c r="N102" s="41">
        <v>0</v>
      </c>
      <c r="O102" s="36">
        <f>[1]!Table3[[#This Row],[C&amp;I Incentive Disbursements]]/'[1]1.) CLM Reference'!$B$5</f>
        <v>0</v>
      </c>
      <c r="Q102">
        <f>VLOOKUP(Table3[[#This Row],[Census Tract]],'Population and Diversity Data'!$B$2:$K$823,10,FALSE)</f>
        <v>4</v>
      </c>
      <c r="R102" t="str">
        <f>VLOOKUP(Table3[[#This Row],[Census Tract]],'ES Energy Burden'!$B$2:$E$914,4,FALSE)</f>
        <v>No</v>
      </c>
    </row>
    <row r="103" spans="1:18" x14ac:dyDescent="0.2">
      <c r="A103" s="100">
        <v>9009343102</v>
      </c>
      <c r="B103" s="38" t="s">
        <v>2752</v>
      </c>
      <c r="C103" s="38" t="s">
        <v>944</v>
      </c>
      <c r="D103" s="40">
        <f>[1]!Table3[[#This Row],[Residential CLM $ Collected]]+[1]!Table3[[#This Row],[C&amp;I CLM $ Collected]]</f>
        <v>82879.846151039994</v>
      </c>
      <c r="E103" s="36">
        <f>[1]!Table3[[#This Row],[CLM $ Collected ]]/'[1]1.) CLM Reference'!$B$4</f>
        <v>7.3528028906014111E-4</v>
      </c>
      <c r="F103" s="40">
        <f>[1]!Table3[[#This Row],[Residential Incentive Disbursements]]+[1]!Table3[[#This Row],[C&amp;I Incentive Disbursements]]</f>
        <v>29712.117900000001</v>
      </c>
      <c r="G103" s="36">
        <f>[1]!Table3[[#This Row],[Incentive Disbursements]]/'[1]1.) CLM Reference'!$B$5</f>
        <v>3.6351742519442155E-4</v>
      </c>
      <c r="H103" s="40">
        <v>82879.846151039994</v>
      </c>
      <c r="I103" s="36">
        <f>[1]!Table3[[#This Row],[Residential CLM $ Collected]]/'[1]1.) CLM Reference'!$B$4</f>
        <v>7.3528028906014111E-4</v>
      </c>
      <c r="J103" s="41">
        <v>29712.117900000001</v>
      </c>
      <c r="K103" s="36">
        <f>[1]!Table3[[#This Row],[Residential Incentive Disbursements]]/'[1]1.) CLM Reference'!$B$5</f>
        <v>3.6351742519442155E-4</v>
      </c>
      <c r="L103" s="37">
        <v>0</v>
      </c>
      <c r="M103" s="36">
        <f>[1]!Table3[[#This Row],[C&amp;I CLM $ Collected]]/'[1]1.) CLM Reference'!$B$4</f>
        <v>0</v>
      </c>
      <c r="N103" s="41">
        <v>0</v>
      </c>
      <c r="O103" s="36">
        <f>[1]!Table3[[#This Row],[C&amp;I Incentive Disbursements]]/'[1]1.) CLM Reference'!$B$5</f>
        <v>0</v>
      </c>
      <c r="Q103">
        <f>VLOOKUP(Table3[[#This Row],[Census Tract]],'Population and Diversity Data'!$B$2:$K$823,10,FALSE)</f>
        <v>3</v>
      </c>
      <c r="R103" t="str">
        <f>VLOOKUP(Table3[[#This Row],[Census Tract]],'ES Energy Burden'!$B$2:$E$914,4,FALSE)</f>
        <v>No</v>
      </c>
    </row>
    <row r="104" spans="1:18" x14ac:dyDescent="0.2">
      <c r="A104" s="100">
        <v>9009343200</v>
      </c>
      <c r="B104" s="38" t="s">
        <v>2752</v>
      </c>
      <c r="C104" s="38" t="s">
        <v>944</v>
      </c>
      <c r="D104" s="40">
        <f>[1]!Table3[[#This Row],[Residential CLM $ Collected]]+[1]!Table3[[#This Row],[C&amp;I CLM $ Collected]]</f>
        <v>124500.06834911999</v>
      </c>
      <c r="E104" s="36">
        <f>[1]!Table3[[#This Row],[CLM $ Collected ]]/'[1]1.) CLM Reference'!$B$4</f>
        <v>1.104519982782323E-3</v>
      </c>
      <c r="F104" s="40">
        <f>[1]!Table3[[#This Row],[Residential Incentive Disbursements]]+[1]!Table3[[#This Row],[C&amp;I Incentive Disbursements]]</f>
        <v>63604.970600000001</v>
      </c>
      <c r="G104" s="36">
        <f>[1]!Table3[[#This Row],[Incentive Disbursements]]/'[1]1.) CLM Reference'!$B$5</f>
        <v>7.7818468612359947E-4</v>
      </c>
      <c r="H104" s="40">
        <v>124500.06834911999</v>
      </c>
      <c r="I104" s="36">
        <f>[1]!Table3[[#This Row],[Residential CLM $ Collected]]/'[1]1.) CLM Reference'!$B$4</f>
        <v>1.104519982782323E-3</v>
      </c>
      <c r="J104" s="41">
        <v>63604.970600000001</v>
      </c>
      <c r="K104" s="36">
        <f>[1]!Table3[[#This Row],[Residential Incentive Disbursements]]/'[1]1.) CLM Reference'!$B$5</f>
        <v>7.7818468612359947E-4</v>
      </c>
      <c r="L104" s="37">
        <v>0</v>
      </c>
      <c r="M104" s="36">
        <f>[1]!Table3[[#This Row],[C&amp;I CLM $ Collected]]/'[1]1.) CLM Reference'!$B$4</f>
        <v>0</v>
      </c>
      <c r="N104" s="41">
        <v>0</v>
      </c>
      <c r="O104" s="36">
        <f>[1]!Table3[[#This Row],[C&amp;I Incentive Disbursements]]/'[1]1.) CLM Reference'!$B$5</f>
        <v>0</v>
      </c>
      <c r="Q104">
        <f>VLOOKUP(Table3[[#This Row],[Census Tract]],'Population and Diversity Data'!$B$2:$K$823,10,FALSE)</f>
        <v>3</v>
      </c>
      <c r="R104" t="str">
        <f>VLOOKUP(Table3[[#This Row],[Census Tract]],'ES Energy Burden'!$B$2:$E$914,4,FALSE)</f>
        <v>No</v>
      </c>
    </row>
    <row r="105" spans="1:18" x14ac:dyDescent="0.2">
      <c r="A105" s="100">
        <v>9009343300</v>
      </c>
      <c r="B105" s="38" t="s">
        <v>2752</v>
      </c>
      <c r="C105" s="38" t="s">
        <v>944</v>
      </c>
      <c r="D105" s="40">
        <f>[1]!Table3[[#This Row],[Residential CLM $ Collected]]+[1]!Table3[[#This Row],[C&amp;I CLM $ Collected]]</f>
        <v>135596.24742815999</v>
      </c>
      <c r="E105" s="36">
        <f>[1]!Table3[[#This Row],[CLM $ Collected ]]/'[1]1.) CLM Reference'!$B$4</f>
        <v>1.2029613064526283E-3</v>
      </c>
      <c r="F105" s="40">
        <f>[1]!Table3[[#This Row],[Residential Incentive Disbursements]]+[1]!Table3[[#This Row],[C&amp;I Incentive Disbursements]]</f>
        <v>35106.553699999997</v>
      </c>
      <c r="G105" s="36">
        <f>[1]!Table3[[#This Row],[Incentive Disbursements]]/'[1]1.) CLM Reference'!$B$5</f>
        <v>4.2951647039855383E-4</v>
      </c>
      <c r="H105" s="40">
        <v>135596.24742815999</v>
      </c>
      <c r="I105" s="36">
        <f>[1]!Table3[[#This Row],[Residential CLM $ Collected]]/'[1]1.) CLM Reference'!$B$4</f>
        <v>1.2029613064526283E-3</v>
      </c>
      <c r="J105" s="41">
        <v>35106.553699999997</v>
      </c>
      <c r="K105" s="36">
        <f>[1]!Table3[[#This Row],[Residential Incentive Disbursements]]/'[1]1.) CLM Reference'!$B$5</f>
        <v>4.2951647039855383E-4</v>
      </c>
      <c r="L105" s="37">
        <v>0</v>
      </c>
      <c r="M105" s="36">
        <f>[1]!Table3[[#This Row],[C&amp;I CLM $ Collected]]/'[1]1.) CLM Reference'!$B$4</f>
        <v>0</v>
      </c>
      <c r="N105" s="41">
        <v>0</v>
      </c>
      <c r="O105" s="36">
        <f>[1]!Table3[[#This Row],[C&amp;I Incentive Disbursements]]/'[1]1.) CLM Reference'!$B$5</f>
        <v>0</v>
      </c>
      <c r="Q105">
        <f>VLOOKUP(Table3[[#This Row],[Census Tract]],'Population and Diversity Data'!$B$2:$K$823,10,FALSE)</f>
        <v>3</v>
      </c>
      <c r="R105" t="str">
        <f>VLOOKUP(Table3[[#This Row],[Census Tract]],'ES Energy Burden'!$B$2:$E$914,4,FALSE)</f>
        <v>No</v>
      </c>
    </row>
    <row r="106" spans="1:18" x14ac:dyDescent="0.2">
      <c r="A106" s="100">
        <v>9009343400</v>
      </c>
      <c r="B106" s="38" t="s">
        <v>2752</v>
      </c>
      <c r="C106" s="38" t="s">
        <v>944</v>
      </c>
      <c r="D106" s="40">
        <f>[1]!Table3[[#This Row],[Residential CLM $ Collected]]+[1]!Table3[[#This Row],[C&amp;I CLM $ Collected]]</f>
        <v>319177.76662368001</v>
      </c>
      <c r="E106" s="36">
        <f>[1]!Table3[[#This Row],[CLM $ Collected ]]/'[1]1.) CLM Reference'!$B$4</f>
        <v>2.8316307450298619E-3</v>
      </c>
      <c r="F106" s="40">
        <f>[1]!Table3[[#This Row],[Residential Incentive Disbursements]]+[1]!Table3[[#This Row],[C&amp;I Incentive Disbursements]]</f>
        <v>233729.35649999999</v>
      </c>
      <c r="G106" s="36">
        <f>[1]!Table3[[#This Row],[Incentive Disbursements]]/'[1]1.) CLM Reference'!$B$5</f>
        <v>2.8595973586665472E-3</v>
      </c>
      <c r="H106" s="40">
        <v>152085.30442559998</v>
      </c>
      <c r="I106" s="36">
        <f>[1]!Table3[[#This Row],[Residential CLM $ Collected]]/'[1]1.) CLM Reference'!$B$4</f>
        <v>1.3492463100868283E-3</v>
      </c>
      <c r="J106" s="41">
        <v>198425.37349999999</v>
      </c>
      <c r="K106" s="36">
        <f>[1]!Table3[[#This Row],[Residential Incentive Disbursements]]/'[1]1.) CLM Reference'!$B$5</f>
        <v>2.4276654094712445E-3</v>
      </c>
      <c r="L106" s="37">
        <v>167092.46219808003</v>
      </c>
      <c r="M106" s="36">
        <f>[1]!Table3[[#This Row],[C&amp;I CLM $ Collected]]/'[1]1.) CLM Reference'!$B$4</f>
        <v>1.4823844349430338E-3</v>
      </c>
      <c r="N106" s="41">
        <v>35303.983</v>
      </c>
      <c r="O106" s="36">
        <f>[1]!Table3[[#This Row],[C&amp;I Incentive Disbursements]]/'[1]1.) CLM Reference'!$B$5</f>
        <v>4.319319491953022E-4</v>
      </c>
      <c r="Q106">
        <f>VLOOKUP(Table3[[#This Row],[Census Tract]],'Population and Diversity Data'!$B$2:$K$823,10,FALSE)</f>
        <v>4</v>
      </c>
      <c r="R106" t="str">
        <f>VLOOKUP(Table3[[#This Row],[Census Tract]],'ES Energy Burden'!$B$2:$E$914,4,FALSE)</f>
        <v>No</v>
      </c>
    </row>
    <row r="107" spans="1:18" x14ac:dyDescent="0.2">
      <c r="A107" s="100">
        <v>9009347100</v>
      </c>
      <c r="B107" s="38" t="s">
        <v>2752</v>
      </c>
      <c r="C107" s="38" t="s">
        <v>944</v>
      </c>
      <c r="D107" s="40">
        <f>[1]!Table3[[#This Row],[Residential CLM $ Collected]]+[1]!Table3[[#This Row],[C&amp;I CLM $ Collected]]</f>
        <v>65.558160000000001</v>
      </c>
      <c r="E107" s="36">
        <f>[1]!Table3[[#This Row],[CLM $ Collected ]]/'[1]1.) CLM Reference'!$B$4</f>
        <v>5.8160849800812663E-7</v>
      </c>
      <c r="F107" s="40">
        <f>[1]!Table3[[#This Row],[Residential Incentive Disbursements]]+[1]!Table3[[#This Row],[C&amp;I Incentive Disbursements]]</f>
        <v>0</v>
      </c>
      <c r="G107" s="36">
        <f>[1]!Table3[[#This Row],[Incentive Disbursements]]/'[1]1.) CLM Reference'!$B$5</f>
        <v>0</v>
      </c>
      <c r="H107" s="40">
        <v>65.558160000000001</v>
      </c>
      <c r="I107" s="36">
        <f>[1]!Table3[[#This Row],[Residential CLM $ Collected]]/'[1]1.) CLM Reference'!$B$4</f>
        <v>5.8160849800812663E-7</v>
      </c>
      <c r="J107" s="41">
        <v>0</v>
      </c>
      <c r="K107" s="36">
        <f>[1]!Table3[[#This Row],[Residential Incentive Disbursements]]/'[1]1.) CLM Reference'!$B$5</f>
        <v>0</v>
      </c>
      <c r="L107" s="37">
        <v>0</v>
      </c>
      <c r="M107" s="36">
        <f>[1]!Table3[[#This Row],[C&amp;I CLM $ Collected]]/'[1]1.) CLM Reference'!$B$4</f>
        <v>0</v>
      </c>
      <c r="N107" s="41">
        <v>0</v>
      </c>
      <c r="O107" s="36">
        <f>[1]!Table3[[#This Row],[C&amp;I Incentive Disbursements]]/'[1]1.) CLM Reference'!$B$5</f>
        <v>0</v>
      </c>
      <c r="Q107">
        <f>VLOOKUP(Table3[[#This Row],[Census Tract]],'Population and Diversity Data'!$B$2:$K$823,10,FALSE)</f>
        <v>1</v>
      </c>
      <c r="R107" t="str">
        <f>VLOOKUP(Table3[[#This Row],[Census Tract]],'ES Energy Burden'!$B$2:$E$914,4,FALSE)</f>
        <v>No</v>
      </c>
    </row>
    <row r="108" spans="1:18" x14ac:dyDescent="0.2">
      <c r="A108" s="100">
        <v>9007600100</v>
      </c>
      <c r="B108" s="38" t="s">
        <v>2753</v>
      </c>
      <c r="C108" s="38" t="s">
        <v>944</v>
      </c>
      <c r="D108" s="40">
        <f>[1]!Table3[[#This Row],[Residential CLM $ Collected]]+[1]!Table3[[#This Row],[C&amp;I CLM $ Collected]]</f>
        <v>118950.99702912</v>
      </c>
      <c r="E108" s="36">
        <f>[1]!Table3[[#This Row],[CLM $ Collected ]]/'[1]1.) CLM Reference'!$B$4</f>
        <v>1.0552906109426441E-3</v>
      </c>
      <c r="F108" s="40">
        <f>[1]!Table3[[#This Row],[Residential Incentive Disbursements]]+[1]!Table3[[#This Row],[C&amp;I Incentive Disbursements]]</f>
        <v>36099.027499999997</v>
      </c>
      <c r="G108" s="36">
        <f>[1]!Table3[[#This Row],[Incentive Disbursements]]/'[1]1.) CLM Reference'!$B$5</f>
        <v>4.4165904204434431E-4</v>
      </c>
      <c r="H108" s="40">
        <v>88488.774820799998</v>
      </c>
      <c r="I108" s="36">
        <f>[1]!Table3[[#This Row],[Residential CLM $ Collected]]/'[1]1.) CLM Reference'!$B$4</f>
        <v>7.8504069385267701E-4</v>
      </c>
      <c r="J108" s="41">
        <v>28427.077499999999</v>
      </c>
      <c r="K108" s="36">
        <f>[1]!Table3[[#This Row],[Residential Incentive Disbursements]]/'[1]1.) CLM Reference'!$B$5</f>
        <v>3.4779540298614237E-4</v>
      </c>
      <c r="L108" s="37">
        <v>30462.222208320003</v>
      </c>
      <c r="M108" s="36">
        <f>[1]!Table3[[#This Row],[C&amp;I CLM $ Collected]]/'[1]1.) CLM Reference'!$B$4</f>
        <v>2.7024991708996703E-4</v>
      </c>
      <c r="N108" s="41">
        <v>7671.95</v>
      </c>
      <c r="O108" s="36">
        <f>[1]!Table3[[#This Row],[C&amp;I Incentive Disbursements]]/'[1]1.) CLM Reference'!$B$5</f>
        <v>9.3863639058201979E-5</v>
      </c>
      <c r="Q108">
        <f>VLOOKUP(Table3[[#This Row],[Census Tract]],'Population and Diversity Data'!$B$2:$K$823,10,FALSE)</f>
        <v>1</v>
      </c>
      <c r="R108" t="str">
        <f>VLOOKUP(Table3[[#This Row],[Census Tract]],'ES Energy Burden'!$B$2:$E$914,4,FALSE)</f>
        <v>No</v>
      </c>
    </row>
    <row r="109" spans="1:18" x14ac:dyDescent="0.2">
      <c r="A109" s="100">
        <v>9007610100</v>
      </c>
      <c r="B109" s="38" t="s">
        <v>2754</v>
      </c>
      <c r="C109" s="38" t="s">
        <v>944</v>
      </c>
      <c r="D109" s="40">
        <f>[1]!Table3[[#This Row],[Residential CLM $ Collected]]+[1]!Table3[[#This Row],[C&amp;I CLM $ Collected]]</f>
        <v>49833.557458559997</v>
      </c>
      <c r="E109" s="36">
        <f>[1]!Table3[[#This Row],[CLM $ Collected ]]/'[1]1.) CLM Reference'!$B$4</f>
        <v>4.4210546030997138E-4</v>
      </c>
      <c r="F109" s="40">
        <f>[1]!Table3[[#This Row],[Residential Incentive Disbursements]]+[1]!Table3[[#This Row],[C&amp;I Incentive Disbursements]]</f>
        <v>5070.47</v>
      </c>
      <c r="G109" s="36">
        <f>[1]!Table3[[#This Row],[Incentive Disbursements]]/'[1]1.) CLM Reference'!$B$5</f>
        <v>6.203543635391803E-5</v>
      </c>
      <c r="H109" s="40">
        <v>49833.557458559997</v>
      </c>
      <c r="I109" s="36">
        <f>[1]!Table3[[#This Row],[Residential CLM $ Collected]]/'[1]1.) CLM Reference'!$B$4</f>
        <v>4.4210546030997138E-4</v>
      </c>
      <c r="J109" s="41">
        <v>5070.47</v>
      </c>
      <c r="K109" s="36">
        <f>[1]!Table3[[#This Row],[Residential Incentive Disbursements]]/'[1]1.) CLM Reference'!$B$5</f>
        <v>6.203543635391803E-5</v>
      </c>
      <c r="L109" s="37">
        <v>0</v>
      </c>
      <c r="M109" s="36">
        <f>[1]!Table3[[#This Row],[C&amp;I CLM $ Collected]]/'[1]1.) CLM Reference'!$B$4</f>
        <v>0</v>
      </c>
      <c r="N109" s="41">
        <v>0</v>
      </c>
      <c r="O109" s="36">
        <f>[1]!Table3[[#This Row],[C&amp;I Incentive Disbursements]]/'[1]1.) CLM Reference'!$B$5</f>
        <v>0</v>
      </c>
      <c r="Q109">
        <f>VLOOKUP(Table3[[#This Row],[Census Tract]],'Population and Diversity Data'!$B$2:$K$823,10,FALSE)</f>
        <v>1</v>
      </c>
      <c r="R109" t="str">
        <f>VLOOKUP(Table3[[#This Row],[Census Tract]],'ES Energy Burden'!$B$2:$E$914,4,FALSE)</f>
        <v>No</v>
      </c>
    </row>
    <row r="110" spans="1:18" x14ac:dyDescent="0.2">
      <c r="A110" s="100">
        <v>9007610200</v>
      </c>
      <c r="B110" s="38" t="s">
        <v>2754</v>
      </c>
      <c r="C110" s="38" t="s">
        <v>944</v>
      </c>
      <c r="D110" s="40">
        <f>[1]!Table3[[#This Row],[Residential CLM $ Collected]]+[1]!Table3[[#This Row],[C&amp;I CLM $ Collected]]</f>
        <v>82281.225185279996</v>
      </c>
      <c r="E110" s="36">
        <f>[1]!Table3[[#This Row],[CLM $ Collected ]]/'[1]1.) CLM Reference'!$B$4</f>
        <v>7.2996953841107095E-4</v>
      </c>
      <c r="F110" s="40">
        <f>[1]!Table3[[#This Row],[Residential Incentive Disbursements]]+[1]!Table3[[#This Row],[C&amp;I Incentive Disbursements]]</f>
        <v>16245.14</v>
      </c>
      <c r="G110" s="36">
        <f>[1]!Table3[[#This Row],[Incentive Disbursements]]/'[1]1.) CLM Reference'!$B$5</f>
        <v>1.9875363596086513E-4</v>
      </c>
      <c r="H110" s="40">
        <v>82281.225185279996</v>
      </c>
      <c r="I110" s="36">
        <f>[1]!Table3[[#This Row],[Residential CLM $ Collected]]/'[1]1.) CLM Reference'!$B$4</f>
        <v>7.2996953841107095E-4</v>
      </c>
      <c r="J110" s="41">
        <v>16245.14</v>
      </c>
      <c r="K110" s="36">
        <f>[1]!Table3[[#This Row],[Residential Incentive Disbursements]]/'[1]1.) CLM Reference'!$B$5</f>
        <v>1.9875363596086513E-4</v>
      </c>
      <c r="L110" s="37">
        <v>0</v>
      </c>
      <c r="M110" s="36">
        <f>[1]!Table3[[#This Row],[C&amp;I CLM $ Collected]]/'[1]1.) CLM Reference'!$B$4</f>
        <v>0</v>
      </c>
      <c r="N110" s="41">
        <v>0</v>
      </c>
      <c r="O110" s="36">
        <f>[1]!Table3[[#This Row],[C&amp;I Incentive Disbursements]]/'[1]1.) CLM Reference'!$B$5</f>
        <v>0</v>
      </c>
      <c r="Q110">
        <f>VLOOKUP(Table3[[#This Row],[Census Tract]],'Population and Diversity Data'!$B$2:$K$823,10,FALSE)</f>
        <v>2</v>
      </c>
      <c r="R110" t="str">
        <f>VLOOKUP(Table3[[#This Row],[Census Tract]],'ES Energy Burden'!$B$2:$E$914,4,FALSE)</f>
        <v>No</v>
      </c>
    </row>
    <row r="111" spans="1:18" x14ac:dyDescent="0.2">
      <c r="A111" s="100">
        <v>9007610300</v>
      </c>
      <c r="B111" s="38" t="s">
        <v>2754</v>
      </c>
      <c r="C111" s="38" t="s">
        <v>944</v>
      </c>
      <c r="D111" s="40">
        <f>[1]!Table3[[#This Row],[Residential CLM $ Collected]]+[1]!Table3[[#This Row],[C&amp;I CLM $ Collected]]</f>
        <v>199379.29564224</v>
      </c>
      <c r="E111" s="36">
        <f>[1]!Table3[[#This Row],[CLM $ Collected ]]/'[1]1.) CLM Reference'!$B$4</f>
        <v>1.7688216489358676E-3</v>
      </c>
      <c r="F111" s="40">
        <f>[1]!Table3[[#This Row],[Residential Incentive Disbursements]]+[1]!Table3[[#This Row],[C&amp;I Incentive Disbursements]]</f>
        <v>120258.32740000001</v>
      </c>
      <c r="G111" s="36">
        <f>[1]!Table3[[#This Row],[Incentive Disbursements]]/'[1]1.) CLM Reference'!$B$5</f>
        <v>1.4713187959797291E-3</v>
      </c>
      <c r="H111" s="40">
        <v>89308.608989759989</v>
      </c>
      <c r="I111" s="36">
        <f>[1]!Table3[[#This Row],[Residential CLM $ Collected]]/'[1]1.) CLM Reference'!$B$4</f>
        <v>7.9231396875277429E-4</v>
      </c>
      <c r="J111" s="41">
        <v>89279.610400000005</v>
      </c>
      <c r="K111" s="36">
        <f>[1]!Table3[[#This Row],[Residential Incentive Disbursements]]/'[1]1.) CLM Reference'!$B$5</f>
        <v>1.0923049714665106E-3</v>
      </c>
      <c r="L111" s="37">
        <v>110070.68665248001</v>
      </c>
      <c r="M111" s="36">
        <f>[1]!Table3[[#This Row],[C&amp;I CLM $ Collected]]/'[1]1.) CLM Reference'!$B$4</f>
        <v>9.7650768018309317E-4</v>
      </c>
      <c r="N111" s="41">
        <v>30978.717000000001</v>
      </c>
      <c r="O111" s="36">
        <f>[1]!Table3[[#This Row],[C&amp;I Incentive Disbursements]]/'[1]1.) CLM Reference'!$B$5</f>
        <v>3.7901382451321837E-4</v>
      </c>
      <c r="Q111">
        <f>VLOOKUP(Table3[[#This Row],[Census Tract]],'Population and Diversity Data'!$B$2:$K$823,10,FALSE)</f>
        <v>1</v>
      </c>
      <c r="R111" t="str">
        <f>VLOOKUP(Table3[[#This Row],[Census Tract]],'ES Energy Burden'!$B$2:$E$914,4,FALSE)</f>
        <v>No</v>
      </c>
    </row>
    <row r="112" spans="1:18" x14ac:dyDescent="0.2">
      <c r="A112" s="100">
        <v>9007610400</v>
      </c>
      <c r="B112" s="38" t="s">
        <v>2754</v>
      </c>
      <c r="C112" s="38" t="s">
        <v>944</v>
      </c>
      <c r="D112" s="40">
        <f>[1]!Table3[[#This Row],[Residential CLM $ Collected]]+[1]!Table3[[#This Row],[C&amp;I CLM $ Collected]]</f>
        <v>67552.741402560001</v>
      </c>
      <c r="E112" s="36">
        <f>[1]!Table3[[#This Row],[CLM $ Collected ]]/'[1]1.) CLM Reference'!$B$4</f>
        <v>5.9930370930902138E-4</v>
      </c>
      <c r="F112" s="40">
        <f>[1]!Table3[[#This Row],[Residential Incentive Disbursements]]+[1]!Table3[[#This Row],[C&amp;I Incentive Disbursements]]</f>
        <v>9962.2000000000007</v>
      </c>
      <c r="G112" s="36">
        <f>[1]!Table3[[#This Row],[Incentive Disbursements]]/'[1]1.) CLM Reference'!$B$5</f>
        <v>1.2188405099428696E-4</v>
      </c>
      <c r="H112" s="40">
        <v>67241.355482879997</v>
      </c>
      <c r="I112" s="36">
        <f>[1]!Table3[[#This Row],[Residential CLM $ Collected]]/'[1]1.) CLM Reference'!$B$4</f>
        <v>5.9654120503730345E-4</v>
      </c>
      <c r="J112" s="41">
        <v>9962.2000000000007</v>
      </c>
      <c r="K112" s="36">
        <f>[1]!Table3[[#This Row],[Residential Incentive Disbursements]]/'[1]1.) CLM Reference'!$B$5</f>
        <v>1.2188405099428696E-4</v>
      </c>
      <c r="L112" s="37">
        <v>311.38591968000003</v>
      </c>
      <c r="M112" s="36">
        <f>[1]!Table3[[#This Row],[C&amp;I CLM $ Collected]]/'[1]1.) CLM Reference'!$B$4</f>
        <v>2.7625042717178758E-6</v>
      </c>
      <c r="N112" s="41">
        <v>0</v>
      </c>
      <c r="O112" s="36">
        <f>[1]!Table3[[#This Row],[C&amp;I Incentive Disbursements]]/'[1]1.) CLM Reference'!$B$5</f>
        <v>0</v>
      </c>
      <c r="Q112">
        <f>VLOOKUP(Table3[[#This Row],[Census Tract]],'Population and Diversity Data'!$B$2:$K$823,10,FALSE)</f>
        <v>1</v>
      </c>
      <c r="R112" t="str">
        <f>VLOOKUP(Table3[[#This Row],[Census Tract]],'ES Energy Burden'!$B$2:$E$914,4,FALSE)</f>
        <v>No</v>
      </c>
    </row>
    <row r="113" spans="1:18" x14ac:dyDescent="0.2">
      <c r="A113" s="100">
        <v>9007550201</v>
      </c>
      <c r="B113" s="38" t="s">
        <v>2755</v>
      </c>
      <c r="C113" s="38" t="s">
        <v>944</v>
      </c>
      <c r="D113" s="40">
        <f>[1]!Table3[[#This Row],[Residential CLM $ Collected]]+[1]!Table3[[#This Row],[C&amp;I CLM $ Collected]]</f>
        <v>472.47606719999999</v>
      </c>
      <c r="E113" s="36">
        <f>[1]!Table3[[#This Row],[CLM $ Collected ]]/'[1]1.) CLM Reference'!$B$4</f>
        <v>4.1916383222009083E-6</v>
      </c>
      <c r="F113" s="40">
        <f>[1]!Table3[[#This Row],[Residential Incentive Disbursements]]+[1]!Table3[[#This Row],[C&amp;I Incentive Disbursements]]</f>
        <v>0</v>
      </c>
      <c r="G113" s="36">
        <f>[1]!Table3[[#This Row],[Incentive Disbursements]]/'[1]1.) CLM Reference'!$B$5</f>
        <v>0</v>
      </c>
      <c r="H113" s="40">
        <v>472.47606719999999</v>
      </c>
      <c r="I113" s="36">
        <f>[1]!Table3[[#This Row],[Residential CLM $ Collected]]/'[1]1.) CLM Reference'!$B$4</f>
        <v>4.1916383222009083E-6</v>
      </c>
      <c r="J113" s="41">
        <v>0</v>
      </c>
      <c r="K113" s="36">
        <f>[1]!Table3[[#This Row],[Residential Incentive Disbursements]]/'[1]1.) CLM Reference'!$B$5</f>
        <v>0</v>
      </c>
      <c r="L113" s="37">
        <v>0</v>
      </c>
      <c r="M113" s="36">
        <f>[1]!Table3[[#This Row],[C&amp;I CLM $ Collected]]/'[1]1.) CLM Reference'!$B$4</f>
        <v>0</v>
      </c>
      <c r="N113" s="41">
        <v>0</v>
      </c>
      <c r="O113" s="36">
        <f>[1]!Table3[[#This Row],[C&amp;I Incentive Disbursements]]/'[1]1.) CLM Reference'!$B$5</f>
        <v>0</v>
      </c>
      <c r="Q113">
        <f>VLOOKUP(Table3[[#This Row],[Census Tract]],'Population and Diversity Data'!$B$2:$K$823,10,FALSE)</f>
        <v>2</v>
      </c>
      <c r="R113" t="str">
        <f>VLOOKUP(Table3[[#This Row],[Census Tract]],'ES Energy Burden'!$B$2:$E$914,4,FALSE)</f>
        <v>No</v>
      </c>
    </row>
    <row r="114" spans="1:18" x14ac:dyDescent="0.2">
      <c r="A114" s="100">
        <v>9007595101</v>
      </c>
      <c r="B114" s="38" t="s">
        <v>2755</v>
      </c>
      <c r="C114" s="38" t="s">
        <v>944</v>
      </c>
      <c r="D114" s="40">
        <f>[1]!Table3[[#This Row],[Residential CLM $ Collected]]+[1]!Table3[[#This Row],[C&amp;I CLM $ Collected]]</f>
        <v>1526.8828320000002</v>
      </c>
      <c r="E114" s="36">
        <f>[1]!Table3[[#This Row],[CLM $ Collected ]]/'[1]1.) CLM Reference'!$B$4</f>
        <v>1.3545957216522166E-5</v>
      </c>
      <c r="F114" s="40">
        <f>[1]!Table3[[#This Row],[Residential Incentive Disbursements]]+[1]!Table3[[#This Row],[C&amp;I Incentive Disbursements]]</f>
        <v>0</v>
      </c>
      <c r="G114" s="36">
        <f>[1]!Table3[[#This Row],[Incentive Disbursements]]/'[1]1.) CLM Reference'!$B$5</f>
        <v>0</v>
      </c>
      <c r="H114" s="40">
        <v>1526.8828320000002</v>
      </c>
      <c r="I114" s="36">
        <f>[1]!Table3[[#This Row],[Residential CLM $ Collected]]/'[1]1.) CLM Reference'!$B$4</f>
        <v>1.3545957216522166E-5</v>
      </c>
      <c r="J114" s="41">
        <v>0</v>
      </c>
      <c r="K114" s="36">
        <f>[1]!Table3[[#This Row],[Residential Incentive Disbursements]]/'[1]1.) CLM Reference'!$B$5</f>
        <v>0</v>
      </c>
      <c r="L114" s="37">
        <v>0</v>
      </c>
      <c r="M114" s="36">
        <f>[1]!Table3[[#This Row],[C&amp;I CLM $ Collected]]/'[1]1.) CLM Reference'!$B$4</f>
        <v>0</v>
      </c>
      <c r="N114" s="41">
        <v>0</v>
      </c>
      <c r="O114" s="36">
        <f>[1]!Table3[[#This Row],[C&amp;I Incentive Disbursements]]/'[1]1.) CLM Reference'!$B$5</f>
        <v>0</v>
      </c>
      <c r="Q114">
        <f>VLOOKUP(Table3[[#This Row],[Census Tract]],'Population and Diversity Data'!$B$2:$K$823,10,FALSE)</f>
        <v>1</v>
      </c>
      <c r="R114" t="str">
        <f>VLOOKUP(Table3[[#This Row],[Census Tract]],'ES Energy Burden'!$B$2:$E$914,4,FALSE)</f>
        <v>No</v>
      </c>
    </row>
    <row r="115" spans="1:18" x14ac:dyDescent="0.2">
      <c r="A115" s="100">
        <v>9011714101</v>
      </c>
      <c r="B115" s="38" t="s">
        <v>2755</v>
      </c>
      <c r="C115" s="38" t="s">
        <v>944</v>
      </c>
      <c r="D115" s="40">
        <f>[1]!Table3[[#This Row],[Residential CLM $ Collected]]+[1]!Table3[[#This Row],[C&amp;I CLM $ Collected]]</f>
        <v>62837.596506239999</v>
      </c>
      <c r="E115" s="36">
        <f>[1]!Table3[[#This Row],[CLM $ Collected ]]/'[1]1.) CLM Reference'!$B$4</f>
        <v>5.5747263380233596E-4</v>
      </c>
      <c r="F115" s="40">
        <f>[1]!Table3[[#This Row],[Residential Incentive Disbursements]]+[1]!Table3[[#This Row],[C&amp;I Incentive Disbursements]]</f>
        <v>68354.2</v>
      </c>
      <c r="G115" s="36">
        <f>[1]!Table3[[#This Row],[Incentive Disbursements]]/'[1]1.) CLM Reference'!$B$5</f>
        <v>8.3628985550116333E-4</v>
      </c>
      <c r="H115" s="40">
        <v>62835.427442879998</v>
      </c>
      <c r="I115" s="36">
        <f>[1]!Table3[[#This Row],[Residential CLM $ Collected]]/'[1]1.) CLM Reference'!$B$4</f>
        <v>5.5745339064964693E-4</v>
      </c>
      <c r="J115" s="41">
        <v>68354.2</v>
      </c>
      <c r="K115" s="36">
        <f>[1]!Table3[[#This Row],[Residential Incentive Disbursements]]/'[1]1.) CLM Reference'!$B$5</f>
        <v>8.3628985550116333E-4</v>
      </c>
      <c r="L115" s="37">
        <v>2.16906336</v>
      </c>
      <c r="M115" s="36">
        <f>[1]!Table3[[#This Row],[C&amp;I CLM $ Collected]]/'[1]1.) CLM Reference'!$B$4</f>
        <v>1.924315268906358E-8</v>
      </c>
      <c r="N115" s="41">
        <v>0</v>
      </c>
      <c r="O115" s="36">
        <f>[1]!Table3[[#This Row],[C&amp;I Incentive Disbursements]]/'[1]1.) CLM Reference'!$B$5</f>
        <v>0</v>
      </c>
      <c r="Q115">
        <f>VLOOKUP(Table3[[#This Row],[Census Tract]],'Population and Diversity Data'!$B$2:$K$823,10,FALSE)</f>
        <v>1</v>
      </c>
      <c r="R115" t="str">
        <f>VLOOKUP(Table3[[#This Row],[Census Tract]],'ES Energy Burden'!$B$2:$E$914,4,FALSE)</f>
        <v>No</v>
      </c>
    </row>
    <row r="116" spans="1:18" x14ac:dyDescent="0.2">
      <c r="A116" s="100">
        <v>9011714103</v>
      </c>
      <c r="B116" s="38" t="s">
        <v>2755</v>
      </c>
      <c r="C116" s="38" t="s">
        <v>944</v>
      </c>
      <c r="D116" s="40">
        <f>[1]!Table3[[#This Row],[Residential CLM $ Collected]]+[1]!Table3[[#This Row],[C&amp;I CLM $ Collected]]</f>
        <v>220309.76660256003</v>
      </c>
      <c r="E116" s="36">
        <f>[1]!Table3[[#This Row],[CLM $ Collected ]]/'[1]1.) CLM Reference'!$B$4</f>
        <v>1.9545092853465668E-3</v>
      </c>
      <c r="F116" s="40">
        <f>[1]!Table3[[#This Row],[Residential Incentive Disbursements]]+[1]!Table3[[#This Row],[C&amp;I Incentive Disbursements]]</f>
        <v>297088.71460000001</v>
      </c>
      <c r="G116" s="36">
        <f>[1]!Table3[[#This Row],[Incentive Disbursements]]/'[1]1.) CLM Reference'!$B$5</f>
        <v>3.6347770613050895E-3</v>
      </c>
      <c r="H116" s="40">
        <v>142560.62014464004</v>
      </c>
      <c r="I116" s="36">
        <f>[1]!Table3[[#This Row],[Residential CLM $ Collected]]/'[1]1.) CLM Reference'!$B$4</f>
        <v>1.2647467250061803E-3</v>
      </c>
      <c r="J116" s="41">
        <v>273925.8946</v>
      </c>
      <c r="K116" s="36">
        <f>[1]!Table3[[#This Row],[Residential Incentive Disbursements]]/'[1]1.) CLM Reference'!$B$5</f>
        <v>3.351388017313653E-3</v>
      </c>
      <c r="L116" s="37">
        <v>77749.146457919996</v>
      </c>
      <c r="M116" s="36">
        <f>[1]!Table3[[#This Row],[C&amp;I CLM $ Collected]]/'[1]1.) CLM Reference'!$B$4</f>
        <v>6.8976256034038641E-4</v>
      </c>
      <c r="N116" s="41">
        <v>23162.82</v>
      </c>
      <c r="O116" s="36">
        <f>[1]!Table3[[#This Row],[C&amp;I Incentive Disbursements]]/'[1]1.) CLM Reference'!$B$5</f>
        <v>2.8338904399143663E-4</v>
      </c>
      <c r="Q116">
        <f>VLOOKUP(Table3[[#This Row],[Census Tract]],'Population and Diversity Data'!$B$2:$K$823,10,FALSE)</f>
        <v>3</v>
      </c>
      <c r="R116" t="str">
        <f>VLOOKUP(Table3[[#This Row],[Census Tract]],'ES Energy Burden'!$B$2:$E$914,4,FALSE)</f>
        <v>No</v>
      </c>
    </row>
    <row r="117" spans="1:18" x14ac:dyDescent="0.2">
      <c r="A117" s="100">
        <v>9011714104</v>
      </c>
      <c r="B117" s="38" t="s">
        <v>2755</v>
      </c>
      <c r="C117" s="38" t="s">
        <v>944</v>
      </c>
      <c r="D117" s="40">
        <f>[1]!Table3[[#This Row],[Residential CLM $ Collected]]+[1]!Table3[[#This Row],[C&amp;I CLM $ Collected]]</f>
        <v>98284.121392319998</v>
      </c>
      <c r="E117" s="36">
        <f>[1]!Table3[[#This Row],[CLM $ Collected ]]/'[1]1.) CLM Reference'!$B$4</f>
        <v>8.7194149776375078E-4</v>
      </c>
      <c r="F117" s="40">
        <f>[1]!Table3[[#This Row],[Residential Incentive Disbursements]]+[1]!Table3[[#This Row],[C&amp;I Incentive Disbursements]]</f>
        <v>30020.496500000001</v>
      </c>
      <c r="G117" s="36">
        <f>[1]!Table3[[#This Row],[Incentive Disbursements]]/'[1]1.) CLM Reference'!$B$5</f>
        <v>3.6729033007566736E-4</v>
      </c>
      <c r="H117" s="40">
        <v>98268.869062080004</v>
      </c>
      <c r="I117" s="36">
        <f>[1]!Table3[[#This Row],[Residential CLM $ Collected]]/'[1]1.) CLM Reference'!$B$4</f>
        <v>8.7180618455663813E-4</v>
      </c>
      <c r="J117" s="41">
        <v>30020.496500000001</v>
      </c>
      <c r="K117" s="36">
        <f>[1]!Table3[[#This Row],[Residential Incentive Disbursements]]/'[1]1.) CLM Reference'!$B$5</f>
        <v>3.6729033007566736E-4</v>
      </c>
      <c r="L117" s="37">
        <v>15.252330240000003</v>
      </c>
      <c r="M117" s="36">
        <f>[1]!Table3[[#This Row],[C&amp;I CLM $ Collected]]/'[1]1.) CLM Reference'!$B$4</f>
        <v>1.3531320711274281E-7</v>
      </c>
      <c r="N117" s="41">
        <v>0</v>
      </c>
      <c r="O117" s="36">
        <f>[1]!Table3[[#This Row],[C&amp;I Incentive Disbursements]]/'[1]1.) CLM Reference'!$B$5</f>
        <v>0</v>
      </c>
      <c r="Q117">
        <f>VLOOKUP(Table3[[#This Row],[Census Tract]],'Population and Diversity Data'!$B$2:$K$823,10,FALSE)</f>
        <v>1</v>
      </c>
      <c r="R117" t="str">
        <f>VLOOKUP(Table3[[#This Row],[Census Tract]],'ES Energy Burden'!$B$2:$E$914,4,FALSE)</f>
        <v>No</v>
      </c>
    </row>
    <row r="118" spans="1:18" x14ac:dyDescent="0.2">
      <c r="A118" s="100">
        <v>9011715100</v>
      </c>
      <c r="B118" s="38" t="s">
        <v>2755</v>
      </c>
      <c r="C118" s="38" t="s">
        <v>944</v>
      </c>
      <c r="D118" s="40">
        <f>[1]!Table3[[#This Row],[Residential CLM $ Collected]]+[1]!Table3[[#This Row],[C&amp;I CLM $ Collected]]</f>
        <v>428.2438464</v>
      </c>
      <c r="E118" s="36">
        <f>[1]!Table3[[#This Row],[CLM $ Collected ]]/'[1]1.) CLM Reference'!$B$4</f>
        <v>3.7992259130812528E-6</v>
      </c>
      <c r="F118" s="40">
        <f>[1]!Table3[[#This Row],[Residential Incentive Disbursements]]+[1]!Table3[[#This Row],[C&amp;I Incentive Disbursements]]</f>
        <v>1963.71</v>
      </c>
      <c r="G118" s="36">
        <f>[1]!Table3[[#This Row],[Incentive Disbursements]]/'[1]1.) CLM Reference'!$B$5</f>
        <v>2.402530864447524E-5</v>
      </c>
      <c r="H118" s="40">
        <v>428.2438464</v>
      </c>
      <c r="I118" s="36">
        <f>[1]!Table3[[#This Row],[Residential CLM $ Collected]]/'[1]1.) CLM Reference'!$B$4</f>
        <v>3.7992259130812528E-6</v>
      </c>
      <c r="J118" s="41">
        <v>1963.71</v>
      </c>
      <c r="K118" s="36">
        <f>[1]!Table3[[#This Row],[Residential Incentive Disbursements]]/'[1]1.) CLM Reference'!$B$5</f>
        <v>2.402530864447524E-5</v>
      </c>
      <c r="L118" s="37">
        <v>0</v>
      </c>
      <c r="M118" s="36">
        <f>[1]!Table3[[#This Row],[C&amp;I CLM $ Collected]]/'[1]1.) CLM Reference'!$B$4</f>
        <v>0</v>
      </c>
      <c r="N118" s="41">
        <v>0</v>
      </c>
      <c r="O118" s="36">
        <f>[1]!Table3[[#This Row],[C&amp;I Incentive Disbursements]]/'[1]1.) CLM Reference'!$B$5</f>
        <v>0</v>
      </c>
      <c r="Q118">
        <f>VLOOKUP(Table3[[#This Row],[Census Tract]],'Population and Diversity Data'!$B$2:$K$823,10,FALSE)</f>
        <v>3</v>
      </c>
      <c r="R118" t="str">
        <f>VLOOKUP(Table3[[#This Row],[Census Tract]],'ES Energy Burden'!$B$2:$E$914,4,FALSE)</f>
        <v>No</v>
      </c>
    </row>
    <row r="119" spans="1:18" x14ac:dyDescent="0.2">
      <c r="A119" s="100">
        <v>9011870100</v>
      </c>
      <c r="B119" s="38" t="s">
        <v>2755</v>
      </c>
      <c r="C119" s="38" t="s">
        <v>944</v>
      </c>
      <c r="D119" s="40">
        <f>[1]!Table3[[#This Row],[Residential CLM $ Collected]]+[1]!Table3[[#This Row],[C&amp;I CLM $ Collected]]</f>
        <v>1162.304208</v>
      </c>
      <c r="E119" s="36">
        <f>[1]!Table3[[#This Row],[CLM $ Collected ]]/'[1]1.) CLM Reference'!$B$4</f>
        <v>1.0311546337533041E-5</v>
      </c>
      <c r="F119" s="40">
        <f>[1]!Table3[[#This Row],[Residential Incentive Disbursements]]+[1]!Table3[[#This Row],[C&amp;I Incentive Disbursements]]</f>
        <v>0</v>
      </c>
      <c r="G119" s="36">
        <f>[1]!Table3[[#This Row],[Incentive Disbursements]]/'[1]1.) CLM Reference'!$B$5</f>
        <v>0</v>
      </c>
      <c r="H119" s="40">
        <v>1162.304208</v>
      </c>
      <c r="I119" s="36">
        <f>[1]!Table3[[#This Row],[Residential CLM $ Collected]]/'[1]1.) CLM Reference'!$B$4</f>
        <v>1.0311546337533041E-5</v>
      </c>
      <c r="J119" s="41">
        <v>0</v>
      </c>
      <c r="K119" s="36">
        <f>[1]!Table3[[#This Row],[Residential Incentive Disbursements]]/'[1]1.) CLM Reference'!$B$5</f>
        <v>0</v>
      </c>
      <c r="L119" s="37">
        <v>0</v>
      </c>
      <c r="M119" s="36">
        <f>[1]!Table3[[#This Row],[C&amp;I CLM $ Collected]]/'[1]1.) CLM Reference'!$B$4</f>
        <v>0</v>
      </c>
      <c r="N119" s="41">
        <v>0</v>
      </c>
      <c r="O119" s="36">
        <f>[1]!Table3[[#This Row],[C&amp;I Incentive Disbursements]]/'[1]1.) CLM Reference'!$B$5</f>
        <v>0</v>
      </c>
      <c r="Q119">
        <f>VLOOKUP(Table3[[#This Row],[Census Tract]],'Population and Diversity Data'!$B$2:$K$823,10,FALSE)</f>
        <v>1</v>
      </c>
      <c r="R119" t="str">
        <f>VLOOKUP(Table3[[#This Row],[Census Tract]],'ES Energy Burden'!$B$2:$E$914,4,FALSE)</f>
        <v>No</v>
      </c>
    </row>
    <row r="120" spans="1:18" x14ac:dyDescent="0.2">
      <c r="A120" s="100">
        <v>9013526101</v>
      </c>
      <c r="B120" s="38" t="s">
        <v>2755</v>
      </c>
      <c r="C120" s="38" t="s">
        <v>944</v>
      </c>
      <c r="D120" s="40">
        <f>[1]!Table3[[#This Row],[Residential CLM $ Collected]]+[1]!Table3[[#This Row],[C&amp;I CLM $ Collected]]</f>
        <v>787.97724479999999</v>
      </c>
      <c r="E120" s="36">
        <f>[1]!Table3[[#This Row],[CLM $ Collected ]]/'[1]1.) CLM Reference'!$B$4</f>
        <v>6.9906516871844766E-6</v>
      </c>
      <c r="F120" s="40">
        <f>[1]!Table3[[#This Row],[Residential Incentive Disbursements]]+[1]!Table3[[#This Row],[C&amp;I Incentive Disbursements]]</f>
        <v>1107.58</v>
      </c>
      <c r="G120" s="36">
        <f>[1]!Table3[[#This Row],[Incentive Disbursements]]/'[1]1.) CLM Reference'!$B$5</f>
        <v>1.3550855955537164E-5</v>
      </c>
      <c r="H120" s="40">
        <v>787.97724479999999</v>
      </c>
      <c r="I120" s="36">
        <f>[1]!Table3[[#This Row],[Residential CLM $ Collected]]/'[1]1.) CLM Reference'!$B$4</f>
        <v>6.9906516871844766E-6</v>
      </c>
      <c r="J120" s="43">
        <v>1107.58</v>
      </c>
      <c r="K120" s="36">
        <f>[1]!Table3[[#This Row],[Residential Incentive Disbursements]]/'[1]1.) CLM Reference'!$B$5</f>
        <v>1.3550855955537164E-5</v>
      </c>
      <c r="L120" s="37">
        <v>0</v>
      </c>
      <c r="M120" s="36">
        <f>[1]!Table3[[#This Row],[C&amp;I CLM $ Collected]]/'[1]1.) CLM Reference'!$B$4</f>
        <v>0</v>
      </c>
      <c r="N120" s="41">
        <v>0</v>
      </c>
      <c r="O120" s="36">
        <f>[1]!Table3[[#This Row],[C&amp;I Incentive Disbursements]]/'[1]1.) CLM Reference'!$B$5</f>
        <v>0</v>
      </c>
      <c r="Q120">
        <f>VLOOKUP(Table3[[#This Row],[Census Tract]],'Population and Diversity Data'!$B$2:$K$823,10,FALSE)</f>
        <v>2</v>
      </c>
      <c r="R120" t="str">
        <f>VLOOKUP(Table3[[#This Row],[Census Tract]],'ES Energy Burden'!$B$2:$E$914,4,FALSE)</f>
        <v>No</v>
      </c>
    </row>
    <row r="121" spans="1:18" x14ac:dyDescent="0.2">
      <c r="A121" s="100">
        <v>9005293100</v>
      </c>
      <c r="B121" s="38" t="s">
        <v>2756</v>
      </c>
      <c r="C121" s="38" t="s">
        <v>944</v>
      </c>
      <c r="D121" s="40">
        <f>[1]!Table3[[#This Row],[Residential CLM $ Collected]]+[1]!Table3[[#This Row],[C&amp;I CLM $ Collected]]</f>
        <v>40187.747168639995</v>
      </c>
      <c r="E121" s="36">
        <f>[1]!Table3[[#This Row],[CLM $ Collected ]]/'[1]1.) CLM Reference'!$B$4</f>
        <v>3.5653128869210255E-4</v>
      </c>
      <c r="F121" s="40">
        <f>[1]!Table3[[#This Row],[Residential Incentive Disbursements]]+[1]!Table3[[#This Row],[C&amp;I Incentive Disbursements]]</f>
        <v>31218.78</v>
      </c>
      <c r="G121" s="36">
        <f>[1]!Table3[[#This Row],[Incentive Disbursements]]/'[1]1.) CLM Reference'!$B$5</f>
        <v>3.8195091179653345E-4</v>
      </c>
      <c r="H121" s="40">
        <v>33902.455685759996</v>
      </c>
      <c r="I121" s="36">
        <f>[1]!Table3[[#This Row],[Residential CLM $ Collected]]/'[1]1.) CLM Reference'!$B$4</f>
        <v>3.0077043544513672E-4</v>
      </c>
      <c r="J121" s="41">
        <v>31218.78</v>
      </c>
      <c r="K121" s="36">
        <f>[1]!Table3[[#This Row],[Residential Incentive Disbursements]]/'[1]1.) CLM Reference'!$B$5</f>
        <v>3.8195091179653345E-4</v>
      </c>
      <c r="L121" s="37">
        <v>6285.2914828800003</v>
      </c>
      <c r="M121" s="36">
        <f>[1]!Table3[[#This Row],[C&amp;I CLM $ Collected]]/'[1]1.) CLM Reference'!$B$4</f>
        <v>5.5760853246965867E-5</v>
      </c>
      <c r="N121" s="41">
        <v>0</v>
      </c>
      <c r="O121" s="36">
        <f>[1]!Table3[[#This Row],[C&amp;I Incentive Disbursements]]/'[1]1.) CLM Reference'!$B$5</f>
        <v>0</v>
      </c>
      <c r="Q121">
        <f>VLOOKUP(Table3[[#This Row],[Census Tract]],'Population and Diversity Data'!$B$2:$K$823,10,FALSE)</f>
        <v>1</v>
      </c>
      <c r="R121" t="str">
        <f>VLOOKUP(Table3[[#This Row],[Census Tract]],'ES Energy Burden'!$B$2:$E$914,4,FALSE)</f>
        <v>No</v>
      </c>
    </row>
    <row r="122" spans="1:18" x14ac:dyDescent="0.2">
      <c r="A122" s="100">
        <v>9005320100</v>
      </c>
      <c r="B122" s="38" t="s">
        <v>2756</v>
      </c>
      <c r="C122" s="38" t="s">
        <v>944</v>
      </c>
      <c r="D122" s="40">
        <f>[1]!Table3[[#This Row],[Residential CLM $ Collected]]+[1]!Table3[[#This Row],[C&amp;I CLM $ Collected]]</f>
        <v>236.81980800000002</v>
      </c>
      <c r="E122" s="36">
        <f>[1]!Table3[[#This Row],[CLM $ Collected ]]/'[1]1.) CLM Reference'!$B$4</f>
        <v>2.1009804550562881E-6</v>
      </c>
      <c r="F122" s="40">
        <f>[1]!Table3[[#This Row],[Residential Incentive Disbursements]]+[1]!Table3[[#This Row],[C&amp;I Incentive Disbursements]]</f>
        <v>0</v>
      </c>
      <c r="G122" s="36">
        <f>[1]!Table3[[#This Row],[Incentive Disbursements]]/'[1]1.) CLM Reference'!$B$5</f>
        <v>0</v>
      </c>
      <c r="H122" s="40">
        <v>236.81980800000002</v>
      </c>
      <c r="I122" s="36">
        <f>[1]!Table3[[#This Row],[Residential CLM $ Collected]]/'[1]1.) CLM Reference'!$B$4</f>
        <v>2.1009804550562881E-6</v>
      </c>
      <c r="J122" s="41">
        <v>0</v>
      </c>
      <c r="K122" s="36">
        <f>[1]!Table3[[#This Row],[Residential Incentive Disbursements]]/'[1]1.) CLM Reference'!$B$5</f>
        <v>0</v>
      </c>
      <c r="L122" s="37">
        <v>0</v>
      </c>
      <c r="M122" s="36">
        <f>[1]!Table3[[#This Row],[C&amp;I CLM $ Collected]]/'[1]1.) CLM Reference'!$B$4</f>
        <v>0</v>
      </c>
      <c r="N122" s="41">
        <v>0</v>
      </c>
      <c r="O122" s="36">
        <f>[1]!Table3[[#This Row],[C&amp;I Incentive Disbursements]]/'[1]1.) CLM Reference'!$B$5</f>
        <v>0</v>
      </c>
      <c r="Q122">
        <f>VLOOKUP(Table3[[#This Row],[Census Tract]],'Population and Diversity Data'!$B$2:$K$823,10,FALSE)</f>
        <v>1</v>
      </c>
      <c r="R122" t="str">
        <f>VLOOKUP(Table3[[#This Row],[Census Tract]],'ES Energy Burden'!$B$2:$E$914,4,FALSE)</f>
        <v>No</v>
      </c>
    </row>
    <row r="123" spans="1:18" x14ac:dyDescent="0.2">
      <c r="A123" s="100">
        <v>9013850200</v>
      </c>
      <c r="B123" s="38" t="s">
        <v>2757</v>
      </c>
      <c r="C123" s="38" t="s">
        <v>944</v>
      </c>
      <c r="D123" s="40">
        <f>[1]!Table3[[#This Row],[Residential CLM $ Collected]]+[1]!Table3[[#This Row],[C&amp;I CLM $ Collected]]</f>
        <v>384.0116256</v>
      </c>
      <c r="E123" s="36">
        <f>[1]!Table3[[#This Row],[CLM $ Collected ]]/'[1]1.) CLM Reference'!$B$4</f>
        <v>3.4068135039615976E-6</v>
      </c>
      <c r="F123" s="40">
        <f>[1]!Table3[[#This Row],[Residential Incentive Disbursements]]+[1]!Table3[[#This Row],[C&amp;I Incentive Disbursements]]</f>
        <v>0</v>
      </c>
      <c r="G123" s="36">
        <f>[1]!Table3[[#This Row],[Incentive Disbursements]]/'[1]1.) CLM Reference'!$B$5</f>
        <v>0</v>
      </c>
      <c r="H123" s="40">
        <v>384.0116256</v>
      </c>
      <c r="I123" s="36">
        <f>[1]!Table3[[#This Row],[Residential CLM $ Collected]]/'[1]1.) CLM Reference'!$B$4</f>
        <v>3.4068135039615976E-6</v>
      </c>
      <c r="J123" s="41">
        <v>0</v>
      </c>
      <c r="K123" s="36">
        <f>[1]!Table3[[#This Row],[Residential Incentive Disbursements]]/'[1]1.) CLM Reference'!$B$5</f>
        <v>0</v>
      </c>
      <c r="L123" s="37">
        <v>0</v>
      </c>
      <c r="M123" s="36">
        <f>[1]!Table3[[#This Row],[C&amp;I CLM $ Collected]]/'[1]1.) CLM Reference'!$B$4</f>
        <v>0</v>
      </c>
      <c r="N123" s="41">
        <v>0</v>
      </c>
      <c r="O123" s="36">
        <f>[1]!Table3[[#This Row],[C&amp;I Incentive Disbursements]]/'[1]1.) CLM Reference'!$B$5</f>
        <v>0</v>
      </c>
      <c r="Q123">
        <f>VLOOKUP(Table3[[#This Row],[Census Tract]],'Population and Diversity Data'!$B$2:$K$823,10,FALSE)</f>
        <v>1</v>
      </c>
      <c r="R123" t="str">
        <f>VLOOKUP(Table3[[#This Row],[Census Tract]],'ES Energy Burden'!$B$2:$E$914,4,FALSE)</f>
        <v>No</v>
      </c>
    </row>
    <row r="124" spans="1:18" x14ac:dyDescent="0.2">
      <c r="A124" s="100">
        <v>9013860100</v>
      </c>
      <c r="B124" s="38" t="s">
        <v>2757</v>
      </c>
      <c r="C124" s="38" t="s">
        <v>944</v>
      </c>
      <c r="D124" s="40">
        <f>[1]!Table3[[#This Row],[Residential CLM $ Collected]]+[1]!Table3[[#This Row],[C&amp;I CLM $ Collected]]</f>
        <v>134293.73153760002</v>
      </c>
      <c r="E124" s="36">
        <f>[1]!Table3[[#This Row],[CLM $ Collected ]]/'[1]1.) CLM Reference'!$B$4</f>
        <v>1.1914058523224283E-3</v>
      </c>
      <c r="F124" s="40">
        <f>[1]!Table3[[#This Row],[Residential Incentive Disbursements]]+[1]!Table3[[#This Row],[C&amp;I Incentive Disbursements]]</f>
        <v>44825.78</v>
      </c>
      <c r="G124" s="36">
        <f>[1]!Table3[[#This Row],[Incentive Disbursements]]/'[1]1.) CLM Reference'!$B$5</f>
        <v>5.4842782270770392E-4</v>
      </c>
      <c r="H124" s="40">
        <v>114568.80654240001</v>
      </c>
      <c r="I124" s="36">
        <f>[1]!Table3[[#This Row],[Residential CLM $ Collected]]/'[1]1.) CLM Reference'!$B$4</f>
        <v>1.0164133876196175E-3</v>
      </c>
      <c r="J124" s="41">
        <v>43500.86</v>
      </c>
      <c r="K124" s="36">
        <f>[1]!Table3[[#This Row],[Residential Incentive Disbursements]]/'[1]1.) CLM Reference'!$B$5</f>
        <v>5.3221788746816339E-4</v>
      </c>
      <c r="L124" s="37">
        <v>19724.924995200003</v>
      </c>
      <c r="M124" s="36">
        <f>[1]!Table3[[#This Row],[C&amp;I CLM $ Collected]]/'[1]1.) CLM Reference'!$B$4</f>
        <v>1.7499246470281088E-4</v>
      </c>
      <c r="N124" s="41">
        <v>1324.92</v>
      </c>
      <c r="O124" s="36">
        <f>[1]!Table3[[#This Row],[C&amp;I Incentive Disbursements]]/'[1]1.) CLM Reference'!$B$5</f>
        <v>1.6209935239540532E-5</v>
      </c>
      <c r="Q124">
        <f>VLOOKUP(Table3[[#This Row],[Census Tract]],'Population and Diversity Data'!$B$2:$K$823,10,FALSE)</f>
        <v>1</v>
      </c>
      <c r="R124" t="str">
        <f>VLOOKUP(Table3[[#This Row],[Census Tract]],'ES Energy Burden'!$B$2:$E$914,4,FALSE)</f>
        <v>No</v>
      </c>
    </row>
    <row r="125" spans="1:18" x14ac:dyDescent="0.2">
      <c r="A125" s="100">
        <v>9005262100</v>
      </c>
      <c r="B125" s="38" t="s">
        <v>2758</v>
      </c>
      <c r="C125" s="38" t="s">
        <v>944</v>
      </c>
      <c r="D125" s="40">
        <f>[1]!Table3[[#This Row],[Residential CLM $ Collected]]+[1]!Table3[[#This Row],[C&amp;I CLM $ Collected]]</f>
        <v>207.17536319999999</v>
      </c>
      <c r="E125" s="36">
        <f>[1]!Table3[[#This Row],[CLM $ Collected ]]/'[1]1.) CLM Reference'!$B$4</f>
        <v>1.8379855660232091E-6</v>
      </c>
      <c r="F125" s="40">
        <f>[1]!Table3[[#This Row],[Residential Incentive Disbursements]]+[1]!Table3[[#This Row],[C&amp;I Incentive Disbursements]]</f>
        <v>0</v>
      </c>
      <c r="G125" s="36">
        <f>[1]!Table3[[#This Row],[Incentive Disbursements]]/'[1]1.) CLM Reference'!$B$5</f>
        <v>0</v>
      </c>
      <c r="H125" s="40">
        <v>207.17536319999999</v>
      </c>
      <c r="I125" s="36">
        <f>[1]!Table3[[#This Row],[Residential CLM $ Collected]]/'[1]1.) CLM Reference'!$B$4</f>
        <v>1.8379855660232091E-6</v>
      </c>
      <c r="J125" s="41">
        <v>0</v>
      </c>
      <c r="K125" s="36">
        <f>[1]!Table3[[#This Row],[Residential Incentive Disbursements]]/'[1]1.) CLM Reference'!$B$5</f>
        <v>0</v>
      </c>
      <c r="L125" s="37">
        <v>0</v>
      </c>
      <c r="M125" s="36">
        <f>[1]!Table3[[#This Row],[C&amp;I CLM $ Collected]]/'[1]1.) CLM Reference'!$B$4</f>
        <v>0</v>
      </c>
      <c r="N125" s="41">
        <v>0</v>
      </c>
      <c r="O125" s="36">
        <f>[1]!Table3[[#This Row],[C&amp;I Incentive Disbursements]]/'[1]1.) CLM Reference'!$B$5</f>
        <v>0</v>
      </c>
      <c r="Q125">
        <f>VLOOKUP(Table3[[#This Row],[Census Tract]],'Population and Diversity Data'!$B$2:$K$823,10,FALSE)</f>
        <v>1</v>
      </c>
      <c r="R125" t="str">
        <f>VLOOKUP(Table3[[#This Row],[Census Tract]],'ES Energy Burden'!$B$2:$E$914,4,FALSE)</f>
        <v>No</v>
      </c>
    </row>
    <row r="126" spans="1:18" x14ac:dyDescent="0.2">
      <c r="A126" s="100">
        <v>9005263200</v>
      </c>
      <c r="B126" s="38" t="s">
        <v>2758</v>
      </c>
      <c r="C126" s="38" t="s">
        <v>944</v>
      </c>
      <c r="D126" s="40">
        <f>[1]!Table3[[#This Row],[Residential CLM $ Collected]]+[1]!Table3[[#This Row],[C&amp;I CLM $ Collected]]</f>
        <v>58439.273212799992</v>
      </c>
      <c r="E126" s="36">
        <f>[1]!Table3[[#This Row],[CLM $ Collected ]]/'[1]1.) CLM Reference'!$B$4</f>
        <v>5.1845228600044834E-4</v>
      </c>
      <c r="F126" s="40">
        <f>[1]!Table3[[#This Row],[Residential Incentive Disbursements]]+[1]!Table3[[#This Row],[C&amp;I Incentive Disbursements]]</f>
        <v>15124.35</v>
      </c>
      <c r="G126" s="36">
        <f>[1]!Table3[[#This Row],[Incentive Disbursements]]/'[1]1.) CLM Reference'!$B$5</f>
        <v>1.850411602512943E-4</v>
      </c>
      <c r="H126" s="40">
        <v>48379.472259839997</v>
      </c>
      <c r="I126" s="36">
        <f>[1]!Table3[[#This Row],[Residential CLM $ Collected]]/'[1]1.) CLM Reference'!$B$4</f>
        <v>4.2920533760360826E-4</v>
      </c>
      <c r="J126" s="41">
        <v>13559.24</v>
      </c>
      <c r="K126" s="36">
        <f>[1]!Table3[[#This Row],[Residential Incentive Disbursements]]/'[1]1.) CLM Reference'!$B$5</f>
        <v>1.6589258392762395E-4</v>
      </c>
      <c r="L126" s="37">
        <v>10059.800952959999</v>
      </c>
      <c r="M126" s="36">
        <f>[1]!Table3[[#This Row],[C&amp;I CLM $ Collected]]/'[1]1.) CLM Reference'!$B$4</f>
        <v>8.9246948396840085E-5</v>
      </c>
      <c r="N126" s="41">
        <v>1565.11</v>
      </c>
      <c r="O126" s="36">
        <f>[1]!Table3[[#This Row],[C&amp;I Incentive Disbursements]]/'[1]1.) CLM Reference'!$B$5</f>
        <v>1.914857632367032E-5</v>
      </c>
      <c r="Q126">
        <f>VLOOKUP(Table3[[#This Row],[Census Tract]],'Population and Diversity Data'!$B$2:$K$823,10,FALSE)</f>
        <v>3</v>
      </c>
      <c r="R126" t="str">
        <f>VLOOKUP(Table3[[#This Row],[Census Tract]],'ES Energy Burden'!$B$2:$E$914,4,FALSE)</f>
        <v>No</v>
      </c>
    </row>
    <row r="127" spans="1:18" x14ac:dyDescent="0.2">
      <c r="A127" s="100">
        <v>9005265100</v>
      </c>
      <c r="B127" s="38" t="s">
        <v>2758</v>
      </c>
      <c r="C127" s="38" t="s">
        <v>944</v>
      </c>
      <c r="D127" s="40">
        <f>[1]!Table3[[#This Row],[Residential CLM $ Collected]]+[1]!Table3[[#This Row],[C&amp;I CLM $ Collected]]</f>
        <v>381.16122048</v>
      </c>
      <c r="E127" s="36">
        <f>[1]!Table3[[#This Row],[CLM $ Collected ]]/'[1]1.) CLM Reference'!$B$4</f>
        <v>3.381525731385951E-6</v>
      </c>
      <c r="F127" s="40">
        <f>[1]!Table3[[#This Row],[Residential Incentive Disbursements]]+[1]!Table3[[#This Row],[C&amp;I Incentive Disbursements]]</f>
        <v>0</v>
      </c>
      <c r="G127" s="36">
        <f>[1]!Table3[[#This Row],[Incentive Disbursements]]/'[1]1.) CLM Reference'!$B$5</f>
        <v>0</v>
      </c>
      <c r="H127" s="40">
        <v>381.16122048</v>
      </c>
      <c r="I127" s="36">
        <f>[1]!Table3[[#This Row],[Residential CLM $ Collected]]/'[1]1.) CLM Reference'!$B$4</f>
        <v>3.381525731385951E-6</v>
      </c>
      <c r="J127" s="41">
        <v>0</v>
      </c>
      <c r="K127" s="36">
        <f>[1]!Table3[[#This Row],[Residential Incentive Disbursements]]/'[1]1.) CLM Reference'!$B$5</f>
        <v>0</v>
      </c>
      <c r="L127" s="37">
        <v>0</v>
      </c>
      <c r="M127" s="36">
        <f>[1]!Table3[[#This Row],[C&amp;I CLM $ Collected]]/'[1]1.) CLM Reference'!$B$4</f>
        <v>0</v>
      </c>
      <c r="N127" s="41">
        <v>0</v>
      </c>
      <c r="O127" s="36">
        <f>[1]!Table3[[#This Row],[C&amp;I Incentive Disbursements]]/'[1]1.) CLM Reference'!$B$5</f>
        <v>0</v>
      </c>
      <c r="Q127">
        <f>VLOOKUP(Table3[[#This Row],[Census Tract]],'Population and Diversity Data'!$B$2:$K$823,10,FALSE)</f>
        <v>1</v>
      </c>
      <c r="R127" t="str">
        <f>VLOOKUP(Table3[[#This Row],[Census Tract]],'ES Energy Burden'!$B$2:$E$914,4,FALSE)</f>
        <v>No</v>
      </c>
    </row>
    <row r="128" spans="1:18" x14ac:dyDescent="0.2">
      <c r="A128" s="100">
        <v>9005266100</v>
      </c>
      <c r="B128" s="38" t="s">
        <v>2758</v>
      </c>
      <c r="C128" s="38" t="s">
        <v>944</v>
      </c>
      <c r="D128" s="40">
        <f>[1]!Table3[[#This Row],[Residential CLM $ Collected]]+[1]!Table3[[#This Row],[C&amp;I CLM $ Collected]]</f>
        <v>40.9326048</v>
      </c>
      <c r="E128" s="36">
        <f>[1]!Table3[[#This Row],[CLM $ Collected ]]/'[1]1.) CLM Reference'!$B$4</f>
        <v>3.6313939862388195E-7</v>
      </c>
      <c r="F128" s="40">
        <f>[1]!Table3[[#This Row],[Residential Incentive Disbursements]]+[1]!Table3[[#This Row],[C&amp;I Incentive Disbursements]]</f>
        <v>0</v>
      </c>
      <c r="G128" s="36">
        <f>[1]!Table3[[#This Row],[Incentive Disbursements]]/'[1]1.) CLM Reference'!$B$5</f>
        <v>0</v>
      </c>
      <c r="H128" s="40">
        <v>40.9326048</v>
      </c>
      <c r="I128" s="36">
        <f>[1]!Table3[[#This Row],[Residential CLM $ Collected]]/'[1]1.) CLM Reference'!$B$4</f>
        <v>3.6313939862388195E-7</v>
      </c>
      <c r="J128" s="41">
        <v>0</v>
      </c>
      <c r="K128" s="36">
        <f>[1]!Table3[[#This Row],[Residential Incentive Disbursements]]/'[1]1.) CLM Reference'!$B$5</f>
        <v>0</v>
      </c>
      <c r="L128" s="37">
        <v>0</v>
      </c>
      <c r="M128" s="36">
        <f>[1]!Table3[[#This Row],[C&amp;I CLM $ Collected]]/'[1]1.) CLM Reference'!$B$4</f>
        <v>0</v>
      </c>
      <c r="N128" s="41">
        <v>0</v>
      </c>
      <c r="O128" s="36">
        <f>[1]!Table3[[#This Row],[C&amp;I Incentive Disbursements]]/'[1]1.) CLM Reference'!$B$5</f>
        <v>0</v>
      </c>
      <c r="Q128">
        <f>VLOOKUP(Table3[[#This Row],[Census Tract]],'Population and Diversity Data'!$B$2:$K$823,10,FALSE)</f>
        <v>2</v>
      </c>
      <c r="R128" t="str">
        <f>VLOOKUP(Table3[[#This Row],[Census Tract]],'ES Energy Burden'!$B$2:$E$914,4,FALSE)</f>
        <v>No</v>
      </c>
    </row>
    <row r="129" spans="1:18" x14ac:dyDescent="0.2">
      <c r="A129" s="100">
        <v>9013850100</v>
      </c>
      <c r="B129" s="38" t="s">
        <v>2759</v>
      </c>
      <c r="C129" s="38" t="s">
        <v>944</v>
      </c>
      <c r="D129" s="40">
        <f>[1]!Table3[[#This Row],[Residential CLM $ Collected]]+[1]!Table3[[#This Row],[C&amp;I CLM $ Collected]]</f>
        <v>114483.14040672001</v>
      </c>
      <c r="E129" s="36">
        <f>[1]!Table3[[#This Row],[CLM $ Collected ]]/'[1]1.) CLM Reference'!$B$4</f>
        <v>1.0156533883685249E-3</v>
      </c>
      <c r="F129" s="40">
        <f>[1]!Table3[[#This Row],[Residential Incentive Disbursements]]+[1]!Table3[[#This Row],[C&amp;I Incentive Disbursements]]</f>
        <v>26282.479299999999</v>
      </c>
      <c r="G129" s="36">
        <f>[1]!Table3[[#This Row],[Incentive Disbursements]]/'[1]1.) CLM Reference'!$B$5</f>
        <v>3.2155699014851051E-4</v>
      </c>
      <c r="H129" s="40">
        <v>114445.98788832</v>
      </c>
      <c r="I129" s="36">
        <f>[1]!Table3[[#This Row],[Residential CLM $ Collected]]/'[1]1.) CLM Reference'!$B$4</f>
        <v>1.0153237845415741E-3</v>
      </c>
      <c r="J129" s="41">
        <v>26282.479299999999</v>
      </c>
      <c r="K129" s="36">
        <f>[1]!Table3[[#This Row],[Residential Incentive Disbursements]]/'[1]1.) CLM Reference'!$B$5</f>
        <v>3.2155699014851051E-4</v>
      </c>
      <c r="L129" s="37">
        <v>37.152518400000005</v>
      </c>
      <c r="M129" s="36">
        <f>[1]!Table3[[#This Row],[C&amp;I CLM $ Collected]]/'[1]1.) CLM Reference'!$B$4</f>
        <v>3.2960382695065403E-7</v>
      </c>
      <c r="N129" s="41">
        <v>0</v>
      </c>
      <c r="O129" s="36">
        <f>[1]!Table3[[#This Row],[C&amp;I Incentive Disbursements]]/'[1]1.) CLM Reference'!$B$5</f>
        <v>0</v>
      </c>
      <c r="Q129">
        <f>VLOOKUP(Table3[[#This Row],[Census Tract]],'Population and Diversity Data'!$B$2:$K$823,10,FALSE)</f>
        <v>3</v>
      </c>
      <c r="R129" t="str">
        <f>VLOOKUP(Table3[[#This Row],[Census Tract]],'ES Energy Burden'!$B$2:$E$914,4,FALSE)</f>
        <v>No</v>
      </c>
    </row>
    <row r="130" spans="1:18" x14ac:dyDescent="0.2">
      <c r="A130" s="100">
        <v>9013850200</v>
      </c>
      <c r="B130" s="38" t="s">
        <v>2759</v>
      </c>
      <c r="C130" s="38" t="s">
        <v>944</v>
      </c>
      <c r="D130" s="40">
        <f>[1]!Table3[[#This Row],[Residential CLM $ Collected]]+[1]!Table3[[#This Row],[C&amp;I CLM $ Collected]]</f>
        <v>174738.03427008004</v>
      </c>
      <c r="E130" s="36">
        <f>[1]!Table3[[#This Row],[CLM $ Collected ]]/'[1]1.) CLM Reference'!$B$4</f>
        <v>1.5502132100216632E-3</v>
      </c>
      <c r="F130" s="40">
        <f>[1]!Table3[[#This Row],[Residential Incentive Disbursements]]+[1]!Table3[[#This Row],[C&amp;I Incentive Disbursements]]</f>
        <v>98738.7261</v>
      </c>
      <c r="G130" s="36">
        <f>[1]!Table3[[#This Row],[Incentive Disbursements]]/'[1]1.) CLM Reference'!$B$5</f>
        <v>1.2080339610812203E-3</v>
      </c>
      <c r="H130" s="40">
        <v>136588.91316768003</v>
      </c>
      <c r="I130" s="36">
        <f>[1]!Table3[[#This Row],[Residential CLM $ Collected]]/'[1]1.) CLM Reference'!$B$4</f>
        <v>1.2117678811000309E-3</v>
      </c>
      <c r="J130" s="41">
        <v>52139.396099999998</v>
      </c>
      <c r="K130" s="36">
        <f>[1]!Table3[[#This Row],[Residential Incentive Disbursements]]/'[1]1.) CLM Reference'!$B$5</f>
        <v>6.3790737116939291E-4</v>
      </c>
      <c r="L130" s="37">
        <v>38149.121102400008</v>
      </c>
      <c r="M130" s="36">
        <f>[1]!Table3[[#This Row],[C&amp;I CLM $ Collected]]/'[1]1.) CLM Reference'!$B$4</f>
        <v>3.3844532892163227E-4</v>
      </c>
      <c r="N130" s="41">
        <v>46599.33</v>
      </c>
      <c r="O130" s="36">
        <f>[1]!Table3[[#This Row],[C&amp;I Incentive Disbursements]]/'[1]1.) CLM Reference'!$B$5</f>
        <v>5.701265899118273E-4</v>
      </c>
      <c r="Q130">
        <f>VLOOKUP(Table3[[#This Row],[Census Tract]],'Population and Diversity Data'!$B$2:$K$823,10,FALSE)</f>
        <v>1</v>
      </c>
      <c r="R130" t="str">
        <f>VLOOKUP(Table3[[#This Row],[Census Tract]],'ES Energy Burden'!$B$2:$E$914,4,FALSE)</f>
        <v>No</v>
      </c>
    </row>
    <row r="131" spans="1:18" x14ac:dyDescent="0.2">
      <c r="A131" s="100">
        <v>9007570100</v>
      </c>
      <c r="B131" s="38" t="s">
        <v>2760</v>
      </c>
      <c r="C131" s="38" t="s">
        <v>944</v>
      </c>
      <c r="D131" s="40">
        <f>[1]!Table3[[#This Row],[Residential CLM $ Collected]]+[1]!Table3[[#This Row],[C&amp;I CLM $ Collected]]</f>
        <v>105823.17838656</v>
      </c>
      <c r="E131" s="36">
        <f>[1]!Table3[[#This Row],[CLM $ Collected ]]/'[1]1.) CLM Reference'!$B$4</f>
        <v>9.3882530924988146E-4</v>
      </c>
      <c r="F131" s="40">
        <f>[1]!Table3[[#This Row],[Residential Incentive Disbursements]]+[1]!Table3[[#This Row],[C&amp;I Incentive Disbursements]]</f>
        <v>12420.4566</v>
      </c>
      <c r="G131" s="36">
        <f>[1]!Table3[[#This Row],[Incentive Disbursements]]/'[1]1.) CLM Reference'!$B$5</f>
        <v>1.5195996522923932E-4</v>
      </c>
      <c r="H131" s="40">
        <v>105823.17838656</v>
      </c>
      <c r="I131" s="36">
        <f>[1]!Table3[[#This Row],[Residential CLM $ Collected]]/'[1]1.) CLM Reference'!$B$4</f>
        <v>9.3882530924988146E-4</v>
      </c>
      <c r="J131" s="41">
        <v>12420.4566</v>
      </c>
      <c r="K131" s="36">
        <f>[1]!Table3[[#This Row],[Residential Incentive Disbursements]]/'[1]1.) CLM Reference'!$B$5</f>
        <v>1.5195996522923932E-4</v>
      </c>
      <c r="L131" s="37">
        <v>0</v>
      </c>
      <c r="M131" s="36">
        <f>[1]!Table3[[#This Row],[C&amp;I CLM $ Collected]]/'[1]1.) CLM Reference'!$B$4</f>
        <v>0</v>
      </c>
      <c r="N131" s="41">
        <v>0</v>
      </c>
      <c r="O131" s="36">
        <f>[1]!Table3[[#This Row],[C&amp;I Incentive Disbursements]]/'[1]1.) CLM Reference'!$B$5</f>
        <v>0</v>
      </c>
      <c r="Q131">
        <f>VLOOKUP(Table3[[#This Row],[Census Tract]],'Population and Diversity Data'!$B$2:$K$823,10,FALSE)</f>
        <v>2</v>
      </c>
      <c r="R131" t="str">
        <f>VLOOKUP(Table3[[#This Row],[Census Tract]],'ES Energy Burden'!$B$2:$E$914,4,FALSE)</f>
        <v>No</v>
      </c>
    </row>
    <row r="132" spans="1:18" x14ac:dyDescent="0.2">
      <c r="A132" s="100">
        <v>9007570200</v>
      </c>
      <c r="B132" s="38" t="s">
        <v>2760</v>
      </c>
      <c r="C132" s="38" t="s">
        <v>944</v>
      </c>
      <c r="D132" s="40">
        <f>[1]!Table3[[#This Row],[Residential CLM $ Collected]]+[1]!Table3[[#This Row],[C&amp;I CLM $ Collected]]</f>
        <v>60556.671532799999</v>
      </c>
      <c r="E132" s="36">
        <f>[1]!Table3[[#This Row],[CLM $ Collected ]]/'[1]1.) CLM Reference'!$B$4</f>
        <v>5.3723708497253864E-4</v>
      </c>
      <c r="F132" s="40">
        <f>[1]!Table3[[#This Row],[Residential Incentive Disbursements]]+[1]!Table3[[#This Row],[C&amp;I Incentive Disbursements]]</f>
        <v>14839.490299999999</v>
      </c>
      <c r="G132" s="36">
        <f>[1]!Table3[[#This Row],[Incentive Disbursements]]/'[1]1.) CLM Reference'!$B$5</f>
        <v>1.8155600092895411E-4</v>
      </c>
      <c r="H132" s="40">
        <v>60556.671532799999</v>
      </c>
      <c r="I132" s="36">
        <f>[1]!Table3[[#This Row],[Residential CLM $ Collected]]/'[1]1.) CLM Reference'!$B$4</f>
        <v>5.3723708497253864E-4</v>
      </c>
      <c r="J132" s="41">
        <v>14839.490299999999</v>
      </c>
      <c r="K132" s="36">
        <f>[1]!Table3[[#This Row],[Residential Incentive Disbursements]]/'[1]1.) CLM Reference'!$B$5</f>
        <v>1.8155600092895411E-4</v>
      </c>
      <c r="L132" s="37">
        <v>0</v>
      </c>
      <c r="M132" s="36">
        <f>[1]!Table3[[#This Row],[C&amp;I CLM $ Collected]]/'[1]1.) CLM Reference'!$B$4</f>
        <v>0</v>
      </c>
      <c r="N132" s="41">
        <v>0</v>
      </c>
      <c r="O132" s="36">
        <f>[1]!Table3[[#This Row],[C&amp;I Incentive Disbursements]]/'[1]1.) CLM Reference'!$B$5</f>
        <v>0</v>
      </c>
      <c r="Q132">
        <f>VLOOKUP(Table3[[#This Row],[Census Tract]],'Population and Diversity Data'!$B$2:$K$823,10,FALSE)</f>
        <v>2</v>
      </c>
      <c r="R132" t="str">
        <f>VLOOKUP(Table3[[#This Row],[Census Tract]],'ES Energy Burden'!$B$2:$E$914,4,FALSE)</f>
        <v>No</v>
      </c>
    </row>
    <row r="133" spans="1:18" x14ac:dyDescent="0.2">
      <c r="A133" s="100">
        <v>9007570300</v>
      </c>
      <c r="B133" s="38" t="s">
        <v>2760</v>
      </c>
      <c r="C133" s="38" t="s">
        <v>944</v>
      </c>
      <c r="D133" s="40">
        <f>[1]!Table3[[#This Row],[Residential CLM $ Collected]]+[1]!Table3[[#This Row],[C&amp;I CLM $ Collected]]</f>
        <v>258744.63329279999</v>
      </c>
      <c r="E133" s="36">
        <f>[1]!Table3[[#This Row],[CLM $ Collected ]]/'[1]1.) CLM Reference'!$B$4</f>
        <v>2.2954896467059006E-3</v>
      </c>
      <c r="F133" s="40">
        <f>[1]!Table3[[#This Row],[Residential Incentive Disbursements]]+[1]!Table3[[#This Row],[C&amp;I Incentive Disbursements]]</f>
        <v>300876.64160000003</v>
      </c>
      <c r="G133" s="36">
        <f>[1]!Table3[[#This Row],[Incentive Disbursements]]/'[1]1.) CLM Reference'!$B$5</f>
        <v>3.6811210302708443E-3</v>
      </c>
      <c r="H133" s="40">
        <v>129484.10068992</v>
      </c>
      <c r="I133" s="36">
        <f>[1]!Table3[[#This Row],[Residential CLM $ Collected]]/'[1]1.) CLM Reference'!$B$4</f>
        <v>1.1487365313211566E-3</v>
      </c>
      <c r="J133" s="41">
        <v>197087.67060000001</v>
      </c>
      <c r="K133" s="36">
        <f>[1]!Table3[[#This Row],[Residential Incentive Disbursements]]/'[1]1.) CLM Reference'!$B$5</f>
        <v>2.411299079897576E-3</v>
      </c>
      <c r="L133" s="37">
        <v>129260.53260288</v>
      </c>
      <c r="M133" s="36">
        <f>[1]!Table3[[#This Row],[C&amp;I CLM $ Collected]]/'[1]1.) CLM Reference'!$B$4</f>
        <v>1.1467531153847442E-3</v>
      </c>
      <c r="N133" s="41">
        <v>103788.97100000001</v>
      </c>
      <c r="O133" s="36">
        <f>[1]!Table3[[#This Row],[C&amp;I Incentive Disbursements]]/'[1]1.) CLM Reference'!$B$5</f>
        <v>1.2698219503732681E-3</v>
      </c>
      <c r="Q133">
        <f>VLOOKUP(Table3[[#This Row],[Census Tract]],'Population and Diversity Data'!$B$2:$K$823,10,FALSE)</f>
        <v>2</v>
      </c>
      <c r="R133" t="str">
        <f>VLOOKUP(Table3[[#This Row],[Census Tract]],'ES Energy Burden'!$B$2:$E$914,4,FALSE)</f>
        <v>No</v>
      </c>
    </row>
    <row r="134" spans="1:18" x14ac:dyDescent="0.2">
      <c r="A134" s="100">
        <v>9001200100</v>
      </c>
      <c r="B134" s="38" t="s">
        <v>2761</v>
      </c>
      <c r="C134" s="38" t="s">
        <v>944</v>
      </c>
      <c r="D134" s="40">
        <f>[1]!Table3[[#This Row],[Residential CLM $ Collected]]+[1]!Table3[[#This Row],[C&amp;I CLM $ Collected]]</f>
        <v>3129.7147199999999</v>
      </c>
      <c r="E134" s="36">
        <f>[1]!Table3[[#This Row],[CLM $ Collected ]]/'[1]1.) CLM Reference'!$B$4</f>
        <v>2.776570723603476E-5</v>
      </c>
      <c r="F134" s="40">
        <f>[1]!Table3[[#This Row],[Residential Incentive Disbursements]]+[1]!Table3[[#This Row],[C&amp;I Incentive Disbursements]]</f>
        <v>0</v>
      </c>
      <c r="G134" s="36">
        <f>[1]!Table3[[#This Row],[Incentive Disbursements]]/'[1]1.) CLM Reference'!$B$5</f>
        <v>0</v>
      </c>
      <c r="H134" s="40">
        <v>3129.7147199999999</v>
      </c>
      <c r="I134" s="36">
        <f>[1]!Table3[[#This Row],[Residential CLM $ Collected]]/'[1]1.) CLM Reference'!$B$4</f>
        <v>2.776570723603476E-5</v>
      </c>
      <c r="J134" s="41">
        <v>0</v>
      </c>
      <c r="K134" s="36">
        <f>[1]!Table3[[#This Row],[Residential Incentive Disbursements]]/'[1]1.) CLM Reference'!$B$5</f>
        <v>0</v>
      </c>
      <c r="L134" s="37">
        <v>0</v>
      </c>
      <c r="M134" s="36">
        <f>[1]!Table3[[#This Row],[C&amp;I CLM $ Collected]]/'[1]1.) CLM Reference'!$B$4</f>
        <v>0</v>
      </c>
      <c r="N134" s="41">
        <v>0</v>
      </c>
      <c r="O134" s="36">
        <f>[1]!Table3[[#This Row],[C&amp;I Incentive Disbursements]]/'[1]1.) CLM Reference'!$B$5</f>
        <v>0</v>
      </c>
      <c r="Q134">
        <f>VLOOKUP(Table3[[#This Row],[Census Tract]],'Population and Diversity Data'!$B$2:$K$823,10,FALSE)</f>
        <v>4</v>
      </c>
      <c r="R134" t="str">
        <f>VLOOKUP(Table3[[#This Row],[Census Tract]],'ES Energy Burden'!$B$2:$E$914,4,FALSE)</f>
        <v>No</v>
      </c>
    </row>
    <row r="135" spans="1:18" x14ac:dyDescent="0.2">
      <c r="A135" s="100">
        <v>9001200301</v>
      </c>
      <c r="B135" s="38" t="s">
        <v>2761</v>
      </c>
      <c r="C135" s="38" t="s">
        <v>944</v>
      </c>
      <c r="D135" s="40">
        <f>[1]!Table3[[#This Row],[Residential CLM $ Collected]]+[1]!Table3[[#This Row],[C&amp;I CLM $ Collected]]</f>
        <v>1133.7191136000001</v>
      </c>
      <c r="E135" s="36">
        <f>[1]!Table3[[#This Row],[CLM $ Collected ]]/'[1]1.) CLM Reference'!$B$4</f>
        <v>1.005794962555387E-5</v>
      </c>
      <c r="F135" s="40">
        <f>[1]!Table3[[#This Row],[Residential Incentive Disbursements]]+[1]!Table3[[#This Row],[C&amp;I Incentive Disbursements]]</f>
        <v>0</v>
      </c>
      <c r="G135" s="36">
        <f>[1]!Table3[[#This Row],[Incentive Disbursements]]/'[1]1.) CLM Reference'!$B$5</f>
        <v>0</v>
      </c>
      <c r="H135" s="40">
        <v>1133.7191136000001</v>
      </c>
      <c r="I135" s="36">
        <f>[1]!Table3[[#This Row],[Residential CLM $ Collected]]/'[1]1.) CLM Reference'!$B$4</f>
        <v>1.005794962555387E-5</v>
      </c>
      <c r="J135" s="41">
        <v>0</v>
      </c>
      <c r="K135" s="36">
        <f>[1]!Table3[[#This Row],[Residential Incentive Disbursements]]/'[1]1.) CLM Reference'!$B$5</f>
        <v>0</v>
      </c>
      <c r="L135" s="37">
        <v>0</v>
      </c>
      <c r="M135" s="36">
        <f>[1]!Table3[[#This Row],[C&amp;I CLM $ Collected]]/'[1]1.) CLM Reference'!$B$4</f>
        <v>0</v>
      </c>
      <c r="N135" s="41">
        <v>0</v>
      </c>
      <c r="O135" s="36">
        <f>[1]!Table3[[#This Row],[C&amp;I Incentive Disbursements]]/'[1]1.) CLM Reference'!$B$5</f>
        <v>0</v>
      </c>
      <c r="Q135">
        <f>VLOOKUP(Table3[[#This Row],[Census Tract]],'Population and Diversity Data'!$B$2:$K$823,10,FALSE)</f>
        <v>4</v>
      </c>
      <c r="R135" t="str">
        <f>VLOOKUP(Table3[[#This Row],[Census Tract]],'ES Energy Burden'!$B$2:$E$914,4,FALSE)</f>
        <v>No</v>
      </c>
    </row>
    <row r="136" spans="1:18" x14ac:dyDescent="0.2">
      <c r="A136" s="100">
        <v>9001210100</v>
      </c>
      <c r="B136" s="38" t="s">
        <v>2761</v>
      </c>
      <c r="C136" s="38" t="s">
        <v>944</v>
      </c>
      <c r="D136" s="40">
        <f>[1]!Table3[[#This Row],[Residential CLM $ Collected]]+[1]!Table3[[#This Row],[C&amp;I CLM $ Collected]]</f>
        <v>80635.962551039993</v>
      </c>
      <c r="E136" s="36">
        <f>[1]!Table3[[#This Row],[CLM $ Collected ]]/'[1]1.) CLM Reference'!$B$4</f>
        <v>7.1537335801904621E-4</v>
      </c>
      <c r="F136" s="40">
        <f>[1]!Table3[[#This Row],[Residential Incentive Disbursements]]+[1]!Table3[[#This Row],[C&amp;I Incentive Disbursements]]</f>
        <v>11314.693300000001</v>
      </c>
      <c r="G136" s="36">
        <f>[1]!Table3[[#This Row],[Incentive Disbursements]]/'[1]1.) CLM Reference'!$B$5</f>
        <v>1.3843133596614372E-4</v>
      </c>
      <c r="H136" s="40">
        <v>80635.962551039993</v>
      </c>
      <c r="I136" s="36">
        <f>[1]!Table3[[#This Row],[Residential CLM $ Collected]]/'[1]1.) CLM Reference'!$B$4</f>
        <v>7.1537335801904621E-4</v>
      </c>
      <c r="J136" s="41">
        <v>11314.693300000001</v>
      </c>
      <c r="K136" s="36">
        <f>[1]!Table3[[#This Row],[Residential Incentive Disbursements]]/'[1]1.) CLM Reference'!$B$5</f>
        <v>1.3843133596614372E-4</v>
      </c>
      <c r="L136" s="37">
        <v>0</v>
      </c>
      <c r="M136" s="36">
        <f>[1]!Table3[[#This Row],[C&amp;I CLM $ Collected]]/'[1]1.) CLM Reference'!$B$4</f>
        <v>0</v>
      </c>
      <c r="N136" s="41">
        <v>0</v>
      </c>
      <c r="O136" s="36">
        <f>[1]!Table3[[#This Row],[C&amp;I Incentive Disbursements]]/'[1]1.) CLM Reference'!$B$5</f>
        <v>0</v>
      </c>
      <c r="Q136">
        <f>VLOOKUP(Table3[[#This Row],[Census Tract]],'Population and Diversity Data'!$B$2:$K$823,10,FALSE)</f>
        <v>5</v>
      </c>
      <c r="R136" t="str">
        <f>VLOOKUP(Table3[[#This Row],[Census Tract]],'ES Energy Burden'!$B$2:$E$914,4,FALSE)</f>
        <v>No</v>
      </c>
    </row>
    <row r="137" spans="1:18" x14ac:dyDescent="0.2">
      <c r="A137" s="100">
        <v>9001210200</v>
      </c>
      <c r="B137" s="38" t="s">
        <v>2761</v>
      </c>
      <c r="C137" s="38" t="s">
        <v>944</v>
      </c>
      <c r="D137" s="40">
        <f>[1]!Table3[[#This Row],[Residential CLM $ Collected]]+[1]!Table3[[#This Row],[C&amp;I CLM $ Collected]]</f>
        <v>66177.26174016</v>
      </c>
      <c r="E137" s="36">
        <f>[1]!Table3[[#This Row],[CLM $ Collected ]]/'[1]1.) CLM Reference'!$B$4</f>
        <v>5.871009467469056E-4</v>
      </c>
      <c r="F137" s="40">
        <f>[1]!Table3[[#This Row],[Residential Incentive Disbursements]]+[1]!Table3[[#This Row],[C&amp;I Incentive Disbursements]]</f>
        <v>3072.29</v>
      </c>
      <c r="G137" s="36">
        <f>[1]!Table3[[#This Row],[Incentive Disbursements]]/'[1]1.) CLM Reference'!$B$5</f>
        <v>3.7588399252096715E-5</v>
      </c>
      <c r="H137" s="40">
        <v>66177.26174016</v>
      </c>
      <c r="I137" s="36">
        <f>[1]!Table3[[#This Row],[Residential CLM $ Collected]]/'[1]1.) CLM Reference'!$B$4</f>
        <v>5.871009467469056E-4</v>
      </c>
      <c r="J137" s="41">
        <v>3072.29</v>
      </c>
      <c r="K137" s="36">
        <f>[1]!Table3[[#This Row],[Residential Incentive Disbursements]]/'[1]1.) CLM Reference'!$B$5</f>
        <v>3.7588399252096715E-5</v>
      </c>
      <c r="L137" s="37">
        <v>0</v>
      </c>
      <c r="M137" s="36">
        <f>[1]!Table3[[#This Row],[C&amp;I CLM $ Collected]]/'[1]1.) CLM Reference'!$B$4</f>
        <v>0</v>
      </c>
      <c r="N137" s="41">
        <v>0</v>
      </c>
      <c r="O137" s="36">
        <f>[1]!Table3[[#This Row],[C&amp;I Incentive Disbursements]]/'[1]1.) CLM Reference'!$B$5</f>
        <v>0</v>
      </c>
      <c r="Q137">
        <f>VLOOKUP(Table3[[#This Row],[Census Tract]],'Population and Diversity Data'!$B$2:$K$823,10,FALSE)</f>
        <v>5</v>
      </c>
      <c r="R137" t="str">
        <f>VLOOKUP(Table3[[#This Row],[Census Tract]],'ES Energy Burden'!$B$2:$E$914,4,FALSE)</f>
        <v>Yes</v>
      </c>
    </row>
    <row r="138" spans="1:18" x14ac:dyDescent="0.2">
      <c r="A138" s="100">
        <v>9001210300</v>
      </c>
      <c r="B138" s="38" t="s">
        <v>2761</v>
      </c>
      <c r="C138" s="38" t="s">
        <v>944</v>
      </c>
      <c r="D138" s="40">
        <f>[1]!Table3[[#This Row],[Residential CLM $ Collected]]+[1]!Table3[[#This Row],[C&amp;I CLM $ Collected]]</f>
        <v>72919.210815359998</v>
      </c>
      <c r="E138" s="36">
        <f>[1]!Table3[[#This Row],[CLM $ Collected ]]/'[1]1.) CLM Reference'!$B$4</f>
        <v>6.4691310247663248E-4</v>
      </c>
      <c r="F138" s="40">
        <f>[1]!Table3[[#This Row],[Residential Incentive Disbursements]]+[1]!Table3[[#This Row],[C&amp;I Incentive Disbursements]]</f>
        <v>9926.9599999999991</v>
      </c>
      <c r="G138" s="36">
        <f>[1]!Table3[[#This Row],[Incentive Disbursements]]/'[1]1.) CLM Reference'!$B$5</f>
        <v>1.2145290185483596E-4</v>
      </c>
      <c r="H138" s="40">
        <v>72913.375704959995</v>
      </c>
      <c r="I138" s="36">
        <f>[1]!Table3[[#This Row],[Residential CLM $ Collected]]/'[1]1.) CLM Reference'!$B$4</f>
        <v>6.4686133546859787E-4</v>
      </c>
      <c r="J138" s="41">
        <v>9926.9599999999991</v>
      </c>
      <c r="K138" s="36">
        <f>[1]!Table3[[#This Row],[Residential Incentive Disbursements]]/'[1]1.) CLM Reference'!$B$5</f>
        <v>1.2145290185483596E-4</v>
      </c>
      <c r="L138" s="37">
        <v>5.8351103999999996</v>
      </c>
      <c r="M138" s="36">
        <f>[1]!Table3[[#This Row],[C&amp;I CLM $ Collected]]/'[1]1.) CLM Reference'!$B$4</f>
        <v>5.1767008034630603E-8</v>
      </c>
      <c r="N138" s="41">
        <v>0</v>
      </c>
      <c r="O138" s="36">
        <f>[1]!Table3[[#This Row],[C&amp;I Incentive Disbursements]]/'[1]1.) CLM Reference'!$B$5</f>
        <v>0</v>
      </c>
      <c r="Q138">
        <f>VLOOKUP(Table3[[#This Row],[Census Tract]],'Population and Diversity Data'!$B$2:$K$823,10,FALSE)</f>
        <v>5</v>
      </c>
      <c r="R138" t="str">
        <f>VLOOKUP(Table3[[#This Row],[Census Tract]],'ES Energy Burden'!$B$2:$E$914,4,FALSE)</f>
        <v>No</v>
      </c>
    </row>
    <row r="139" spans="1:18" x14ac:dyDescent="0.2">
      <c r="A139" s="100">
        <v>9001210400</v>
      </c>
      <c r="B139" s="38" t="s">
        <v>2761</v>
      </c>
      <c r="C139" s="38" t="s">
        <v>944</v>
      </c>
      <c r="D139" s="40">
        <f>[1]!Table3[[#This Row],[Residential CLM $ Collected]]+[1]!Table3[[#This Row],[C&amp;I CLM $ Collected]]</f>
        <v>164937.70064736</v>
      </c>
      <c r="E139" s="36">
        <f>[1]!Table3[[#This Row],[CLM $ Collected ]]/'[1]1.) CLM Reference'!$B$4</f>
        <v>1.4632681627798135E-3</v>
      </c>
      <c r="F139" s="40">
        <f>[1]!Table3[[#This Row],[Residential Incentive Disbursements]]+[1]!Table3[[#This Row],[C&amp;I Incentive Disbursements]]</f>
        <v>14744.53</v>
      </c>
      <c r="G139" s="36">
        <f>[1]!Table3[[#This Row],[Incentive Disbursements]]/'[1]1.) CLM Reference'!$B$5</f>
        <v>1.8039419469663266E-4</v>
      </c>
      <c r="H139" s="40">
        <v>164937.70064736</v>
      </c>
      <c r="I139" s="36">
        <f>[1]!Table3[[#This Row],[Residential CLM $ Collected]]/'[1]1.) CLM Reference'!$B$4</f>
        <v>1.4632681627798135E-3</v>
      </c>
      <c r="J139" s="41">
        <v>14744.53</v>
      </c>
      <c r="K139" s="36">
        <f>[1]!Table3[[#This Row],[Residential Incentive Disbursements]]/'[1]1.) CLM Reference'!$B$5</f>
        <v>1.8039419469663266E-4</v>
      </c>
      <c r="L139" s="37">
        <v>0</v>
      </c>
      <c r="M139" s="36">
        <f>[1]!Table3[[#This Row],[C&amp;I CLM $ Collected]]/'[1]1.) CLM Reference'!$B$4</f>
        <v>0</v>
      </c>
      <c r="N139" s="41">
        <v>0</v>
      </c>
      <c r="O139" s="36">
        <f>[1]!Table3[[#This Row],[C&amp;I Incentive Disbursements]]/'[1]1.) CLM Reference'!$B$5</f>
        <v>0</v>
      </c>
      <c r="Q139">
        <f>VLOOKUP(Table3[[#This Row],[Census Tract]],'Population and Diversity Data'!$B$2:$K$823,10,FALSE)</f>
        <v>5</v>
      </c>
      <c r="R139" t="str">
        <f>VLOOKUP(Table3[[#This Row],[Census Tract]],'ES Energy Burden'!$B$2:$E$914,4,FALSE)</f>
        <v>No</v>
      </c>
    </row>
    <row r="140" spans="1:18" x14ac:dyDescent="0.2">
      <c r="A140" s="100">
        <v>9001210500</v>
      </c>
      <c r="B140" s="38" t="s">
        <v>2761</v>
      </c>
      <c r="C140" s="38" t="s">
        <v>944</v>
      </c>
      <c r="D140" s="40">
        <f>[1]!Table3[[#This Row],[Residential CLM $ Collected]]+[1]!Table3[[#This Row],[C&amp;I CLM $ Collected]]</f>
        <v>876122.01728640008</v>
      </c>
      <c r="E140" s="36">
        <f>[1]!Table3[[#This Row],[CLM $ Collected ]]/'[1]1.) CLM Reference'!$B$4</f>
        <v>7.7726405156244944E-3</v>
      </c>
      <c r="F140" s="40">
        <f>[1]!Table3[[#This Row],[Residential Incentive Disbursements]]+[1]!Table3[[#This Row],[C&amp;I Incentive Disbursements]]</f>
        <v>897178.81859999895</v>
      </c>
      <c r="G140" s="36">
        <f>[1]!Table3[[#This Row],[Incentive Disbursements]]/'[1]1.) CLM Reference'!$B$5</f>
        <v>1.0976670702980907E-2</v>
      </c>
      <c r="H140" s="40">
        <v>237105.11016576004</v>
      </c>
      <c r="I140" s="36">
        <f>[1]!Table3[[#This Row],[Residential CLM $ Collected]]/'[1]1.) CLM Reference'!$B$4</f>
        <v>2.1035115536122292E-3</v>
      </c>
      <c r="J140" s="41">
        <v>664344.47099999897</v>
      </c>
      <c r="K140" s="36">
        <f>[1]!Table3[[#This Row],[Residential Incentive Disbursements]]/'[1]1.) CLM Reference'!$B$5</f>
        <v>8.1280234668182193E-3</v>
      </c>
      <c r="L140" s="37">
        <v>639016.90712064004</v>
      </c>
      <c r="M140" s="36">
        <f>[1]!Table3[[#This Row],[C&amp;I CLM $ Collected]]/'[1]1.) CLM Reference'!$B$4</f>
        <v>5.6691289620122648E-3</v>
      </c>
      <c r="N140" s="41">
        <v>232834.34760000001</v>
      </c>
      <c r="O140" s="36">
        <f>[1]!Table3[[#This Row],[C&amp;I Incentive Disbursements]]/'[1]1.) CLM Reference'!$B$5</f>
        <v>2.8486472361626885E-3</v>
      </c>
      <c r="Q140">
        <f>VLOOKUP(Table3[[#This Row],[Census Tract]],'Population and Diversity Data'!$B$2:$K$823,10,FALSE)</f>
        <v>4</v>
      </c>
      <c r="R140" t="str">
        <f>VLOOKUP(Table3[[#This Row],[Census Tract]],'ES Energy Burden'!$B$2:$E$914,4,FALSE)</f>
        <v>No</v>
      </c>
    </row>
    <row r="141" spans="1:18" x14ac:dyDescent="0.2">
      <c r="A141" s="100">
        <v>9001210600</v>
      </c>
      <c r="B141" s="38" t="s">
        <v>2761</v>
      </c>
      <c r="C141" s="38" t="s">
        <v>944</v>
      </c>
      <c r="D141" s="40">
        <f>[1]!Table3[[#This Row],[Residential CLM $ Collected]]+[1]!Table3[[#This Row],[C&amp;I CLM $ Collected]]</f>
        <v>79251.416470080003</v>
      </c>
      <c r="E141" s="36">
        <f>[1]!Table3[[#This Row],[CLM $ Collected ]]/'[1]1.) CLM Reference'!$B$4</f>
        <v>7.0309016144107369E-4</v>
      </c>
      <c r="F141" s="40">
        <f>[1]!Table3[[#This Row],[Residential Incentive Disbursements]]+[1]!Table3[[#This Row],[C&amp;I Incentive Disbursements]]</f>
        <v>3809.8373999999999</v>
      </c>
      <c r="G141" s="36">
        <f>[1]!Table3[[#This Row],[Incentive Disbursements]]/'[1]1.) CLM Reference'!$B$5</f>
        <v>4.6612035086782201E-5</v>
      </c>
      <c r="H141" s="40">
        <v>79251.416470080003</v>
      </c>
      <c r="I141" s="36">
        <f>[1]!Table3[[#This Row],[Residential CLM $ Collected]]/'[1]1.) CLM Reference'!$B$4</f>
        <v>7.0309016144107369E-4</v>
      </c>
      <c r="J141" s="41">
        <v>3809.8373999999999</v>
      </c>
      <c r="K141" s="36">
        <f>[1]!Table3[[#This Row],[Residential Incentive Disbursements]]/'[1]1.) CLM Reference'!$B$5</f>
        <v>4.6612035086782201E-5</v>
      </c>
      <c r="L141" s="37">
        <v>0</v>
      </c>
      <c r="M141" s="36">
        <f>[1]!Table3[[#This Row],[C&amp;I CLM $ Collected]]/'[1]1.) CLM Reference'!$B$4</f>
        <v>0</v>
      </c>
      <c r="N141" s="41">
        <v>0</v>
      </c>
      <c r="O141" s="36">
        <f>[1]!Table3[[#This Row],[C&amp;I Incentive Disbursements]]/'[1]1.) CLM Reference'!$B$5</f>
        <v>0</v>
      </c>
      <c r="Q141">
        <f>VLOOKUP(Table3[[#This Row],[Census Tract]],'Population and Diversity Data'!$B$2:$K$823,10,FALSE)</f>
        <v>5</v>
      </c>
      <c r="R141" t="str">
        <f>VLOOKUP(Table3[[#This Row],[Census Tract]],'ES Energy Burden'!$B$2:$E$914,4,FALSE)</f>
        <v>No</v>
      </c>
    </row>
    <row r="142" spans="1:18" x14ac:dyDescent="0.2">
      <c r="A142" s="100">
        <v>9001210701</v>
      </c>
      <c r="B142" s="38" t="s">
        <v>2761</v>
      </c>
      <c r="C142" s="38" t="s">
        <v>944</v>
      </c>
      <c r="D142" s="40">
        <f>[1]!Table3[[#This Row],[Residential CLM $ Collected]]+[1]!Table3[[#This Row],[C&amp;I CLM $ Collected]]</f>
        <v>103630.93667135999</v>
      </c>
      <c r="E142" s="36">
        <f>[1]!Table3[[#This Row],[CLM $ Collected ]]/'[1]1.) CLM Reference'!$B$4</f>
        <v>9.1937652650112467E-4</v>
      </c>
      <c r="F142" s="40">
        <f>[1]!Table3[[#This Row],[Residential Incentive Disbursements]]+[1]!Table3[[#This Row],[C&amp;I Incentive Disbursements]]</f>
        <v>7306.01</v>
      </c>
      <c r="G142" s="36">
        <f>[1]!Table3[[#This Row],[Incentive Disbursements]]/'[1]1.) CLM Reference'!$B$5</f>
        <v>8.9386490474470542E-5</v>
      </c>
      <c r="H142" s="40">
        <v>103630.93667135999</v>
      </c>
      <c r="I142" s="36">
        <f>[1]!Table3[[#This Row],[Residential CLM $ Collected]]/'[1]1.) CLM Reference'!$B$4</f>
        <v>9.1937652650112467E-4</v>
      </c>
      <c r="J142" s="41">
        <v>7306.01</v>
      </c>
      <c r="K142" s="36">
        <f>[1]!Table3[[#This Row],[Residential Incentive Disbursements]]/'[1]1.) CLM Reference'!$B$5</f>
        <v>8.9386490474470542E-5</v>
      </c>
      <c r="L142" s="37">
        <v>0</v>
      </c>
      <c r="M142" s="36">
        <f>[1]!Table3[[#This Row],[C&amp;I CLM $ Collected]]/'[1]1.) CLM Reference'!$B$4</f>
        <v>0</v>
      </c>
      <c r="N142" s="41">
        <v>0</v>
      </c>
      <c r="O142" s="36">
        <f>[1]!Table3[[#This Row],[C&amp;I Incentive Disbursements]]/'[1]1.) CLM Reference'!$B$5</f>
        <v>0</v>
      </c>
      <c r="Q142">
        <f>VLOOKUP(Table3[[#This Row],[Census Tract]],'Population and Diversity Data'!$B$2:$K$823,10,FALSE)</f>
        <v>5</v>
      </c>
      <c r="R142" t="str">
        <f>VLOOKUP(Table3[[#This Row],[Census Tract]],'ES Energy Burden'!$B$2:$E$914,4,FALSE)</f>
        <v>No</v>
      </c>
    </row>
    <row r="143" spans="1:18" x14ac:dyDescent="0.2">
      <c r="A143" s="100">
        <v>9001210702</v>
      </c>
      <c r="B143" s="38" t="s">
        <v>2761</v>
      </c>
      <c r="C143" s="38" t="s">
        <v>944</v>
      </c>
      <c r="D143" s="40">
        <f>[1]!Table3[[#This Row],[Residential CLM $ Collected]]+[1]!Table3[[#This Row],[C&amp;I CLM $ Collected]]</f>
        <v>69888.772857600008</v>
      </c>
      <c r="E143" s="36">
        <f>[1]!Table3[[#This Row],[CLM $ Collected ]]/'[1]1.) CLM Reference'!$B$4</f>
        <v>6.2002814309217755E-4</v>
      </c>
      <c r="F143" s="40">
        <f>[1]!Table3[[#This Row],[Residential Incentive Disbursements]]+[1]!Table3[[#This Row],[C&amp;I Incentive Disbursements]]</f>
        <v>4260.4978000000001</v>
      </c>
      <c r="G143" s="36">
        <f>[1]!Table3[[#This Row],[Incentive Disbursements]]/'[1]1.) CLM Reference'!$B$5</f>
        <v>5.2125708288956999E-5</v>
      </c>
      <c r="H143" s="40">
        <v>69888.772857600008</v>
      </c>
      <c r="I143" s="36">
        <f>[1]!Table3[[#This Row],[Residential CLM $ Collected]]/'[1]1.) CLM Reference'!$B$4</f>
        <v>6.2002814309217755E-4</v>
      </c>
      <c r="J143" s="41">
        <v>4260.4978000000001</v>
      </c>
      <c r="K143" s="36">
        <f>[1]!Table3[[#This Row],[Residential Incentive Disbursements]]/'[1]1.) CLM Reference'!$B$5</f>
        <v>5.2125708288956999E-5</v>
      </c>
      <c r="L143" s="37">
        <v>0</v>
      </c>
      <c r="M143" s="36">
        <f>[1]!Table3[[#This Row],[C&amp;I CLM $ Collected]]/'[1]1.) CLM Reference'!$B$4</f>
        <v>0</v>
      </c>
      <c r="N143" s="41">
        <v>0</v>
      </c>
      <c r="O143" s="36">
        <f>[1]!Table3[[#This Row],[C&amp;I Incentive Disbursements]]/'[1]1.) CLM Reference'!$B$5</f>
        <v>0</v>
      </c>
      <c r="Q143">
        <f>VLOOKUP(Table3[[#This Row],[Census Tract]],'Population and Diversity Data'!$B$2:$K$823,10,FALSE)</f>
        <v>5</v>
      </c>
      <c r="R143" t="str">
        <f>VLOOKUP(Table3[[#This Row],[Census Tract]],'ES Energy Burden'!$B$2:$E$914,4,FALSE)</f>
        <v>No</v>
      </c>
    </row>
    <row r="144" spans="1:18" x14ac:dyDescent="0.2">
      <c r="A144" s="100">
        <v>9001210800</v>
      </c>
      <c r="B144" s="38" t="s">
        <v>2761</v>
      </c>
      <c r="C144" s="38" t="s">
        <v>944</v>
      </c>
      <c r="D144" s="40">
        <f>[1]!Table3[[#This Row],[Residential CLM $ Collected]]+[1]!Table3[[#This Row],[C&amp;I CLM $ Collected]]</f>
        <v>112936.28332031998</v>
      </c>
      <c r="E144" s="36">
        <f>[1]!Table3[[#This Row],[CLM $ Collected ]]/'[1]1.) CLM Reference'!$B$4</f>
        <v>1.0019302267261856E-3</v>
      </c>
      <c r="F144" s="40">
        <f>[1]!Table3[[#This Row],[Residential Incentive Disbursements]]+[1]!Table3[[#This Row],[C&amp;I Incentive Disbursements]]</f>
        <v>15526.7817</v>
      </c>
      <c r="G144" s="36">
        <f>[1]!Table3[[#This Row],[Incentive Disbursements]]/'[1]1.) CLM Reference'!$B$5</f>
        <v>1.8996477208849065E-4</v>
      </c>
      <c r="H144" s="40">
        <v>112885.17400511999</v>
      </c>
      <c r="I144" s="36">
        <f>[1]!Table3[[#This Row],[Residential CLM $ Collected]]/'[1]1.) CLM Reference'!$B$4</f>
        <v>1.0014768032004537E-3</v>
      </c>
      <c r="J144" s="41">
        <v>15526.7817</v>
      </c>
      <c r="K144" s="36">
        <f>[1]!Table3[[#This Row],[Residential Incentive Disbursements]]/'[1]1.) CLM Reference'!$B$5</f>
        <v>1.8996477208849065E-4</v>
      </c>
      <c r="L144" s="37">
        <v>51.109315200000005</v>
      </c>
      <c r="M144" s="36">
        <f>[1]!Table3[[#This Row],[C&amp;I CLM $ Collected]]/'[1]1.) CLM Reference'!$B$4</f>
        <v>4.5342352573189848E-7</v>
      </c>
      <c r="N144" s="41">
        <v>0</v>
      </c>
      <c r="O144" s="36">
        <f>[1]!Table3[[#This Row],[C&amp;I Incentive Disbursements]]/'[1]1.) CLM Reference'!$B$5</f>
        <v>0</v>
      </c>
      <c r="Q144">
        <f>VLOOKUP(Table3[[#This Row],[Census Tract]],'Population and Diversity Data'!$B$2:$K$823,10,FALSE)</f>
        <v>4</v>
      </c>
      <c r="R144" t="str">
        <f>VLOOKUP(Table3[[#This Row],[Census Tract]],'ES Energy Burden'!$B$2:$E$914,4,FALSE)</f>
        <v>No</v>
      </c>
    </row>
    <row r="145" spans="1:18" x14ac:dyDescent="0.2">
      <c r="A145" s="100">
        <v>9001210900</v>
      </c>
      <c r="B145" s="38" t="s">
        <v>2761</v>
      </c>
      <c r="C145" s="38" t="s">
        <v>944</v>
      </c>
      <c r="D145" s="40">
        <f>[1]!Table3[[#This Row],[Residential CLM $ Collected]]+[1]!Table3[[#This Row],[C&amp;I CLM $ Collected]]</f>
        <v>129253.82222592001</v>
      </c>
      <c r="E145" s="36">
        <f>[1]!Table3[[#This Row],[CLM $ Collected ]]/'[1]1.) CLM Reference'!$B$4</f>
        <v>1.1466935833255045E-3</v>
      </c>
      <c r="F145" s="40">
        <f>[1]!Table3[[#This Row],[Residential Incentive Disbursements]]+[1]!Table3[[#This Row],[C&amp;I Incentive Disbursements]]</f>
        <v>22839.652999999998</v>
      </c>
      <c r="G145" s="36">
        <f>[1]!Table3[[#This Row],[Incentive Disbursements]]/'[1]1.) CLM Reference'!$B$5</f>
        <v>2.7943520818130723E-4</v>
      </c>
      <c r="H145" s="40">
        <v>129253.82222592001</v>
      </c>
      <c r="I145" s="36">
        <f>[1]!Table3[[#This Row],[Residential CLM $ Collected]]/'[1]1.) CLM Reference'!$B$4</f>
        <v>1.1466935833255045E-3</v>
      </c>
      <c r="J145" s="41">
        <v>22839.652999999998</v>
      </c>
      <c r="K145" s="36">
        <f>[1]!Table3[[#This Row],[Residential Incentive Disbursements]]/'[1]1.) CLM Reference'!$B$5</f>
        <v>2.7943520818130723E-4</v>
      </c>
      <c r="L145" s="37">
        <v>0</v>
      </c>
      <c r="M145" s="36">
        <f>[1]!Table3[[#This Row],[C&amp;I CLM $ Collected]]/'[1]1.) CLM Reference'!$B$4</f>
        <v>0</v>
      </c>
      <c r="N145" s="41">
        <v>0</v>
      </c>
      <c r="O145" s="36">
        <f>[1]!Table3[[#This Row],[C&amp;I Incentive Disbursements]]/'[1]1.) CLM Reference'!$B$5</f>
        <v>0</v>
      </c>
      <c r="Q145">
        <f>VLOOKUP(Table3[[#This Row],[Census Tract]],'Population and Diversity Data'!$B$2:$K$823,10,FALSE)</f>
        <v>4</v>
      </c>
      <c r="R145" t="str">
        <f>VLOOKUP(Table3[[#This Row],[Census Tract]],'ES Energy Burden'!$B$2:$E$914,4,FALSE)</f>
        <v>No</v>
      </c>
    </row>
    <row r="146" spans="1:18" x14ac:dyDescent="0.2">
      <c r="A146" s="100">
        <v>9001211000</v>
      </c>
      <c r="B146" s="38" t="s">
        <v>2761</v>
      </c>
      <c r="C146" s="38" t="s">
        <v>944</v>
      </c>
      <c r="D146" s="40">
        <f>[1]!Table3[[#This Row],[Residential CLM $ Collected]]+[1]!Table3[[#This Row],[C&amp;I CLM $ Collected]]</f>
        <v>90044.851150080009</v>
      </c>
      <c r="E146" s="36">
        <f>[1]!Table3[[#This Row],[CLM $ Collected ]]/'[1]1.) CLM Reference'!$B$4</f>
        <v>7.9884564531346462E-4</v>
      </c>
      <c r="F146" s="40">
        <f>[1]!Table3[[#This Row],[Residential Incentive Disbursements]]+[1]!Table3[[#This Row],[C&amp;I Incentive Disbursements]]</f>
        <v>25082.14</v>
      </c>
      <c r="G146" s="36">
        <f>[1]!Table3[[#This Row],[Incentive Disbursements]]/'[1]1.) CLM Reference'!$B$5</f>
        <v>3.0687125642988943E-4</v>
      </c>
      <c r="H146" s="40">
        <v>90044.851150080009</v>
      </c>
      <c r="I146" s="36">
        <f>[1]!Table3[[#This Row],[Residential CLM $ Collected]]/'[1]1.) CLM Reference'!$B$4</f>
        <v>7.9884564531346462E-4</v>
      </c>
      <c r="J146" s="41">
        <v>25082.14</v>
      </c>
      <c r="K146" s="36">
        <f>[1]!Table3[[#This Row],[Residential Incentive Disbursements]]/'[1]1.) CLM Reference'!$B$5</f>
        <v>3.0687125642988943E-4</v>
      </c>
      <c r="L146" s="37">
        <v>0</v>
      </c>
      <c r="M146" s="36">
        <f>[1]!Table3[[#This Row],[C&amp;I CLM $ Collected]]/'[1]1.) CLM Reference'!$B$4</f>
        <v>0</v>
      </c>
      <c r="N146" s="41">
        <v>0</v>
      </c>
      <c r="O146" s="36">
        <f>[1]!Table3[[#This Row],[C&amp;I Incentive Disbursements]]/'[1]1.) CLM Reference'!$B$5</f>
        <v>0</v>
      </c>
      <c r="Q146">
        <f>VLOOKUP(Table3[[#This Row],[Census Tract]],'Population and Diversity Data'!$B$2:$K$823,10,FALSE)</f>
        <v>5</v>
      </c>
      <c r="R146" t="str">
        <f>VLOOKUP(Table3[[#This Row],[Census Tract]],'ES Energy Burden'!$B$2:$E$914,4,FALSE)</f>
        <v>No</v>
      </c>
    </row>
    <row r="147" spans="1:18" x14ac:dyDescent="0.2">
      <c r="A147" s="100">
        <v>9001211100</v>
      </c>
      <c r="B147" s="38" t="s">
        <v>2761</v>
      </c>
      <c r="C147" s="38" t="s">
        <v>944</v>
      </c>
      <c r="D147" s="40">
        <f>[1]!Table3[[#This Row],[Residential CLM $ Collected]]+[1]!Table3[[#This Row],[C&amp;I CLM $ Collected]]</f>
        <v>854.27637120000009</v>
      </c>
      <c r="E147" s="36">
        <f>[1]!Table3[[#This Row],[CLM $ Collected ]]/'[1]1.) CLM Reference'!$B$4</f>
        <v>7.5788337735144622E-6</v>
      </c>
      <c r="F147" s="40">
        <f>[1]!Table3[[#This Row],[Residential Incentive Disbursements]]+[1]!Table3[[#This Row],[C&amp;I Incentive Disbursements]]</f>
        <v>0</v>
      </c>
      <c r="G147" s="36">
        <f>[1]!Table3[[#This Row],[Incentive Disbursements]]/'[1]1.) CLM Reference'!$B$5</f>
        <v>0</v>
      </c>
      <c r="H147" s="40">
        <v>854.27637120000009</v>
      </c>
      <c r="I147" s="36">
        <f>[1]!Table3[[#This Row],[Residential CLM $ Collected]]/'[1]1.) CLM Reference'!$B$4</f>
        <v>7.5788337735144622E-6</v>
      </c>
      <c r="J147" s="41">
        <v>0</v>
      </c>
      <c r="K147" s="36">
        <f>[1]!Table3[[#This Row],[Residential Incentive Disbursements]]/'[1]1.) CLM Reference'!$B$5</f>
        <v>0</v>
      </c>
      <c r="L147" s="37">
        <v>0</v>
      </c>
      <c r="M147" s="36">
        <f>[1]!Table3[[#This Row],[C&amp;I CLM $ Collected]]/'[1]1.) CLM Reference'!$B$4</f>
        <v>0</v>
      </c>
      <c r="N147" s="41">
        <v>0</v>
      </c>
      <c r="O147" s="36">
        <f>[1]!Table3[[#This Row],[C&amp;I Incentive Disbursements]]/'[1]1.) CLM Reference'!$B$5</f>
        <v>0</v>
      </c>
      <c r="Q147" t="e">
        <f>VLOOKUP(Table3[[#This Row],[Census Tract]],'Population and Diversity Data'!$B$2:$K$823,10,FALSE)</f>
        <v>#N/A</v>
      </c>
      <c r="R147" t="e">
        <f>VLOOKUP(Table3[[#This Row],[Census Tract]],'ES Energy Burden'!$B$2:$E$914,4,FALSE)</f>
        <v>#N/A</v>
      </c>
    </row>
    <row r="148" spans="1:18" x14ac:dyDescent="0.2">
      <c r="A148" s="100">
        <v>9001211200</v>
      </c>
      <c r="B148" s="38" t="s">
        <v>2761</v>
      </c>
      <c r="C148" s="38" t="s">
        <v>944</v>
      </c>
      <c r="D148" s="40">
        <f>[1]!Table3[[#This Row],[Residential CLM $ Collected]]+[1]!Table3[[#This Row],[C&amp;I CLM $ Collected]]</f>
        <v>126281.56981248001</v>
      </c>
      <c r="E148" s="36">
        <f>[1]!Table3[[#This Row],[CLM $ Collected ]]/'[1]1.) CLM Reference'!$B$4</f>
        <v>1.1203248252352549E-3</v>
      </c>
      <c r="F148" s="40">
        <f>[1]!Table3[[#This Row],[Residential Incentive Disbursements]]+[1]!Table3[[#This Row],[C&amp;I Incentive Disbursements]]</f>
        <v>9848.92</v>
      </c>
      <c r="G148" s="36">
        <f>[1]!Table3[[#This Row],[Incentive Disbursements]]/'[1]1.) CLM Reference'!$B$5</f>
        <v>1.2049810960617662E-4</v>
      </c>
      <c r="H148" s="40">
        <v>126281.56981248001</v>
      </c>
      <c r="I148" s="36">
        <f>[1]!Table3[[#This Row],[Residential CLM $ Collected]]/'[1]1.) CLM Reference'!$B$4</f>
        <v>1.1203248252352549E-3</v>
      </c>
      <c r="J148" s="41">
        <v>9848.92</v>
      </c>
      <c r="K148" s="36">
        <f>[1]!Table3[[#This Row],[Residential Incentive Disbursements]]/'[1]1.) CLM Reference'!$B$5</f>
        <v>1.2049810960617662E-4</v>
      </c>
      <c r="L148" s="37">
        <v>0</v>
      </c>
      <c r="M148" s="36">
        <f>[1]!Table3[[#This Row],[C&amp;I CLM $ Collected]]/'[1]1.) CLM Reference'!$B$4</f>
        <v>0</v>
      </c>
      <c r="N148" s="41">
        <v>0</v>
      </c>
      <c r="O148" s="36">
        <f>[1]!Table3[[#This Row],[C&amp;I Incentive Disbursements]]/'[1]1.) CLM Reference'!$B$5</f>
        <v>0</v>
      </c>
      <c r="Q148">
        <f>VLOOKUP(Table3[[#This Row],[Census Tract]],'Population and Diversity Data'!$B$2:$K$823,10,FALSE)</f>
        <v>5</v>
      </c>
      <c r="R148" t="str">
        <f>VLOOKUP(Table3[[#This Row],[Census Tract]],'ES Energy Burden'!$B$2:$E$914,4,FALSE)</f>
        <v>No</v>
      </c>
    </row>
    <row r="149" spans="1:18" x14ac:dyDescent="0.2">
      <c r="A149" s="100">
        <v>9001211300</v>
      </c>
      <c r="B149" s="38" t="s">
        <v>2761</v>
      </c>
      <c r="C149" s="38" t="s">
        <v>944</v>
      </c>
      <c r="D149" s="40">
        <f>[1]!Table3[[#This Row],[Residential CLM $ Collected]]+[1]!Table3[[#This Row],[C&amp;I CLM $ Collected]]</f>
        <v>81086.724829440005</v>
      </c>
      <c r="E149" s="36">
        <f>[1]!Table3[[#This Row],[CLM $ Collected ]]/'[1]1.) CLM Reference'!$B$4</f>
        <v>7.1937235938972157E-4</v>
      </c>
      <c r="F149" s="40">
        <f>[1]!Table3[[#This Row],[Residential Incentive Disbursements]]+[1]!Table3[[#This Row],[C&amp;I Incentive Disbursements]]</f>
        <v>21246.9</v>
      </c>
      <c r="G149" s="36">
        <f>[1]!Table3[[#This Row],[Incentive Disbursements]]/'[1]1.) CLM Reference'!$B$5</f>
        <v>2.5994842937007045E-4</v>
      </c>
      <c r="H149" s="40">
        <v>81086.724829440005</v>
      </c>
      <c r="I149" s="36">
        <f>[1]!Table3[[#This Row],[Residential CLM $ Collected]]/'[1]1.) CLM Reference'!$B$4</f>
        <v>7.1937235938972157E-4</v>
      </c>
      <c r="J149" s="41">
        <v>21246.9</v>
      </c>
      <c r="K149" s="36">
        <f>[1]!Table3[[#This Row],[Residential Incentive Disbursements]]/'[1]1.) CLM Reference'!$B$5</f>
        <v>2.5994842937007045E-4</v>
      </c>
      <c r="L149" s="37">
        <v>0</v>
      </c>
      <c r="M149" s="36">
        <f>[1]!Table3[[#This Row],[C&amp;I CLM $ Collected]]/'[1]1.) CLM Reference'!$B$4</f>
        <v>0</v>
      </c>
      <c r="N149" s="41">
        <v>0</v>
      </c>
      <c r="O149" s="36">
        <f>[1]!Table3[[#This Row],[C&amp;I Incentive Disbursements]]/'[1]1.) CLM Reference'!$B$5</f>
        <v>0</v>
      </c>
      <c r="Q149">
        <f>VLOOKUP(Table3[[#This Row],[Census Tract]],'Population and Diversity Data'!$B$2:$K$823,10,FALSE)</f>
        <v>3</v>
      </c>
      <c r="R149" t="str">
        <f>VLOOKUP(Table3[[#This Row],[Census Tract]],'ES Energy Burden'!$B$2:$E$914,4,FALSE)</f>
        <v>No</v>
      </c>
    </row>
    <row r="150" spans="1:18" x14ac:dyDescent="0.2">
      <c r="A150" s="100">
        <v>9001211400</v>
      </c>
      <c r="B150" s="38" t="s">
        <v>2761</v>
      </c>
      <c r="C150" s="38" t="s">
        <v>944</v>
      </c>
      <c r="D150" s="40">
        <f>[1]!Table3[[#This Row],[Residential CLM $ Collected]]+[1]!Table3[[#This Row],[C&amp;I CLM $ Collected]]</f>
        <v>96778.791999359993</v>
      </c>
      <c r="E150" s="36">
        <f>[1]!Table3[[#This Row],[CLM $ Collected ]]/'[1]1.) CLM Reference'!$B$4</f>
        <v>8.5858675493315651E-4</v>
      </c>
      <c r="F150" s="40">
        <f>[1]!Table3[[#This Row],[Residential Incentive Disbursements]]+[1]!Table3[[#This Row],[C&amp;I Incentive Disbursements]]</f>
        <v>19683.9421</v>
      </c>
      <c r="G150" s="36">
        <f>[1]!Table3[[#This Row],[Incentive Disbursements]]/'[1]1.) CLM Reference'!$B$5</f>
        <v>2.4082618324115074E-4</v>
      </c>
      <c r="H150" s="40">
        <v>96778.791999359993</v>
      </c>
      <c r="I150" s="36">
        <f>[1]!Table3[[#This Row],[Residential CLM $ Collected]]/'[1]1.) CLM Reference'!$B$4</f>
        <v>8.5858675493315651E-4</v>
      </c>
      <c r="J150" s="41">
        <v>19683.9421</v>
      </c>
      <c r="K150" s="36">
        <f>[1]!Table3[[#This Row],[Residential Incentive Disbursements]]/'[1]1.) CLM Reference'!$B$5</f>
        <v>2.4082618324115074E-4</v>
      </c>
      <c r="L150" s="37">
        <v>0</v>
      </c>
      <c r="M150" s="36">
        <f>[1]!Table3[[#This Row],[C&amp;I CLM $ Collected]]/'[1]1.) CLM Reference'!$B$4</f>
        <v>0</v>
      </c>
      <c r="N150" s="41">
        <v>0</v>
      </c>
      <c r="O150" s="36">
        <f>[1]!Table3[[#This Row],[C&amp;I Incentive Disbursements]]/'[1]1.) CLM Reference'!$B$5</f>
        <v>0</v>
      </c>
      <c r="Q150">
        <f>VLOOKUP(Table3[[#This Row],[Census Tract]],'Population and Diversity Data'!$B$2:$K$823,10,FALSE)</f>
        <v>4</v>
      </c>
      <c r="R150" t="str">
        <f>VLOOKUP(Table3[[#This Row],[Census Tract]],'ES Energy Burden'!$B$2:$E$914,4,FALSE)</f>
        <v>No</v>
      </c>
    </row>
    <row r="151" spans="1:18" x14ac:dyDescent="0.2">
      <c r="A151" s="100">
        <v>9001220200</v>
      </c>
      <c r="B151" s="38" t="s">
        <v>2761</v>
      </c>
      <c r="C151" s="38" t="s">
        <v>944</v>
      </c>
      <c r="D151" s="40">
        <f>[1]!Table3[[#This Row],[Residential CLM $ Collected]]+[1]!Table3[[#This Row],[C&amp;I CLM $ Collected]]</f>
        <v>607.07724480000002</v>
      </c>
      <c r="E151" s="36">
        <f>[1]!Table3[[#This Row],[CLM $ Collected ]]/'[1]1.) CLM Reference'!$B$4</f>
        <v>5.3857717257933997E-6</v>
      </c>
      <c r="F151" s="40">
        <f>[1]!Table3[[#This Row],[Residential Incentive Disbursements]]+[1]!Table3[[#This Row],[C&amp;I Incentive Disbursements]]</f>
        <v>1235.32</v>
      </c>
      <c r="G151" s="36">
        <f>[1]!Table3[[#This Row],[Incentive Disbursements]]/'[1]1.) CLM Reference'!$B$5</f>
        <v>1.5113710412786589E-5</v>
      </c>
      <c r="H151" s="40">
        <v>607.07724480000002</v>
      </c>
      <c r="I151" s="36">
        <f>[1]!Table3[[#This Row],[Residential CLM $ Collected]]/'[1]1.) CLM Reference'!$B$4</f>
        <v>5.3857717257933997E-6</v>
      </c>
      <c r="J151" s="41">
        <v>1235.32</v>
      </c>
      <c r="K151" s="36">
        <f>[1]!Table3[[#This Row],[Residential Incentive Disbursements]]/'[1]1.) CLM Reference'!$B$5</f>
        <v>1.5113710412786589E-5</v>
      </c>
      <c r="L151" s="37">
        <v>0</v>
      </c>
      <c r="M151" s="36">
        <f>[1]!Table3[[#This Row],[C&amp;I CLM $ Collected]]/'[1]1.) CLM Reference'!$B$4</f>
        <v>0</v>
      </c>
      <c r="N151" s="41">
        <v>0</v>
      </c>
      <c r="O151" s="36">
        <f>[1]!Table3[[#This Row],[C&amp;I Incentive Disbursements]]/'[1]1.) CLM Reference'!$B$5</f>
        <v>0</v>
      </c>
      <c r="Q151">
        <f>VLOOKUP(Table3[[#This Row],[Census Tract]],'Population and Diversity Data'!$B$2:$K$823,10,FALSE)</f>
        <v>3</v>
      </c>
      <c r="R151" t="str">
        <f>VLOOKUP(Table3[[#This Row],[Census Tract]],'ES Energy Burden'!$B$2:$E$914,4,FALSE)</f>
        <v>No</v>
      </c>
    </row>
    <row r="152" spans="1:18" x14ac:dyDescent="0.2">
      <c r="A152" s="100">
        <v>9001220300</v>
      </c>
      <c r="B152" s="38" t="s">
        <v>2761</v>
      </c>
      <c r="C152" s="38" t="s">
        <v>944</v>
      </c>
      <c r="D152" s="40">
        <f>[1]!Table3[[#This Row],[Residential CLM $ Collected]]+[1]!Table3[[#This Row],[C&amp;I CLM $ Collected]]</f>
        <v>570.49781759999996</v>
      </c>
      <c r="E152" s="36">
        <f>[1]!Table3[[#This Row],[CLM $ Collected ]]/'[1]1.) CLM Reference'!$B$4</f>
        <v>5.0612521585604313E-6</v>
      </c>
      <c r="F152" s="40">
        <f>[1]!Table3[[#This Row],[Residential Incentive Disbursements]]+[1]!Table3[[#This Row],[C&amp;I Incentive Disbursements]]</f>
        <v>0</v>
      </c>
      <c r="G152" s="36">
        <f>[1]!Table3[[#This Row],[Incentive Disbursements]]/'[1]1.) CLM Reference'!$B$5</f>
        <v>0</v>
      </c>
      <c r="H152" s="40">
        <v>570.49781759999996</v>
      </c>
      <c r="I152" s="36">
        <f>[1]!Table3[[#This Row],[Residential CLM $ Collected]]/'[1]1.) CLM Reference'!$B$4</f>
        <v>5.0612521585604313E-6</v>
      </c>
      <c r="J152" s="41">
        <v>0</v>
      </c>
      <c r="K152" s="36">
        <f>[1]!Table3[[#This Row],[Residential Incentive Disbursements]]/'[1]1.) CLM Reference'!$B$5</f>
        <v>0</v>
      </c>
      <c r="L152" s="37">
        <v>0</v>
      </c>
      <c r="M152" s="36">
        <f>[1]!Table3[[#This Row],[C&amp;I CLM $ Collected]]/'[1]1.) CLM Reference'!$B$4</f>
        <v>0</v>
      </c>
      <c r="N152" s="41">
        <v>0</v>
      </c>
      <c r="O152" s="36">
        <f>[1]!Table3[[#This Row],[C&amp;I Incentive Disbursements]]/'[1]1.) CLM Reference'!$B$5</f>
        <v>0</v>
      </c>
      <c r="Q152">
        <f>VLOOKUP(Table3[[#This Row],[Census Tract]],'Population and Diversity Data'!$B$2:$K$823,10,FALSE)</f>
        <v>2</v>
      </c>
      <c r="R152" t="str">
        <f>VLOOKUP(Table3[[#This Row],[Census Tract]],'ES Energy Burden'!$B$2:$E$914,4,FALSE)</f>
        <v>No</v>
      </c>
    </row>
    <row r="153" spans="1:18" x14ac:dyDescent="0.2">
      <c r="A153" s="100">
        <v>9001240100</v>
      </c>
      <c r="B153" s="38" t="s">
        <v>2761</v>
      </c>
      <c r="C153" s="38" t="s">
        <v>944</v>
      </c>
      <c r="D153" s="40">
        <f>[1]!Table3[[#This Row],[Residential CLM $ Collected]]+[1]!Table3[[#This Row],[C&amp;I CLM $ Collected]]</f>
        <v>66.391747200000012</v>
      </c>
      <c r="E153" s="36">
        <f>[1]!Table3[[#This Row],[CLM $ Collected ]]/'[1]1.) CLM Reference'!$B$4</f>
        <v>5.8900378487021683E-7</v>
      </c>
      <c r="F153" s="40">
        <f>[1]!Table3[[#This Row],[Residential Incentive Disbursements]]+[1]!Table3[[#This Row],[C&amp;I Incentive Disbursements]]</f>
        <v>0</v>
      </c>
      <c r="G153" s="36">
        <f>[1]!Table3[[#This Row],[Incentive Disbursements]]/'[1]1.) CLM Reference'!$B$5</f>
        <v>0</v>
      </c>
      <c r="H153" s="40">
        <v>66.391747200000012</v>
      </c>
      <c r="I153" s="36">
        <f>[1]!Table3[[#This Row],[Residential CLM $ Collected]]/'[1]1.) CLM Reference'!$B$4</f>
        <v>5.8900378487021683E-7</v>
      </c>
      <c r="J153" s="41">
        <v>0</v>
      </c>
      <c r="K153" s="36">
        <f>[1]!Table3[[#This Row],[Residential Incentive Disbursements]]/'[1]1.) CLM Reference'!$B$5</f>
        <v>0</v>
      </c>
      <c r="L153" s="37">
        <v>0</v>
      </c>
      <c r="M153" s="36">
        <f>[1]!Table3[[#This Row],[C&amp;I CLM $ Collected]]/'[1]1.) CLM Reference'!$B$4</f>
        <v>0</v>
      </c>
      <c r="N153" s="41">
        <v>0</v>
      </c>
      <c r="O153" s="36">
        <f>[1]!Table3[[#This Row],[C&amp;I Incentive Disbursements]]/'[1]1.) CLM Reference'!$B$5</f>
        <v>0</v>
      </c>
      <c r="Q153">
        <f>VLOOKUP(Table3[[#This Row],[Census Tract]],'Population and Diversity Data'!$B$2:$K$823,10,FALSE)</f>
        <v>1</v>
      </c>
      <c r="R153" t="str">
        <f>VLOOKUP(Table3[[#This Row],[Census Tract]],'ES Energy Burden'!$B$2:$E$914,4,FALSE)</f>
        <v>No</v>
      </c>
    </row>
    <row r="154" spans="1:18" x14ac:dyDescent="0.2">
      <c r="A154" s="100">
        <v>9001245200</v>
      </c>
      <c r="B154" s="38" t="s">
        <v>2761</v>
      </c>
      <c r="C154" s="38" t="s">
        <v>944</v>
      </c>
      <c r="D154" s="40">
        <f>[1]!Table3[[#This Row],[Residential CLM $ Collected]]+[1]!Table3[[#This Row],[C&amp;I CLM $ Collected]]</f>
        <v>295.62822719999997</v>
      </c>
      <c r="E154" s="36">
        <f>[1]!Table3[[#This Row],[CLM $ Collected ]]/'[1]1.) CLM Reference'!$B$4</f>
        <v>2.6227076719449901E-6</v>
      </c>
      <c r="F154" s="40">
        <f>[1]!Table3[[#This Row],[Residential Incentive Disbursements]]+[1]!Table3[[#This Row],[C&amp;I Incentive Disbursements]]</f>
        <v>0</v>
      </c>
      <c r="G154" s="36">
        <f>[1]!Table3[[#This Row],[Incentive Disbursements]]/'[1]1.) CLM Reference'!$B$5</f>
        <v>0</v>
      </c>
      <c r="H154" s="40">
        <v>295.62822719999997</v>
      </c>
      <c r="I154" s="36">
        <f>[1]!Table3[[#This Row],[Residential CLM $ Collected]]/'[1]1.) CLM Reference'!$B$4</f>
        <v>2.6227076719449901E-6</v>
      </c>
      <c r="J154" s="41">
        <v>0</v>
      </c>
      <c r="K154" s="36">
        <f>[1]!Table3[[#This Row],[Residential Incentive Disbursements]]/'[1]1.) CLM Reference'!$B$5</f>
        <v>0</v>
      </c>
      <c r="L154" s="37">
        <v>0</v>
      </c>
      <c r="M154" s="36">
        <f>[1]!Table3[[#This Row],[C&amp;I CLM $ Collected]]/'[1]1.) CLM Reference'!$B$4</f>
        <v>0</v>
      </c>
      <c r="N154" s="41">
        <v>0</v>
      </c>
      <c r="O154" s="36">
        <f>[1]!Table3[[#This Row],[C&amp;I Incentive Disbursements]]/'[1]1.) CLM Reference'!$B$5</f>
        <v>0</v>
      </c>
      <c r="Q154">
        <f>VLOOKUP(Table3[[#This Row],[Census Tract]],'Population and Diversity Data'!$B$2:$K$823,10,FALSE)</f>
        <v>3</v>
      </c>
      <c r="R154" t="str">
        <f>VLOOKUP(Table3[[#This Row],[Census Tract]],'ES Energy Burden'!$B$2:$E$914,4,FALSE)</f>
        <v>No</v>
      </c>
    </row>
    <row r="155" spans="1:18" x14ac:dyDescent="0.2">
      <c r="A155" s="100">
        <v>9001245600</v>
      </c>
      <c r="B155" s="38" t="s">
        <v>2761</v>
      </c>
      <c r="C155" s="38" t="s">
        <v>944</v>
      </c>
      <c r="D155" s="40">
        <f>[1]!Table3[[#This Row],[Residential CLM $ Collected]]+[1]!Table3[[#This Row],[C&amp;I CLM $ Collected]]</f>
        <v>3350.3837759999997</v>
      </c>
      <c r="E155" s="36">
        <f>[1]!Table3[[#This Row],[CLM $ Collected ]]/'[1]1.) CLM Reference'!$B$4</f>
        <v>2.972340400813805E-5</v>
      </c>
      <c r="F155" s="40">
        <f>[1]!Table3[[#This Row],[Residential Incentive Disbursements]]+[1]!Table3[[#This Row],[C&amp;I Incentive Disbursements]]</f>
        <v>0</v>
      </c>
      <c r="G155" s="36">
        <f>[1]!Table3[[#This Row],[Incentive Disbursements]]/'[1]1.) CLM Reference'!$B$5</f>
        <v>0</v>
      </c>
      <c r="H155" s="40">
        <v>3350.3837759999997</v>
      </c>
      <c r="I155" s="36">
        <f>[1]!Table3[[#This Row],[Residential CLM $ Collected]]/'[1]1.) CLM Reference'!$B$4</f>
        <v>2.972340400813805E-5</v>
      </c>
      <c r="J155" s="41">
        <v>0</v>
      </c>
      <c r="K155" s="36">
        <f>[1]!Table3[[#This Row],[Residential Incentive Disbursements]]/'[1]1.) CLM Reference'!$B$5</f>
        <v>0</v>
      </c>
      <c r="L155" s="37">
        <v>0</v>
      </c>
      <c r="M155" s="36">
        <f>[1]!Table3[[#This Row],[C&amp;I CLM $ Collected]]/'[1]1.) CLM Reference'!$B$4</f>
        <v>0</v>
      </c>
      <c r="N155" s="41">
        <v>0</v>
      </c>
      <c r="O155" s="36">
        <f>[1]!Table3[[#This Row],[C&amp;I Incentive Disbursements]]/'[1]1.) CLM Reference'!$B$5</f>
        <v>0</v>
      </c>
      <c r="Q155">
        <f>VLOOKUP(Table3[[#This Row],[Census Tract]],'Population and Diversity Data'!$B$2:$K$823,10,FALSE)</f>
        <v>3</v>
      </c>
      <c r="R155" t="str">
        <f>VLOOKUP(Table3[[#This Row],[Census Tract]],'ES Energy Burden'!$B$2:$E$914,4,FALSE)</f>
        <v>No</v>
      </c>
    </row>
    <row r="156" spans="1:18" x14ac:dyDescent="0.2">
      <c r="A156" s="100">
        <v>9001030100</v>
      </c>
      <c r="B156" s="38" t="s">
        <v>2762</v>
      </c>
      <c r="C156" s="38" t="s">
        <v>944</v>
      </c>
      <c r="D156" s="40">
        <f>[1]!Table3[[#This Row],[Residential CLM $ Collected]]+[1]!Table3[[#This Row],[C&amp;I CLM $ Collected]]</f>
        <v>144986.32474272</v>
      </c>
      <c r="E156" s="36">
        <f>[1]!Table3[[#This Row],[CLM $ Collected ]]/'[1]1.) CLM Reference'!$B$4</f>
        <v>1.2862667067735254E-3</v>
      </c>
      <c r="F156" s="40">
        <f>[1]!Table3[[#This Row],[Residential Incentive Disbursements]]+[1]!Table3[[#This Row],[C&amp;I Incentive Disbursements]]</f>
        <v>21254.052</v>
      </c>
      <c r="G156" s="36">
        <f>[1]!Table3[[#This Row],[Incentive Disbursements]]/'[1]1.) CLM Reference'!$B$5</f>
        <v>2.6003593160177737E-4</v>
      </c>
      <c r="H156" s="40">
        <v>144509.90071392001</v>
      </c>
      <c r="I156" s="36">
        <f>[1]!Table3[[#This Row],[Residential CLM $ Collected]]/'[1]1.) CLM Reference'!$B$4</f>
        <v>1.2820400435510472E-3</v>
      </c>
      <c r="J156" s="41">
        <v>21254.052</v>
      </c>
      <c r="K156" s="36">
        <f>[1]!Table3[[#This Row],[Residential Incentive Disbursements]]/'[1]1.) CLM Reference'!$B$5</f>
        <v>2.6003593160177737E-4</v>
      </c>
      <c r="L156" s="37">
        <v>476.42402879999997</v>
      </c>
      <c r="M156" s="36">
        <f>[1]!Table3[[#This Row],[C&amp;I CLM $ Collected]]/'[1]1.) CLM Reference'!$B$4</f>
        <v>4.2266632224783071E-6</v>
      </c>
      <c r="N156" s="41">
        <v>0</v>
      </c>
      <c r="O156" s="36">
        <f>[1]!Table3[[#This Row],[C&amp;I Incentive Disbursements]]/'[1]1.) CLM Reference'!$B$5</f>
        <v>0</v>
      </c>
      <c r="Q156">
        <f>VLOOKUP(Table3[[#This Row],[Census Tract]],'Population and Diversity Data'!$B$2:$K$823,10,FALSE)</f>
        <v>1</v>
      </c>
      <c r="R156" t="str">
        <f>VLOOKUP(Table3[[#This Row],[Census Tract]],'ES Energy Burden'!$B$2:$E$914,4,FALSE)</f>
        <v>No</v>
      </c>
    </row>
    <row r="157" spans="1:18" x14ac:dyDescent="0.2">
      <c r="A157" s="100">
        <v>9001030200</v>
      </c>
      <c r="B157" s="38" t="s">
        <v>2762</v>
      </c>
      <c r="C157" s="38" t="s">
        <v>944</v>
      </c>
      <c r="D157" s="40">
        <f>[1]!Table3[[#This Row],[Residential CLM $ Collected]]+[1]!Table3[[#This Row],[C&amp;I CLM $ Collected]]</f>
        <v>90975.895113599996</v>
      </c>
      <c r="E157" s="36">
        <f>[1]!Table3[[#This Row],[CLM $ Collected ]]/'[1]1.) CLM Reference'!$B$4</f>
        <v>8.0710553365081876E-4</v>
      </c>
      <c r="F157" s="40">
        <f>[1]!Table3[[#This Row],[Residential Incentive Disbursements]]+[1]!Table3[[#This Row],[C&amp;I Incentive Disbursements]]</f>
        <v>24472.4656</v>
      </c>
      <c r="G157" s="36">
        <f>[1]!Table3[[#This Row],[Incentive Disbursements]]/'[1]1.) CLM Reference'!$B$5</f>
        <v>2.9941210226118057E-4</v>
      </c>
      <c r="H157" s="40">
        <v>90975.895113599996</v>
      </c>
      <c r="I157" s="36">
        <f>[1]!Table3[[#This Row],[Residential CLM $ Collected]]/'[1]1.) CLM Reference'!$B$4</f>
        <v>8.0710553365081876E-4</v>
      </c>
      <c r="J157" s="41">
        <v>24472.4656</v>
      </c>
      <c r="K157" s="36">
        <f>[1]!Table3[[#This Row],[Residential Incentive Disbursements]]/'[1]1.) CLM Reference'!$B$5</f>
        <v>2.9941210226118057E-4</v>
      </c>
      <c r="L157" s="37">
        <v>0</v>
      </c>
      <c r="M157" s="36">
        <f>[1]!Table3[[#This Row],[C&amp;I CLM $ Collected]]/'[1]1.) CLM Reference'!$B$4</f>
        <v>0</v>
      </c>
      <c r="N157" s="41">
        <v>0</v>
      </c>
      <c r="O157" s="36">
        <f>[1]!Table3[[#This Row],[C&amp;I Incentive Disbursements]]/'[1]1.) CLM Reference'!$B$5</f>
        <v>0</v>
      </c>
      <c r="Q157">
        <f>VLOOKUP(Table3[[#This Row],[Census Tract]],'Population and Diversity Data'!$B$2:$K$823,10,FALSE)</f>
        <v>3</v>
      </c>
      <c r="R157" t="str">
        <f>VLOOKUP(Table3[[#This Row],[Census Tract]],'ES Energy Burden'!$B$2:$E$914,4,FALSE)</f>
        <v>No</v>
      </c>
    </row>
    <row r="158" spans="1:18" x14ac:dyDescent="0.2">
      <c r="A158" s="100">
        <v>9001030300</v>
      </c>
      <c r="B158" s="38" t="s">
        <v>2762</v>
      </c>
      <c r="C158" s="38" t="s">
        <v>944</v>
      </c>
      <c r="D158" s="40">
        <f>[1]!Table3[[#This Row],[Residential CLM $ Collected]]+[1]!Table3[[#This Row],[C&amp;I CLM $ Collected]]</f>
        <v>329747.23436832003</v>
      </c>
      <c r="E158" s="36">
        <f>[1]!Table3[[#This Row],[CLM $ Collected ]]/'[1]1.) CLM Reference'!$B$4</f>
        <v>2.9253992745265018E-3</v>
      </c>
      <c r="F158" s="40">
        <f>[1]!Table3[[#This Row],[Residential Incentive Disbursements]]+[1]!Table3[[#This Row],[C&amp;I Incentive Disbursements]]</f>
        <v>224847.87</v>
      </c>
      <c r="G158" s="36">
        <f>[1]!Table3[[#This Row],[Incentive Disbursements]]/'[1]1.) CLM Reference'!$B$5</f>
        <v>2.7509354613475742E-3</v>
      </c>
      <c r="H158" s="40">
        <v>178578.25472448004</v>
      </c>
      <c r="I158" s="36">
        <f>[1]!Table3[[#This Row],[Residential CLM $ Collected]]/'[1]1.) CLM Reference'!$B$4</f>
        <v>1.5842822694721371E-3</v>
      </c>
      <c r="J158" s="41">
        <v>84416.53</v>
      </c>
      <c r="K158" s="36">
        <f>[1]!Table3[[#This Row],[Residential Incentive Disbursements]]/'[1]1.) CLM Reference'!$B$5</f>
        <v>1.0328068747144962E-3</v>
      </c>
      <c r="L158" s="37">
        <v>151168.97964383999</v>
      </c>
      <c r="M158" s="36">
        <f>[1]!Table3[[#This Row],[C&amp;I CLM $ Collected]]/'[1]1.) CLM Reference'!$B$4</f>
        <v>1.3411170050543647E-3</v>
      </c>
      <c r="N158" s="41">
        <v>140431.34</v>
      </c>
      <c r="O158" s="36">
        <f>[1]!Table3[[#This Row],[C&amp;I Incentive Disbursements]]/'[1]1.) CLM Reference'!$B$5</f>
        <v>1.718128586633078E-3</v>
      </c>
      <c r="Q158">
        <f>VLOOKUP(Table3[[#This Row],[Census Tract]],'Population and Diversity Data'!$B$2:$K$823,10,FALSE)</f>
        <v>1</v>
      </c>
      <c r="R158" t="str">
        <f>VLOOKUP(Table3[[#This Row],[Census Tract]],'ES Energy Burden'!$B$2:$E$914,4,FALSE)</f>
        <v>No</v>
      </c>
    </row>
    <row r="159" spans="1:18" x14ac:dyDescent="0.2">
      <c r="A159" s="100">
        <v>9001030400</v>
      </c>
      <c r="B159" s="38" t="s">
        <v>2762</v>
      </c>
      <c r="C159" s="38" t="s">
        <v>944</v>
      </c>
      <c r="D159" s="40">
        <f>[1]!Table3[[#This Row],[Residential CLM $ Collected]]+[1]!Table3[[#This Row],[C&amp;I CLM $ Collected]]</f>
        <v>83365.854695999995</v>
      </c>
      <c r="E159" s="36">
        <f>[1]!Table3[[#This Row],[CLM $ Collected ]]/'[1]1.) CLM Reference'!$B$4</f>
        <v>7.3959198267468593E-4</v>
      </c>
      <c r="F159" s="40">
        <f>[1]!Table3[[#This Row],[Residential Incentive Disbursements]]+[1]!Table3[[#This Row],[C&amp;I Incentive Disbursements]]</f>
        <v>14030.75</v>
      </c>
      <c r="G159" s="36">
        <f>[1]!Table3[[#This Row],[Incentive Disbursements]]/'[1]1.) CLM Reference'!$B$5</f>
        <v>1.7166134473189573E-4</v>
      </c>
      <c r="H159" s="40">
        <v>83365.854695999995</v>
      </c>
      <c r="I159" s="36">
        <f>[1]!Table3[[#This Row],[Residential CLM $ Collected]]/'[1]1.) CLM Reference'!$B$4</f>
        <v>7.3959198267468593E-4</v>
      </c>
      <c r="J159" s="41">
        <v>14030.75</v>
      </c>
      <c r="K159" s="36">
        <f>[1]!Table3[[#This Row],[Residential Incentive Disbursements]]/'[1]1.) CLM Reference'!$B$5</f>
        <v>1.7166134473189573E-4</v>
      </c>
      <c r="L159" s="37">
        <v>0</v>
      </c>
      <c r="M159" s="36">
        <f>[1]!Table3[[#This Row],[C&amp;I CLM $ Collected]]/'[1]1.) CLM Reference'!$B$4</f>
        <v>0</v>
      </c>
      <c r="N159" s="41">
        <v>0</v>
      </c>
      <c r="O159" s="36">
        <f>[1]!Table3[[#This Row],[C&amp;I Incentive Disbursements]]/'[1]1.) CLM Reference'!$B$5</f>
        <v>0</v>
      </c>
      <c r="Q159">
        <f>VLOOKUP(Table3[[#This Row],[Census Tract]],'Population and Diversity Data'!$B$2:$K$823,10,FALSE)</f>
        <v>3</v>
      </c>
      <c r="R159" t="str">
        <f>VLOOKUP(Table3[[#This Row],[Census Tract]],'ES Energy Burden'!$B$2:$E$914,4,FALSE)</f>
        <v>No</v>
      </c>
    </row>
    <row r="160" spans="1:18" x14ac:dyDescent="0.2">
      <c r="A160" s="100">
        <v>9001030500</v>
      </c>
      <c r="B160" s="38" t="s">
        <v>2762</v>
      </c>
      <c r="C160" s="38" t="s">
        <v>944</v>
      </c>
      <c r="D160" s="40">
        <f>[1]!Table3[[#This Row],[Residential CLM $ Collected]]+[1]!Table3[[#This Row],[C&amp;I CLM $ Collected]]</f>
        <v>137375.18561088003</v>
      </c>
      <c r="E160" s="36">
        <f>[1]!Table3[[#This Row],[CLM $ Collected ]]/'[1]1.) CLM Reference'!$B$4</f>
        <v>1.2187434083984594E-3</v>
      </c>
      <c r="F160" s="40">
        <f>[1]!Table3[[#This Row],[Residential Incentive Disbursements]]+[1]!Table3[[#This Row],[C&amp;I Incentive Disbursements]]</f>
        <v>32728.266500000002</v>
      </c>
      <c r="G160" s="36">
        <f>[1]!Table3[[#This Row],[Incentive Disbursements]]/'[1]1.) CLM Reference'!$B$5</f>
        <v>4.0041895394999234E-4</v>
      </c>
      <c r="H160" s="40">
        <v>137375.18561088003</v>
      </c>
      <c r="I160" s="36">
        <f>[1]!Table3[[#This Row],[Residential CLM $ Collected]]/'[1]1.) CLM Reference'!$B$4</f>
        <v>1.2187434083984594E-3</v>
      </c>
      <c r="J160" s="41">
        <v>32728.266500000002</v>
      </c>
      <c r="K160" s="36">
        <f>[1]!Table3[[#This Row],[Residential Incentive Disbursements]]/'[1]1.) CLM Reference'!$B$5</f>
        <v>4.0041895394999234E-4</v>
      </c>
      <c r="L160" s="37">
        <v>0</v>
      </c>
      <c r="M160" s="36">
        <f>[1]!Table3[[#This Row],[C&amp;I CLM $ Collected]]/'[1]1.) CLM Reference'!$B$4</f>
        <v>0</v>
      </c>
      <c r="N160" s="41">
        <v>0</v>
      </c>
      <c r="O160" s="36">
        <f>[1]!Table3[[#This Row],[C&amp;I Incentive Disbursements]]/'[1]1.) CLM Reference'!$B$5</f>
        <v>0</v>
      </c>
      <c r="Q160">
        <f>VLOOKUP(Table3[[#This Row],[Census Tract]],'Population and Diversity Data'!$B$2:$K$823,10,FALSE)</f>
        <v>3</v>
      </c>
      <c r="R160" t="str">
        <f>VLOOKUP(Table3[[#This Row],[Census Tract]],'ES Energy Burden'!$B$2:$E$914,4,FALSE)</f>
        <v>No</v>
      </c>
    </row>
    <row r="161" spans="1:18" x14ac:dyDescent="0.2">
      <c r="A161" s="100">
        <v>9007620100</v>
      </c>
      <c r="B161" s="38" t="s">
        <v>2763</v>
      </c>
      <c r="C161" s="38" t="s">
        <v>944</v>
      </c>
      <c r="D161" s="40">
        <f>[1]!Table3[[#This Row],[Residential CLM $ Collected]]+[1]!Table3[[#This Row],[C&amp;I CLM $ Collected]]</f>
        <v>136656.11013695999</v>
      </c>
      <c r="E161" s="36">
        <f>[1]!Table3[[#This Row],[CLM $ Collected ]]/'[1]1.) CLM Reference'!$B$4</f>
        <v>1.212364028526585E-3</v>
      </c>
      <c r="F161" s="40">
        <f>[1]!Table3[[#This Row],[Residential Incentive Disbursements]]+[1]!Table3[[#This Row],[C&amp;I Incentive Disbursements]]</f>
        <v>60771.553199999995</v>
      </c>
      <c r="G161" s="36">
        <f>[1]!Table3[[#This Row],[Incentive Disbursements]]/'[1]1.) CLM Reference'!$B$5</f>
        <v>7.4351881002497665E-4</v>
      </c>
      <c r="H161" s="40">
        <v>104659.926552</v>
      </c>
      <c r="I161" s="36">
        <f>[1]!Table3[[#This Row],[Residential CLM $ Collected]]/'[1]1.) CLM Reference'!$B$4</f>
        <v>9.2850535590915874E-4</v>
      </c>
      <c r="J161" s="41">
        <v>55582.743199999997</v>
      </c>
      <c r="K161" s="36">
        <f>[1]!Table3[[#This Row],[Residential Incentive Disbursements]]/'[1]1.) CLM Reference'!$B$5</f>
        <v>6.8003552494340163E-4</v>
      </c>
      <c r="L161" s="37">
        <v>31996.183584960003</v>
      </c>
      <c r="M161" s="36">
        <f>[1]!Table3[[#This Row],[C&amp;I CLM $ Collected]]/'[1]1.) CLM Reference'!$B$4</f>
        <v>2.8385867261742644E-4</v>
      </c>
      <c r="N161" s="41">
        <v>5188.8100000000004</v>
      </c>
      <c r="O161" s="36">
        <f>[1]!Table3[[#This Row],[C&amp;I Incentive Disbursements]]/'[1]1.) CLM Reference'!$B$5</f>
        <v>6.3483285081574966E-5</v>
      </c>
      <c r="Q161">
        <f>VLOOKUP(Table3[[#This Row],[Census Tract]],'Population and Diversity Data'!$B$2:$K$823,10,FALSE)</f>
        <v>1</v>
      </c>
      <c r="R161" t="str">
        <f>VLOOKUP(Table3[[#This Row],[Census Tract]],'ES Energy Burden'!$B$2:$E$914,4,FALSE)</f>
        <v>No</v>
      </c>
    </row>
    <row r="162" spans="1:18" x14ac:dyDescent="0.2">
      <c r="A162" s="100">
        <v>9007585100</v>
      </c>
      <c r="B162" s="38" t="s">
        <v>2764</v>
      </c>
      <c r="C162" s="38" t="s">
        <v>944</v>
      </c>
      <c r="D162" s="40">
        <f>[1]!Table3[[#This Row],[Residential CLM $ Collected]]+[1]!Table3[[#This Row],[C&amp;I CLM $ Collected]]</f>
        <v>186133.39589951999</v>
      </c>
      <c r="E162" s="36">
        <f>[1]!Table3[[#This Row],[CLM $ Collected ]]/'[1]1.) CLM Reference'!$B$4</f>
        <v>1.6513087740453944E-3</v>
      </c>
      <c r="F162" s="40">
        <f>[1]!Table3[[#This Row],[Residential Incentive Disbursements]]+[1]!Table3[[#This Row],[C&amp;I Incentive Disbursements]]</f>
        <v>75403.70670000001</v>
      </c>
      <c r="G162" s="36">
        <f>[1]!Table3[[#This Row],[Incentive Disbursements]]/'[1]1.) CLM Reference'!$B$5</f>
        <v>9.2253811734165731E-4</v>
      </c>
      <c r="H162" s="40">
        <v>149595.26773535999</v>
      </c>
      <c r="I162" s="36">
        <f>[1]!Table3[[#This Row],[Residential CLM $ Collected]]/'[1]1.) CLM Reference'!$B$4</f>
        <v>1.327155597055901E-3</v>
      </c>
      <c r="J162" s="41">
        <v>60194.636700000003</v>
      </c>
      <c r="K162" s="36">
        <f>[1]!Table3[[#This Row],[Residential Incentive Disbursements]]/'[1]1.) CLM Reference'!$B$5</f>
        <v>7.364604373657804E-4</v>
      </c>
      <c r="L162" s="37">
        <v>36538.128164160007</v>
      </c>
      <c r="M162" s="36">
        <f>[1]!Table3[[#This Row],[C&amp;I CLM $ Collected]]/'[1]1.) CLM Reference'!$B$4</f>
        <v>3.2415317698949347E-4</v>
      </c>
      <c r="N162" s="41">
        <v>15209.07</v>
      </c>
      <c r="O162" s="36">
        <f>[1]!Table3[[#This Row],[C&amp;I Incentive Disbursements]]/'[1]1.) CLM Reference'!$B$5</f>
        <v>1.8607767997587681E-4</v>
      </c>
      <c r="Q162">
        <f>VLOOKUP(Table3[[#This Row],[Census Tract]],'Population and Diversity Data'!$B$2:$K$823,10,FALSE)</f>
        <v>1</v>
      </c>
      <c r="R162" t="str">
        <f>VLOOKUP(Table3[[#This Row],[Census Tract]],'ES Energy Burden'!$B$2:$E$914,4,FALSE)</f>
        <v>No</v>
      </c>
    </row>
    <row r="163" spans="1:18" x14ac:dyDescent="0.2">
      <c r="A163" s="100">
        <v>9009190303</v>
      </c>
      <c r="B163" s="38" t="s">
        <v>2764</v>
      </c>
      <c r="C163" s="38" t="s">
        <v>944</v>
      </c>
      <c r="D163" s="40">
        <f>[1]!Table3[[#This Row],[Residential CLM $ Collected]]+[1]!Table3[[#This Row],[C&amp;I CLM $ Collected]]</f>
        <v>86.247331200000005</v>
      </c>
      <c r="E163" s="36">
        <f>[1]!Table3[[#This Row],[CLM $ Collected ]]/'[1]1.) CLM Reference'!$B$4</f>
        <v>7.651554094325014E-7</v>
      </c>
      <c r="F163" s="40">
        <f>[1]!Table3[[#This Row],[Residential Incentive Disbursements]]+[1]!Table3[[#This Row],[C&amp;I Incentive Disbursements]]</f>
        <v>0</v>
      </c>
      <c r="G163" s="36">
        <f>[1]!Table3[[#This Row],[Incentive Disbursements]]/'[1]1.) CLM Reference'!$B$5</f>
        <v>0</v>
      </c>
      <c r="H163" s="40">
        <v>86.247331200000005</v>
      </c>
      <c r="I163" s="36">
        <f>[1]!Table3[[#This Row],[Residential CLM $ Collected]]/'[1]1.) CLM Reference'!$B$4</f>
        <v>7.651554094325014E-7</v>
      </c>
      <c r="J163" s="41">
        <v>0</v>
      </c>
      <c r="K163" s="36">
        <f>[1]!Table3[[#This Row],[Residential Incentive Disbursements]]/'[1]1.) CLM Reference'!$B$5</f>
        <v>0</v>
      </c>
      <c r="L163" s="37">
        <v>0</v>
      </c>
      <c r="M163" s="36">
        <f>[1]!Table3[[#This Row],[C&amp;I CLM $ Collected]]/'[1]1.) CLM Reference'!$B$4</f>
        <v>0</v>
      </c>
      <c r="N163" s="41">
        <v>0</v>
      </c>
      <c r="O163" s="36">
        <f>[1]!Table3[[#This Row],[C&amp;I Incentive Disbursements]]/'[1]1.) CLM Reference'!$B$5</f>
        <v>0</v>
      </c>
      <c r="Q163">
        <f>VLOOKUP(Table3[[#This Row],[Census Tract]],'Population and Diversity Data'!$B$2:$K$823,10,FALSE)</f>
        <v>2</v>
      </c>
      <c r="R163" t="str">
        <f>VLOOKUP(Table3[[#This Row],[Census Tract]],'ES Energy Burden'!$B$2:$E$914,4,FALSE)</f>
        <v>No</v>
      </c>
    </row>
    <row r="164" spans="1:18" x14ac:dyDescent="0.2">
      <c r="A164" s="100">
        <v>9003470100</v>
      </c>
      <c r="B164" s="38" t="s">
        <v>2765</v>
      </c>
      <c r="C164" s="38" t="s">
        <v>944</v>
      </c>
      <c r="D164" s="40">
        <f>[1]!Table3[[#This Row],[Residential CLM $ Collected]]+[1]!Table3[[#This Row],[C&amp;I CLM $ Collected]]</f>
        <v>175550.4483552</v>
      </c>
      <c r="E164" s="36">
        <f>[1]!Table3[[#This Row],[CLM $ Collected ]]/'[1]1.) CLM Reference'!$B$4</f>
        <v>1.557420656597456E-3</v>
      </c>
      <c r="F164" s="40">
        <f>[1]!Table3[[#This Row],[Residential Incentive Disbursements]]+[1]!Table3[[#This Row],[C&amp;I Incentive Disbursements]]</f>
        <v>67359.439799999993</v>
      </c>
      <c r="G164" s="36">
        <f>[1]!Table3[[#This Row],[Incentive Disbursements]]/'[1]1.) CLM Reference'!$B$5</f>
        <v>8.2411931054684725E-4</v>
      </c>
      <c r="H164" s="40">
        <v>111288.10370976001</v>
      </c>
      <c r="I164" s="36">
        <f>[1]!Table3[[#This Row],[Residential CLM $ Collected]]/'[1]1.) CLM Reference'!$B$4</f>
        <v>9.8730816796575947E-4</v>
      </c>
      <c r="J164" s="41">
        <v>53479.969799999999</v>
      </c>
      <c r="K164" s="36">
        <f>[1]!Table3[[#This Row],[Residential Incentive Disbursements]]/'[1]1.) CLM Reference'!$B$5</f>
        <v>6.5430882398226559E-4</v>
      </c>
      <c r="L164" s="37">
        <v>64262.344645439996</v>
      </c>
      <c r="M164" s="36">
        <f>[1]!Table3[[#This Row],[C&amp;I CLM $ Collected]]/'[1]1.) CLM Reference'!$B$4</f>
        <v>5.7011248863169642E-4</v>
      </c>
      <c r="N164" s="41">
        <v>13879.47</v>
      </c>
      <c r="O164" s="36">
        <f>[1]!Table3[[#This Row],[C&amp;I Incentive Disbursements]]/'[1]1.) CLM Reference'!$B$5</f>
        <v>1.698104865645817E-4</v>
      </c>
      <c r="Q164">
        <f>VLOOKUP(Table3[[#This Row],[Census Tract]],'Population and Diversity Data'!$B$2:$K$823,10,FALSE)</f>
        <v>3</v>
      </c>
      <c r="R164" t="str">
        <f>VLOOKUP(Table3[[#This Row],[Census Tract]],'ES Energy Burden'!$B$2:$E$914,4,FALSE)</f>
        <v>No</v>
      </c>
    </row>
    <row r="165" spans="1:18" x14ac:dyDescent="0.2">
      <c r="A165" s="100">
        <v>9003477101</v>
      </c>
      <c r="B165" s="38" t="s">
        <v>2765</v>
      </c>
      <c r="C165" s="38" t="s">
        <v>944</v>
      </c>
      <c r="D165" s="40">
        <f>[1]!Table3[[#This Row],[Residential CLM $ Collected]]+[1]!Table3[[#This Row],[C&amp;I CLM $ Collected]]</f>
        <v>279.3906432</v>
      </c>
      <c r="E165" s="36">
        <f>[1]!Table3[[#This Row],[CLM $ Collected ]]/'[1]1.) CLM Reference'!$B$4</f>
        <v>2.4786536466105272E-6</v>
      </c>
      <c r="F165" s="40">
        <f>[1]!Table3[[#This Row],[Residential Incentive Disbursements]]+[1]!Table3[[#This Row],[C&amp;I Incentive Disbursements]]</f>
        <v>0</v>
      </c>
      <c r="G165" s="36">
        <f>[1]!Table3[[#This Row],[Incentive Disbursements]]/'[1]1.) CLM Reference'!$B$5</f>
        <v>0</v>
      </c>
      <c r="H165" s="40">
        <v>279.3906432</v>
      </c>
      <c r="I165" s="36">
        <f>[1]!Table3[[#This Row],[Residential CLM $ Collected]]/'[1]1.) CLM Reference'!$B$4</f>
        <v>2.4786536466105272E-6</v>
      </c>
      <c r="J165" s="41">
        <v>0</v>
      </c>
      <c r="K165" s="36">
        <f>[1]!Table3[[#This Row],[Residential Incentive Disbursements]]/'[1]1.) CLM Reference'!$B$5</f>
        <v>0</v>
      </c>
      <c r="L165" s="37">
        <v>0</v>
      </c>
      <c r="M165" s="36">
        <f>[1]!Table3[[#This Row],[C&amp;I CLM $ Collected]]/'[1]1.) CLM Reference'!$B$4</f>
        <v>0</v>
      </c>
      <c r="N165" s="41">
        <v>0</v>
      </c>
      <c r="O165" s="36">
        <f>[1]!Table3[[#This Row],[C&amp;I Incentive Disbursements]]/'[1]1.) CLM Reference'!$B$5</f>
        <v>0</v>
      </c>
      <c r="Q165">
        <f>VLOOKUP(Table3[[#This Row],[Census Tract]],'Population and Diversity Data'!$B$2:$K$823,10,FALSE)</f>
        <v>1</v>
      </c>
      <c r="R165" t="str">
        <f>VLOOKUP(Table3[[#This Row],[Census Tract]],'ES Energy Burden'!$B$2:$E$914,4,FALSE)</f>
        <v>No</v>
      </c>
    </row>
    <row r="166" spans="1:18" x14ac:dyDescent="0.2">
      <c r="A166" s="100">
        <v>9003477200</v>
      </c>
      <c r="B166" s="38" t="s">
        <v>2765</v>
      </c>
      <c r="C166" s="38" t="s">
        <v>944</v>
      </c>
      <c r="D166" s="40">
        <f>[1]!Table3[[#This Row],[Residential CLM $ Collected]]+[1]!Table3[[#This Row],[C&amp;I CLM $ Collected]]</f>
        <v>239.47686720000002</v>
      </c>
      <c r="E166" s="36">
        <f>[1]!Table3[[#This Row],[CLM $ Collected ]]/'[1]1.) CLM Reference'!$B$4</f>
        <v>2.1245529319292002E-6</v>
      </c>
      <c r="F166" s="40">
        <f>[1]!Table3[[#This Row],[Residential Incentive Disbursements]]+[1]!Table3[[#This Row],[C&amp;I Incentive Disbursements]]</f>
        <v>0</v>
      </c>
      <c r="G166" s="36">
        <f>[1]!Table3[[#This Row],[Incentive Disbursements]]/'[1]1.) CLM Reference'!$B$5</f>
        <v>0</v>
      </c>
      <c r="H166" s="40">
        <v>239.47686720000002</v>
      </c>
      <c r="I166" s="36">
        <f>[1]!Table3[[#This Row],[Residential CLM $ Collected]]/'[1]1.) CLM Reference'!$B$4</f>
        <v>2.1245529319292002E-6</v>
      </c>
      <c r="J166" s="41">
        <v>0</v>
      </c>
      <c r="K166" s="36">
        <f>[1]!Table3[[#This Row],[Residential Incentive Disbursements]]/'[1]1.) CLM Reference'!$B$5</f>
        <v>0</v>
      </c>
      <c r="L166" s="37">
        <v>0</v>
      </c>
      <c r="M166" s="36">
        <f>[1]!Table3[[#This Row],[C&amp;I CLM $ Collected]]/'[1]1.) CLM Reference'!$B$4</f>
        <v>0</v>
      </c>
      <c r="N166" s="41">
        <v>0</v>
      </c>
      <c r="O166" s="36">
        <f>[1]!Table3[[#This Row],[C&amp;I Incentive Disbursements]]/'[1]1.) CLM Reference'!$B$5</f>
        <v>0</v>
      </c>
      <c r="Q166">
        <f>VLOOKUP(Table3[[#This Row],[Census Tract]],'Population and Diversity Data'!$B$2:$K$823,10,FALSE)</f>
        <v>1</v>
      </c>
      <c r="R166" t="str">
        <f>VLOOKUP(Table3[[#This Row],[Census Tract]],'ES Energy Burden'!$B$2:$E$914,4,FALSE)</f>
        <v>No</v>
      </c>
    </row>
    <row r="167" spans="1:18" x14ac:dyDescent="0.2">
      <c r="A167" s="100">
        <v>9007595101</v>
      </c>
      <c r="B167" s="38" t="s">
        <v>2766</v>
      </c>
      <c r="C167" s="38" t="s">
        <v>944</v>
      </c>
      <c r="D167" s="40">
        <f>[1]!Table3[[#This Row],[Residential CLM $ Collected]]+[1]!Table3[[#This Row],[C&amp;I CLM $ Collected]]</f>
        <v>63151.540496640009</v>
      </c>
      <c r="E167" s="36">
        <f>[1]!Table3[[#This Row],[CLM $ Collected ]]/'[1]1.) CLM Reference'!$B$4</f>
        <v>5.6025783236061195E-4</v>
      </c>
      <c r="F167" s="40">
        <f>[1]!Table3[[#This Row],[Residential Incentive Disbursements]]+[1]!Table3[[#This Row],[C&amp;I Incentive Disbursements]]</f>
        <v>4781.78</v>
      </c>
      <c r="G167" s="36">
        <f>[1]!Table3[[#This Row],[Incentive Disbursements]]/'[1]1.) CLM Reference'!$B$5</f>
        <v>5.8503414643699325E-5</v>
      </c>
      <c r="H167" s="40">
        <v>63105.536903040011</v>
      </c>
      <c r="I167" s="36">
        <f>[1]!Table3[[#This Row],[Residential CLM $ Collected]]/'[1]1.) CLM Reference'!$B$4</f>
        <v>5.5984970496691044E-4</v>
      </c>
      <c r="J167" s="41">
        <v>4781.78</v>
      </c>
      <c r="K167" s="36">
        <f>[1]!Table3[[#This Row],[Residential Incentive Disbursements]]/'[1]1.) CLM Reference'!$B$5</f>
        <v>5.8503414643699325E-5</v>
      </c>
      <c r="L167" s="37">
        <v>46.003593600000002</v>
      </c>
      <c r="M167" s="36">
        <f>[1]!Table3[[#This Row],[C&amp;I CLM $ Collected]]/'[1]1.) CLM Reference'!$B$4</f>
        <v>4.0812739370159666E-7</v>
      </c>
      <c r="N167" s="41">
        <v>0</v>
      </c>
      <c r="O167" s="36">
        <f>[1]!Table3[[#This Row],[C&amp;I Incentive Disbursements]]/'[1]1.) CLM Reference'!$B$5</f>
        <v>0</v>
      </c>
      <c r="Q167">
        <f>VLOOKUP(Table3[[#This Row],[Census Tract]],'Population and Diversity Data'!$B$2:$K$823,10,FALSE)</f>
        <v>1</v>
      </c>
      <c r="R167" t="str">
        <f>VLOOKUP(Table3[[#This Row],[Census Tract]],'ES Energy Burden'!$B$2:$E$914,4,FALSE)</f>
        <v>No</v>
      </c>
    </row>
    <row r="168" spans="1:18" x14ac:dyDescent="0.2">
      <c r="A168" s="100">
        <v>9007595102</v>
      </c>
      <c r="B168" s="38" t="s">
        <v>2766</v>
      </c>
      <c r="C168" s="38" t="s">
        <v>944</v>
      </c>
      <c r="D168" s="40">
        <f>[1]!Table3[[#This Row],[Residential CLM $ Collected]]+[1]!Table3[[#This Row],[C&amp;I CLM $ Collected]]</f>
        <v>164063.69662464</v>
      </c>
      <c r="E168" s="36">
        <f>[1]!Table3[[#This Row],[CLM $ Collected ]]/'[1]1.) CLM Reference'!$B$4</f>
        <v>1.4555143123528454E-3</v>
      </c>
      <c r="F168" s="40">
        <f>[1]!Table3[[#This Row],[Residential Incentive Disbursements]]+[1]!Table3[[#This Row],[C&amp;I Incentive Disbursements]]</f>
        <v>63836.366699999999</v>
      </c>
      <c r="G168" s="36">
        <f>[1]!Table3[[#This Row],[Incentive Disbursements]]/'[1]1.) CLM Reference'!$B$5</f>
        <v>7.8101573690076505E-4</v>
      </c>
      <c r="H168" s="40">
        <v>140629.99803552</v>
      </c>
      <c r="I168" s="36">
        <f>[1]!Table3[[#This Row],[Residential CLM $ Collected]]/'[1]1.) CLM Reference'!$B$4</f>
        <v>1.2476189376322425E-3</v>
      </c>
      <c r="J168" s="41">
        <v>55971.386700000003</v>
      </c>
      <c r="K168" s="36">
        <f>[1]!Table3[[#This Row],[Residential Incentive Disbursements]]/'[1]1.) CLM Reference'!$B$5</f>
        <v>6.8479044295072927E-4</v>
      </c>
      <c r="L168" s="37">
        <v>23433.698589120002</v>
      </c>
      <c r="M168" s="36">
        <f>[1]!Table3[[#This Row],[C&amp;I CLM $ Collected]]/'[1]1.) CLM Reference'!$B$4</f>
        <v>2.078953747206029E-4</v>
      </c>
      <c r="N168" s="41">
        <v>7864.98</v>
      </c>
      <c r="O168" s="36">
        <f>[1]!Table3[[#This Row],[C&amp;I Incentive Disbursements]]/'[1]1.) CLM Reference'!$B$5</f>
        <v>9.6225293950035829E-5</v>
      </c>
      <c r="Q168">
        <f>VLOOKUP(Table3[[#This Row],[Census Tract]],'Population and Diversity Data'!$B$2:$K$823,10,FALSE)</f>
        <v>1</v>
      </c>
      <c r="R168" t="str">
        <f>VLOOKUP(Table3[[#This Row],[Census Tract]],'ES Energy Burden'!$B$2:$E$914,4,FALSE)</f>
        <v>No</v>
      </c>
    </row>
    <row r="169" spans="1:18" x14ac:dyDescent="0.2">
      <c r="A169" s="100">
        <v>9007550100</v>
      </c>
      <c r="B169" s="38" t="s">
        <v>2767</v>
      </c>
      <c r="C169" s="38" t="s">
        <v>944</v>
      </c>
      <c r="D169" s="40">
        <f>[1]!Table3[[#This Row],[Residential CLM $ Collected]]+[1]!Table3[[#This Row],[C&amp;I CLM $ Collected]]</f>
        <v>173298.61325952</v>
      </c>
      <c r="E169" s="36">
        <f>[1]!Table3[[#This Row],[CLM $ Collected ]]/'[1]1.) CLM Reference'!$B$4</f>
        <v>1.537443182736682E-3</v>
      </c>
      <c r="F169" s="40">
        <f>[1]!Table3[[#This Row],[Residential Incentive Disbursements]]+[1]!Table3[[#This Row],[C&amp;I Incentive Disbursements]]</f>
        <v>123940.35619999999</v>
      </c>
      <c r="G169" s="36">
        <f>[1]!Table3[[#This Row],[Incentive Disbursements]]/'[1]1.) CLM Reference'!$B$5</f>
        <v>1.5163671373121287E-3</v>
      </c>
      <c r="H169" s="40">
        <v>122937.67875456001</v>
      </c>
      <c r="I169" s="36">
        <f>[1]!Table3[[#This Row],[Residential CLM $ Collected]]/'[1]1.) CLM Reference'!$B$4</f>
        <v>1.0906590222947872E-3</v>
      </c>
      <c r="J169" s="41">
        <v>79748.796199999997</v>
      </c>
      <c r="K169" s="36">
        <f>[1]!Table3[[#This Row],[Residential Incentive Disbursements]]/'[1]1.) CLM Reference'!$B$5</f>
        <v>9.7569877564933425E-4</v>
      </c>
      <c r="L169" s="37">
        <v>50360.934504959994</v>
      </c>
      <c r="M169" s="36">
        <f>[1]!Table3[[#This Row],[C&amp;I CLM $ Collected]]/'[1]1.) CLM Reference'!$B$4</f>
        <v>4.4678416044189494E-4</v>
      </c>
      <c r="N169" s="41">
        <v>44191.56</v>
      </c>
      <c r="O169" s="36">
        <f>[1]!Table3[[#This Row],[C&amp;I Incentive Disbursements]]/'[1]1.) CLM Reference'!$B$5</f>
        <v>5.4066836166279445E-4</v>
      </c>
      <c r="Q169">
        <f>VLOOKUP(Table3[[#This Row],[Census Tract]],'Population and Diversity Data'!$B$2:$K$823,10,FALSE)</f>
        <v>3</v>
      </c>
      <c r="R169" t="str">
        <f>VLOOKUP(Table3[[#This Row],[Census Tract]],'ES Energy Burden'!$B$2:$E$914,4,FALSE)</f>
        <v>No</v>
      </c>
    </row>
    <row r="170" spans="1:18" x14ac:dyDescent="0.2">
      <c r="A170" s="100">
        <v>9007550201</v>
      </c>
      <c r="B170" s="38" t="s">
        <v>2767</v>
      </c>
      <c r="C170" s="38" t="s">
        <v>944</v>
      </c>
      <c r="D170" s="40">
        <f>[1]!Table3[[#This Row],[Residential CLM $ Collected]]+[1]!Table3[[#This Row],[C&amp;I CLM $ Collected]]</f>
        <v>76930.412739840016</v>
      </c>
      <c r="E170" s="36">
        <f>[1]!Table3[[#This Row],[CLM $ Collected ]]/'[1]1.) CLM Reference'!$B$4</f>
        <v>6.8249904824607037E-4</v>
      </c>
      <c r="F170" s="40">
        <f>[1]!Table3[[#This Row],[Residential Incentive Disbursements]]+[1]!Table3[[#This Row],[C&amp;I Incentive Disbursements]]</f>
        <v>15684.3472</v>
      </c>
      <c r="G170" s="36">
        <f>[1]!Table3[[#This Row],[Incentive Disbursements]]/'[1]1.) CLM Reference'!$B$5</f>
        <v>1.9189253116148059E-4</v>
      </c>
      <c r="H170" s="40">
        <v>76930.412739840016</v>
      </c>
      <c r="I170" s="36">
        <f>[1]!Table3[[#This Row],[Residential CLM $ Collected]]/'[1]1.) CLM Reference'!$B$4</f>
        <v>6.8249904824607037E-4</v>
      </c>
      <c r="J170" s="41">
        <v>15684.3472</v>
      </c>
      <c r="K170" s="36">
        <f>[1]!Table3[[#This Row],[Residential Incentive Disbursements]]/'[1]1.) CLM Reference'!$B$5</f>
        <v>1.9189253116148059E-4</v>
      </c>
      <c r="L170" s="37">
        <v>0</v>
      </c>
      <c r="M170" s="36">
        <f>[1]!Table3[[#This Row],[C&amp;I CLM $ Collected]]/'[1]1.) CLM Reference'!$B$4</f>
        <v>0</v>
      </c>
      <c r="N170" s="41">
        <v>0</v>
      </c>
      <c r="O170" s="36">
        <f>[1]!Table3[[#This Row],[C&amp;I Incentive Disbursements]]/'[1]1.) CLM Reference'!$B$5</f>
        <v>0</v>
      </c>
      <c r="Q170">
        <f>VLOOKUP(Table3[[#This Row],[Census Tract]],'Population and Diversity Data'!$B$2:$K$823,10,FALSE)</f>
        <v>2</v>
      </c>
      <c r="R170" t="str">
        <f>VLOOKUP(Table3[[#This Row],[Census Tract]],'ES Energy Burden'!$B$2:$E$914,4,FALSE)</f>
        <v>No</v>
      </c>
    </row>
    <row r="171" spans="1:18" x14ac:dyDescent="0.2">
      <c r="A171" s="100">
        <v>9007550202</v>
      </c>
      <c r="B171" s="38" t="s">
        <v>2767</v>
      </c>
      <c r="C171" s="38" t="s">
        <v>944</v>
      </c>
      <c r="D171" s="40">
        <f>[1]!Table3[[#This Row],[Residential CLM $ Collected]]+[1]!Table3[[#This Row],[C&amp;I CLM $ Collected]]</f>
        <v>72378.179726400005</v>
      </c>
      <c r="E171" s="36">
        <f>[1]!Table3[[#This Row],[CLM $ Collected ]]/'[1]1.) CLM Reference'!$B$4</f>
        <v>6.4211326857303115E-4</v>
      </c>
      <c r="F171" s="40">
        <f>[1]!Table3[[#This Row],[Residential Incentive Disbursements]]+[1]!Table3[[#This Row],[C&amp;I Incentive Disbursements]]</f>
        <v>17842.5468</v>
      </c>
      <c r="G171" s="36">
        <f>[1]!Table3[[#This Row],[Incentive Disbursements]]/'[1]1.) CLM Reference'!$B$5</f>
        <v>2.1829735239597194E-4</v>
      </c>
      <c r="H171" s="40">
        <v>72315.440712000011</v>
      </c>
      <c r="I171" s="36">
        <f>[1]!Table3[[#This Row],[Residential CLM $ Collected]]/'[1]1.) CLM Reference'!$B$4</f>
        <v>6.4155667052434139E-4</v>
      </c>
      <c r="J171" s="41">
        <v>17842.5468</v>
      </c>
      <c r="K171" s="36">
        <f>[1]!Table3[[#This Row],[Residential Incentive Disbursements]]/'[1]1.) CLM Reference'!$B$5</f>
        <v>2.1829735239597194E-4</v>
      </c>
      <c r="L171" s="37">
        <v>62.739014400000002</v>
      </c>
      <c r="M171" s="36">
        <f>[1]!Table3[[#This Row],[C&amp;I CLM $ Collected]]/'[1]1.) CLM Reference'!$B$4</f>
        <v>5.5659804868980808E-7</v>
      </c>
      <c r="N171" s="41">
        <v>0</v>
      </c>
      <c r="O171" s="36">
        <f>[1]!Table3[[#This Row],[C&amp;I Incentive Disbursements]]/'[1]1.) CLM Reference'!$B$5</f>
        <v>0</v>
      </c>
      <c r="Q171">
        <f>VLOOKUP(Table3[[#This Row],[Census Tract]],'Population and Diversity Data'!$B$2:$K$823,10,FALSE)</f>
        <v>1</v>
      </c>
      <c r="R171" t="str">
        <f>VLOOKUP(Table3[[#This Row],[Census Tract]],'ES Energy Burden'!$B$2:$E$914,4,FALSE)</f>
        <v>No</v>
      </c>
    </row>
    <row r="172" spans="1:18" x14ac:dyDescent="0.2">
      <c r="A172" s="100">
        <v>9007590100</v>
      </c>
      <c r="B172" s="38" t="s">
        <v>2767</v>
      </c>
      <c r="C172" s="38" t="s">
        <v>944</v>
      </c>
      <c r="D172" s="40">
        <f>[1]!Table3[[#This Row],[Residential CLM $ Collected]]+[1]!Table3[[#This Row],[C&amp;I CLM $ Collected]]</f>
        <v>775.89023040000006</v>
      </c>
      <c r="E172" s="36">
        <f>[1]!Table3[[#This Row],[CLM $ Collected ]]/'[1]1.) CLM Reference'!$B$4</f>
        <v>6.8834200276841713E-6</v>
      </c>
      <c r="F172" s="40">
        <f>[1]!Table3[[#This Row],[Residential Incentive Disbursements]]+[1]!Table3[[#This Row],[C&amp;I Incentive Disbursements]]</f>
        <v>515.64</v>
      </c>
      <c r="G172" s="36">
        <f>[1]!Table3[[#This Row],[Incentive Disbursements]]/'[1]1.) CLM Reference'!$B$5</f>
        <v>6.3086760007522563E-6</v>
      </c>
      <c r="H172" s="40">
        <v>775.89023040000006</v>
      </c>
      <c r="I172" s="36">
        <f>[1]!Table3[[#This Row],[Residential CLM $ Collected]]/'[1]1.) CLM Reference'!$B$4</f>
        <v>6.8834200276841713E-6</v>
      </c>
      <c r="J172" s="41">
        <v>515.64</v>
      </c>
      <c r="K172" s="36">
        <f>[1]!Table3[[#This Row],[Residential Incentive Disbursements]]/'[1]1.) CLM Reference'!$B$5</f>
        <v>6.3086760007522563E-6</v>
      </c>
      <c r="L172" s="37">
        <v>0</v>
      </c>
      <c r="M172" s="36">
        <f>[1]!Table3[[#This Row],[C&amp;I CLM $ Collected]]/'[1]1.) CLM Reference'!$B$4</f>
        <v>0</v>
      </c>
      <c r="N172" s="41">
        <v>0</v>
      </c>
      <c r="O172" s="36">
        <f>[1]!Table3[[#This Row],[C&amp;I Incentive Disbursements]]/'[1]1.) CLM Reference'!$B$5</f>
        <v>0</v>
      </c>
      <c r="Q172">
        <f>VLOOKUP(Table3[[#This Row],[Census Tract]],'Population and Diversity Data'!$B$2:$K$823,10,FALSE)</f>
        <v>1</v>
      </c>
      <c r="R172" t="str">
        <f>VLOOKUP(Table3[[#This Row],[Census Tract]],'ES Energy Burden'!$B$2:$E$914,4,FALSE)</f>
        <v>No</v>
      </c>
    </row>
    <row r="173" spans="1:18" x14ac:dyDescent="0.2">
      <c r="A173" s="100">
        <v>9003496900</v>
      </c>
      <c r="B173" s="38" t="s">
        <v>2768</v>
      </c>
      <c r="C173" s="38" t="s">
        <v>944</v>
      </c>
      <c r="D173" s="40">
        <f>[1]!Table3[[#This Row],[Residential CLM $ Collected]]+[1]!Table3[[#This Row],[C&amp;I CLM $ Collected]]</f>
        <v>236.11936320000001</v>
      </c>
      <c r="E173" s="36">
        <f>[1]!Table3[[#This Row],[CLM $ Collected ]]/'[1]1.) CLM Reference'!$B$4</f>
        <v>2.0947663598457818E-6</v>
      </c>
      <c r="F173" s="40">
        <f>[1]!Table3[[#This Row],[Residential Incentive Disbursements]]+[1]!Table3[[#This Row],[C&amp;I Incentive Disbursements]]</f>
        <v>0</v>
      </c>
      <c r="G173" s="36">
        <f>[1]!Table3[[#This Row],[Incentive Disbursements]]/'[1]1.) CLM Reference'!$B$5</f>
        <v>0</v>
      </c>
      <c r="H173" s="40">
        <v>236.11936320000001</v>
      </c>
      <c r="I173" s="36">
        <f>[1]!Table3[[#This Row],[Residential CLM $ Collected]]/'[1]1.) CLM Reference'!$B$4</f>
        <v>2.0947663598457818E-6</v>
      </c>
      <c r="J173" s="41">
        <v>0</v>
      </c>
      <c r="K173" s="36">
        <f>[1]!Table3[[#This Row],[Residential Incentive Disbursements]]/'[1]1.) CLM Reference'!$B$5</f>
        <v>0</v>
      </c>
      <c r="L173" s="37">
        <v>0</v>
      </c>
      <c r="M173" s="36">
        <f>[1]!Table3[[#This Row],[C&amp;I CLM $ Collected]]/'[1]1.) CLM Reference'!$B$4</f>
        <v>0</v>
      </c>
      <c r="N173" s="41">
        <v>0</v>
      </c>
      <c r="O173" s="36">
        <f>[1]!Table3[[#This Row],[C&amp;I Incentive Disbursements]]/'[1]1.) CLM Reference'!$B$5</f>
        <v>0</v>
      </c>
      <c r="Q173">
        <f>VLOOKUP(Table3[[#This Row],[Census Tract]],'Population and Diversity Data'!$B$2:$K$823,10,FALSE)</f>
        <v>3</v>
      </c>
      <c r="R173" t="str">
        <f>VLOOKUP(Table3[[#This Row],[Census Tract]],'ES Energy Burden'!$B$2:$E$914,4,FALSE)</f>
        <v>No</v>
      </c>
    </row>
    <row r="174" spans="1:18" x14ac:dyDescent="0.2">
      <c r="A174" s="100">
        <v>9003510100</v>
      </c>
      <c r="B174" s="38" t="s">
        <v>2768</v>
      </c>
      <c r="C174" s="38" t="s">
        <v>944</v>
      </c>
      <c r="D174" s="40">
        <f>[1]!Table3[[#This Row],[Residential CLM $ Collected]]+[1]!Table3[[#This Row],[C&amp;I CLM $ Collected]]</f>
        <v>28572.322570560002</v>
      </c>
      <c r="E174" s="36">
        <f>[1]!Table3[[#This Row],[CLM $ Collected ]]/'[1]1.) CLM Reference'!$B$4</f>
        <v>2.5348340488609041E-4</v>
      </c>
      <c r="F174" s="40">
        <f>[1]!Table3[[#This Row],[Residential Incentive Disbursements]]+[1]!Table3[[#This Row],[C&amp;I Incentive Disbursements]]</f>
        <v>22163.206699999999</v>
      </c>
      <c r="G174" s="36">
        <f>[1]!Table3[[#This Row],[Incentive Disbursements]]/'[1]1.) CLM Reference'!$B$5</f>
        <v>2.7115912304709024E-4</v>
      </c>
      <c r="H174" s="40">
        <v>28572.322570560002</v>
      </c>
      <c r="I174" s="36">
        <f>[1]!Table3[[#This Row],[Residential CLM $ Collected]]/'[1]1.) CLM Reference'!$B$4</f>
        <v>2.5348340488609041E-4</v>
      </c>
      <c r="J174" s="41">
        <v>22163.206699999999</v>
      </c>
      <c r="K174" s="36">
        <f>[1]!Table3[[#This Row],[Residential Incentive Disbursements]]/'[1]1.) CLM Reference'!$B$5</f>
        <v>2.7115912304709024E-4</v>
      </c>
      <c r="L174" s="37">
        <v>0</v>
      </c>
      <c r="M174" s="36">
        <f>[1]!Table3[[#This Row],[C&amp;I CLM $ Collected]]/'[1]1.) CLM Reference'!$B$4</f>
        <v>0</v>
      </c>
      <c r="N174" s="41">
        <v>0</v>
      </c>
      <c r="O174" s="36">
        <f>[1]!Table3[[#This Row],[C&amp;I Incentive Disbursements]]/'[1]1.) CLM Reference'!$B$5</f>
        <v>0</v>
      </c>
      <c r="Q174">
        <f>VLOOKUP(Table3[[#This Row],[Census Tract]],'Population and Diversity Data'!$B$2:$K$823,10,FALSE)</f>
        <v>4</v>
      </c>
      <c r="R174" t="str">
        <f>VLOOKUP(Table3[[#This Row],[Census Tract]],'ES Energy Burden'!$B$2:$E$914,4,FALSE)</f>
        <v>No</v>
      </c>
    </row>
    <row r="175" spans="1:18" x14ac:dyDescent="0.2">
      <c r="A175" s="100">
        <v>9003510200</v>
      </c>
      <c r="B175" s="38" t="s">
        <v>2768</v>
      </c>
      <c r="C175" s="38" t="s">
        <v>944</v>
      </c>
      <c r="D175" s="40">
        <f>[1]!Table3[[#This Row],[Residential CLM $ Collected]]+[1]!Table3[[#This Row],[C&amp;I CLM $ Collected]]</f>
        <v>23940.745948800002</v>
      </c>
      <c r="E175" s="36">
        <f>[1]!Table3[[#This Row],[CLM $ Collected ]]/'[1]1.) CLM Reference'!$B$4</f>
        <v>2.1239371715856136E-4</v>
      </c>
      <c r="F175" s="40">
        <f>[1]!Table3[[#This Row],[Residential Incentive Disbursements]]+[1]!Table3[[#This Row],[C&amp;I Incentive Disbursements]]</f>
        <v>2074.27</v>
      </c>
      <c r="G175" s="36">
        <f>[1]!Table3[[#This Row],[Incentive Disbursements]]/'[1]1.) CLM Reference'!$B$5</f>
        <v>2.5377971778916262E-5</v>
      </c>
      <c r="H175" s="40">
        <v>23940.745948800002</v>
      </c>
      <c r="I175" s="36">
        <f>[1]!Table3[[#This Row],[Residential CLM $ Collected]]/'[1]1.) CLM Reference'!$B$4</f>
        <v>2.1239371715856136E-4</v>
      </c>
      <c r="J175" s="41">
        <v>2074.27</v>
      </c>
      <c r="K175" s="36">
        <f>[1]!Table3[[#This Row],[Residential Incentive Disbursements]]/'[1]1.) CLM Reference'!$B$5</f>
        <v>2.5377971778916262E-5</v>
      </c>
      <c r="L175" s="37">
        <v>0</v>
      </c>
      <c r="M175" s="36">
        <f>[1]!Table3[[#This Row],[C&amp;I CLM $ Collected]]/'[1]1.) CLM Reference'!$B$4</f>
        <v>0</v>
      </c>
      <c r="N175" s="41">
        <v>0</v>
      </c>
      <c r="O175" s="36">
        <f>[1]!Table3[[#This Row],[C&amp;I Incentive Disbursements]]/'[1]1.) CLM Reference'!$B$5</f>
        <v>0</v>
      </c>
      <c r="Q175">
        <f>VLOOKUP(Table3[[#This Row],[Census Tract]],'Population and Diversity Data'!$B$2:$K$823,10,FALSE)</f>
        <v>5</v>
      </c>
      <c r="R175" t="str">
        <f>VLOOKUP(Table3[[#This Row],[Census Tract]],'ES Energy Burden'!$B$2:$E$914,4,FALSE)</f>
        <v>No</v>
      </c>
    </row>
    <row r="176" spans="1:18" x14ac:dyDescent="0.2">
      <c r="A176" s="100">
        <v>9003510300</v>
      </c>
      <c r="B176" s="38" t="s">
        <v>2768</v>
      </c>
      <c r="C176" s="38" t="s">
        <v>944</v>
      </c>
      <c r="D176" s="40">
        <f>[1]!Table3[[#This Row],[Residential CLM $ Collected]]+[1]!Table3[[#This Row],[C&amp;I CLM $ Collected]]</f>
        <v>45262.2046176</v>
      </c>
      <c r="E176" s="36">
        <f>[1]!Table3[[#This Row],[CLM $ Collected ]]/'[1]1.) CLM Reference'!$B$4</f>
        <v>4.0155005638014901E-4</v>
      </c>
      <c r="F176" s="40">
        <f>[1]!Table3[[#This Row],[Residential Incentive Disbursements]]+[1]!Table3[[#This Row],[C&amp;I Incentive Disbursements]]</f>
        <v>42202.34</v>
      </c>
      <c r="G176" s="36">
        <f>[1]!Table3[[#This Row],[Incentive Disbursements]]/'[1]1.) CLM Reference'!$B$5</f>
        <v>5.1633094704364854E-4</v>
      </c>
      <c r="H176" s="40">
        <v>45069.819638400004</v>
      </c>
      <c r="I176" s="36">
        <f>[1]!Table3[[#This Row],[Residential CLM $ Collected]]/'[1]1.) CLM Reference'!$B$4</f>
        <v>3.9984328579976915E-4</v>
      </c>
      <c r="J176" s="41">
        <v>42202.34</v>
      </c>
      <c r="K176" s="36">
        <f>[1]!Table3[[#This Row],[Residential Incentive Disbursements]]/'[1]1.) CLM Reference'!$B$5</f>
        <v>5.1633094704364854E-4</v>
      </c>
      <c r="L176" s="37">
        <v>192.38497919999998</v>
      </c>
      <c r="M176" s="36">
        <f>[1]!Table3[[#This Row],[C&amp;I CLM $ Collected]]/'[1]1.) CLM Reference'!$B$4</f>
        <v>1.7067705803798743E-6</v>
      </c>
      <c r="N176" s="41">
        <v>0</v>
      </c>
      <c r="O176" s="36">
        <f>[1]!Table3[[#This Row],[C&amp;I Incentive Disbursements]]/'[1]1.) CLM Reference'!$B$5</f>
        <v>0</v>
      </c>
      <c r="Q176">
        <f>VLOOKUP(Table3[[#This Row],[Census Tract]],'Population and Diversity Data'!$B$2:$K$823,10,FALSE)</f>
        <v>4</v>
      </c>
      <c r="R176" t="str">
        <f>VLOOKUP(Table3[[#This Row],[Census Tract]],'ES Energy Burden'!$B$2:$E$914,4,FALSE)</f>
        <v>No</v>
      </c>
    </row>
    <row r="177" spans="1:18" x14ac:dyDescent="0.2">
      <c r="A177" s="100">
        <v>9003510400</v>
      </c>
      <c r="B177" s="38" t="s">
        <v>2768</v>
      </c>
      <c r="C177" s="38" t="s">
        <v>944</v>
      </c>
      <c r="D177" s="40">
        <f>[1]!Table3[[#This Row],[Residential CLM $ Collected]]+[1]!Table3[[#This Row],[C&amp;I CLM $ Collected]]</f>
        <v>57149.46894816</v>
      </c>
      <c r="E177" s="36">
        <f>[1]!Table3[[#This Row],[CLM $ Collected ]]/'[1]1.) CLM Reference'!$B$4</f>
        <v>5.070096048592793E-4</v>
      </c>
      <c r="F177" s="40">
        <f>[1]!Table3[[#This Row],[Residential Incentive Disbursements]]+[1]!Table3[[#This Row],[C&amp;I Incentive Disbursements]]</f>
        <v>9259.56</v>
      </c>
      <c r="G177" s="36">
        <f>[1]!Table3[[#This Row],[Incentive Disbursements]]/'[1]1.) CLM Reference'!$B$5</f>
        <v>1.1328749505376922E-4</v>
      </c>
      <c r="H177" s="40">
        <v>57149.46894816</v>
      </c>
      <c r="I177" s="36">
        <f>[1]!Table3[[#This Row],[Residential CLM $ Collected]]/'[1]1.) CLM Reference'!$B$4</f>
        <v>5.070096048592793E-4</v>
      </c>
      <c r="J177" s="41">
        <v>9259.56</v>
      </c>
      <c r="K177" s="36">
        <f>[1]!Table3[[#This Row],[Residential Incentive Disbursements]]/'[1]1.) CLM Reference'!$B$5</f>
        <v>1.1328749505376922E-4</v>
      </c>
      <c r="L177" s="37">
        <v>0</v>
      </c>
      <c r="M177" s="36">
        <f>[1]!Table3[[#This Row],[C&amp;I CLM $ Collected]]/'[1]1.) CLM Reference'!$B$4</f>
        <v>0</v>
      </c>
      <c r="N177" s="41">
        <v>0</v>
      </c>
      <c r="O177" s="36">
        <f>[1]!Table3[[#This Row],[C&amp;I Incentive Disbursements]]/'[1]1.) CLM Reference'!$B$5</f>
        <v>0</v>
      </c>
      <c r="Q177">
        <f>VLOOKUP(Table3[[#This Row],[Census Tract]],'Population and Diversity Data'!$B$2:$K$823,10,FALSE)</f>
        <v>4</v>
      </c>
      <c r="R177" t="str">
        <f>VLOOKUP(Table3[[#This Row],[Census Tract]],'ES Energy Burden'!$B$2:$E$914,4,FALSE)</f>
        <v>No</v>
      </c>
    </row>
    <row r="178" spans="1:18" x14ac:dyDescent="0.2">
      <c r="A178" s="100">
        <v>9003510500</v>
      </c>
      <c r="B178" s="38" t="s">
        <v>2768</v>
      </c>
      <c r="C178" s="38" t="s">
        <v>944</v>
      </c>
      <c r="D178" s="40">
        <f>[1]!Table3[[#This Row],[Residential CLM $ Collected]]+[1]!Table3[[#This Row],[C&amp;I CLM $ Collected]]</f>
        <v>47422.277971200005</v>
      </c>
      <c r="E178" s="36">
        <f>[1]!Table3[[#This Row],[CLM $ Collected ]]/'[1]1.) CLM Reference'!$B$4</f>
        <v>4.2071345295465135E-4</v>
      </c>
      <c r="F178" s="40">
        <f>[1]!Table3[[#This Row],[Residential Incentive Disbursements]]+[1]!Table3[[#This Row],[C&amp;I Incentive Disbursements]]</f>
        <v>3607.91</v>
      </c>
      <c r="G178" s="36">
        <f>[1]!Table3[[#This Row],[Incentive Disbursements]]/'[1]1.) CLM Reference'!$B$5</f>
        <v>4.4141523601493431E-5</v>
      </c>
      <c r="H178" s="40">
        <v>47422.277971200005</v>
      </c>
      <c r="I178" s="36">
        <f>[1]!Table3[[#This Row],[Residential CLM $ Collected]]/'[1]1.) CLM Reference'!$B$4</f>
        <v>4.2071345295465135E-4</v>
      </c>
      <c r="J178" s="41">
        <v>3607.91</v>
      </c>
      <c r="K178" s="36">
        <f>[1]!Table3[[#This Row],[Residential Incentive Disbursements]]/'[1]1.) CLM Reference'!$B$5</f>
        <v>4.4141523601493431E-5</v>
      </c>
      <c r="L178" s="37">
        <v>0</v>
      </c>
      <c r="M178" s="36">
        <f>[1]!Table3[[#This Row],[C&amp;I CLM $ Collected]]/'[1]1.) CLM Reference'!$B$4</f>
        <v>0</v>
      </c>
      <c r="N178" s="41">
        <v>0</v>
      </c>
      <c r="O178" s="36">
        <f>[1]!Table3[[#This Row],[C&amp;I Incentive Disbursements]]/'[1]1.) CLM Reference'!$B$5</f>
        <v>0</v>
      </c>
      <c r="Q178">
        <f>VLOOKUP(Table3[[#This Row],[Census Tract]],'Population and Diversity Data'!$B$2:$K$823,10,FALSE)</f>
        <v>5</v>
      </c>
      <c r="R178" t="str">
        <f>VLOOKUP(Table3[[#This Row],[Census Tract]],'ES Energy Burden'!$B$2:$E$914,4,FALSE)</f>
        <v>No</v>
      </c>
    </row>
    <row r="179" spans="1:18" x14ac:dyDescent="0.2">
      <c r="A179" s="100">
        <v>9003510600</v>
      </c>
      <c r="B179" s="38" t="s">
        <v>2768</v>
      </c>
      <c r="C179" s="38" t="s">
        <v>944</v>
      </c>
      <c r="D179" s="40">
        <f>[1]!Table3[[#This Row],[Residential CLM $ Collected]]+[1]!Table3[[#This Row],[C&amp;I CLM $ Collected]]</f>
        <v>59338.273852800005</v>
      </c>
      <c r="E179" s="36">
        <f>[1]!Table3[[#This Row],[CLM $ Collected ]]/'[1]1.) CLM Reference'!$B$4</f>
        <v>5.2642789745657747E-4</v>
      </c>
      <c r="F179" s="40">
        <f>[1]!Table3[[#This Row],[Residential Incentive Disbursements]]+[1]!Table3[[#This Row],[C&amp;I Incentive Disbursements]]</f>
        <v>16098.58</v>
      </c>
      <c r="G179" s="36">
        <f>[1]!Table3[[#This Row],[Incentive Disbursements]]/'[1]1.) CLM Reference'!$B$5</f>
        <v>1.9696052535138906E-4</v>
      </c>
      <c r="H179" s="40">
        <v>59338.273852800005</v>
      </c>
      <c r="I179" s="36">
        <f>[1]!Table3[[#This Row],[Residential CLM $ Collected]]/'[1]1.) CLM Reference'!$B$4</f>
        <v>5.2642789745657747E-4</v>
      </c>
      <c r="J179" s="41">
        <v>16098.58</v>
      </c>
      <c r="K179" s="36">
        <f>[1]!Table3[[#This Row],[Residential Incentive Disbursements]]/'[1]1.) CLM Reference'!$B$5</f>
        <v>1.9696052535138906E-4</v>
      </c>
      <c r="L179" s="37">
        <v>0</v>
      </c>
      <c r="M179" s="36">
        <f>[1]!Table3[[#This Row],[C&amp;I CLM $ Collected]]/'[1]1.) CLM Reference'!$B$4</f>
        <v>0</v>
      </c>
      <c r="N179" s="41">
        <v>0</v>
      </c>
      <c r="O179" s="36">
        <f>[1]!Table3[[#This Row],[C&amp;I Incentive Disbursements]]/'[1]1.) CLM Reference'!$B$5</f>
        <v>0</v>
      </c>
      <c r="Q179">
        <f>VLOOKUP(Table3[[#This Row],[Census Tract]],'Population and Diversity Data'!$B$2:$K$823,10,FALSE)</f>
        <v>5</v>
      </c>
      <c r="R179" t="str">
        <f>VLOOKUP(Table3[[#This Row],[Census Tract]],'ES Energy Burden'!$B$2:$E$914,4,FALSE)</f>
        <v>No</v>
      </c>
    </row>
    <row r="180" spans="1:18" x14ac:dyDescent="0.2">
      <c r="A180" s="100">
        <v>9003510700</v>
      </c>
      <c r="B180" s="38" t="s">
        <v>2768</v>
      </c>
      <c r="C180" s="38" t="s">
        <v>944</v>
      </c>
      <c r="D180" s="40">
        <f>[1]!Table3[[#This Row],[Residential CLM $ Collected]]+[1]!Table3[[#This Row],[C&amp;I CLM $ Collected]]</f>
        <v>682247.42991647997</v>
      </c>
      <c r="E180" s="36">
        <f>[1]!Table3[[#This Row],[CLM $ Collected ]]/'[1]1.) CLM Reference'!$B$4</f>
        <v>6.052654665469997E-3</v>
      </c>
      <c r="F180" s="40">
        <f>[1]!Table3[[#This Row],[Residential Incentive Disbursements]]+[1]!Table3[[#This Row],[C&amp;I Incentive Disbursements]]</f>
        <v>698719.04249999998</v>
      </c>
      <c r="G180" s="36">
        <f>[1]!Table3[[#This Row],[Incentive Disbursements]]/'[1]1.) CLM Reference'!$B$5</f>
        <v>8.5485843896678793E-3</v>
      </c>
      <c r="H180" s="40">
        <v>98289.779944319991</v>
      </c>
      <c r="I180" s="36">
        <f>[1]!Table3[[#This Row],[Residential CLM $ Collected]]/'[1]1.) CLM Reference'!$B$4</f>
        <v>8.7199169840894311E-4</v>
      </c>
      <c r="J180" s="41">
        <v>409325.7415</v>
      </c>
      <c r="K180" s="36">
        <f>[1]!Table3[[#This Row],[Residential Incentive Disbursements]]/'[1]1.) CLM Reference'!$B$5</f>
        <v>5.0079580364036378E-3</v>
      </c>
      <c r="L180" s="37">
        <v>583957.64997216</v>
      </c>
      <c r="M180" s="36">
        <f>[1]!Table3[[#This Row],[C&amp;I CLM $ Collected]]/'[1]1.) CLM Reference'!$B$4</f>
        <v>5.1806629670610544E-3</v>
      </c>
      <c r="N180" s="41">
        <v>289393.30099999998</v>
      </c>
      <c r="O180" s="36">
        <f>[1]!Table3[[#This Row],[C&amp;I Incentive Disbursements]]/'[1]1.) CLM Reference'!$B$5</f>
        <v>3.5406263532642419E-3</v>
      </c>
      <c r="Q180">
        <f>VLOOKUP(Table3[[#This Row],[Census Tract]],'Population and Diversity Data'!$B$2:$K$823,10,FALSE)</f>
        <v>5</v>
      </c>
      <c r="R180" t="str">
        <f>VLOOKUP(Table3[[#This Row],[Census Tract]],'ES Energy Burden'!$B$2:$E$914,4,FALSE)</f>
        <v>No</v>
      </c>
    </row>
    <row r="181" spans="1:18" x14ac:dyDescent="0.2">
      <c r="A181" s="100">
        <v>9003510800</v>
      </c>
      <c r="B181" s="38" t="s">
        <v>2768</v>
      </c>
      <c r="C181" s="38" t="s">
        <v>944</v>
      </c>
      <c r="D181" s="40">
        <f>[1]!Table3[[#This Row],[Residential CLM $ Collected]]+[1]!Table3[[#This Row],[C&amp;I CLM $ Collected]]</f>
        <v>40521.756297600004</v>
      </c>
      <c r="E181" s="36">
        <f>[1]!Table3[[#This Row],[CLM $ Collected ]]/'[1]1.) CLM Reference'!$B$4</f>
        <v>3.5949449796788814E-4</v>
      </c>
      <c r="F181" s="40">
        <f>[1]!Table3[[#This Row],[Residential Incentive Disbursements]]+[1]!Table3[[#This Row],[C&amp;I Incentive Disbursements]]</f>
        <v>5767.2932000000001</v>
      </c>
      <c r="G181" s="36">
        <f>[1]!Table3[[#This Row],[Incentive Disbursements]]/'[1]1.) CLM Reference'!$B$5</f>
        <v>7.056082577019177E-5</v>
      </c>
      <c r="H181" s="40">
        <v>40521.756297600004</v>
      </c>
      <c r="I181" s="36">
        <f>[1]!Table3[[#This Row],[Residential CLM $ Collected]]/'[1]1.) CLM Reference'!$B$4</f>
        <v>3.5949449796788814E-4</v>
      </c>
      <c r="J181" s="41">
        <v>5767.2932000000001</v>
      </c>
      <c r="K181" s="36">
        <f>[1]!Table3[[#This Row],[Residential Incentive Disbursements]]/'[1]1.) CLM Reference'!$B$5</f>
        <v>7.056082577019177E-5</v>
      </c>
      <c r="L181" s="37">
        <v>0</v>
      </c>
      <c r="M181" s="36">
        <f>[1]!Table3[[#This Row],[C&amp;I CLM $ Collected]]/'[1]1.) CLM Reference'!$B$4</f>
        <v>0</v>
      </c>
      <c r="N181" s="41">
        <v>0</v>
      </c>
      <c r="O181" s="36">
        <f>[1]!Table3[[#This Row],[C&amp;I Incentive Disbursements]]/'[1]1.) CLM Reference'!$B$5</f>
        <v>0</v>
      </c>
      <c r="Q181">
        <f>VLOOKUP(Table3[[#This Row],[Census Tract]],'Population and Diversity Data'!$B$2:$K$823,10,FALSE)</f>
        <v>3</v>
      </c>
      <c r="R181" t="str">
        <f>VLOOKUP(Table3[[#This Row],[Census Tract]],'ES Energy Burden'!$B$2:$E$914,4,FALSE)</f>
        <v>No</v>
      </c>
    </row>
    <row r="182" spans="1:18" x14ac:dyDescent="0.2">
      <c r="A182" s="100">
        <v>9003510900</v>
      </c>
      <c r="B182" s="38" t="s">
        <v>2768</v>
      </c>
      <c r="C182" s="38" t="s">
        <v>944</v>
      </c>
      <c r="D182" s="40">
        <f>[1]!Table3[[#This Row],[Residential CLM $ Collected]]+[1]!Table3[[#This Row],[C&amp;I CLM $ Collected]]</f>
        <v>56760.885907200005</v>
      </c>
      <c r="E182" s="36">
        <f>[1]!Table3[[#This Row],[CLM $ Collected ]]/'[1]1.) CLM Reference'!$B$4</f>
        <v>5.0356223539674142E-4</v>
      </c>
      <c r="F182" s="40">
        <f>[1]!Table3[[#This Row],[Residential Incentive Disbursements]]+[1]!Table3[[#This Row],[C&amp;I Incentive Disbursements]]</f>
        <v>28094.3</v>
      </c>
      <c r="G182" s="36">
        <f>[1]!Table3[[#This Row],[Incentive Disbursements]]/'[1]1.) CLM Reference'!$B$5</f>
        <v>3.4372398605215674E-4</v>
      </c>
      <c r="H182" s="40">
        <v>56760.885907200005</v>
      </c>
      <c r="I182" s="36">
        <f>[1]!Table3[[#This Row],[Residential CLM $ Collected]]/'[1]1.) CLM Reference'!$B$4</f>
        <v>5.0356223539674142E-4</v>
      </c>
      <c r="J182" s="41">
        <v>28094.3</v>
      </c>
      <c r="K182" s="36">
        <f>[1]!Table3[[#This Row],[Residential Incentive Disbursements]]/'[1]1.) CLM Reference'!$B$5</f>
        <v>3.4372398605215674E-4</v>
      </c>
      <c r="L182" s="37">
        <v>0</v>
      </c>
      <c r="M182" s="36">
        <f>[1]!Table3[[#This Row],[C&amp;I CLM $ Collected]]/'[1]1.) CLM Reference'!$B$4</f>
        <v>0</v>
      </c>
      <c r="N182" s="41">
        <v>0</v>
      </c>
      <c r="O182" s="36">
        <f>[1]!Table3[[#This Row],[C&amp;I Incentive Disbursements]]/'[1]1.) CLM Reference'!$B$5</f>
        <v>0</v>
      </c>
      <c r="Q182">
        <f>VLOOKUP(Table3[[#This Row],[Census Tract]],'Population and Diversity Data'!$B$2:$K$823,10,FALSE)</f>
        <v>4</v>
      </c>
      <c r="R182" t="str">
        <f>VLOOKUP(Table3[[#This Row],[Census Tract]],'ES Energy Burden'!$B$2:$E$914,4,FALSE)</f>
        <v>No</v>
      </c>
    </row>
    <row r="183" spans="1:18" x14ac:dyDescent="0.2">
      <c r="A183" s="100">
        <v>9003511000</v>
      </c>
      <c r="B183" s="38" t="s">
        <v>2768</v>
      </c>
      <c r="C183" s="38" t="s">
        <v>944</v>
      </c>
      <c r="D183" s="40">
        <f>[1]!Table3[[#This Row],[Residential CLM $ Collected]]+[1]!Table3[[#This Row],[C&amp;I CLM $ Collected]]</f>
        <v>52835.4427392</v>
      </c>
      <c r="E183" s="36">
        <f>[1]!Table3[[#This Row],[CLM $ Collected ]]/'[1]1.) CLM Reference'!$B$4</f>
        <v>4.6873711057693644E-4</v>
      </c>
      <c r="F183" s="40">
        <f>[1]!Table3[[#This Row],[Residential Incentive Disbursements]]+[1]!Table3[[#This Row],[C&amp;I Incentive Disbursements]]</f>
        <v>18406.3269</v>
      </c>
      <c r="G183" s="36">
        <f>[1]!Table3[[#This Row],[Incentive Disbursements]]/'[1]1.) CLM Reference'!$B$5</f>
        <v>2.2519500577152795E-4</v>
      </c>
      <c r="H183" s="40">
        <v>52835.4427392</v>
      </c>
      <c r="I183" s="36">
        <f>[1]!Table3[[#This Row],[Residential CLM $ Collected]]/'[1]1.) CLM Reference'!$B$4</f>
        <v>4.6873711057693644E-4</v>
      </c>
      <c r="J183" s="41">
        <v>18406.3269</v>
      </c>
      <c r="K183" s="36">
        <f>[1]!Table3[[#This Row],[Residential Incentive Disbursements]]/'[1]1.) CLM Reference'!$B$5</f>
        <v>2.2519500577152795E-4</v>
      </c>
      <c r="L183" s="37">
        <v>0</v>
      </c>
      <c r="M183" s="36">
        <f>[1]!Table3[[#This Row],[C&amp;I CLM $ Collected]]/'[1]1.) CLM Reference'!$B$4</f>
        <v>0</v>
      </c>
      <c r="N183" s="41">
        <v>0</v>
      </c>
      <c r="O183" s="36">
        <f>[1]!Table3[[#This Row],[C&amp;I Incentive Disbursements]]/'[1]1.) CLM Reference'!$B$5</f>
        <v>0</v>
      </c>
      <c r="Q183">
        <f>VLOOKUP(Table3[[#This Row],[Census Tract]],'Population and Diversity Data'!$B$2:$K$823,10,FALSE)</f>
        <v>4</v>
      </c>
      <c r="R183" t="str">
        <f>VLOOKUP(Table3[[#This Row],[Census Tract]],'ES Energy Burden'!$B$2:$E$914,4,FALSE)</f>
        <v>No</v>
      </c>
    </row>
    <row r="184" spans="1:18" x14ac:dyDescent="0.2">
      <c r="A184" s="100">
        <v>9003511100</v>
      </c>
      <c r="B184" s="38" t="s">
        <v>2768</v>
      </c>
      <c r="C184" s="38" t="s">
        <v>944</v>
      </c>
      <c r="D184" s="40">
        <f>[1]!Table3[[#This Row],[Residential CLM $ Collected]]+[1]!Table3[[#This Row],[C&amp;I CLM $ Collected]]</f>
        <v>56665.462170240004</v>
      </c>
      <c r="E184" s="36">
        <f>[1]!Table3[[#This Row],[CLM $ Collected ]]/'[1]1.) CLM Reference'!$B$4</f>
        <v>5.0271567020443539E-4</v>
      </c>
      <c r="F184" s="40">
        <f>[1]!Table3[[#This Row],[Residential Incentive Disbursements]]+[1]!Table3[[#This Row],[C&amp;I Incentive Disbursements]]</f>
        <v>32384.834299999999</v>
      </c>
      <c r="G184" s="36">
        <f>[1]!Table3[[#This Row],[Incentive Disbursements]]/'[1]1.) CLM Reference'!$B$5</f>
        <v>3.9621718046844404E-4</v>
      </c>
      <c r="H184" s="40">
        <v>56665.462170240004</v>
      </c>
      <c r="I184" s="36">
        <f>[1]!Table3[[#This Row],[Residential CLM $ Collected]]/'[1]1.) CLM Reference'!$B$4</f>
        <v>5.0271567020443539E-4</v>
      </c>
      <c r="J184" s="41">
        <v>32384.834299999999</v>
      </c>
      <c r="K184" s="36">
        <f>[1]!Table3[[#This Row],[Residential Incentive Disbursements]]/'[1]1.) CLM Reference'!$B$5</f>
        <v>3.9621718046844404E-4</v>
      </c>
      <c r="L184" s="37">
        <v>0</v>
      </c>
      <c r="M184" s="36">
        <f>[1]!Table3[[#This Row],[C&amp;I CLM $ Collected]]/'[1]1.) CLM Reference'!$B$4</f>
        <v>0</v>
      </c>
      <c r="N184" s="41">
        <v>0</v>
      </c>
      <c r="O184" s="36">
        <f>[1]!Table3[[#This Row],[C&amp;I Incentive Disbursements]]/'[1]1.) CLM Reference'!$B$5</f>
        <v>0</v>
      </c>
      <c r="Q184">
        <f>VLOOKUP(Table3[[#This Row],[Census Tract]],'Population and Diversity Data'!$B$2:$K$823,10,FALSE)</f>
        <v>4</v>
      </c>
      <c r="R184" t="str">
        <f>VLOOKUP(Table3[[#This Row],[Census Tract]],'ES Energy Burden'!$B$2:$E$914,4,FALSE)</f>
        <v>No</v>
      </c>
    </row>
    <row r="185" spans="1:18" x14ac:dyDescent="0.2">
      <c r="A185" s="100">
        <v>9003511200</v>
      </c>
      <c r="B185" s="38" t="s">
        <v>2768</v>
      </c>
      <c r="C185" s="38" t="s">
        <v>944</v>
      </c>
      <c r="D185" s="40">
        <f>[1]!Table3[[#This Row],[Residential CLM $ Collected]]+[1]!Table3[[#This Row],[C&amp;I CLM $ Collected]]</f>
        <v>37711.687535999998</v>
      </c>
      <c r="E185" s="36">
        <f>[1]!Table3[[#This Row],[CLM $ Collected ]]/'[1]1.) CLM Reference'!$B$4</f>
        <v>3.3456457510651225E-4</v>
      </c>
      <c r="F185" s="40">
        <f>[1]!Table3[[#This Row],[Residential Incentive Disbursements]]+[1]!Table3[[#This Row],[C&amp;I Incentive Disbursements]]</f>
        <v>16579.5</v>
      </c>
      <c r="G185" s="36">
        <f>[1]!Table3[[#This Row],[Incentive Disbursements]]/'[1]1.) CLM Reference'!$B$5</f>
        <v>2.0284441423177416E-4</v>
      </c>
      <c r="H185" s="40">
        <v>37711.687535999998</v>
      </c>
      <c r="I185" s="36">
        <f>[1]!Table3[[#This Row],[Residential CLM $ Collected]]/'[1]1.) CLM Reference'!$B$4</f>
        <v>3.3456457510651225E-4</v>
      </c>
      <c r="J185" s="41">
        <v>16579.5</v>
      </c>
      <c r="K185" s="36">
        <f>[1]!Table3[[#This Row],[Residential Incentive Disbursements]]/'[1]1.) CLM Reference'!$B$5</f>
        <v>2.0284441423177416E-4</v>
      </c>
      <c r="L185" s="37">
        <v>0</v>
      </c>
      <c r="M185" s="36">
        <f>[1]!Table3[[#This Row],[C&amp;I CLM $ Collected]]/'[1]1.) CLM Reference'!$B$4</f>
        <v>0</v>
      </c>
      <c r="N185" s="41">
        <v>0</v>
      </c>
      <c r="O185" s="36">
        <f>[1]!Table3[[#This Row],[C&amp;I Incentive Disbursements]]/'[1]1.) CLM Reference'!$B$5</f>
        <v>0</v>
      </c>
      <c r="Q185">
        <f>VLOOKUP(Table3[[#This Row],[Census Tract]],'Population and Diversity Data'!$B$2:$K$823,10,FALSE)</f>
        <v>5</v>
      </c>
      <c r="R185" t="str">
        <f>VLOOKUP(Table3[[#This Row],[Census Tract]],'ES Energy Burden'!$B$2:$E$914,4,FALSE)</f>
        <v>No</v>
      </c>
    </row>
    <row r="186" spans="1:18" x14ac:dyDescent="0.2">
      <c r="A186" s="100">
        <v>9003511300</v>
      </c>
      <c r="B186" s="38" t="s">
        <v>2768</v>
      </c>
      <c r="C186" s="38" t="s">
        <v>944</v>
      </c>
      <c r="D186" s="40">
        <f>[1]!Table3[[#This Row],[Residential CLM $ Collected]]+[1]!Table3[[#This Row],[C&amp;I CLM $ Collected]]</f>
        <v>38897.82654912</v>
      </c>
      <c r="E186" s="36">
        <f>[1]!Table3[[#This Row],[CLM $ Collected ]]/'[1]1.) CLM Reference'!$B$4</f>
        <v>3.4508757529214232E-4</v>
      </c>
      <c r="F186" s="40">
        <f>[1]!Table3[[#This Row],[Residential Incentive Disbursements]]+[1]!Table3[[#This Row],[C&amp;I Incentive Disbursements]]</f>
        <v>21005.37</v>
      </c>
      <c r="G186" s="36">
        <f>[1]!Table3[[#This Row],[Incentive Disbursements]]/'[1]1.) CLM Reference'!$B$5</f>
        <v>2.5699339385214763E-4</v>
      </c>
      <c r="H186" s="40">
        <v>38897.82654912</v>
      </c>
      <c r="I186" s="36">
        <f>[1]!Table3[[#This Row],[Residential CLM $ Collected]]/'[1]1.) CLM Reference'!$B$4</f>
        <v>3.4508757529214232E-4</v>
      </c>
      <c r="J186" s="41">
        <v>21005.37</v>
      </c>
      <c r="K186" s="36">
        <f>[1]!Table3[[#This Row],[Residential Incentive Disbursements]]/'[1]1.) CLM Reference'!$B$5</f>
        <v>2.5699339385214763E-4</v>
      </c>
      <c r="L186" s="37">
        <v>0</v>
      </c>
      <c r="M186" s="36">
        <f>[1]!Table3[[#This Row],[C&amp;I CLM $ Collected]]/'[1]1.) CLM Reference'!$B$4</f>
        <v>0</v>
      </c>
      <c r="N186" s="41">
        <v>0</v>
      </c>
      <c r="O186" s="36">
        <f>[1]!Table3[[#This Row],[C&amp;I Incentive Disbursements]]/'[1]1.) CLM Reference'!$B$5</f>
        <v>0</v>
      </c>
      <c r="Q186">
        <f>VLOOKUP(Table3[[#This Row],[Census Tract]],'Population and Diversity Data'!$B$2:$K$823,10,FALSE)</f>
        <v>4</v>
      </c>
      <c r="R186" t="str">
        <f>VLOOKUP(Table3[[#This Row],[Census Tract]],'ES Energy Burden'!$B$2:$E$914,4,FALSE)</f>
        <v>No</v>
      </c>
    </row>
    <row r="187" spans="1:18" x14ac:dyDescent="0.2">
      <c r="A187" s="100">
        <v>9003511400</v>
      </c>
      <c r="B187" s="38" t="s">
        <v>2768</v>
      </c>
      <c r="C187" s="38" t="s">
        <v>944</v>
      </c>
      <c r="D187" s="40">
        <f>[1]!Table3[[#This Row],[Residential CLM $ Collected]]+[1]!Table3[[#This Row],[C&amp;I CLM $ Collected]]</f>
        <v>33981.297984000004</v>
      </c>
      <c r="E187" s="36">
        <f>[1]!Table3[[#This Row],[CLM $ Collected ]]/'[1]1.) CLM Reference'!$B$4</f>
        <v>3.0146989605627769E-4</v>
      </c>
      <c r="F187" s="40">
        <f>[1]!Table3[[#This Row],[Residential Incentive Disbursements]]+[1]!Table3[[#This Row],[C&amp;I Incentive Disbursements]]</f>
        <v>15077.28</v>
      </c>
      <c r="G187" s="36">
        <f>[1]!Table3[[#This Row],[Incentive Disbursements]]/'[1]1.) CLM Reference'!$B$5</f>
        <v>1.8446527517768595E-4</v>
      </c>
      <c r="H187" s="40">
        <v>33981.297984000004</v>
      </c>
      <c r="I187" s="36">
        <f>[1]!Table3[[#This Row],[Residential CLM $ Collected]]/'[1]1.) CLM Reference'!$B$4</f>
        <v>3.0146989605627769E-4</v>
      </c>
      <c r="J187" s="41">
        <v>15077.28</v>
      </c>
      <c r="K187" s="36">
        <f>[1]!Table3[[#This Row],[Residential Incentive Disbursements]]/'[1]1.) CLM Reference'!$B$5</f>
        <v>1.8446527517768595E-4</v>
      </c>
      <c r="L187" s="37">
        <v>0</v>
      </c>
      <c r="M187" s="36">
        <f>[1]!Table3[[#This Row],[C&amp;I CLM $ Collected]]/'[1]1.) CLM Reference'!$B$4</f>
        <v>0</v>
      </c>
      <c r="N187" s="41">
        <v>0</v>
      </c>
      <c r="O187" s="36">
        <f>[1]!Table3[[#This Row],[C&amp;I Incentive Disbursements]]/'[1]1.) CLM Reference'!$B$5</f>
        <v>0</v>
      </c>
      <c r="Q187">
        <f>VLOOKUP(Table3[[#This Row],[Census Tract]],'Population and Diversity Data'!$B$2:$K$823,10,FALSE)</f>
        <v>4</v>
      </c>
      <c r="R187" t="str">
        <f>VLOOKUP(Table3[[#This Row],[Census Tract]],'ES Energy Burden'!$B$2:$E$914,4,FALSE)</f>
        <v>No</v>
      </c>
    </row>
    <row r="188" spans="1:18" x14ac:dyDescent="0.2">
      <c r="A188" s="100">
        <v>9003514102</v>
      </c>
      <c r="B188" s="38" t="s">
        <v>2768</v>
      </c>
      <c r="C188" s="38" t="s">
        <v>944</v>
      </c>
      <c r="D188" s="40">
        <f>[1]!Table3[[#This Row],[Residential CLM $ Collected]]+[1]!Table3[[#This Row],[C&amp;I CLM $ Collected]]</f>
        <v>1951.9243142400001</v>
      </c>
      <c r="E188" s="36">
        <f>[1]!Table3[[#This Row],[CLM $ Collected ]]/'[1]1.) CLM Reference'!$B$4</f>
        <v>1.731677290257489E-5</v>
      </c>
      <c r="F188" s="40">
        <f>[1]!Table3[[#This Row],[Residential Incentive Disbursements]]+[1]!Table3[[#This Row],[C&amp;I Incentive Disbursements]]</f>
        <v>0</v>
      </c>
      <c r="G188" s="36">
        <f>[1]!Table3[[#This Row],[Incentive Disbursements]]/'[1]1.) CLM Reference'!$B$5</f>
        <v>0</v>
      </c>
      <c r="H188" s="40">
        <v>1951.9243142400001</v>
      </c>
      <c r="I188" s="36">
        <f>[1]!Table3[[#This Row],[Residential CLM $ Collected]]/'[1]1.) CLM Reference'!$B$4</f>
        <v>1.731677290257489E-5</v>
      </c>
      <c r="J188" s="41">
        <v>0</v>
      </c>
      <c r="K188" s="36">
        <f>[1]!Table3[[#This Row],[Residential Incentive Disbursements]]/'[1]1.) CLM Reference'!$B$5</f>
        <v>0</v>
      </c>
      <c r="L188" s="37">
        <v>0</v>
      </c>
      <c r="M188" s="36">
        <f>[1]!Table3[[#This Row],[C&amp;I CLM $ Collected]]/'[1]1.) CLM Reference'!$B$4</f>
        <v>0</v>
      </c>
      <c r="N188" s="41">
        <v>0</v>
      </c>
      <c r="O188" s="36">
        <f>[1]!Table3[[#This Row],[C&amp;I Incentive Disbursements]]/'[1]1.) CLM Reference'!$B$5</f>
        <v>0</v>
      </c>
      <c r="Q188">
        <f>VLOOKUP(Table3[[#This Row],[Census Tract]],'Population and Diversity Data'!$B$2:$K$823,10,FALSE)</f>
        <v>5</v>
      </c>
      <c r="R188" t="str">
        <f>VLOOKUP(Table3[[#This Row],[Census Tract]],'ES Energy Burden'!$B$2:$E$914,4,FALSE)</f>
        <v>No</v>
      </c>
    </row>
    <row r="189" spans="1:18" x14ac:dyDescent="0.2">
      <c r="A189" s="100">
        <v>9011695202</v>
      </c>
      <c r="B189" s="38" t="s">
        <v>2769</v>
      </c>
      <c r="C189" s="38" t="s">
        <v>944</v>
      </c>
      <c r="D189" s="40">
        <f>[1]!Table3[[#This Row],[Residential CLM $ Collected]]+[1]!Table3[[#This Row],[C&amp;I CLM $ Collected]]</f>
        <v>70.605993600000005</v>
      </c>
      <c r="E189" s="36">
        <f>[1]!Table3[[#This Row],[CLM $ Collected ]]/'[1]1.) CLM Reference'!$B$4</f>
        <v>6.2639106845078325E-7</v>
      </c>
      <c r="F189" s="40">
        <f>[1]!Table3[[#This Row],[Residential Incentive Disbursements]]+[1]!Table3[[#This Row],[C&amp;I Incentive Disbursements]]</f>
        <v>0</v>
      </c>
      <c r="G189" s="36">
        <f>[1]!Table3[[#This Row],[Incentive Disbursements]]/'[1]1.) CLM Reference'!$B$5</f>
        <v>0</v>
      </c>
      <c r="H189" s="40">
        <v>70.605993600000005</v>
      </c>
      <c r="I189" s="36">
        <f>[1]!Table3[[#This Row],[Residential CLM $ Collected]]/'[1]1.) CLM Reference'!$B$4</f>
        <v>6.2639106845078325E-7</v>
      </c>
      <c r="J189" s="41">
        <v>0</v>
      </c>
      <c r="K189" s="36">
        <f>[1]!Table3[[#This Row],[Residential Incentive Disbursements]]/'[1]1.) CLM Reference'!$B$5</f>
        <v>0</v>
      </c>
      <c r="L189" s="37">
        <v>0</v>
      </c>
      <c r="M189" s="36">
        <f>[1]!Table3[[#This Row],[C&amp;I CLM $ Collected]]/'[1]1.) CLM Reference'!$B$4</f>
        <v>0</v>
      </c>
      <c r="N189" s="41">
        <v>0</v>
      </c>
      <c r="O189" s="36">
        <f>[1]!Table3[[#This Row],[C&amp;I Incentive Disbursements]]/'[1]1.) CLM Reference'!$B$5</f>
        <v>0</v>
      </c>
      <c r="Q189">
        <f>VLOOKUP(Table3[[#This Row],[Census Tract]],'Population and Diversity Data'!$B$2:$K$823,10,FALSE)</f>
        <v>3</v>
      </c>
      <c r="R189" t="str">
        <f>VLOOKUP(Table3[[#This Row],[Census Tract]],'ES Energy Burden'!$B$2:$E$914,4,FALSE)</f>
        <v>No</v>
      </c>
    </row>
    <row r="190" spans="1:18" x14ac:dyDescent="0.2">
      <c r="A190" s="100">
        <v>9011716101</v>
      </c>
      <c r="B190" s="38" t="s">
        <v>2769</v>
      </c>
      <c r="C190" s="38" t="s">
        <v>944</v>
      </c>
      <c r="D190" s="40">
        <f>[1]!Table3[[#This Row],[Residential CLM $ Collected]]+[1]!Table3[[#This Row],[C&amp;I CLM $ Collected]]</f>
        <v>94268.427937920002</v>
      </c>
      <c r="E190" s="36">
        <f>[1]!Table3[[#This Row],[CLM $ Collected ]]/'[1]1.) CLM Reference'!$B$4</f>
        <v>8.3631570475072774E-4</v>
      </c>
      <c r="F190" s="40">
        <f>[1]!Table3[[#This Row],[Residential Incentive Disbursements]]+[1]!Table3[[#This Row],[C&amp;I Incentive Disbursements]]</f>
        <v>40280.123399999997</v>
      </c>
      <c r="G190" s="36">
        <f>[1]!Table3[[#This Row],[Incentive Disbursements]]/'[1]1.) CLM Reference'!$B$5</f>
        <v>4.928132957119683E-4</v>
      </c>
      <c r="H190" s="40">
        <v>94268.427937920002</v>
      </c>
      <c r="I190" s="36">
        <f>[1]!Table3[[#This Row],[Residential CLM $ Collected]]/'[1]1.) CLM Reference'!$B$4</f>
        <v>8.3631570475072774E-4</v>
      </c>
      <c r="J190" s="41">
        <v>40280.123399999997</v>
      </c>
      <c r="K190" s="36">
        <f>[1]!Table3[[#This Row],[Residential Incentive Disbursements]]/'[1]1.) CLM Reference'!$B$5</f>
        <v>4.928132957119683E-4</v>
      </c>
      <c r="L190" s="37">
        <v>0</v>
      </c>
      <c r="M190" s="36">
        <f>[1]!Table3[[#This Row],[C&amp;I CLM $ Collected]]/'[1]1.) CLM Reference'!$B$4</f>
        <v>0</v>
      </c>
      <c r="N190" s="41">
        <v>0</v>
      </c>
      <c r="O190" s="36">
        <f>[1]!Table3[[#This Row],[C&amp;I Incentive Disbursements]]/'[1]1.) CLM Reference'!$B$5</f>
        <v>0</v>
      </c>
      <c r="Q190">
        <f>VLOOKUP(Table3[[#This Row],[Census Tract]],'Population and Diversity Data'!$B$2:$K$823,10,FALSE)</f>
        <v>5</v>
      </c>
      <c r="R190" t="str">
        <f>VLOOKUP(Table3[[#This Row],[Census Tract]],'ES Energy Burden'!$B$2:$E$914,4,FALSE)</f>
        <v>No</v>
      </c>
    </row>
    <row r="191" spans="1:18" x14ac:dyDescent="0.2">
      <c r="A191" s="100">
        <v>9011716102</v>
      </c>
      <c r="B191" s="38" t="s">
        <v>2769</v>
      </c>
      <c r="C191" s="38" t="s">
        <v>944</v>
      </c>
      <c r="D191" s="40">
        <f>[1]!Table3[[#This Row],[Residential CLM $ Collected]]+[1]!Table3[[#This Row],[C&amp;I CLM $ Collected]]</f>
        <v>255083.41237536</v>
      </c>
      <c r="E191" s="36">
        <f>[1]!Table3[[#This Row],[CLM $ Collected ]]/'[1]1.) CLM Reference'!$B$4</f>
        <v>2.2630086069898958E-3</v>
      </c>
      <c r="F191" s="40">
        <f>[1]!Table3[[#This Row],[Residential Incentive Disbursements]]+[1]!Table3[[#This Row],[C&amp;I Incentive Disbursements]]</f>
        <v>240683.9578</v>
      </c>
      <c r="G191" s="36">
        <f>[1]!Table3[[#This Row],[Incentive Disbursements]]/'[1]1.) CLM Reference'!$B$5</f>
        <v>2.9446844859571191E-3</v>
      </c>
      <c r="H191" s="40">
        <v>138124.48498847999</v>
      </c>
      <c r="I191" s="36">
        <f>[1]!Table3[[#This Row],[Residential CLM $ Collected]]/'[1]1.) CLM Reference'!$B$4</f>
        <v>1.2253909239108584E-3</v>
      </c>
      <c r="J191" s="41">
        <v>220651.68780000001</v>
      </c>
      <c r="K191" s="36">
        <f>[1]!Table3[[#This Row],[Residential Incentive Disbursements]]/'[1]1.) CLM Reference'!$B$5</f>
        <v>2.6995966320482109E-3</v>
      </c>
      <c r="L191" s="37">
        <v>116958.92738688001</v>
      </c>
      <c r="M191" s="36">
        <f>[1]!Table3[[#This Row],[C&amp;I CLM $ Collected]]/'[1]1.) CLM Reference'!$B$4</f>
        <v>1.0376176830790374E-3</v>
      </c>
      <c r="N191" s="41">
        <v>20032.27</v>
      </c>
      <c r="O191" s="36">
        <f>[1]!Table3[[#This Row],[C&amp;I Incentive Disbursements]]/'[1]1.) CLM Reference'!$B$5</f>
        <v>2.4508785390890816E-4</v>
      </c>
      <c r="Q191">
        <f>VLOOKUP(Table3[[#This Row],[Census Tract]],'Population and Diversity Data'!$B$2:$K$823,10,FALSE)</f>
        <v>4</v>
      </c>
      <c r="R191" t="str">
        <f>VLOOKUP(Table3[[#This Row],[Census Tract]],'ES Energy Burden'!$B$2:$E$914,4,FALSE)</f>
        <v>No</v>
      </c>
    </row>
    <row r="192" spans="1:18" x14ac:dyDescent="0.2">
      <c r="A192" s="100">
        <v>9011870701</v>
      </c>
      <c r="B192" s="38" t="s">
        <v>2769</v>
      </c>
      <c r="C192" s="38" t="s">
        <v>944</v>
      </c>
      <c r="D192" s="40">
        <f>[1]!Table3[[#This Row],[Residential CLM $ Collected]]+[1]!Table3[[#This Row],[C&amp;I CLM $ Collected]]</f>
        <v>50602.6302192</v>
      </c>
      <c r="E192" s="36">
        <f>[1]!Table3[[#This Row],[CLM $ Collected ]]/'[1]1.) CLM Reference'!$B$4</f>
        <v>4.4892839818947865E-4</v>
      </c>
      <c r="F192" s="40">
        <f>[1]!Table3[[#This Row],[Residential Incentive Disbursements]]+[1]!Table3[[#This Row],[C&amp;I Incentive Disbursements]]</f>
        <v>7191.9422999999997</v>
      </c>
      <c r="G192" s="36">
        <f>[1]!Table3[[#This Row],[Incentive Disbursements]]/'[1]1.) CLM Reference'!$B$5</f>
        <v>8.7990911850913396E-5</v>
      </c>
      <c r="H192" s="40">
        <v>50602.6302192</v>
      </c>
      <c r="I192" s="36">
        <f>[1]!Table3[[#This Row],[Residential CLM $ Collected]]/'[1]1.) CLM Reference'!$B$4</f>
        <v>4.4892839818947865E-4</v>
      </c>
      <c r="J192" s="41">
        <v>7191.9422999999997</v>
      </c>
      <c r="K192" s="36">
        <f>[1]!Table3[[#This Row],[Residential Incentive Disbursements]]/'[1]1.) CLM Reference'!$B$5</f>
        <v>8.7990911850913396E-5</v>
      </c>
      <c r="L192" s="37">
        <v>0</v>
      </c>
      <c r="M192" s="36">
        <f>[1]!Table3[[#This Row],[C&amp;I CLM $ Collected]]/'[1]1.) CLM Reference'!$B$4</f>
        <v>0</v>
      </c>
      <c r="N192" s="41">
        <v>0</v>
      </c>
      <c r="O192" s="36">
        <f>[1]!Table3[[#This Row],[C&amp;I Incentive Disbursements]]/'[1]1.) CLM Reference'!$B$5</f>
        <v>0</v>
      </c>
      <c r="Q192">
        <f>VLOOKUP(Table3[[#This Row],[Census Tract]],'Population and Diversity Data'!$B$2:$K$823,10,FALSE)</f>
        <v>3</v>
      </c>
      <c r="R192" t="str">
        <f>VLOOKUP(Table3[[#This Row],[Census Tract]],'ES Energy Burden'!$B$2:$E$914,4,FALSE)</f>
        <v>No</v>
      </c>
    </row>
    <row r="193" spans="1:18" x14ac:dyDescent="0.2">
      <c r="A193" s="100">
        <v>9011870703</v>
      </c>
      <c r="B193" s="38" t="s">
        <v>2769</v>
      </c>
      <c r="C193" s="38" t="s">
        <v>944</v>
      </c>
      <c r="D193" s="40">
        <f>[1]!Table3[[#This Row],[Residential CLM $ Collected]]+[1]!Table3[[#This Row],[C&amp;I CLM $ Collected]]</f>
        <v>42616.216497600006</v>
      </c>
      <c r="E193" s="36">
        <f>[1]!Table3[[#This Row],[CLM $ Collected ]]/'[1]1.) CLM Reference'!$B$4</f>
        <v>3.7807579816087405E-4</v>
      </c>
      <c r="F193" s="40">
        <f>[1]!Table3[[#This Row],[Residential Incentive Disbursements]]+[1]!Table3[[#This Row],[C&amp;I Incentive Disbursements]]</f>
        <v>14608.0656</v>
      </c>
      <c r="G193" s="36">
        <f>[1]!Table3[[#This Row],[Incentive Disbursements]]/'[1]1.) CLM Reference'!$B$5</f>
        <v>1.787246002407389E-4</v>
      </c>
      <c r="H193" s="40">
        <v>42616.216497600006</v>
      </c>
      <c r="I193" s="36">
        <f>[1]!Table3[[#This Row],[Residential CLM $ Collected]]/'[1]1.) CLM Reference'!$B$4</f>
        <v>3.7807579816087405E-4</v>
      </c>
      <c r="J193" s="41">
        <v>14608.0656</v>
      </c>
      <c r="K193" s="36">
        <f>[1]!Table3[[#This Row],[Residential Incentive Disbursements]]/'[1]1.) CLM Reference'!$B$5</f>
        <v>1.787246002407389E-4</v>
      </c>
      <c r="L193" s="37">
        <v>0</v>
      </c>
      <c r="M193" s="36">
        <f>[1]!Table3[[#This Row],[C&amp;I CLM $ Collected]]/'[1]1.) CLM Reference'!$B$4</f>
        <v>0</v>
      </c>
      <c r="N193" s="41">
        <v>0</v>
      </c>
      <c r="O193" s="36">
        <f>[1]!Table3[[#This Row],[C&amp;I Incentive Disbursements]]/'[1]1.) CLM Reference'!$B$5</f>
        <v>0</v>
      </c>
      <c r="Q193">
        <f>VLOOKUP(Table3[[#This Row],[Census Tract]],'Population and Diversity Data'!$B$2:$K$823,10,FALSE)</f>
        <v>4</v>
      </c>
      <c r="R193" t="str">
        <f>VLOOKUP(Table3[[#This Row],[Census Tract]],'ES Energy Burden'!$B$2:$E$914,4,FALSE)</f>
        <v>No</v>
      </c>
    </row>
    <row r="194" spans="1:18" x14ac:dyDescent="0.2">
      <c r="A194" s="100">
        <v>9011870704</v>
      </c>
      <c r="B194" s="38" t="s">
        <v>2769</v>
      </c>
      <c r="C194" s="38" t="s">
        <v>944</v>
      </c>
      <c r="D194" s="40">
        <f>[1]!Table3[[#This Row],[Residential CLM $ Collected]]+[1]!Table3[[#This Row],[C&amp;I CLM $ Collected]]</f>
        <v>110586.99898655999</v>
      </c>
      <c r="E194" s="36">
        <f>[1]!Table3[[#This Row],[CLM $ Collected ]]/'[1]1.) CLM Reference'!$B$4</f>
        <v>9.8108821815315393E-4</v>
      </c>
      <c r="F194" s="40">
        <f>[1]!Table3[[#This Row],[Residential Incentive Disbursements]]+[1]!Table3[[#This Row],[C&amp;I Incentive Disbursements]]</f>
        <v>67520.932400000005</v>
      </c>
      <c r="G194" s="36">
        <f>[1]!Table3[[#This Row],[Incentive Disbursements]]/'[1]1.) CLM Reference'!$B$5</f>
        <v>8.2609511632203761E-4</v>
      </c>
      <c r="H194" s="40">
        <v>110586.99898655999</v>
      </c>
      <c r="I194" s="36">
        <f>[1]!Table3[[#This Row],[Residential CLM $ Collected]]/'[1]1.) CLM Reference'!$B$4</f>
        <v>9.8108821815315393E-4</v>
      </c>
      <c r="J194" s="41">
        <v>67520.932400000005</v>
      </c>
      <c r="K194" s="36">
        <f>[1]!Table3[[#This Row],[Residential Incentive Disbursements]]/'[1]1.) CLM Reference'!$B$5</f>
        <v>8.2609511632203761E-4</v>
      </c>
      <c r="L194" s="37">
        <v>0</v>
      </c>
      <c r="M194" s="36">
        <f>[1]!Table3[[#This Row],[C&amp;I CLM $ Collected]]/'[1]1.) CLM Reference'!$B$4</f>
        <v>0</v>
      </c>
      <c r="N194" s="41">
        <v>0</v>
      </c>
      <c r="O194" s="36">
        <f>[1]!Table3[[#This Row],[C&amp;I Incentive Disbursements]]/'[1]1.) CLM Reference'!$B$5</f>
        <v>0</v>
      </c>
      <c r="Q194">
        <f>VLOOKUP(Table3[[#This Row],[Census Tract]],'Population and Diversity Data'!$B$2:$K$823,10,FALSE)</f>
        <v>4</v>
      </c>
      <c r="R194" t="str">
        <f>VLOOKUP(Table3[[#This Row],[Census Tract]],'ES Energy Burden'!$B$2:$E$914,4,FALSE)</f>
        <v>No</v>
      </c>
    </row>
    <row r="195" spans="1:18" x14ac:dyDescent="0.2">
      <c r="A195" s="100">
        <v>9003484100</v>
      </c>
      <c r="B195" s="38" t="s">
        <v>2770</v>
      </c>
      <c r="C195" s="38" t="s">
        <v>944</v>
      </c>
      <c r="D195" s="40">
        <f>[1]!Table3[[#This Row],[Residential CLM $ Collected]]+[1]!Table3[[#This Row],[C&amp;I CLM $ Collected]]</f>
        <v>173372.84362080001</v>
      </c>
      <c r="E195" s="36">
        <f>[1]!Table3[[#This Row],[CLM $ Collected ]]/'[1]1.) CLM Reference'!$B$4</f>
        <v>1.5381017278961353E-3</v>
      </c>
      <c r="F195" s="40">
        <f>[1]!Table3[[#This Row],[Residential Incentive Disbursements]]+[1]!Table3[[#This Row],[C&amp;I Incentive Disbursements]]</f>
        <v>304630.3566</v>
      </c>
      <c r="G195" s="36">
        <f>[1]!Table3[[#This Row],[Incentive Disbursements]]/'[1]1.) CLM Reference'!$B$5</f>
        <v>3.7270464273194896E-3</v>
      </c>
      <c r="H195" s="40">
        <v>108316.02669695999</v>
      </c>
      <c r="I195" s="36">
        <f>[1]!Table3[[#This Row],[Residential CLM $ Collected]]/'[1]1.) CLM Reference'!$B$4</f>
        <v>9.609409659671205E-4</v>
      </c>
      <c r="J195" s="41">
        <v>234607.06659999999</v>
      </c>
      <c r="K195" s="36">
        <f>[1]!Table3[[#This Row],[Residential Incentive Disbursements]]/'[1]1.) CLM Reference'!$B$5</f>
        <v>2.8703358363709294E-3</v>
      </c>
      <c r="L195" s="37">
        <v>65056.816923840001</v>
      </c>
      <c r="M195" s="36">
        <f>[1]!Table3[[#This Row],[C&amp;I CLM $ Collected]]/'[1]1.) CLM Reference'!$B$4</f>
        <v>5.7716076192901474E-4</v>
      </c>
      <c r="N195" s="41">
        <v>70023.289999999994</v>
      </c>
      <c r="O195" s="36">
        <f>[1]!Table3[[#This Row],[C&amp;I Incentive Disbursements]]/'[1]1.) CLM Reference'!$B$5</f>
        <v>8.5671059094855984E-4</v>
      </c>
      <c r="Q195">
        <f>VLOOKUP(Table3[[#This Row],[Census Tract]],'Population and Diversity Data'!$B$2:$K$823,10,FALSE)</f>
        <v>4</v>
      </c>
      <c r="R195" t="str">
        <f>VLOOKUP(Table3[[#This Row],[Census Tract]],'ES Energy Burden'!$B$2:$E$914,4,FALSE)</f>
        <v>No</v>
      </c>
    </row>
    <row r="196" spans="1:18" x14ac:dyDescent="0.2">
      <c r="A196" s="100">
        <v>9003484200</v>
      </c>
      <c r="B196" s="38" t="s">
        <v>2770</v>
      </c>
      <c r="C196" s="38" t="s">
        <v>944</v>
      </c>
      <c r="D196" s="40">
        <f>[1]!Table3[[#This Row],[Residential CLM $ Collected]]+[1]!Table3[[#This Row],[C&amp;I CLM $ Collected]]</f>
        <v>95034.406584960001</v>
      </c>
      <c r="E196" s="36">
        <f>[1]!Table3[[#This Row],[CLM $ Collected ]]/'[1]1.) CLM Reference'!$B$4</f>
        <v>8.4311119276337537E-4</v>
      </c>
      <c r="F196" s="40">
        <f>[1]!Table3[[#This Row],[Residential Incentive Disbursements]]+[1]!Table3[[#This Row],[C&amp;I Incentive Disbursements]]</f>
        <v>25148.027699999999</v>
      </c>
      <c r="G196" s="36">
        <f>[1]!Table3[[#This Row],[Incentive Disbursements]]/'[1]1.) CLM Reference'!$B$5</f>
        <v>3.0767736951602467E-4</v>
      </c>
      <c r="H196" s="40">
        <v>95034.406584960001</v>
      </c>
      <c r="I196" s="36">
        <f>[1]!Table3[[#This Row],[Residential CLM $ Collected]]/'[1]1.) CLM Reference'!$B$4</f>
        <v>8.4311119276337537E-4</v>
      </c>
      <c r="J196" s="41">
        <v>25148.027699999999</v>
      </c>
      <c r="K196" s="36">
        <f>[1]!Table3[[#This Row],[Residential Incentive Disbursements]]/'[1]1.) CLM Reference'!$B$5</f>
        <v>3.0767736951602467E-4</v>
      </c>
      <c r="L196" s="37">
        <v>0</v>
      </c>
      <c r="M196" s="36">
        <f>[1]!Table3[[#This Row],[C&amp;I CLM $ Collected]]/'[1]1.) CLM Reference'!$B$4</f>
        <v>0</v>
      </c>
      <c r="N196" s="41">
        <v>0</v>
      </c>
      <c r="O196" s="36">
        <f>[1]!Table3[[#This Row],[C&amp;I Incentive Disbursements]]/'[1]1.) CLM Reference'!$B$5</f>
        <v>0</v>
      </c>
      <c r="Q196">
        <f>VLOOKUP(Table3[[#This Row],[Census Tract]],'Population and Diversity Data'!$B$2:$K$823,10,FALSE)</f>
        <v>3</v>
      </c>
      <c r="R196" t="str">
        <f>VLOOKUP(Table3[[#This Row],[Census Tract]],'ES Energy Burden'!$B$2:$E$914,4,FALSE)</f>
        <v>No</v>
      </c>
    </row>
    <row r="197" spans="1:18" x14ac:dyDescent="0.2">
      <c r="A197" s="100">
        <v>9003487100</v>
      </c>
      <c r="B197" s="38" t="s">
        <v>2770</v>
      </c>
      <c r="C197" s="38" t="s">
        <v>944</v>
      </c>
      <c r="D197" s="40">
        <f>[1]!Table3[[#This Row],[Residential CLM $ Collected]]+[1]!Table3[[#This Row],[C&amp;I CLM $ Collected]]</f>
        <v>330.62152320000001</v>
      </c>
      <c r="E197" s="36">
        <f>[1]!Table3[[#This Row],[CLM $ Collected ]]/'[1]1.) CLM Reference'!$B$4</f>
        <v>2.9331556516764806E-6</v>
      </c>
      <c r="F197" s="40">
        <f>[1]!Table3[[#This Row],[Residential Incentive Disbursements]]+[1]!Table3[[#This Row],[C&amp;I Incentive Disbursements]]</f>
        <v>792.94</v>
      </c>
      <c r="G197" s="36">
        <f>[1]!Table3[[#This Row],[Incentive Disbursements]]/'[1]1.) CLM Reference'!$B$5</f>
        <v>9.7013450237306931E-6</v>
      </c>
      <c r="H197" s="40">
        <v>330.62152320000001</v>
      </c>
      <c r="I197" s="36">
        <f>[1]!Table3[[#This Row],[Residential CLM $ Collected]]/'[1]1.) CLM Reference'!$B$4</f>
        <v>2.9331556516764806E-6</v>
      </c>
      <c r="J197" s="41">
        <v>792.94</v>
      </c>
      <c r="K197" s="36">
        <f>[1]!Table3[[#This Row],[Residential Incentive Disbursements]]/'[1]1.) CLM Reference'!$B$5</f>
        <v>9.7013450237306931E-6</v>
      </c>
      <c r="L197" s="37">
        <v>0</v>
      </c>
      <c r="M197" s="36">
        <f>[1]!Table3[[#This Row],[C&amp;I CLM $ Collected]]/'[1]1.) CLM Reference'!$B$4</f>
        <v>0</v>
      </c>
      <c r="N197" s="41">
        <v>0</v>
      </c>
      <c r="O197" s="36">
        <f>[1]!Table3[[#This Row],[C&amp;I Incentive Disbursements]]/'[1]1.) CLM Reference'!$B$5</f>
        <v>0</v>
      </c>
      <c r="Q197">
        <f>VLOOKUP(Table3[[#This Row],[Census Tract]],'Population and Diversity Data'!$B$2:$K$823,10,FALSE)</f>
        <v>3</v>
      </c>
      <c r="R197" t="str">
        <f>VLOOKUP(Table3[[#This Row],[Census Tract]],'ES Energy Burden'!$B$2:$E$914,4,FALSE)</f>
        <v>No</v>
      </c>
    </row>
    <row r="198" spans="1:18" x14ac:dyDescent="0.2">
      <c r="A198" s="100">
        <v>9015902200</v>
      </c>
      <c r="B198" s="38" t="s">
        <v>2771</v>
      </c>
      <c r="C198" s="38" t="s">
        <v>944</v>
      </c>
      <c r="D198" s="40">
        <f>[1]!Table3[[#This Row],[Residential CLM $ Collected]]+[1]!Table3[[#This Row],[C&amp;I CLM $ Collected]]</f>
        <v>42614.721250560004</v>
      </c>
      <c r="E198" s="36">
        <f>[1]!Table3[[#This Row],[CLM $ Collected ]]/'[1]1.) CLM Reference'!$B$4</f>
        <v>3.7806253286506514E-4</v>
      </c>
      <c r="F198" s="40">
        <f>[1]!Table3[[#This Row],[Residential Incentive Disbursements]]+[1]!Table3[[#This Row],[C&amp;I Incentive Disbursements]]</f>
        <v>21504.103599999999</v>
      </c>
      <c r="G198" s="36">
        <f>[1]!Table3[[#This Row],[Incentive Disbursements]]/'[1]1.) CLM Reference'!$B$5</f>
        <v>2.6309522593090178E-4</v>
      </c>
      <c r="H198" s="40">
        <v>35663.583467520002</v>
      </c>
      <c r="I198" s="36">
        <f>[1]!Table3[[#This Row],[Residential CLM $ Collected]]/'[1]1.) CLM Reference'!$B$4</f>
        <v>3.1639452989729673E-4</v>
      </c>
      <c r="J198" s="41">
        <v>21504.103599999999</v>
      </c>
      <c r="K198" s="36">
        <f>[1]!Table3[[#This Row],[Residential Incentive Disbursements]]/'[1]1.) CLM Reference'!$B$5</f>
        <v>2.6309522593090178E-4</v>
      </c>
      <c r="L198" s="37">
        <v>6951.1377830399997</v>
      </c>
      <c r="M198" s="36">
        <f>[1]!Table3[[#This Row],[C&amp;I CLM $ Collected]]/'[1]1.) CLM Reference'!$B$4</f>
        <v>6.1668002967768358E-5</v>
      </c>
      <c r="N198" s="41">
        <v>0</v>
      </c>
      <c r="O198" s="36">
        <f>[1]!Table3[[#This Row],[C&amp;I Incentive Disbursements]]/'[1]1.) CLM Reference'!$B$5</f>
        <v>0</v>
      </c>
      <c r="Q198">
        <f>VLOOKUP(Table3[[#This Row],[Census Tract]],'Population and Diversity Data'!$B$2:$K$823,10,FALSE)</f>
        <v>2</v>
      </c>
      <c r="R198" t="str">
        <f>VLOOKUP(Table3[[#This Row],[Census Tract]],'ES Energy Burden'!$B$2:$E$914,4,FALSE)</f>
        <v>No</v>
      </c>
    </row>
    <row r="199" spans="1:18" x14ac:dyDescent="0.2">
      <c r="A199" s="100">
        <v>9013530100</v>
      </c>
      <c r="B199" s="38" t="s">
        <v>2772</v>
      </c>
      <c r="C199" s="38" t="s">
        <v>944</v>
      </c>
      <c r="D199" s="40">
        <f>[1]!Table3[[#This Row],[Residential CLM $ Collected]]+[1]!Table3[[#This Row],[C&amp;I CLM $ Collected]]</f>
        <v>41.766192000000004</v>
      </c>
      <c r="E199" s="36">
        <f>[1]!Table3[[#This Row],[CLM $ Collected ]]/'[1]1.) CLM Reference'!$B$4</f>
        <v>3.705346854859721E-7</v>
      </c>
      <c r="F199" s="40">
        <f>[1]!Table3[[#This Row],[Residential Incentive Disbursements]]+[1]!Table3[[#This Row],[C&amp;I Incentive Disbursements]]</f>
        <v>0</v>
      </c>
      <c r="G199" s="36">
        <f>[1]!Table3[[#This Row],[Incentive Disbursements]]/'[1]1.) CLM Reference'!$B$5</f>
        <v>0</v>
      </c>
      <c r="H199" s="40">
        <v>41.766192000000004</v>
      </c>
      <c r="I199" s="36">
        <f>[1]!Table3[[#This Row],[Residential CLM $ Collected]]/'[1]1.) CLM Reference'!$B$4</f>
        <v>3.705346854859721E-7</v>
      </c>
      <c r="J199" s="41">
        <v>0</v>
      </c>
      <c r="K199" s="36">
        <f>[1]!Table3[[#This Row],[Residential Incentive Disbursements]]/'[1]1.) CLM Reference'!$B$5</f>
        <v>0</v>
      </c>
      <c r="L199" s="37">
        <v>0</v>
      </c>
      <c r="M199" s="36">
        <f>[1]!Table3[[#This Row],[C&amp;I CLM $ Collected]]/'[1]1.) CLM Reference'!$B$4</f>
        <v>0</v>
      </c>
      <c r="N199" s="41">
        <v>0</v>
      </c>
      <c r="O199" s="36">
        <f>[1]!Table3[[#This Row],[C&amp;I Incentive Disbursements]]/'[1]1.) CLM Reference'!$B$5</f>
        <v>0</v>
      </c>
      <c r="Q199">
        <f>VLOOKUP(Table3[[#This Row],[Census Tract]],'Population and Diversity Data'!$B$2:$K$823,10,FALSE)</f>
        <v>5</v>
      </c>
      <c r="R199" t="str">
        <f>VLOOKUP(Table3[[#This Row],[Census Tract]],'ES Energy Burden'!$B$2:$E$914,4,FALSE)</f>
        <v>No</v>
      </c>
    </row>
    <row r="200" spans="1:18" x14ac:dyDescent="0.2">
      <c r="A200" s="100">
        <v>9013535100</v>
      </c>
      <c r="B200" s="38" t="s">
        <v>2772</v>
      </c>
      <c r="C200" s="38" t="s">
        <v>944</v>
      </c>
      <c r="D200" s="40">
        <f>[1]!Table3[[#This Row],[Residential CLM $ Collected]]+[1]!Table3[[#This Row],[C&amp;I CLM $ Collected]]</f>
        <v>267742.94314752001</v>
      </c>
      <c r="E200" s="36">
        <f>[1]!Table3[[#This Row],[CLM $ Collected ]]/'[1]1.) CLM Reference'!$B$4</f>
        <v>2.3753194265413238E-3</v>
      </c>
      <c r="F200" s="40">
        <f>[1]!Table3[[#This Row],[Residential Incentive Disbursements]]+[1]!Table3[[#This Row],[C&amp;I Incentive Disbursements]]</f>
        <v>200257.17310000001</v>
      </c>
      <c r="G200" s="36">
        <f>[1]!Table3[[#This Row],[Incentive Disbursements]]/'[1]1.) CLM Reference'!$B$5</f>
        <v>2.4500768402654183E-3</v>
      </c>
      <c r="H200" s="40">
        <v>207453.90752064</v>
      </c>
      <c r="I200" s="36">
        <f>[1]!Table3[[#This Row],[Residential CLM $ Collected]]/'[1]1.) CLM Reference'!$B$4</f>
        <v>1.8404567113994082E-3</v>
      </c>
      <c r="J200" s="41">
        <v>175122.63310000001</v>
      </c>
      <c r="K200" s="36">
        <f>[1]!Table3[[#This Row],[Residential Incentive Disbursements]]/'[1]1.) CLM Reference'!$B$5</f>
        <v>2.1425644880663113E-3</v>
      </c>
      <c r="L200" s="37">
        <v>60289.035626880002</v>
      </c>
      <c r="M200" s="36">
        <f>[1]!Table3[[#This Row],[C&amp;I CLM $ Collected]]/'[1]1.) CLM Reference'!$B$4</f>
        <v>5.348627151419154E-4</v>
      </c>
      <c r="N200" s="41">
        <v>25134.54</v>
      </c>
      <c r="O200" s="36">
        <f>[1]!Table3[[#This Row],[C&amp;I Incentive Disbursements]]/'[1]1.) CLM Reference'!$B$5</f>
        <v>3.0751235219910714E-4</v>
      </c>
      <c r="Q200">
        <f>VLOOKUP(Table3[[#This Row],[Census Tract]],'Population and Diversity Data'!$B$2:$K$823,10,FALSE)</f>
        <v>4</v>
      </c>
      <c r="R200" t="str">
        <f>VLOOKUP(Table3[[#This Row],[Census Tract]],'ES Energy Burden'!$B$2:$E$914,4,FALSE)</f>
        <v>No</v>
      </c>
    </row>
    <row r="201" spans="1:18" x14ac:dyDescent="0.2">
      <c r="A201" s="100">
        <v>9013535200</v>
      </c>
      <c r="B201" s="38" t="s">
        <v>2772</v>
      </c>
      <c r="C201" s="38" t="s">
        <v>944</v>
      </c>
      <c r="D201" s="40">
        <f>[1]!Table3[[#This Row],[Residential CLM $ Collected]]+[1]!Table3[[#This Row],[C&amp;I CLM $ Collected]]</f>
        <v>127771.96699584002</v>
      </c>
      <c r="E201" s="36">
        <f>[1]!Table3[[#This Row],[CLM $ Collected ]]/'[1]1.) CLM Reference'!$B$4</f>
        <v>1.1335470948543162E-3</v>
      </c>
      <c r="F201" s="40">
        <f>[1]!Table3[[#This Row],[Residential Incentive Disbursements]]+[1]!Table3[[#This Row],[C&amp;I Incentive Disbursements]]</f>
        <v>36380.263400000003</v>
      </c>
      <c r="G201" s="36">
        <f>[1]!Table3[[#This Row],[Incentive Disbursements]]/'[1]1.) CLM Reference'!$B$5</f>
        <v>4.4509986543446141E-4</v>
      </c>
      <c r="H201" s="40">
        <v>127771.96699584002</v>
      </c>
      <c r="I201" s="36">
        <f>[1]!Table3[[#This Row],[Residential CLM $ Collected]]/'[1]1.) CLM Reference'!$B$4</f>
        <v>1.1335470948543162E-3</v>
      </c>
      <c r="J201" s="41">
        <v>36380.263400000003</v>
      </c>
      <c r="K201" s="36">
        <f>[1]!Table3[[#This Row],[Residential Incentive Disbursements]]/'[1]1.) CLM Reference'!$B$5</f>
        <v>4.4509986543446141E-4</v>
      </c>
      <c r="L201" s="37">
        <v>0</v>
      </c>
      <c r="M201" s="36">
        <f>[1]!Table3[[#This Row],[C&amp;I CLM $ Collected]]/'[1]1.) CLM Reference'!$B$4</f>
        <v>0</v>
      </c>
      <c r="N201" s="41">
        <v>0</v>
      </c>
      <c r="O201" s="36">
        <f>[1]!Table3[[#This Row],[C&amp;I Incentive Disbursements]]/'[1]1.) CLM Reference'!$B$5</f>
        <v>0</v>
      </c>
      <c r="Q201">
        <f>VLOOKUP(Table3[[#This Row],[Census Tract]],'Population and Diversity Data'!$B$2:$K$823,10,FALSE)</f>
        <v>5</v>
      </c>
      <c r="R201" t="str">
        <f>VLOOKUP(Table3[[#This Row],[Census Tract]],'ES Energy Burden'!$B$2:$E$914,4,FALSE)</f>
        <v>No</v>
      </c>
    </row>
    <row r="202" spans="1:18" x14ac:dyDescent="0.2">
      <c r="A202" s="100">
        <v>9013538201</v>
      </c>
      <c r="B202" s="38" t="s">
        <v>2772</v>
      </c>
      <c r="C202" s="38" t="s">
        <v>944</v>
      </c>
      <c r="D202" s="40">
        <f>[1]!Table3[[#This Row],[Residential CLM $ Collected]]+[1]!Table3[[#This Row],[C&amp;I CLM $ Collected]]</f>
        <v>165.72176639999998</v>
      </c>
      <c r="E202" s="36">
        <f>[1]!Table3[[#This Row],[CLM $ Collected ]]/'[1]1.) CLM Reference'!$B$4</f>
        <v>1.4702241131105207E-6</v>
      </c>
      <c r="F202" s="40">
        <f>[1]!Table3[[#This Row],[Residential Incentive Disbursements]]+[1]!Table3[[#This Row],[C&amp;I Incentive Disbursements]]</f>
        <v>0</v>
      </c>
      <c r="G202" s="36">
        <f>[1]!Table3[[#This Row],[Incentive Disbursements]]/'[1]1.) CLM Reference'!$B$5</f>
        <v>0</v>
      </c>
      <c r="H202" s="40">
        <v>165.72176639999998</v>
      </c>
      <c r="I202" s="36">
        <f>[1]!Table3[[#This Row],[Residential CLM $ Collected]]/'[1]1.) CLM Reference'!$B$4</f>
        <v>1.4702241131105207E-6</v>
      </c>
      <c r="J202" s="41">
        <v>0</v>
      </c>
      <c r="K202" s="36">
        <f>[1]!Table3[[#This Row],[Residential Incentive Disbursements]]/'[1]1.) CLM Reference'!$B$5</f>
        <v>0</v>
      </c>
      <c r="L202" s="37">
        <v>0</v>
      </c>
      <c r="M202" s="36">
        <f>[1]!Table3[[#This Row],[C&amp;I CLM $ Collected]]/'[1]1.) CLM Reference'!$B$4</f>
        <v>0</v>
      </c>
      <c r="N202" s="41">
        <v>0</v>
      </c>
      <c r="O202" s="36">
        <f>[1]!Table3[[#This Row],[C&amp;I Incentive Disbursements]]/'[1]1.) CLM Reference'!$B$5</f>
        <v>0</v>
      </c>
      <c r="Q202">
        <f>VLOOKUP(Table3[[#This Row],[Census Tract]],'Population and Diversity Data'!$B$2:$K$823,10,FALSE)</f>
        <v>3</v>
      </c>
      <c r="R202" t="str">
        <f>VLOOKUP(Table3[[#This Row],[Census Tract]],'ES Energy Burden'!$B$2:$E$914,4,FALSE)</f>
        <v>No</v>
      </c>
    </row>
    <row r="203" spans="1:18" x14ac:dyDescent="0.2">
      <c r="A203" s="100">
        <v>9013538202</v>
      </c>
      <c r="B203" s="38" t="s">
        <v>2772</v>
      </c>
      <c r="C203" s="38" t="s">
        <v>944</v>
      </c>
      <c r="D203" s="40">
        <f>[1]!Table3[[#This Row],[Residential CLM $ Collected]]+[1]!Table3[[#This Row],[C&amp;I CLM $ Collected]]</f>
        <v>227.66771520000003</v>
      </c>
      <c r="E203" s="36">
        <f>[1]!Table3[[#This Row],[CLM $ Collected ]]/'[1]1.) CLM Reference'!$B$4</f>
        <v>2.0197863680495906E-6</v>
      </c>
      <c r="F203" s="40">
        <f>[1]!Table3[[#This Row],[Residential Incentive Disbursements]]+[1]!Table3[[#This Row],[C&amp;I Incentive Disbursements]]</f>
        <v>0</v>
      </c>
      <c r="G203" s="36">
        <f>[1]!Table3[[#This Row],[Incentive Disbursements]]/'[1]1.) CLM Reference'!$B$5</f>
        <v>0</v>
      </c>
      <c r="H203" s="40">
        <v>227.66771520000003</v>
      </c>
      <c r="I203" s="36">
        <f>[1]!Table3[[#This Row],[Residential CLM $ Collected]]/'[1]1.) CLM Reference'!$B$4</f>
        <v>2.0197863680495906E-6</v>
      </c>
      <c r="J203" s="41">
        <v>0</v>
      </c>
      <c r="K203" s="36">
        <f>[1]!Table3[[#This Row],[Residential Incentive Disbursements]]/'[1]1.) CLM Reference'!$B$5</f>
        <v>0</v>
      </c>
      <c r="L203" s="37">
        <v>0</v>
      </c>
      <c r="M203" s="36">
        <f>[1]!Table3[[#This Row],[C&amp;I CLM $ Collected]]/'[1]1.) CLM Reference'!$B$4</f>
        <v>0</v>
      </c>
      <c r="N203" s="41">
        <v>0</v>
      </c>
      <c r="O203" s="36">
        <f>[1]!Table3[[#This Row],[C&amp;I Incentive Disbursements]]/'[1]1.) CLM Reference'!$B$5</f>
        <v>0</v>
      </c>
      <c r="Q203">
        <f>VLOOKUP(Table3[[#This Row],[Census Tract]],'Population and Diversity Data'!$B$2:$K$823,10,FALSE)</f>
        <v>1</v>
      </c>
      <c r="R203" t="str">
        <f>VLOOKUP(Table3[[#This Row],[Census Tract]],'ES Energy Burden'!$B$2:$E$914,4,FALSE)</f>
        <v>No</v>
      </c>
    </row>
    <row r="204" spans="1:18" x14ac:dyDescent="0.2">
      <c r="A204" s="100">
        <v>9003480300</v>
      </c>
      <c r="B204" s="38" t="s">
        <v>2773</v>
      </c>
      <c r="C204" s="38" t="s">
        <v>944</v>
      </c>
      <c r="D204" s="40">
        <f>[1]!Table3[[#This Row],[Residential CLM $ Collected]]+[1]!Table3[[#This Row],[C&amp;I CLM $ Collected]]</f>
        <v>34392.488025599996</v>
      </c>
      <c r="E204" s="36">
        <f>[1]!Table3[[#This Row],[CLM $ Collected ]]/'[1]1.) CLM Reference'!$B$4</f>
        <v>3.0511782672563862E-4</v>
      </c>
      <c r="F204" s="40">
        <f>[1]!Table3[[#This Row],[Residential Incentive Disbursements]]+[1]!Table3[[#This Row],[C&amp;I Incentive Disbursements]]</f>
        <v>14221.0897</v>
      </c>
      <c r="G204" s="36">
        <f>[1]!Table3[[#This Row],[Incentive Disbursements]]/'[1]1.) CLM Reference'!$B$5</f>
        <v>1.7399008473922717E-4</v>
      </c>
      <c r="H204" s="40">
        <v>34392.488025599996</v>
      </c>
      <c r="I204" s="36">
        <f>[1]!Table3[[#This Row],[Residential CLM $ Collected]]/'[1]1.) CLM Reference'!$B$4</f>
        <v>3.0511782672563862E-4</v>
      </c>
      <c r="J204" s="41">
        <v>14221.0897</v>
      </c>
      <c r="K204" s="36">
        <f>[1]!Table3[[#This Row],[Residential Incentive Disbursements]]/'[1]1.) CLM Reference'!$B$5</f>
        <v>1.7399008473922717E-4</v>
      </c>
      <c r="L204" s="37">
        <v>0</v>
      </c>
      <c r="M204" s="36">
        <f>[1]!Table3[[#This Row],[C&amp;I CLM $ Collected]]/'[1]1.) CLM Reference'!$B$4</f>
        <v>0</v>
      </c>
      <c r="N204" s="41">
        <v>0</v>
      </c>
      <c r="O204" s="36">
        <f>[1]!Table3[[#This Row],[C&amp;I Incentive Disbursements]]/'[1]1.) CLM Reference'!$B$5</f>
        <v>0</v>
      </c>
      <c r="Q204">
        <f>VLOOKUP(Table3[[#This Row],[Census Tract]],'Population and Diversity Data'!$B$2:$K$823,10,FALSE)</f>
        <v>2</v>
      </c>
      <c r="R204" t="str">
        <f>VLOOKUP(Table3[[#This Row],[Census Tract]],'ES Energy Burden'!$B$2:$E$914,4,FALSE)</f>
        <v>No</v>
      </c>
    </row>
    <row r="205" spans="1:18" x14ac:dyDescent="0.2">
      <c r="A205" s="100">
        <v>9003480400</v>
      </c>
      <c r="B205" s="38" t="s">
        <v>2773</v>
      </c>
      <c r="C205" s="38" t="s">
        <v>944</v>
      </c>
      <c r="D205" s="40">
        <f>[1]!Table3[[#This Row],[Residential CLM $ Collected]]+[1]!Table3[[#This Row],[C&amp;I CLM $ Collected]]</f>
        <v>58521.540743999998</v>
      </c>
      <c r="E205" s="36">
        <f>[1]!Table3[[#This Row],[CLM $ Collected ]]/'[1]1.) CLM Reference'!$B$4</f>
        <v>5.1918213405073024E-4</v>
      </c>
      <c r="F205" s="40">
        <f>[1]!Table3[[#This Row],[Residential Incentive Disbursements]]+[1]!Table3[[#This Row],[C&amp;I Incentive Disbursements]]</f>
        <v>9810.43</v>
      </c>
      <c r="G205" s="36">
        <f>[1]!Table3[[#This Row],[Incentive Disbursements]]/'[1]1.) CLM Reference'!$B$5</f>
        <v>1.2002719784745163E-4</v>
      </c>
      <c r="H205" s="40">
        <v>58521.540743999998</v>
      </c>
      <c r="I205" s="36">
        <f>[1]!Table3[[#This Row],[Residential CLM $ Collected]]/'[1]1.) CLM Reference'!$B$4</f>
        <v>5.1918213405073024E-4</v>
      </c>
      <c r="J205" s="41">
        <v>9810.43</v>
      </c>
      <c r="K205" s="36">
        <f>[1]!Table3[[#This Row],[Residential Incentive Disbursements]]/'[1]1.) CLM Reference'!$B$5</f>
        <v>1.2002719784745163E-4</v>
      </c>
      <c r="L205" s="37">
        <v>0</v>
      </c>
      <c r="M205" s="36">
        <f>[1]!Table3[[#This Row],[C&amp;I CLM $ Collected]]/'[1]1.) CLM Reference'!$B$4</f>
        <v>0</v>
      </c>
      <c r="N205" s="41">
        <v>0</v>
      </c>
      <c r="O205" s="36">
        <f>[1]!Table3[[#This Row],[C&amp;I Incentive Disbursements]]/'[1]1.) CLM Reference'!$B$5</f>
        <v>0</v>
      </c>
      <c r="Q205">
        <f>VLOOKUP(Table3[[#This Row],[Census Tract]],'Population and Diversity Data'!$B$2:$K$823,10,FALSE)</f>
        <v>3</v>
      </c>
      <c r="R205" t="str">
        <f>VLOOKUP(Table3[[#This Row],[Census Tract]],'ES Energy Burden'!$B$2:$E$914,4,FALSE)</f>
        <v>No</v>
      </c>
    </row>
    <row r="206" spans="1:18" x14ac:dyDescent="0.2">
      <c r="A206" s="100">
        <v>9003480500</v>
      </c>
      <c r="B206" s="38" t="s">
        <v>2773</v>
      </c>
      <c r="C206" s="38" t="s">
        <v>944</v>
      </c>
      <c r="D206" s="40">
        <f>[1]!Table3[[#This Row],[Residential CLM $ Collected]]+[1]!Table3[[#This Row],[C&amp;I CLM $ Collected]]</f>
        <v>53208.866649600001</v>
      </c>
      <c r="E206" s="36">
        <f>[1]!Table3[[#This Row],[CLM $ Collected ]]/'[1]1.) CLM Reference'!$B$4</f>
        <v>4.7204999366651771E-4</v>
      </c>
      <c r="F206" s="40">
        <f>[1]!Table3[[#This Row],[Residential Incentive Disbursements]]+[1]!Table3[[#This Row],[C&amp;I Incentive Disbursements]]</f>
        <v>14584.495500000001</v>
      </c>
      <c r="G206" s="36">
        <f>[1]!Table3[[#This Row],[Incentive Disbursements]]/'[1]1.) CLM Reference'!$B$5</f>
        <v>1.7843622826764659E-4</v>
      </c>
      <c r="H206" s="40">
        <v>53208.866649600001</v>
      </c>
      <c r="I206" s="36">
        <f>[1]!Table3[[#This Row],[Residential CLM $ Collected]]/'[1]1.) CLM Reference'!$B$4</f>
        <v>4.7204999366651771E-4</v>
      </c>
      <c r="J206" s="41">
        <v>14584.495500000001</v>
      </c>
      <c r="K206" s="36">
        <f>[1]!Table3[[#This Row],[Residential Incentive Disbursements]]/'[1]1.) CLM Reference'!$B$5</f>
        <v>1.7843622826764659E-4</v>
      </c>
      <c r="L206" s="37">
        <v>0</v>
      </c>
      <c r="M206" s="36">
        <f>[1]!Table3[[#This Row],[C&amp;I CLM $ Collected]]/'[1]1.) CLM Reference'!$B$4</f>
        <v>0</v>
      </c>
      <c r="N206" s="41">
        <v>0</v>
      </c>
      <c r="O206" s="36">
        <f>[1]!Table3[[#This Row],[C&amp;I Incentive Disbursements]]/'[1]1.) CLM Reference'!$B$5</f>
        <v>0</v>
      </c>
      <c r="Q206">
        <f>VLOOKUP(Table3[[#This Row],[Census Tract]],'Population and Diversity Data'!$B$2:$K$823,10,FALSE)</f>
        <v>2</v>
      </c>
      <c r="R206" t="str">
        <f>VLOOKUP(Table3[[#This Row],[Census Tract]],'ES Energy Burden'!$B$2:$E$914,4,FALSE)</f>
        <v>No</v>
      </c>
    </row>
    <row r="207" spans="1:18" x14ac:dyDescent="0.2">
      <c r="A207" s="100">
        <v>9003480600</v>
      </c>
      <c r="B207" s="38" t="s">
        <v>2773</v>
      </c>
      <c r="C207" s="38" t="s">
        <v>944</v>
      </c>
      <c r="D207" s="40">
        <f>[1]!Table3[[#This Row],[Residential CLM $ Collected]]+[1]!Table3[[#This Row],[C&amp;I CLM $ Collected]]</f>
        <v>52973.169868800003</v>
      </c>
      <c r="E207" s="36">
        <f>[1]!Table3[[#This Row],[CLM $ Collected ]]/'[1]1.) CLM Reference'!$B$4</f>
        <v>4.6995897630626178E-4</v>
      </c>
      <c r="F207" s="40">
        <f>[1]!Table3[[#This Row],[Residential Incentive Disbursements]]+[1]!Table3[[#This Row],[C&amp;I Incentive Disbursements]]</f>
        <v>43649.13</v>
      </c>
      <c r="G207" s="36">
        <f>[1]!Table3[[#This Row],[Incentive Disbursements]]/'[1]1.) CLM Reference'!$B$5</f>
        <v>5.3403191933270363E-4</v>
      </c>
      <c r="H207" s="40">
        <v>52973.169868800003</v>
      </c>
      <c r="I207" s="36">
        <f>[1]!Table3[[#This Row],[Residential CLM $ Collected]]/'[1]1.) CLM Reference'!$B$4</f>
        <v>4.6995897630626178E-4</v>
      </c>
      <c r="J207" s="41">
        <v>43649.13</v>
      </c>
      <c r="K207" s="36">
        <f>[1]!Table3[[#This Row],[Residential Incentive Disbursements]]/'[1]1.) CLM Reference'!$B$5</f>
        <v>5.3403191933270363E-4</v>
      </c>
      <c r="L207" s="37">
        <v>0</v>
      </c>
      <c r="M207" s="36">
        <f>[1]!Table3[[#This Row],[C&amp;I CLM $ Collected]]/'[1]1.) CLM Reference'!$B$4</f>
        <v>0</v>
      </c>
      <c r="N207" s="41">
        <v>0</v>
      </c>
      <c r="O207" s="36">
        <f>[1]!Table3[[#This Row],[C&amp;I Incentive Disbursements]]/'[1]1.) CLM Reference'!$B$5</f>
        <v>0</v>
      </c>
      <c r="Q207">
        <f>VLOOKUP(Table3[[#This Row],[Census Tract]],'Population and Diversity Data'!$B$2:$K$823,10,FALSE)</f>
        <v>5</v>
      </c>
      <c r="R207" t="str">
        <f>VLOOKUP(Table3[[#This Row],[Census Tract]],'ES Energy Burden'!$B$2:$E$914,4,FALSE)</f>
        <v>No</v>
      </c>
    </row>
    <row r="208" spans="1:18" x14ac:dyDescent="0.2">
      <c r="A208" s="100">
        <v>9003480700</v>
      </c>
      <c r="B208" s="38" t="s">
        <v>2773</v>
      </c>
      <c r="C208" s="38" t="s">
        <v>944</v>
      </c>
      <c r="D208" s="40">
        <f>[1]!Table3[[#This Row],[Residential CLM $ Collected]]+[1]!Table3[[#This Row],[C&amp;I CLM $ Collected]]</f>
        <v>28925.4816288</v>
      </c>
      <c r="E208" s="36">
        <f>[1]!Table3[[#This Row],[CLM $ Collected ]]/'[1]1.) CLM Reference'!$B$4</f>
        <v>2.5661650547068477E-4</v>
      </c>
      <c r="F208" s="40">
        <f>[1]!Table3[[#This Row],[Residential Incentive Disbursements]]+[1]!Table3[[#This Row],[C&amp;I Incentive Disbursements]]</f>
        <v>16334.19</v>
      </c>
      <c r="G208" s="36">
        <f>[1]!Table3[[#This Row],[Incentive Disbursements]]/'[1]1.) CLM Reference'!$B$5</f>
        <v>1.9984313172897273E-4</v>
      </c>
      <c r="H208" s="40">
        <v>28925.4816288</v>
      </c>
      <c r="I208" s="36">
        <f>[1]!Table3[[#This Row],[Residential CLM $ Collected]]/'[1]1.) CLM Reference'!$B$4</f>
        <v>2.5661650547068477E-4</v>
      </c>
      <c r="J208" s="41">
        <v>16334.19</v>
      </c>
      <c r="K208" s="36">
        <f>[1]!Table3[[#This Row],[Residential Incentive Disbursements]]/'[1]1.) CLM Reference'!$B$5</f>
        <v>1.9984313172897273E-4</v>
      </c>
      <c r="L208" s="37">
        <v>0</v>
      </c>
      <c r="M208" s="36">
        <f>[1]!Table3[[#This Row],[C&amp;I CLM $ Collected]]/'[1]1.) CLM Reference'!$B$4</f>
        <v>0</v>
      </c>
      <c r="N208" s="41">
        <v>0</v>
      </c>
      <c r="O208" s="36">
        <f>[1]!Table3[[#This Row],[C&amp;I Incentive Disbursements]]/'[1]1.) CLM Reference'!$B$5</f>
        <v>0</v>
      </c>
      <c r="Q208">
        <f>VLOOKUP(Table3[[#This Row],[Census Tract]],'Population and Diversity Data'!$B$2:$K$823,10,FALSE)</f>
        <v>3</v>
      </c>
      <c r="R208" t="str">
        <f>VLOOKUP(Table3[[#This Row],[Census Tract]],'ES Energy Burden'!$B$2:$E$914,4,FALSE)</f>
        <v>No</v>
      </c>
    </row>
    <row r="209" spans="1:18" x14ac:dyDescent="0.2">
      <c r="A209" s="100">
        <v>9003480800</v>
      </c>
      <c r="B209" s="38" t="s">
        <v>2773</v>
      </c>
      <c r="C209" s="38" t="s">
        <v>944</v>
      </c>
      <c r="D209" s="40">
        <f>[1]!Table3[[#This Row],[Residential CLM $ Collected]]+[1]!Table3[[#This Row],[C&amp;I CLM $ Collected]]</f>
        <v>400528.32643296011</v>
      </c>
      <c r="E209" s="36">
        <f>[1]!Table3[[#This Row],[CLM $ Collected ]]/'[1]1.) CLM Reference'!$B$4</f>
        <v>3.5533437537963626E-3</v>
      </c>
      <c r="F209" s="40">
        <f>[1]!Table3[[#This Row],[Residential Incentive Disbursements]]+[1]!Table3[[#This Row],[C&amp;I Incentive Disbursements]]</f>
        <v>936957.13520000002</v>
      </c>
      <c r="G209" s="36">
        <f>[1]!Table3[[#This Row],[Incentive Disbursements]]/'[1]1.) CLM Reference'!$B$5</f>
        <v>1.1463344567081349E-2</v>
      </c>
      <c r="H209" s="40">
        <v>93708.069782400009</v>
      </c>
      <c r="I209" s="36">
        <f>[1]!Table3[[#This Row],[Residential CLM $ Collected]]/'[1]1.) CLM Reference'!$B$4</f>
        <v>8.3134440803985931E-4</v>
      </c>
      <c r="J209" s="41">
        <v>798268.12080000003</v>
      </c>
      <c r="K209" s="36">
        <f>[1]!Table3[[#This Row],[Residential Incentive Disbursements]]/'[1]1.) CLM Reference'!$B$5</f>
        <v>9.7665327279818533E-3</v>
      </c>
      <c r="L209" s="37">
        <v>306820.25665056007</v>
      </c>
      <c r="M209" s="36">
        <f>[1]!Table3[[#This Row],[C&amp;I CLM $ Collected]]/'[1]1.) CLM Reference'!$B$4</f>
        <v>2.7219993457565034E-3</v>
      </c>
      <c r="N209" s="41">
        <v>138689.01439999999</v>
      </c>
      <c r="O209" s="36">
        <f>[1]!Table3[[#This Row],[C&amp;I Incentive Disbursements]]/'[1]1.) CLM Reference'!$B$5</f>
        <v>1.6968118390994957E-3</v>
      </c>
      <c r="Q209">
        <f>VLOOKUP(Table3[[#This Row],[Census Tract]],'Population and Diversity Data'!$B$2:$K$823,10,FALSE)</f>
        <v>3</v>
      </c>
      <c r="R209" t="str">
        <f>VLOOKUP(Table3[[#This Row],[Census Tract]],'ES Energy Burden'!$B$2:$E$914,4,FALSE)</f>
        <v>No</v>
      </c>
    </row>
    <row r="210" spans="1:18" x14ac:dyDescent="0.2">
      <c r="A210" s="100">
        <v>9003480900</v>
      </c>
      <c r="B210" s="38" t="s">
        <v>2773</v>
      </c>
      <c r="C210" s="38" t="s">
        <v>944</v>
      </c>
      <c r="D210" s="40">
        <f>[1]!Table3[[#This Row],[Residential CLM $ Collected]]+[1]!Table3[[#This Row],[C&amp;I CLM $ Collected]]</f>
        <v>35031.230585279998</v>
      </c>
      <c r="E210" s="36">
        <f>[1]!Table3[[#This Row],[CLM $ Collected ]]/'[1]1.) CLM Reference'!$B$4</f>
        <v>3.1078452177548982E-4</v>
      </c>
      <c r="F210" s="40">
        <f>[1]!Table3[[#This Row],[Residential Incentive Disbursements]]+[1]!Table3[[#This Row],[C&amp;I Incentive Disbursements]]</f>
        <v>12948.832700000001</v>
      </c>
      <c r="G210" s="36">
        <f>[1]!Table3[[#This Row],[Incentive Disbursements]]/'[1]1.) CLM Reference'!$B$5</f>
        <v>1.5842446298240252E-4</v>
      </c>
      <c r="H210" s="40">
        <v>35031.230585279998</v>
      </c>
      <c r="I210" s="36">
        <f>[1]!Table3[[#This Row],[Residential CLM $ Collected]]/'[1]1.) CLM Reference'!$B$4</f>
        <v>3.1078452177548982E-4</v>
      </c>
      <c r="J210" s="41">
        <v>12948.832700000001</v>
      </c>
      <c r="K210" s="36">
        <f>[1]!Table3[[#This Row],[Residential Incentive Disbursements]]/'[1]1.) CLM Reference'!$B$5</f>
        <v>1.5842446298240252E-4</v>
      </c>
      <c r="L210" s="37">
        <v>0</v>
      </c>
      <c r="M210" s="36">
        <f>[1]!Table3[[#This Row],[C&amp;I CLM $ Collected]]/'[1]1.) CLM Reference'!$B$4</f>
        <v>0</v>
      </c>
      <c r="N210" s="41">
        <v>0</v>
      </c>
      <c r="O210" s="36">
        <f>[1]!Table3[[#This Row],[C&amp;I Incentive Disbursements]]/'[1]1.) CLM Reference'!$B$5</f>
        <v>0</v>
      </c>
      <c r="Q210">
        <f>VLOOKUP(Table3[[#This Row],[Census Tract]],'Population and Diversity Data'!$B$2:$K$823,10,FALSE)</f>
        <v>2</v>
      </c>
      <c r="R210" t="str">
        <f>VLOOKUP(Table3[[#This Row],[Census Tract]],'ES Energy Burden'!$B$2:$E$914,4,FALSE)</f>
        <v>No</v>
      </c>
    </row>
    <row r="211" spans="1:18" x14ac:dyDescent="0.2">
      <c r="A211" s="100">
        <v>9003481000</v>
      </c>
      <c r="B211" s="38" t="s">
        <v>2773</v>
      </c>
      <c r="C211" s="38" t="s">
        <v>944</v>
      </c>
      <c r="D211" s="40">
        <f>[1]!Table3[[#This Row],[Residential CLM $ Collected]]+[1]!Table3[[#This Row],[C&amp;I CLM $ Collected]]</f>
        <v>63039.794659200001</v>
      </c>
      <c r="E211" s="36">
        <f>[1]!Table3[[#This Row],[CLM $ Collected ]]/'[1]1.) CLM Reference'!$B$4</f>
        <v>5.5926646334305348E-4</v>
      </c>
      <c r="F211" s="40">
        <f>[1]!Table3[[#This Row],[Residential Incentive Disbursements]]+[1]!Table3[[#This Row],[C&amp;I Incentive Disbursements]]</f>
        <v>5864.6796999999997</v>
      </c>
      <c r="G211" s="36">
        <f>[1]!Table3[[#This Row],[Incentive Disbursements]]/'[1]1.) CLM Reference'!$B$5</f>
        <v>7.1752315715400167E-5</v>
      </c>
      <c r="H211" s="40">
        <v>63039.794659200001</v>
      </c>
      <c r="I211" s="36">
        <f>[1]!Table3[[#This Row],[Residential CLM $ Collected]]/'[1]1.) CLM Reference'!$B$4</f>
        <v>5.5926646334305348E-4</v>
      </c>
      <c r="J211" s="41">
        <v>5864.6796999999997</v>
      </c>
      <c r="K211" s="36">
        <f>[1]!Table3[[#This Row],[Residential Incentive Disbursements]]/'[1]1.) CLM Reference'!$B$5</f>
        <v>7.1752315715400167E-5</v>
      </c>
      <c r="L211" s="37">
        <v>0</v>
      </c>
      <c r="M211" s="36">
        <f>[1]!Table3[[#This Row],[C&amp;I CLM $ Collected]]/'[1]1.) CLM Reference'!$B$4</f>
        <v>0</v>
      </c>
      <c r="N211" s="41">
        <v>0</v>
      </c>
      <c r="O211" s="36">
        <f>[1]!Table3[[#This Row],[C&amp;I Incentive Disbursements]]/'[1]1.) CLM Reference'!$B$5</f>
        <v>0</v>
      </c>
      <c r="Q211">
        <f>VLOOKUP(Table3[[#This Row],[Census Tract]],'Population and Diversity Data'!$B$2:$K$823,10,FALSE)</f>
        <v>1</v>
      </c>
      <c r="R211" t="str">
        <f>VLOOKUP(Table3[[#This Row],[Census Tract]],'ES Energy Burden'!$B$2:$E$914,4,FALSE)</f>
        <v>No</v>
      </c>
    </row>
    <row r="212" spans="1:18" x14ac:dyDescent="0.2">
      <c r="A212" s="100">
        <v>9003481100</v>
      </c>
      <c r="B212" s="38" t="s">
        <v>2773</v>
      </c>
      <c r="C212" s="38" t="s">
        <v>944</v>
      </c>
      <c r="D212" s="40">
        <f>[1]!Table3[[#This Row],[Residential CLM $ Collected]]+[1]!Table3[[#This Row],[C&amp;I CLM $ Collected]]</f>
        <v>63124.477856640005</v>
      </c>
      <c r="E212" s="36">
        <f>[1]!Table3[[#This Row],[CLM $ Collected ]]/'[1]1.) CLM Reference'!$B$4</f>
        <v>5.6001774231838786E-4</v>
      </c>
      <c r="F212" s="40">
        <f>[1]!Table3[[#This Row],[Residential Incentive Disbursements]]+[1]!Table3[[#This Row],[C&amp;I Incentive Disbursements]]</f>
        <v>8987.7000000000007</v>
      </c>
      <c r="G212" s="36">
        <f>[1]!Table3[[#This Row],[Incentive Disbursements]]/'[1]1.) CLM Reference'!$B$5</f>
        <v>1.0996138253812943E-4</v>
      </c>
      <c r="H212" s="40">
        <v>63124.477856640005</v>
      </c>
      <c r="I212" s="36">
        <f>[1]!Table3[[#This Row],[Residential CLM $ Collected]]/'[1]1.) CLM Reference'!$B$4</f>
        <v>5.6001774231838786E-4</v>
      </c>
      <c r="J212" s="41">
        <v>8987.7000000000007</v>
      </c>
      <c r="K212" s="36">
        <f>[1]!Table3[[#This Row],[Residential Incentive Disbursements]]/'[1]1.) CLM Reference'!$B$5</f>
        <v>1.0996138253812943E-4</v>
      </c>
      <c r="L212" s="37">
        <v>0</v>
      </c>
      <c r="M212" s="36">
        <f>[1]!Table3[[#This Row],[C&amp;I CLM $ Collected]]/'[1]1.) CLM Reference'!$B$4</f>
        <v>0</v>
      </c>
      <c r="N212" s="41">
        <v>0</v>
      </c>
      <c r="O212" s="36">
        <f>[1]!Table3[[#This Row],[C&amp;I Incentive Disbursements]]/'[1]1.) CLM Reference'!$B$5</f>
        <v>0</v>
      </c>
      <c r="Q212">
        <f>VLOOKUP(Table3[[#This Row],[Census Tract]],'Population and Diversity Data'!$B$2:$K$823,10,FALSE)</f>
        <v>2</v>
      </c>
      <c r="R212" t="str">
        <f>VLOOKUP(Table3[[#This Row],[Census Tract]],'ES Energy Burden'!$B$2:$E$914,4,FALSE)</f>
        <v>No</v>
      </c>
    </row>
    <row r="213" spans="1:18" x14ac:dyDescent="0.2">
      <c r="A213" s="100">
        <v>9003481200</v>
      </c>
      <c r="B213" s="38" t="s">
        <v>2773</v>
      </c>
      <c r="C213" s="38" t="s">
        <v>944</v>
      </c>
      <c r="D213" s="40">
        <f>[1]!Table3[[#This Row],[Residential CLM $ Collected]]+[1]!Table3[[#This Row],[C&amp;I CLM $ Collected]]</f>
        <v>64998.361042559998</v>
      </c>
      <c r="E213" s="36">
        <f>[1]!Table3[[#This Row],[CLM $ Collected ]]/'[1]1.) CLM Reference'!$B$4</f>
        <v>5.7664216230219473E-4</v>
      </c>
      <c r="F213" s="40">
        <f>[1]!Table3[[#This Row],[Residential Incentive Disbursements]]+[1]!Table3[[#This Row],[C&amp;I Incentive Disbursements]]</f>
        <v>15440.29</v>
      </c>
      <c r="G213" s="36">
        <f>[1]!Table3[[#This Row],[Incentive Disbursements]]/'[1]1.) CLM Reference'!$B$5</f>
        <v>1.8890657623081038E-4</v>
      </c>
      <c r="H213" s="40">
        <v>64998.361042559998</v>
      </c>
      <c r="I213" s="36">
        <f>[1]!Table3[[#This Row],[Residential CLM $ Collected]]/'[1]1.) CLM Reference'!$B$4</f>
        <v>5.7664216230219473E-4</v>
      </c>
      <c r="J213" s="41">
        <v>15440.29</v>
      </c>
      <c r="K213" s="36">
        <f>[1]!Table3[[#This Row],[Residential Incentive Disbursements]]/'[1]1.) CLM Reference'!$B$5</f>
        <v>1.8890657623081038E-4</v>
      </c>
      <c r="L213" s="37">
        <v>0</v>
      </c>
      <c r="M213" s="36">
        <f>[1]!Table3[[#This Row],[C&amp;I CLM $ Collected]]/'[1]1.) CLM Reference'!$B$4</f>
        <v>0</v>
      </c>
      <c r="N213" s="41">
        <v>0</v>
      </c>
      <c r="O213" s="36">
        <f>[1]!Table3[[#This Row],[C&amp;I Incentive Disbursements]]/'[1]1.) CLM Reference'!$B$5</f>
        <v>0</v>
      </c>
      <c r="Q213">
        <f>VLOOKUP(Table3[[#This Row],[Census Tract]],'Population and Diversity Data'!$B$2:$K$823,10,FALSE)</f>
        <v>3</v>
      </c>
      <c r="R213" t="str">
        <f>VLOOKUP(Table3[[#This Row],[Census Tract]],'ES Energy Burden'!$B$2:$E$914,4,FALSE)</f>
        <v>No</v>
      </c>
    </row>
    <row r="214" spans="1:18" x14ac:dyDescent="0.2">
      <c r="A214" s="100">
        <v>9003481300</v>
      </c>
      <c r="B214" s="38" t="s">
        <v>2773</v>
      </c>
      <c r="C214" s="38" t="s">
        <v>944</v>
      </c>
      <c r="D214" s="40">
        <f>[1]!Table3[[#This Row],[Residential CLM $ Collected]]+[1]!Table3[[#This Row],[C&amp;I CLM $ Collected]]</f>
        <v>47713.246214400002</v>
      </c>
      <c r="E214" s="36">
        <f>[1]!Table3[[#This Row],[CLM $ Collected ]]/'[1]1.) CLM Reference'!$B$4</f>
        <v>4.2329481891879086E-4</v>
      </c>
      <c r="F214" s="40">
        <f>[1]!Table3[[#This Row],[Residential Incentive Disbursements]]+[1]!Table3[[#This Row],[C&amp;I Incentive Disbursements]]</f>
        <v>5946.1067999999996</v>
      </c>
      <c r="G214" s="36">
        <f>[1]!Table3[[#This Row],[Incentive Disbursements]]/'[1]1.) CLM Reference'!$B$5</f>
        <v>7.2748547954134272E-5</v>
      </c>
      <c r="H214" s="40">
        <v>47713.246214400002</v>
      </c>
      <c r="I214" s="36">
        <f>[1]!Table3[[#This Row],[Residential CLM $ Collected]]/'[1]1.) CLM Reference'!$B$4</f>
        <v>4.2329481891879086E-4</v>
      </c>
      <c r="J214" s="41">
        <v>5946.1067999999996</v>
      </c>
      <c r="K214" s="36">
        <f>[1]!Table3[[#This Row],[Residential Incentive Disbursements]]/'[1]1.) CLM Reference'!$B$5</f>
        <v>7.2748547954134272E-5</v>
      </c>
      <c r="L214" s="37">
        <v>0</v>
      </c>
      <c r="M214" s="36">
        <f>[1]!Table3[[#This Row],[C&amp;I CLM $ Collected]]/'[1]1.) CLM Reference'!$B$4</f>
        <v>0</v>
      </c>
      <c r="N214" s="41">
        <v>0</v>
      </c>
      <c r="O214" s="36">
        <f>[1]!Table3[[#This Row],[C&amp;I Incentive Disbursements]]/'[1]1.) CLM Reference'!$B$5</f>
        <v>0</v>
      </c>
      <c r="Q214">
        <f>VLOOKUP(Table3[[#This Row],[Census Tract]],'Population and Diversity Data'!$B$2:$K$823,10,FALSE)</f>
        <v>1</v>
      </c>
      <c r="R214" t="str">
        <f>VLOOKUP(Table3[[#This Row],[Census Tract]],'ES Energy Burden'!$B$2:$E$914,4,FALSE)</f>
        <v>No</v>
      </c>
    </row>
    <row r="215" spans="1:18" x14ac:dyDescent="0.2">
      <c r="A215" s="100">
        <v>9003484200</v>
      </c>
      <c r="B215" s="38" t="s">
        <v>2773</v>
      </c>
      <c r="C215" s="38" t="s">
        <v>944</v>
      </c>
      <c r="D215" s="40">
        <f>[1]!Table3[[#This Row],[Residential CLM $ Collected]]+[1]!Table3[[#This Row],[C&amp;I CLM $ Collected]]</f>
        <v>658.84648319999997</v>
      </c>
      <c r="E215" s="36">
        <f>[1]!Table3[[#This Row],[CLM $ Collected ]]/'[1]1.) CLM Reference'!$B$4</f>
        <v>5.8450498536244516E-6</v>
      </c>
      <c r="F215" s="40">
        <f>[1]!Table3[[#This Row],[Residential Incentive Disbursements]]+[1]!Table3[[#This Row],[C&amp;I Incentive Disbursements]]</f>
        <v>0</v>
      </c>
      <c r="G215" s="36">
        <f>[1]!Table3[[#This Row],[Incentive Disbursements]]/'[1]1.) CLM Reference'!$B$5</f>
        <v>0</v>
      </c>
      <c r="H215" s="40">
        <v>658.84648319999997</v>
      </c>
      <c r="I215" s="36">
        <f>[1]!Table3[[#This Row],[Residential CLM $ Collected]]/'[1]1.) CLM Reference'!$B$4</f>
        <v>5.8450498536244516E-6</v>
      </c>
      <c r="J215" s="41">
        <v>0</v>
      </c>
      <c r="K215" s="36">
        <f>[1]!Table3[[#This Row],[Residential Incentive Disbursements]]/'[1]1.) CLM Reference'!$B$5</f>
        <v>0</v>
      </c>
      <c r="L215" s="37">
        <v>0</v>
      </c>
      <c r="M215" s="36">
        <f>[1]!Table3[[#This Row],[C&amp;I CLM $ Collected]]/'[1]1.) CLM Reference'!$B$4</f>
        <v>0</v>
      </c>
      <c r="N215" s="41">
        <v>0</v>
      </c>
      <c r="O215" s="36">
        <f>[1]!Table3[[#This Row],[C&amp;I Incentive Disbursements]]/'[1]1.) CLM Reference'!$B$5</f>
        <v>0</v>
      </c>
      <c r="Q215">
        <f>VLOOKUP(Table3[[#This Row],[Census Tract]],'Population and Diversity Data'!$B$2:$K$823,10,FALSE)</f>
        <v>3</v>
      </c>
      <c r="R215" t="str">
        <f>VLOOKUP(Table3[[#This Row],[Census Tract]],'ES Energy Burden'!$B$2:$E$914,4,FALSE)</f>
        <v>No</v>
      </c>
    </row>
    <row r="216" spans="1:18" x14ac:dyDescent="0.2">
      <c r="A216" s="100">
        <v>9003524300</v>
      </c>
      <c r="B216" s="38" t="s">
        <v>2773</v>
      </c>
      <c r="C216" s="38" t="s">
        <v>944</v>
      </c>
      <c r="D216" s="40">
        <f>[1]!Table3[[#This Row],[Residential CLM $ Collected]]+[1]!Table3[[#This Row],[C&amp;I CLM $ Collected]]</f>
        <v>77128.346283840016</v>
      </c>
      <c r="E216" s="36">
        <f>[1]!Table3[[#This Row],[CLM $ Collected ]]/'[1]1.) CLM Reference'!$B$4</f>
        <v>6.8425504370462601E-4</v>
      </c>
      <c r="F216" s="40">
        <f>[1]!Table3[[#This Row],[Residential Incentive Disbursements]]+[1]!Table3[[#This Row],[C&amp;I Incentive Disbursements]]</f>
        <v>31690.293099999999</v>
      </c>
      <c r="G216" s="36">
        <f>[1]!Table3[[#This Row],[Incentive Disbursements]]/'[1]1.) CLM Reference'!$B$5</f>
        <v>3.8771971052822671E-4</v>
      </c>
      <c r="H216" s="40">
        <v>77128.346283840016</v>
      </c>
      <c r="I216" s="36">
        <f>[1]!Table3[[#This Row],[Residential CLM $ Collected]]/'[1]1.) CLM Reference'!$B$4</f>
        <v>6.8425504370462601E-4</v>
      </c>
      <c r="J216" s="41">
        <v>31690.293099999999</v>
      </c>
      <c r="K216" s="36">
        <f>[1]!Table3[[#This Row],[Residential Incentive Disbursements]]/'[1]1.) CLM Reference'!$B$5</f>
        <v>3.8771971052822671E-4</v>
      </c>
      <c r="L216" s="37">
        <v>0</v>
      </c>
      <c r="M216" s="36">
        <f>[1]!Table3[[#This Row],[C&amp;I CLM $ Collected]]/'[1]1.) CLM Reference'!$B$4</f>
        <v>0</v>
      </c>
      <c r="N216" s="41">
        <v>0</v>
      </c>
      <c r="O216" s="36">
        <f>[1]!Table3[[#This Row],[C&amp;I Incentive Disbursements]]/'[1]1.) CLM Reference'!$B$5</f>
        <v>0</v>
      </c>
      <c r="Q216">
        <f>VLOOKUP(Table3[[#This Row],[Census Tract]],'Population and Diversity Data'!$B$2:$K$823,10,FALSE)</f>
        <v>4</v>
      </c>
      <c r="R216" t="str">
        <f>VLOOKUP(Table3[[#This Row],[Census Tract]],'ES Energy Burden'!$B$2:$E$914,4,FALSE)</f>
        <v>No</v>
      </c>
    </row>
    <row r="217" spans="1:18" x14ac:dyDescent="0.2">
      <c r="A217" s="100">
        <v>9007630100</v>
      </c>
      <c r="B217" s="38" t="s">
        <v>2774</v>
      </c>
      <c r="C217" s="38" t="s">
        <v>944</v>
      </c>
      <c r="D217" s="40">
        <f>[1]!Table3[[#This Row],[Residential CLM $ Collected]]+[1]!Table3[[#This Row],[C&amp;I CLM $ Collected]]</f>
        <v>243904.75794719998</v>
      </c>
      <c r="E217" s="36">
        <f>[1]!Table3[[#This Row],[CLM $ Collected ]]/'[1]1.) CLM Reference'!$B$4</f>
        <v>2.1638355915832089E-3</v>
      </c>
      <c r="F217" s="40">
        <f>[1]!Table3[[#This Row],[Residential Incentive Disbursements]]+[1]!Table3[[#This Row],[C&amp;I Incentive Disbursements]]</f>
        <v>111069.48940000001</v>
      </c>
      <c r="G217" s="36">
        <f>[1]!Table3[[#This Row],[Incentive Disbursements]]/'[1]1.) CLM Reference'!$B$5</f>
        <v>1.3588965599906663E-3</v>
      </c>
      <c r="H217" s="40">
        <v>175416.2494992</v>
      </c>
      <c r="I217" s="36">
        <f>[1]!Table3[[#This Row],[Residential CLM $ Collected]]/'[1]1.) CLM Reference'!$B$4</f>
        <v>1.5562300924468976E-3</v>
      </c>
      <c r="J217" s="41">
        <v>96197.329400000002</v>
      </c>
      <c r="K217" s="36">
        <f>[1]!Table3[[#This Row],[Residential Incentive Disbursements]]/'[1]1.) CLM Reference'!$B$5</f>
        <v>1.1769408566485134E-3</v>
      </c>
      <c r="L217" s="37">
        <v>68488.508447999993</v>
      </c>
      <c r="M217" s="36">
        <f>[1]!Table3[[#This Row],[C&amp;I CLM $ Collected]]/'[1]1.) CLM Reference'!$B$4</f>
        <v>6.0760549913631138E-4</v>
      </c>
      <c r="N217" s="41">
        <v>14872.16</v>
      </c>
      <c r="O217" s="36">
        <f>[1]!Table3[[#This Row],[C&amp;I Incentive Disbursements]]/'[1]1.) CLM Reference'!$B$5</f>
        <v>1.819557033421528E-4</v>
      </c>
      <c r="Q217">
        <f>VLOOKUP(Table3[[#This Row],[Census Tract]],'Population and Diversity Data'!$B$2:$K$823,10,FALSE)</f>
        <v>2</v>
      </c>
      <c r="R217" t="str">
        <f>VLOOKUP(Table3[[#This Row],[Census Tract]],'ES Energy Burden'!$B$2:$E$914,4,FALSE)</f>
        <v>No</v>
      </c>
    </row>
    <row r="218" spans="1:18" x14ac:dyDescent="0.2">
      <c r="A218" s="100">
        <v>9007670100</v>
      </c>
      <c r="B218" s="38" t="s">
        <v>2774</v>
      </c>
      <c r="C218" s="38" t="s">
        <v>944</v>
      </c>
      <c r="D218" s="40">
        <f>[1]!Table3[[#This Row],[Residential CLM $ Collected]]+[1]!Table3[[#This Row],[C&amp;I CLM $ Collected]]</f>
        <v>449.22824639999999</v>
      </c>
      <c r="E218" s="36">
        <f>[1]!Table3[[#This Row],[CLM $ Collected ]]/'[1]1.) CLM Reference'!$B$4</f>
        <v>3.9853919886026175E-6</v>
      </c>
      <c r="F218" s="40">
        <f>[1]!Table3[[#This Row],[Residential Incentive Disbursements]]+[1]!Table3[[#This Row],[C&amp;I Incentive Disbursements]]</f>
        <v>0</v>
      </c>
      <c r="G218" s="36">
        <f>[1]!Table3[[#This Row],[Incentive Disbursements]]/'[1]1.) CLM Reference'!$B$5</f>
        <v>0</v>
      </c>
      <c r="H218" s="40">
        <v>449.22824639999999</v>
      </c>
      <c r="I218" s="36">
        <f>[1]!Table3[[#This Row],[Residential CLM $ Collected]]/'[1]1.) CLM Reference'!$B$4</f>
        <v>3.9853919886026175E-6</v>
      </c>
      <c r="J218" s="41">
        <v>0</v>
      </c>
      <c r="K218" s="36">
        <f>[1]!Table3[[#This Row],[Residential Incentive Disbursements]]/'[1]1.) CLM Reference'!$B$5</f>
        <v>0</v>
      </c>
      <c r="L218" s="37">
        <v>0</v>
      </c>
      <c r="M218" s="36">
        <f>[1]!Table3[[#This Row],[C&amp;I CLM $ Collected]]/'[1]1.) CLM Reference'!$B$4</f>
        <v>0</v>
      </c>
      <c r="N218" s="41">
        <v>0</v>
      </c>
      <c r="O218" s="36">
        <f>[1]!Table3[[#This Row],[C&amp;I Incentive Disbursements]]/'[1]1.) CLM Reference'!$B$5</f>
        <v>0</v>
      </c>
      <c r="Q218">
        <f>VLOOKUP(Table3[[#This Row],[Census Tract]],'Population and Diversity Data'!$B$2:$K$823,10,FALSE)</f>
        <v>2</v>
      </c>
      <c r="R218" t="str">
        <f>VLOOKUP(Table3[[#This Row],[Census Tract]],'ES Energy Burden'!$B$2:$E$914,4,FALSE)</f>
        <v>No</v>
      </c>
    </row>
    <row r="219" spans="1:18" x14ac:dyDescent="0.2">
      <c r="A219" s="100">
        <v>9003406002</v>
      </c>
      <c r="B219" s="38" t="s">
        <v>2775</v>
      </c>
      <c r="C219" s="38" t="s">
        <v>944</v>
      </c>
      <c r="D219" s="40">
        <f>[1]!Table3[[#This Row],[Residential CLM $ Collected]]+[1]!Table3[[#This Row],[C&amp;I CLM $ Collected]]</f>
        <v>1028.8434240000001</v>
      </c>
      <c r="E219" s="36">
        <f>[1]!Table3[[#This Row],[CLM $ Collected ]]/'[1]1.) CLM Reference'!$B$4</f>
        <v>9.127530097217162E-6</v>
      </c>
      <c r="F219" s="40">
        <f>[1]!Table3[[#This Row],[Residential Incentive Disbursements]]+[1]!Table3[[#This Row],[C&amp;I Incentive Disbursements]]</f>
        <v>0</v>
      </c>
      <c r="G219" s="36">
        <f>[1]!Table3[[#This Row],[Incentive Disbursements]]/'[1]1.) CLM Reference'!$B$5</f>
        <v>0</v>
      </c>
      <c r="H219" s="40">
        <v>1028.8434240000001</v>
      </c>
      <c r="I219" s="36">
        <f>[1]!Table3[[#This Row],[Residential CLM $ Collected]]/'[1]1.) CLM Reference'!$B$4</f>
        <v>9.127530097217162E-6</v>
      </c>
      <c r="J219" s="41">
        <v>0</v>
      </c>
      <c r="K219" s="36">
        <f>[1]!Table3[[#This Row],[Residential Incentive Disbursements]]/'[1]1.) CLM Reference'!$B$5</f>
        <v>0</v>
      </c>
      <c r="L219" s="37">
        <v>0</v>
      </c>
      <c r="M219" s="36">
        <f>[1]!Table3[[#This Row],[C&amp;I CLM $ Collected]]/'[1]1.) CLM Reference'!$B$4</f>
        <v>0</v>
      </c>
      <c r="N219" s="41">
        <v>0</v>
      </c>
      <c r="O219" s="36">
        <f>[1]!Table3[[#This Row],[C&amp;I Incentive Disbursements]]/'[1]1.) CLM Reference'!$B$5</f>
        <v>0</v>
      </c>
      <c r="Q219">
        <f>VLOOKUP(Table3[[#This Row],[Census Tract]],'Population and Diversity Data'!$B$2:$K$823,10,FALSE)</f>
        <v>2</v>
      </c>
      <c r="R219" t="str">
        <f>VLOOKUP(Table3[[#This Row],[Census Tract]],'ES Energy Burden'!$B$2:$E$914,4,FALSE)</f>
        <v>No</v>
      </c>
    </row>
    <row r="220" spans="1:18" x14ac:dyDescent="0.2">
      <c r="A220" s="100">
        <v>9003410101</v>
      </c>
      <c r="B220" s="38" t="s">
        <v>2775</v>
      </c>
      <c r="C220" s="38" t="s">
        <v>944</v>
      </c>
      <c r="D220" s="40">
        <f>[1]!Table3[[#This Row],[Residential CLM $ Collected]]+[1]!Table3[[#This Row],[C&amp;I CLM $ Collected]]</f>
        <v>170.59593599999999</v>
      </c>
      <c r="E220" s="36">
        <f>[1]!Table3[[#This Row],[CLM $ Collected ]]/'[1]1.) CLM Reference'!$B$4</f>
        <v>1.513465998790242E-6</v>
      </c>
      <c r="F220" s="40">
        <f>[1]!Table3[[#This Row],[Residential Incentive Disbursements]]+[1]!Table3[[#This Row],[C&amp;I Incentive Disbursements]]</f>
        <v>0</v>
      </c>
      <c r="G220" s="36">
        <f>[1]!Table3[[#This Row],[Incentive Disbursements]]/'[1]1.) CLM Reference'!$B$5</f>
        <v>0</v>
      </c>
      <c r="H220" s="40">
        <v>170.59593599999999</v>
      </c>
      <c r="I220" s="36">
        <f>[1]!Table3[[#This Row],[Residential CLM $ Collected]]/'[1]1.) CLM Reference'!$B$4</f>
        <v>1.513465998790242E-6</v>
      </c>
      <c r="J220" s="41">
        <v>0</v>
      </c>
      <c r="K220" s="36">
        <f>[1]!Table3[[#This Row],[Residential Incentive Disbursements]]/'[1]1.) CLM Reference'!$B$5</f>
        <v>0</v>
      </c>
      <c r="L220" s="37">
        <v>0</v>
      </c>
      <c r="M220" s="36">
        <f>[1]!Table3[[#This Row],[C&amp;I CLM $ Collected]]/'[1]1.) CLM Reference'!$B$4</f>
        <v>0</v>
      </c>
      <c r="N220" s="41">
        <v>0</v>
      </c>
      <c r="O220" s="36">
        <f>[1]!Table3[[#This Row],[C&amp;I Incentive Disbursements]]/'[1]1.) CLM Reference'!$B$5</f>
        <v>0</v>
      </c>
      <c r="Q220">
        <f>VLOOKUP(Table3[[#This Row],[Census Tract]],'Population and Diversity Data'!$B$2:$K$823,10,FALSE)</f>
        <v>1</v>
      </c>
      <c r="R220" t="str">
        <f>VLOOKUP(Table3[[#This Row],[Census Tract]],'ES Energy Burden'!$B$2:$E$914,4,FALSE)</f>
        <v>No</v>
      </c>
    </row>
    <row r="221" spans="1:18" x14ac:dyDescent="0.2">
      <c r="A221" s="100">
        <v>9003410102</v>
      </c>
      <c r="B221" s="38" t="s">
        <v>2775</v>
      </c>
      <c r="C221" s="38" t="s">
        <v>944</v>
      </c>
      <c r="D221" s="40">
        <f>[1]!Table3[[#This Row],[Residential CLM $ Collected]]+[1]!Table3[[#This Row],[C&amp;I CLM $ Collected]]</f>
        <v>37.430380799999995</v>
      </c>
      <c r="E221" s="36">
        <f>[1]!Table3[[#This Row],[CLM $ Collected ]]/'[1]1.) CLM Reference'!$B$4</f>
        <v>3.3206892257135066E-7</v>
      </c>
      <c r="F221" s="40">
        <f>[1]!Table3[[#This Row],[Residential Incentive Disbursements]]+[1]!Table3[[#This Row],[C&amp;I Incentive Disbursements]]</f>
        <v>361.58</v>
      </c>
      <c r="G221" s="36">
        <f>[1]!Table3[[#This Row],[Incentive Disbursements]]/'[1]1.) CLM Reference'!$B$5</f>
        <v>4.423805500643861E-6</v>
      </c>
      <c r="H221" s="40">
        <v>37.430380799999995</v>
      </c>
      <c r="I221" s="36">
        <f>[1]!Table3[[#This Row],[Residential CLM $ Collected]]/'[1]1.) CLM Reference'!$B$4</f>
        <v>3.3206892257135066E-7</v>
      </c>
      <c r="J221" s="41">
        <v>361.58</v>
      </c>
      <c r="K221" s="36">
        <f>[1]!Table3[[#This Row],[Residential Incentive Disbursements]]/'[1]1.) CLM Reference'!$B$5</f>
        <v>4.423805500643861E-6</v>
      </c>
      <c r="L221" s="37">
        <v>0</v>
      </c>
      <c r="M221" s="36">
        <f>[1]!Table3[[#This Row],[C&amp;I CLM $ Collected]]/'[1]1.) CLM Reference'!$B$4</f>
        <v>0</v>
      </c>
      <c r="N221" s="41">
        <v>0</v>
      </c>
      <c r="O221" s="36">
        <f>[1]!Table3[[#This Row],[C&amp;I Incentive Disbursements]]/'[1]1.) CLM Reference'!$B$5</f>
        <v>0</v>
      </c>
      <c r="Q221">
        <f>VLOOKUP(Table3[[#This Row],[Census Tract]],'Population and Diversity Data'!$B$2:$K$823,10,FALSE)</f>
        <v>2</v>
      </c>
      <c r="R221" t="str">
        <f>VLOOKUP(Table3[[#This Row],[Census Tract]],'ES Energy Burden'!$B$2:$E$914,4,FALSE)</f>
        <v>No</v>
      </c>
    </row>
    <row r="222" spans="1:18" x14ac:dyDescent="0.2">
      <c r="A222" s="100">
        <v>9003420600</v>
      </c>
      <c r="B222" s="38" t="s">
        <v>2775</v>
      </c>
      <c r="C222" s="38" t="s">
        <v>944</v>
      </c>
      <c r="D222" s="40">
        <f>[1]!Table3[[#This Row],[Residential CLM $ Collected]]+[1]!Table3[[#This Row],[C&amp;I CLM $ Collected]]</f>
        <v>1096.0629696000001</v>
      </c>
      <c r="E222" s="36">
        <f>[1]!Table3[[#This Row],[CLM $ Collected ]]/'[1]1.) CLM Reference'!$B$4</f>
        <v>9.7238778127907042E-6</v>
      </c>
      <c r="F222" s="40">
        <f>[1]!Table3[[#This Row],[Residential Incentive Disbursements]]+[1]!Table3[[#This Row],[C&amp;I Incentive Disbursements]]</f>
        <v>1548.06</v>
      </c>
      <c r="G222" s="36">
        <f>[1]!Table3[[#This Row],[Incentive Disbursements]]/'[1]1.) CLM Reference'!$B$5</f>
        <v>1.8939975505632879E-5</v>
      </c>
      <c r="H222" s="40">
        <v>1096.0629696000001</v>
      </c>
      <c r="I222" s="36">
        <f>[1]!Table3[[#This Row],[Residential CLM $ Collected]]/'[1]1.) CLM Reference'!$B$4</f>
        <v>9.7238778127907042E-6</v>
      </c>
      <c r="J222" s="41">
        <v>1548.06</v>
      </c>
      <c r="K222" s="36">
        <f>[1]!Table3[[#This Row],[Residential Incentive Disbursements]]/'[1]1.) CLM Reference'!$B$5</f>
        <v>1.8939975505632879E-5</v>
      </c>
      <c r="L222" s="37">
        <v>0</v>
      </c>
      <c r="M222" s="36">
        <f>[1]!Table3[[#This Row],[C&amp;I CLM $ Collected]]/'[1]1.) CLM Reference'!$B$4</f>
        <v>0</v>
      </c>
      <c r="N222" s="41">
        <v>0</v>
      </c>
      <c r="O222" s="36">
        <f>[1]!Table3[[#This Row],[C&amp;I Incentive Disbursements]]/'[1]1.) CLM Reference'!$B$5</f>
        <v>0</v>
      </c>
      <c r="Q222">
        <f>VLOOKUP(Table3[[#This Row],[Census Tract]],'Population and Diversity Data'!$B$2:$K$823,10,FALSE)</f>
        <v>3</v>
      </c>
      <c r="R222" t="str">
        <f>VLOOKUP(Table3[[#This Row],[Census Tract]],'ES Energy Burden'!$B$2:$E$914,4,FALSE)</f>
        <v>No</v>
      </c>
    </row>
    <row r="223" spans="1:18" x14ac:dyDescent="0.2">
      <c r="A223" s="100">
        <v>9003460100</v>
      </c>
      <c r="B223" s="38" t="s">
        <v>2775</v>
      </c>
      <c r="C223" s="38" t="s">
        <v>944</v>
      </c>
      <c r="D223" s="40">
        <f>[1]!Table3[[#This Row],[Residential CLM $ Collected]]+[1]!Table3[[#This Row],[C&amp;I CLM $ Collected]]</f>
        <v>58080.654737279998</v>
      </c>
      <c r="E223" s="36">
        <f>[1]!Table3[[#This Row],[CLM $ Collected ]]/'[1]1.) CLM Reference'!$B$4</f>
        <v>5.1527075142252324E-4</v>
      </c>
      <c r="F223" s="40">
        <f>[1]!Table3[[#This Row],[Residential Incentive Disbursements]]+[1]!Table3[[#This Row],[C&amp;I Incentive Disbursements]]</f>
        <v>4140.0200000000004</v>
      </c>
      <c r="G223" s="36">
        <f>[1]!Table3[[#This Row],[Incentive Disbursements]]/'[1]1.) CLM Reference'!$B$5</f>
        <v>5.0651704322074235E-5</v>
      </c>
      <c r="H223" s="40">
        <v>58080.654737279998</v>
      </c>
      <c r="I223" s="36">
        <f>[1]!Table3[[#This Row],[Residential CLM $ Collected]]/'[1]1.) CLM Reference'!$B$4</f>
        <v>5.1527075142252324E-4</v>
      </c>
      <c r="J223" s="41">
        <v>4140.0200000000004</v>
      </c>
      <c r="K223" s="36">
        <f>[1]!Table3[[#This Row],[Residential Incentive Disbursements]]/'[1]1.) CLM Reference'!$B$5</f>
        <v>5.0651704322074235E-5</v>
      </c>
      <c r="L223" s="37">
        <v>0</v>
      </c>
      <c r="M223" s="36">
        <f>[1]!Table3[[#This Row],[C&amp;I CLM $ Collected]]/'[1]1.) CLM Reference'!$B$4</f>
        <v>0</v>
      </c>
      <c r="N223" s="41">
        <v>0</v>
      </c>
      <c r="O223" s="36">
        <f>[1]!Table3[[#This Row],[C&amp;I Incentive Disbursements]]/'[1]1.) CLM Reference'!$B$5</f>
        <v>0</v>
      </c>
      <c r="Q223">
        <f>VLOOKUP(Table3[[#This Row],[Census Tract]],'Population and Diversity Data'!$B$2:$K$823,10,FALSE)</f>
        <v>3</v>
      </c>
      <c r="R223" t="str">
        <f>VLOOKUP(Table3[[#This Row],[Census Tract]],'ES Energy Burden'!$B$2:$E$914,4,FALSE)</f>
        <v>No</v>
      </c>
    </row>
    <row r="224" spans="1:18" x14ac:dyDescent="0.2">
      <c r="A224" s="100">
        <v>9003460202</v>
      </c>
      <c r="B224" s="38" t="s">
        <v>2775</v>
      </c>
      <c r="C224" s="38" t="s">
        <v>944</v>
      </c>
      <c r="D224" s="40">
        <f>[1]!Table3[[#This Row],[Residential CLM $ Collected]]+[1]!Table3[[#This Row],[C&amp;I CLM $ Collected]]</f>
        <v>92611.060343999998</v>
      </c>
      <c r="E224" s="36">
        <f>[1]!Table3[[#This Row],[CLM $ Collected ]]/'[1]1.) CLM Reference'!$B$4</f>
        <v>8.2161213349511058E-4</v>
      </c>
      <c r="F224" s="40">
        <f>[1]!Table3[[#This Row],[Residential Incentive Disbursements]]+[1]!Table3[[#This Row],[C&amp;I Incentive Disbursements]]</f>
        <v>17059.78</v>
      </c>
      <c r="G224" s="36">
        <f>[1]!Table3[[#This Row],[Incentive Disbursements]]/'[1]1.) CLM Reference'!$B$5</f>
        <v>2.087204729348253E-4</v>
      </c>
      <c r="H224" s="40">
        <v>92611.060343999998</v>
      </c>
      <c r="I224" s="36">
        <f>[1]!Table3[[#This Row],[Residential CLM $ Collected]]/'[1]1.) CLM Reference'!$B$4</f>
        <v>8.2161213349511058E-4</v>
      </c>
      <c r="J224" s="41">
        <v>17059.78</v>
      </c>
      <c r="K224" s="36">
        <f>[1]!Table3[[#This Row],[Residential Incentive Disbursements]]/'[1]1.) CLM Reference'!$B$5</f>
        <v>2.087204729348253E-4</v>
      </c>
      <c r="L224" s="37">
        <v>0</v>
      </c>
      <c r="M224" s="36">
        <f>[1]!Table3[[#This Row],[C&amp;I CLM $ Collected]]/'[1]1.) CLM Reference'!$B$4</f>
        <v>0</v>
      </c>
      <c r="N224" s="41">
        <v>0</v>
      </c>
      <c r="O224" s="36">
        <f>[1]!Table3[[#This Row],[C&amp;I Incentive Disbursements]]/'[1]1.) CLM Reference'!$B$5</f>
        <v>0</v>
      </c>
      <c r="Q224">
        <f>VLOOKUP(Table3[[#This Row],[Census Tract]],'Population and Diversity Data'!$B$2:$K$823,10,FALSE)</f>
        <v>4</v>
      </c>
      <c r="R224" t="str">
        <f>VLOOKUP(Table3[[#This Row],[Census Tract]],'ES Energy Burden'!$B$2:$E$914,4,FALSE)</f>
        <v>No</v>
      </c>
    </row>
    <row r="225" spans="1:18" x14ac:dyDescent="0.2">
      <c r="A225" s="100">
        <v>9003460203</v>
      </c>
      <c r="B225" s="38" t="s">
        <v>2775</v>
      </c>
      <c r="C225" s="38" t="s">
        <v>944</v>
      </c>
      <c r="D225" s="40">
        <f>[1]!Table3[[#This Row],[Residential CLM $ Collected]]+[1]!Table3[[#This Row],[C&amp;I CLM $ Collected]]</f>
        <v>101702.457576</v>
      </c>
      <c r="E225" s="36">
        <f>[1]!Table3[[#This Row],[CLM $ Collected ]]/'[1]1.) CLM Reference'!$B$4</f>
        <v>9.0226775117716203E-4</v>
      </c>
      <c r="F225" s="40">
        <f>[1]!Table3[[#This Row],[Residential Incentive Disbursements]]+[1]!Table3[[#This Row],[C&amp;I Incentive Disbursements]]</f>
        <v>21242.799999999999</v>
      </c>
      <c r="G225" s="36">
        <f>[1]!Table3[[#This Row],[Incentive Disbursements]]/'[1]1.) CLM Reference'!$B$5</f>
        <v>2.5989826729652476E-4</v>
      </c>
      <c r="H225" s="40">
        <v>101695.72983264001</v>
      </c>
      <c r="I225" s="36">
        <f>[1]!Table3[[#This Row],[Residential CLM $ Collected]]/'[1]1.) CLM Reference'!$B$4</f>
        <v>9.0220806504944591E-4</v>
      </c>
      <c r="J225" s="41">
        <v>21242.799999999999</v>
      </c>
      <c r="K225" s="36">
        <f>[1]!Table3[[#This Row],[Residential Incentive Disbursements]]/'[1]1.) CLM Reference'!$B$5</f>
        <v>2.5989826729652476E-4</v>
      </c>
      <c r="L225" s="37">
        <v>6.7277433599999998</v>
      </c>
      <c r="M225" s="36">
        <f>[1]!Table3[[#This Row],[C&amp;I CLM $ Collected]]/'[1]1.) CLM Reference'!$B$4</f>
        <v>5.9686127716118744E-8</v>
      </c>
      <c r="N225" s="41">
        <v>0</v>
      </c>
      <c r="O225" s="36">
        <f>[1]!Table3[[#This Row],[C&amp;I Incentive Disbursements]]/'[1]1.) CLM Reference'!$B$5</f>
        <v>0</v>
      </c>
      <c r="Q225">
        <f>VLOOKUP(Table3[[#This Row],[Census Tract]],'Population and Diversity Data'!$B$2:$K$823,10,FALSE)</f>
        <v>5</v>
      </c>
      <c r="R225" t="str">
        <f>VLOOKUP(Table3[[#This Row],[Census Tract]],'ES Energy Burden'!$B$2:$E$914,4,FALSE)</f>
        <v>No</v>
      </c>
    </row>
    <row r="226" spans="1:18" x14ac:dyDescent="0.2">
      <c r="A226" s="100">
        <v>9003460204</v>
      </c>
      <c r="B226" s="38" t="s">
        <v>2775</v>
      </c>
      <c r="C226" s="38" t="s">
        <v>944</v>
      </c>
      <c r="D226" s="40">
        <f>[1]!Table3[[#This Row],[Residential CLM $ Collected]]+[1]!Table3[[#This Row],[C&amp;I CLM $ Collected]]</f>
        <v>197109.42727680001</v>
      </c>
      <c r="E226" s="36">
        <f>[1]!Table3[[#This Row],[CLM $ Collected ]]/'[1]1.) CLM Reference'!$B$4</f>
        <v>1.7486841903693105E-3</v>
      </c>
      <c r="F226" s="40">
        <f>[1]!Table3[[#This Row],[Residential Incentive Disbursements]]+[1]!Table3[[#This Row],[C&amp;I Incentive Disbursements]]</f>
        <v>142165.11420000001</v>
      </c>
      <c r="G226" s="36">
        <f>[1]!Table3[[#This Row],[Incentive Disbursements]]/'[1]1.) CLM Reference'!$B$5</f>
        <v>1.7393407107628264E-3</v>
      </c>
      <c r="H226" s="40">
        <v>122782.0920192</v>
      </c>
      <c r="I226" s="36">
        <f>[1]!Table3[[#This Row],[Residential CLM $ Collected]]/'[1]1.) CLM Reference'!$B$4</f>
        <v>1.0892787125444416E-3</v>
      </c>
      <c r="J226" s="41">
        <v>95321.2546</v>
      </c>
      <c r="K226" s="36">
        <f>[1]!Table3[[#This Row],[Residential Incentive Disbursements]]/'[1]1.) CLM Reference'!$B$5</f>
        <v>1.1662223862706842E-3</v>
      </c>
      <c r="L226" s="37">
        <v>74327.335257600003</v>
      </c>
      <c r="M226" s="36">
        <f>[1]!Table3[[#This Row],[C&amp;I CLM $ Collected]]/'[1]1.) CLM Reference'!$B$4</f>
        <v>6.5940547782486893E-4</v>
      </c>
      <c r="N226" s="41">
        <v>46843.859600000003</v>
      </c>
      <c r="O226" s="36">
        <f>[1]!Table3[[#This Row],[C&amp;I Incentive Disbursements]]/'[1]1.) CLM Reference'!$B$5</f>
        <v>5.7311832449214221E-4</v>
      </c>
      <c r="Q226">
        <f>VLOOKUP(Table3[[#This Row],[Census Tract]],'Population and Diversity Data'!$B$2:$K$823,10,FALSE)</f>
        <v>4</v>
      </c>
      <c r="R226" t="str">
        <f>VLOOKUP(Table3[[#This Row],[Census Tract]],'ES Energy Burden'!$B$2:$E$914,4,FALSE)</f>
        <v>No</v>
      </c>
    </row>
    <row r="227" spans="1:18" x14ac:dyDescent="0.2">
      <c r="A227" s="100">
        <v>9003460301</v>
      </c>
      <c r="B227" s="38" t="s">
        <v>2775</v>
      </c>
      <c r="C227" s="38" t="s">
        <v>944</v>
      </c>
      <c r="D227" s="40">
        <f>[1]!Table3[[#This Row],[Residential CLM $ Collected]]+[1]!Table3[[#This Row],[C&amp;I CLM $ Collected]]</f>
        <v>85855.085585280001</v>
      </c>
      <c r="E227" s="36">
        <f>[1]!Table3[[#This Row],[CLM $ Collected ]]/'[1]1.) CLM Reference'!$B$4</f>
        <v>7.6167554692831315E-4</v>
      </c>
      <c r="F227" s="40">
        <f>[1]!Table3[[#This Row],[Residential Incentive Disbursements]]+[1]!Table3[[#This Row],[C&amp;I Incentive Disbursements]]</f>
        <v>15872.5816</v>
      </c>
      <c r="G227" s="36">
        <f>[1]!Table3[[#This Row],[Incentive Disbursements]]/'[1]1.) CLM Reference'!$B$5</f>
        <v>1.9419551355577891E-4</v>
      </c>
      <c r="H227" s="40">
        <v>85855.085585280001</v>
      </c>
      <c r="I227" s="36">
        <f>[1]!Table3[[#This Row],[Residential CLM $ Collected]]/'[1]1.) CLM Reference'!$B$4</f>
        <v>7.6167554692831315E-4</v>
      </c>
      <c r="J227" s="41">
        <v>15872.5816</v>
      </c>
      <c r="K227" s="36">
        <f>[1]!Table3[[#This Row],[Residential Incentive Disbursements]]/'[1]1.) CLM Reference'!$B$5</f>
        <v>1.9419551355577891E-4</v>
      </c>
      <c r="L227" s="37">
        <v>0</v>
      </c>
      <c r="M227" s="36">
        <f>[1]!Table3[[#This Row],[C&amp;I CLM $ Collected]]/'[1]1.) CLM Reference'!$B$4</f>
        <v>0</v>
      </c>
      <c r="N227" s="41">
        <v>0</v>
      </c>
      <c r="O227" s="36">
        <f>[1]!Table3[[#This Row],[C&amp;I Incentive Disbursements]]/'[1]1.) CLM Reference'!$B$5</f>
        <v>0</v>
      </c>
      <c r="Q227">
        <f>VLOOKUP(Table3[[#This Row],[Census Tract]],'Population and Diversity Data'!$B$2:$K$823,10,FALSE)</f>
        <v>3</v>
      </c>
      <c r="R227" t="str">
        <f>VLOOKUP(Table3[[#This Row],[Census Tract]],'ES Energy Burden'!$B$2:$E$914,4,FALSE)</f>
        <v>No</v>
      </c>
    </row>
    <row r="228" spans="1:18" x14ac:dyDescent="0.2">
      <c r="A228" s="100">
        <v>9003460302</v>
      </c>
      <c r="B228" s="38" t="s">
        <v>2775</v>
      </c>
      <c r="C228" s="38" t="s">
        <v>944</v>
      </c>
      <c r="D228" s="40">
        <f>[1]!Table3[[#This Row],[Residential CLM $ Collected]]+[1]!Table3[[#This Row],[C&amp;I CLM $ Collected]]</f>
        <v>62555.017970879999</v>
      </c>
      <c r="E228" s="36">
        <f>[1]!Table3[[#This Row],[CLM $ Collected ]]/'[1]1.) CLM Reference'!$B$4</f>
        <v>5.5496569831909378E-4</v>
      </c>
      <c r="F228" s="40">
        <f>[1]!Table3[[#This Row],[Residential Incentive Disbursements]]+[1]!Table3[[#This Row],[C&amp;I Incentive Disbursements]]</f>
        <v>11949.12</v>
      </c>
      <c r="G228" s="36">
        <f>[1]!Table3[[#This Row],[Incentive Disbursements]]/'[1]1.) CLM Reference'!$B$5</f>
        <v>1.4619332591363899E-4</v>
      </c>
      <c r="H228" s="40">
        <v>62555.017970879999</v>
      </c>
      <c r="I228" s="36">
        <f>[1]!Table3[[#This Row],[Residential CLM $ Collected]]/'[1]1.) CLM Reference'!$B$4</f>
        <v>5.5496569831909378E-4</v>
      </c>
      <c r="J228" s="41">
        <v>11949.12</v>
      </c>
      <c r="K228" s="36">
        <f>[1]!Table3[[#This Row],[Residential Incentive Disbursements]]/'[1]1.) CLM Reference'!$B$5</f>
        <v>1.4619332591363899E-4</v>
      </c>
      <c r="L228" s="37">
        <v>0</v>
      </c>
      <c r="M228" s="36">
        <f>[1]!Table3[[#This Row],[C&amp;I CLM $ Collected]]/'[1]1.) CLM Reference'!$B$4</f>
        <v>0</v>
      </c>
      <c r="N228" s="41">
        <v>0</v>
      </c>
      <c r="O228" s="36">
        <f>[1]!Table3[[#This Row],[C&amp;I Incentive Disbursements]]/'[1]1.) CLM Reference'!$B$5</f>
        <v>0</v>
      </c>
      <c r="Q228">
        <f>VLOOKUP(Table3[[#This Row],[Census Tract]],'Population and Diversity Data'!$B$2:$K$823,10,FALSE)</f>
        <v>3</v>
      </c>
      <c r="R228" t="str">
        <f>VLOOKUP(Table3[[#This Row],[Census Tract]],'ES Energy Burden'!$B$2:$E$914,4,FALSE)</f>
        <v>No</v>
      </c>
    </row>
    <row r="229" spans="1:18" x14ac:dyDescent="0.2">
      <c r="A229" s="100">
        <v>9003462101</v>
      </c>
      <c r="B229" s="38" t="s">
        <v>2775</v>
      </c>
      <c r="C229" s="38" t="s">
        <v>944</v>
      </c>
      <c r="D229" s="40">
        <f>[1]!Table3[[#This Row],[Residential CLM $ Collected]]+[1]!Table3[[#This Row],[C&amp;I CLM $ Collected]]</f>
        <v>634.86348480000004</v>
      </c>
      <c r="E229" s="36">
        <f>[1]!Table3[[#This Row],[CLM $ Collected ]]/'[1]1.) CLM Reference'!$B$4</f>
        <v>5.6322812878630688E-6</v>
      </c>
      <c r="F229" s="40">
        <f>[1]!Table3[[#This Row],[Residential Incentive Disbursements]]+[1]!Table3[[#This Row],[C&amp;I Incentive Disbursements]]</f>
        <v>599.75</v>
      </c>
      <c r="G229" s="36">
        <f>[1]!Table3[[#This Row],[Incentive Disbursements]]/'[1]1.) CLM Reference'!$B$5</f>
        <v>7.3377325875633496E-6</v>
      </c>
      <c r="H229" s="40">
        <v>634.86348480000004</v>
      </c>
      <c r="I229" s="36">
        <f>[1]!Table3[[#This Row],[Residential CLM $ Collected]]/'[1]1.) CLM Reference'!$B$4</f>
        <v>5.6322812878630688E-6</v>
      </c>
      <c r="J229" s="41">
        <v>599.75</v>
      </c>
      <c r="K229" s="36">
        <f>[1]!Table3[[#This Row],[Residential Incentive Disbursements]]/'[1]1.) CLM Reference'!$B$5</f>
        <v>7.3377325875633496E-6</v>
      </c>
      <c r="L229" s="37">
        <v>0</v>
      </c>
      <c r="M229" s="36">
        <f>[1]!Table3[[#This Row],[C&amp;I CLM $ Collected]]/'[1]1.) CLM Reference'!$B$4</f>
        <v>0</v>
      </c>
      <c r="N229" s="41">
        <v>0</v>
      </c>
      <c r="O229" s="36">
        <f>[1]!Table3[[#This Row],[C&amp;I Incentive Disbursements]]/'[1]1.) CLM Reference'!$B$5</f>
        <v>0</v>
      </c>
      <c r="Q229">
        <f>VLOOKUP(Table3[[#This Row],[Census Tract]],'Population and Diversity Data'!$B$2:$K$823,10,FALSE)</f>
        <v>4</v>
      </c>
      <c r="R229" t="str">
        <f>VLOOKUP(Table3[[#This Row],[Census Tract]],'ES Energy Burden'!$B$2:$E$914,4,FALSE)</f>
        <v>No</v>
      </c>
    </row>
    <row r="230" spans="1:18" x14ac:dyDescent="0.2">
      <c r="A230" s="100">
        <v>9003496200</v>
      </c>
      <c r="B230" s="38" t="s">
        <v>2775</v>
      </c>
      <c r="C230" s="38" t="s">
        <v>944</v>
      </c>
      <c r="D230" s="40">
        <f>[1]!Table3[[#This Row],[Residential CLM $ Collected]]+[1]!Table3[[#This Row],[C&amp;I CLM $ Collected]]</f>
        <v>151394.14717631997</v>
      </c>
      <c r="E230" s="36">
        <f>[1]!Table3[[#This Row],[CLM $ Collected ]]/'[1]1.) CLM Reference'!$B$4</f>
        <v>1.3431146106974436E-3</v>
      </c>
      <c r="F230" s="40">
        <f>[1]!Table3[[#This Row],[Residential Incentive Disbursements]]+[1]!Table3[[#This Row],[C&amp;I Incentive Disbursements]]</f>
        <v>61.31</v>
      </c>
      <c r="G230" s="36">
        <f>[1]!Table3[[#This Row],[Incentive Disbursements]]/'[1]1.) CLM Reference'!$B$5</f>
        <v>7.5010651928888531E-7</v>
      </c>
      <c r="H230" s="40">
        <v>5802.2531712</v>
      </c>
      <c r="I230" s="36">
        <f>[1]!Table3[[#This Row],[Residential CLM $ Collected]]/'[1]1.) CLM Reference'!$B$4</f>
        <v>5.1475510477483219E-5</v>
      </c>
      <c r="J230" s="41">
        <v>61.31</v>
      </c>
      <c r="K230" s="36">
        <f>[1]!Table3[[#This Row],[Residential Incentive Disbursements]]/'[1]1.) CLM Reference'!$B$5</f>
        <v>7.5010651928888531E-7</v>
      </c>
      <c r="L230" s="37">
        <v>145591.89400511998</v>
      </c>
      <c r="M230" s="36">
        <f>[1]!Table3[[#This Row],[C&amp;I CLM $ Collected]]/'[1]1.) CLM Reference'!$B$4</f>
        <v>1.2916391002199604E-3</v>
      </c>
      <c r="N230" s="41">
        <v>0</v>
      </c>
      <c r="O230" s="36">
        <f>[1]!Table3[[#This Row],[C&amp;I Incentive Disbursements]]/'[1]1.) CLM Reference'!$B$5</f>
        <v>0</v>
      </c>
      <c r="Q230">
        <f>VLOOKUP(Table3[[#This Row],[Census Tract]],'Population and Diversity Data'!$B$2:$K$823,10,FALSE)</f>
        <v>5</v>
      </c>
      <c r="R230" t="str">
        <f>VLOOKUP(Table3[[#This Row],[Census Tract]],'ES Energy Burden'!$B$2:$E$914,4,FALSE)</f>
        <v>No</v>
      </c>
    </row>
    <row r="231" spans="1:18" x14ac:dyDescent="0.2">
      <c r="A231" s="100">
        <v>9011712100</v>
      </c>
      <c r="B231" s="38" t="s">
        <v>2776</v>
      </c>
      <c r="C231" s="38" t="s">
        <v>944</v>
      </c>
      <c r="D231" s="40">
        <f>[1]!Table3[[#This Row],[Residential CLM $ Collected]]+[1]!Table3[[#This Row],[C&amp;I CLM $ Collected]]</f>
        <v>45315.20629152</v>
      </c>
      <c r="E231" s="36">
        <f>[1]!Table3[[#This Row],[CLM $ Collected ]]/'[1]1.) CLM Reference'!$B$4</f>
        <v>4.0202026823418102E-4</v>
      </c>
      <c r="F231" s="40">
        <f>[1]!Table3[[#This Row],[Residential Incentive Disbursements]]+[1]!Table3[[#This Row],[C&amp;I Incentive Disbursements]]</f>
        <v>14386.054400000001</v>
      </c>
      <c r="G231" s="36">
        <f>[1]!Table3[[#This Row],[Incentive Disbursements]]/'[1]1.) CLM Reference'!$B$5</f>
        <v>1.7600837044991932E-4</v>
      </c>
      <c r="H231" s="40">
        <v>40434.531238080002</v>
      </c>
      <c r="I231" s="36">
        <f>[1]!Table3[[#This Row],[Residential CLM $ Collected]]/'[1]1.) CLM Reference'!$B$4</f>
        <v>3.5872066850324027E-4</v>
      </c>
      <c r="J231" s="41">
        <v>13070.7744</v>
      </c>
      <c r="K231" s="36">
        <f>[1]!Table3[[#This Row],[Residential Incentive Disbursements]]/'[1]1.) CLM Reference'!$B$5</f>
        <v>1.5991637725647152E-4</v>
      </c>
      <c r="L231" s="37">
        <v>4880.6750534399998</v>
      </c>
      <c r="M231" s="36">
        <f>[1]!Table3[[#This Row],[C&amp;I CLM $ Collected]]/'[1]1.) CLM Reference'!$B$4</f>
        <v>4.3299599730940758E-5</v>
      </c>
      <c r="N231" s="41">
        <v>1315.28</v>
      </c>
      <c r="O231" s="36">
        <f>[1]!Table3[[#This Row],[C&amp;I Incentive Disbursements]]/'[1]1.) CLM Reference'!$B$5</f>
        <v>1.6091993193447806E-5</v>
      </c>
      <c r="Q231">
        <f>VLOOKUP(Table3[[#This Row],[Census Tract]],'Population and Diversity Data'!$B$2:$K$823,10,FALSE)</f>
        <v>1</v>
      </c>
      <c r="R231" t="str">
        <f>VLOOKUP(Table3[[#This Row],[Census Tract]],'ES Energy Burden'!$B$2:$E$914,4,FALSE)</f>
        <v>No</v>
      </c>
    </row>
    <row r="232" spans="1:18" x14ac:dyDescent="0.2">
      <c r="A232" s="100">
        <v>9011870100</v>
      </c>
      <c r="B232" s="38" t="s">
        <v>2776</v>
      </c>
      <c r="C232" s="38" t="s">
        <v>944</v>
      </c>
      <c r="D232" s="40">
        <f>[1]!Table3[[#This Row],[Residential CLM $ Collected]]+[1]!Table3[[#This Row],[C&amp;I CLM $ Collected]]</f>
        <v>49.980499199999997</v>
      </c>
      <c r="E232" s="36">
        <f>[1]!Table3[[#This Row],[CLM $ Collected ]]/'[1]1.) CLM Reference'!$B$4</f>
        <v>4.4340907477281809E-7</v>
      </c>
      <c r="F232" s="40">
        <f>[1]!Table3[[#This Row],[Residential Incentive Disbursements]]+[1]!Table3[[#This Row],[C&amp;I Incentive Disbursements]]</f>
        <v>0</v>
      </c>
      <c r="G232" s="36">
        <f>[1]!Table3[[#This Row],[Incentive Disbursements]]/'[1]1.) CLM Reference'!$B$5</f>
        <v>0</v>
      </c>
      <c r="H232" s="40">
        <v>49.980499199999997</v>
      </c>
      <c r="I232" s="36">
        <f>[1]!Table3[[#This Row],[Residential CLM $ Collected]]/'[1]1.) CLM Reference'!$B$4</f>
        <v>4.4340907477281809E-7</v>
      </c>
      <c r="J232" s="41">
        <v>0</v>
      </c>
      <c r="K232" s="36">
        <f>[1]!Table3[[#This Row],[Residential Incentive Disbursements]]/'[1]1.) CLM Reference'!$B$5</f>
        <v>0</v>
      </c>
      <c r="L232" s="37">
        <v>0</v>
      </c>
      <c r="M232" s="36">
        <f>[1]!Table3[[#This Row],[C&amp;I CLM $ Collected]]/'[1]1.) CLM Reference'!$B$4</f>
        <v>0</v>
      </c>
      <c r="N232" s="41">
        <v>0</v>
      </c>
      <c r="O232" s="36">
        <f>[1]!Table3[[#This Row],[C&amp;I Incentive Disbursements]]/'[1]1.) CLM Reference'!$B$5</f>
        <v>0</v>
      </c>
      <c r="Q232">
        <f>VLOOKUP(Table3[[#This Row],[Census Tract]],'Population and Diversity Data'!$B$2:$K$823,10,FALSE)</f>
        <v>1</v>
      </c>
      <c r="R232" t="str">
        <f>VLOOKUP(Table3[[#This Row],[Census Tract]],'ES Energy Burden'!$B$2:$E$914,4,FALSE)</f>
        <v>No</v>
      </c>
    </row>
    <row r="233" spans="1:18" x14ac:dyDescent="0.2">
      <c r="A233" s="100">
        <v>9003510700</v>
      </c>
      <c r="B233" s="38" t="s">
        <v>2777</v>
      </c>
      <c r="C233" s="38" t="s">
        <v>944</v>
      </c>
      <c r="D233" s="40">
        <f>[1]!Table3[[#This Row],[Residential CLM $ Collected]]+[1]!Table3[[#This Row],[C&amp;I CLM $ Collected]]</f>
        <v>132.70245120000001</v>
      </c>
      <c r="E233" s="36">
        <f>[1]!Table3[[#This Row],[CLM $ Collected ]]/'[1]1.) CLM Reference'!$B$4</f>
        <v>1.1772885835177304E-6</v>
      </c>
      <c r="F233" s="40">
        <f>[1]!Table3[[#This Row],[Residential Incentive Disbursements]]+[1]!Table3[[#This Row],[C&amp;I Incentive Disbursements]]</f>
        <v>0</v>
      </c>
      <c r="G233" s="36">
        <f>[1]!Table3[[#This Row],[Incentive Disbursements]]/'[1]1.) CLM Reference'!$B$5</f>
        <v>0</v>
      </c>
      <c r="H233" s="40">
        <v>132.70245120000001</v>
      </c>
      <c r="I233" s="36">
        <f>[1]!Table3[[#This Row],[Residential CLM $ Collected]]/'[1]1.) CLM Reference'!$B$4</f>
        <v>1.1772885835177304E-6</v>
      </c>
      <c r="J233" s="41">
        <v>0</v>
      </c>
      <c r="K233" s="36">
        <f>[1]!Table3[[#This Row],[Residential Incentive Disbursements]]/'[1]1.) CLM Reference'!$B$5</f>
        <v>0</v>
      </c>
      <c r="L233" s="37">
        <v>0</v>
      </c>
      <c r="M233" s="36">
        <f>[1]!Table3[[#This Row],[C&amp;I CLM $ Collected]]/'[1]1.) CLM Reference'!$B$4</f>
        <v>0</v>
      </c>
      <c r="N233" s="41">
        <v>0</v>
      </c>
      <c r="O233" s="36">
        <f>[1]!Table3[[#This Row],[C&amp;I Incentive Disbursements]]/'[1]1.) CLM Reference'!$B$5</f>
        <v>0</v>
      </c>
      <c r="Q233">
        <f>VLOOKUP(Table3[[#This Row],[Census Tract]],'Population and Diversity Data'!$B$2:$K$823,10,FALSE)</f>
        <v>5</v>
      </c>
      <c r="R233" t="str">
        <f>VLOOKUP(Table3[[#This Row],[Census Tract]],'ES Energy Burden'!$B$2:$E$914,4,FALSE)</f>
        <v>No</v>
      </c>
    </row>
    <row r="234" spans="1:18" x14ac:dyDescent="0.2">
      <c r="A234" s="100">
        <v>9003520100</v>
      </c>
      <c r="B234" s="38" t="s">
        <v>2777</v>
      </c>
      <c r="C234" s="38" t="s">
        <v>944</v>
      </c>
      <c r="D234" s="40">
        <f>[1]!Table3[[#This Row],[Residential CLM $ Collected]]+[1]!Table3[[#This Row],[C&amp;I CLM $ Collected]]</f>
        <v>99045.453948480019</v>
      </c>
      <c r="E234" s="36">
        <f>[1]!Table3[[#This Row],[CLM $ Collected ]]/'[1]1.) CLM Reference'!$B$4</f>
        <v>8.7869576732337419E-4</v>
      </c>
      <c r="F234" s="40">
        <f>[1]!Table3[[#This Row],[Residential Incentive Disbursements]]+[1]!Table3[[#This Row],[C&amp;I Incentive Disbursements]]</f>
        <v>7809.0663999999997</v>
      </c>
      <c r="G234" s="36">
        <f>[1]!Table3[[#This Row],[Incentive Disbursements]]/'[1]1.) CLM Reference'!$B$5</f>
        <v>9.5541210507254706E-5</v>
      </c>
      <c r="H234" s="40">
        <v>99045.453948480019</v>
      </c>
      <c r="I234" s="36">
        <f>[1]!Table3[[#This Row],[Residential CLM $ Collected]]/'[1]1.) CLM Reference'!$B$4</f>
        <v>8.7869576732337419E-4</v>
      </c>
      <c r="J234" s="41">
        <v>7809.0663999999997</v>
      </c>
      <c r="K234" s="36">
        <f>[1]!Table3[[#This Row],[Residential Incentive Disbursements]]/'[1]1.) CLM Reference'!$B$5</f>
        <v>9.5541210507254706E-5</v>
      </c>
      <c r="L234" s="37">
        <v>0</v>
      </c>
      <c r="M234" s="36">
        <f>[1]!Table3[[#This Row],[C&amp;I CLM $ Collected]]/'[1]1.) CLM Reference'!$B$4</f>
        <v>0</v>
      </c>
      <c r="N234" s="41">
        <v>0</v>
      </c>
      <c r="O234" s="36">
        <f>[1]!Table3[[#This Row],[C&amp;I Incentive Disbursements]]/'[1]1.) CLM Reference'!$B$5</f>
        <v>0</v>
      </c>
      <c r="Q234">
        <f>VLOOKUP(Table3[[#This Row],[Census Tract]],'Population and Diversity Data'!$B$2:$K$823,10,FALSE)</f>
        <v>4</v>
      </c>
      <c r="R234" t="str">
        <f>VLOOKUP(Table3[[#This Row],[Census Tract]],'ES Energy Burden'!$B$2:$E$914,4,FALSE)</f>
        <v>No</v>
      </c>
    </row>
    <row r="235" spans="1:18" x14ac:dyDescent="0.2">
      <c r="A235" s="100">
        <v>9003520201</v>
      </c>
      <c r="B235" s="38" t="s">
        <v>2777</v>
      </c>
      <c r="C235" s="38" t="s">
        <v>944</v>
      </c>
      <c r="D235" s="40">
        <f>[1]!Table3[[#This Row],[Residential CLM $ Collected]]+[1]!Table3[[#This Row],[C&amp;I CLM $ Collected]]</f>
        <v>82610.552332799998</v>
      </c>
      <c r="E235" s="36">
        <f>[1]!Table3[[#This Row],[CLM $ Collected ]]/'[1]1.) CLM Reference'!$B$4</f>
        <v>7.3289121082564768E-4</v>
      </c>
      <c r="F235" s="40">
        <f>[1]!Table3[[#This Row],[Residential Incentive Disbursements]]+[1]!Table3[[#This Row],[C&amp;I Incentive Disbursements]]</f>
        <v>23410.549800000001</v>
      </c>
      <c r="G235" s="36">
        <f>[1]!Table3[[#This Row],[Incentive Disbursements]]/'[1]1.) CLM Reference'!$B$5</f>
        <v>2.8641993190535166E-4</v>
      </c>
      <c r="H235" s="40">
        <v>82572.919343999994</v>
      </c>
      <c r="I235" s="36">
        <f>[1]!Table3[[#This Row],[Residential CLM $ Collected]]/'[1]1.) CLM Reference'!$B$4</f>
        <v>7.3255734443751963E-4</v>
      </c>
      <c r="J235" s="41">
        <v>23410.549800000001</v>
      </c>
      <c r="K235" s="36">
        <f>[1]!Table3[[#This Row],[Residential Incentive Disbursements]]/'[1]1.) CLM Reference'!$B$5</f>
        <v>2.8641993190535166E-4</v>
      </c>
      <c r="L235" s="37">
        <v>37.6329888</v>
      </c>
      <c r="M235" s="36">
        <f>[1]!Table3[[#This Row],[C&amp;I CLM $ Collected]]/'[1]1.) CLM Reference'!$B$4</f>
        <v>3.3386638812810869E-7</v>
      </c>
      <c r="N235" s="41">
        <v>0</v>
      </c>
      <c r="O235" s="36">
        <f>[1]!Table3[[#This Row],[C&amp;I Incentive Disbursements]]/'[1]1.) CLM Reference'!$B$5</f>
        <v>0</v>
      </c>
      <c r="Q235">
        <f>VLOOKUP(Table3[[#This Row],[Census Tract]],'Population and Diversity Data'!$B$2:$K$823,10,FALSE)</f>
        <v>4</v>
      </c>
      <c r="R235" t="str">
        <f>VLOOKUP(Table3[[#This Row],[Census Tract]],'ES Energy Burden'!$B$2:$E$914,4,FALSE)</f>
        <v>No</v>
      </c>
    </row>
    <row r="236" spans="1:18" x14ac:dyDescent="0.2">
      <c r="A236" s="100">
        <v>9003520202</v>
      </c>
      <c r="B236" s="38" t="s">
        <v>2777</v>
      </c>
      <c r="C236" s="38" t="s">
        <v>944</v>
      </c>
      <c r="D236" s="40">
        <f>[1]!Table3[[#This Row],[Residential CLM $ Collected]]+[1]!Table3[[#This Row],[C&amp;I CLM $ Collected]]</f>
        <v>92569.522809600006</v>
      </c>
      <c r="E236" s="36">
        <f>[1]!Table3[[#This Row],[CLM $ Collected ]]/'[1]1.) CLM Reference'!$B$4</f>
        <v>8.2124362737789587E-4</v>
      </c>
      <c r="F236" s="40">
        <f>[1]!Table3[[#This Row],[Residential Incentive Disbursements]]+[1]!Table3[[#This Row],[C&amp;I Incentive Disbursements]]</f>
        <v>20573.626</v>
      </c>
      <c r="G236" s="36">
        <f>[1]!Table3[[#This Row],[Incentive Disbursements]]/'[1]1.) CLM Reference'!$B$5</f>
        <v>2.5171115622266046E-4</v>
      </c>
      <c r="H236" s="40">
        <v>92512.798358400003</v>
      </c>
      <c r="I236" s="36">
        <f>[1]!Table3[[#This Row],[Residential CLM $ Collected]]/'[1]1.) CLM Reference'!$B$4</f>
        <v>8.2074038837816235E-4</v>
      </c>
      <c r="J236" s="41">
        <v>20573.626</v>
      </c>
      <c r="K236" s="36">
        <f>[1]!Table3[[#This Row],[Residential Incentive Disbursements]]/'[1]1.) CLM Reference'!$B$5</f>
        <v>2.5171115622266046E-4</v>
      </c>
      <c r="L236" s="37">
        <v>56.724451200000004</v>
      </c>
      <c r="M236" s="36">
        <f>[1]!Table3[[#This Row],[C&amp;I CLM $ Collected]]/'[1]1.) CLM Reference'!$B$4</f>
        <v>5.0323899973347751E-7</v>
      </c>
      <c r="N236" s="41">
        <v>0</v>
      </c>
      <c r="O236" s="36">
        <f>[1]!Table3[[#This Row],[C&amp;I Incentive Disbursements]]/'[1]1.) CLM Reference'!$B$5</f>
        <v>0</v>
      </c>
      <c r="Q236">
        <f>VLOOKUP(Table3[[#This Row],[Census Tract]],'Population and Diversity Data'!$B$2:$K$823,10,FALSE)</f>
        <v>2</v>
      </c>
      <c r="R236" t="str">
        <f>VLOOKUP(Table3[[#This Row],[Census Tract]],'ES Energy Burden'!$B$2:$E$914,4,FALSE)</f>
        <v>No</v>
      </c>
    </row>
    <row r="237" spans="1:18" x14ac:dyDescent="0.2">
      <c r="A237" s="100">
        <v>9003520301</v>
      </c>
      <c r="B237" s="38" t="s">
        <v>2777</v>
      </c>
      <c r="C237" s="38" t="s">
        <v>944</v>
      </c>
      <c r="D237" s="40">
        <f>[1]!Table3[[#This Row],[Residential CLM $ Collected]]+[1]!Table3[[#This Row],[C&amp;I CLM $ Collected]]</f>
        <v>90725.333852160009</v>
      </c>
      <c r="E237" s="36">
        <f>[1]!Table3[[#This Row],[CLM $ Collected ]]/'[1]1.) CLM Reference'!$B$4</f>
        <v>8.0488264394608735E-4</v>
      </c>
      <c r="F237" s="40">
        <f>[1]!Table3[[#This Row],[Residential Incentive Disbursements]]+[1]!Table3[[#This Row],[C&amp;I Incentive Disbursements]]</f>
        <v>19678.828099999999</v>
      </c>
      <c r="G237" s="36">
        <f>[1]!Table3[[#This Row],[Incentive Disbursements]]/'[1]1.) CLM Reference'!$B$5</f>
        <v>2.4076361523039157E-4</v>
      </c>
      <c r="H237" s="40">
        <v>90718.103640960006</v>
      </c>
      <c r="I237" s="36">
        <f>[1]!Table3[[#This Row],[Residential CLM $ Collected]]/'[1]1.) CLM Reference'!$B$4</f>
        <v>8.0481850010379042E-4</v>
      </c>
      <c r="J237" s="41">
        <v>19678.828099999999</v>
      </c>
      <c r="K237" s="36">
        <f>[1]!Table3[[#This Row],[Residential Incentive Disbursements]]/'[1]1.) CLM Reference'!$B$5</f>
        <v>2.4076361523039157E-4</v>
      </c>
      <c r="L237" s="37">
        <v>7.2302111999999994</v>
      </c>
      <c r="M237" s="36">
        <f>[1]!Table3[[#This Row],[C&amp;I CLM $ Collected]]/'[1]1.) CLM Reference'!$B$4</f>
        <v>6.4143842296878594E-8</v>
      </c>
      <c r="N237" s="41">
        <v>0</v>
      </c>
      <c r="O237" s="36">
        <f>[1]!Table3[[#This Row],[C&amp;I Incentive Disbursements]]/'[1]1.) CLM Reference'!$B$5</f>
        <v>0</v>
      </c>
      <c r="Q237">
        <f>VLOOKUP(Table3[[#This Row],[Census Tract]],'Population and Diversity Data'!$B$2:$K$823,10,FALSE)</f>
        <v>4</v>
      </c>
      <c r="R237" t="str">
        <f>VLOOKUP(Table3[[#This Row],[Census Tract]],'ES Energy Burden'!$B$2:$E$914,4,FALSE)</f>
        <v>No</v>
      </c>
    </row>
    <row r="238" spans="1:18" x14ac:dyDescent="0.2">
      <c r="A238" s="100">
        <v>9003520302</v>
      </c>
      <c r="B238" s="38" t="s">
        <v>2777</v>
      </c>
      <c r="C238" s="38" t="s">
        <v>944</v>
      </c>
      <c r="D238" s="40">
        <f>[1]!Table3[[#This Row],[Residential CLM $ Collected]]+[1]!Table3[[#This Row],[C&amp;I CLM $ Collected]]</f>
        <v>57957.166319040007</v>
      </c>
      <c r="E238" s="36">
        <f>[1]!Table3[[#This Row],[CLM $ Collected ]]/'[1]1.) CLM Reference'!$B$4</f>
        <v>5.1417520643691104E-4</v>
      </c>
      <c r="F238" s="40">
        <f>[1]!Table3[[#This Row],[Residential Incentive Disbursements]]+[1]!Table3[[#This Row],[C&amp;I Incentive Disbursements]]</f>
        <v>28100.66</v>
      </c>
      <c r="G238" s="36">
        <f>[1]!Table3[[#This Row],[Incentive Disbursements]]/'[1]1.) CLM Reference'!$B$5</f>
        <v>3.4380179843941297E-4</v>
      </c>
      <c r="H238" s="40">
        <v>57957.166319040007</v>
      </c>
      <c r="I238" s="36">
        <f>[1]!Table3[[#This Row],[Residential CLM $ Collected]]/'[1]1.) CLM Reference'!$B$4</f>
        <v>5.1417520643691104E-4</v>
      </c>
      <c r="J238" s="41">
        <v>28100.66</v>
      </c>
      <c r="K238" s="36">
        <f>[1]!Table3[[#This Row],[Residential Incentive Disbursements]]/'[1]1.) CLM Reference'!$B$5</f>
        <v>3.4380179843941297E-4</v>
      </c>
      <c r="L238" s="37">
        <v>0</v>
      </c>
      <c r="M238" s="36">
        <f>[1]!Table3[[#This Row],[C&amp;I CLM $ Collected]]/'[1]1.) CLM Reference'!$B$4</f>
        <v>0</v>
      </c>
      <c r="N238" s="41">
        <v>0</v>
      </c>
      <c r="O238" s="36">
        <f>[1]!Table3[[#This Row],[C&amp;I Incentive Disbursements]]/'[1]1.) CLM Reference'!$B$5</f>
        <v>0</v>
      </c>
      <c r="Q238">
        <f>VLOOKUP(Table3[[#This Row],[Census Tract]],'Population and Diversity Data'!$B$2:$K$823,10,FALSE)</f>
        <v>5</v>
      </c>
      <c r="R238" t="str">
        <f>VLOOKUP(Table3[[#This Row],[Census Tract]],'ES Energy Burden'!$B$2:$E$914,4,FALSE)</f>
        <v>No</v>
      </c>
    </row>
    <row r="239" spans="1:18" x14ac:dyDescent="0.2">
      <c r="A239" s="100">
        <v>9003520400</v>
      </c>
      <c r="B239" s="38" t="s">
        <v>2777</v>
      </c>
      <c r="C239" s="38" t="s">
        <v>944</v>
      </c>
      <c r="D239" s="40">
        <f>[1]!Table3[[#This Row],[Residential CLM $ Collected]]+[1]!Table3[[#This Row],[C&amp;I CLM $ Collected]]</f>
        <v>409220.56738080003</v>
      </c>
      <c r="E239" s="36">
        <f>[1]!Table3[[#This Row],[CLM $ Collected ]]/'[1]1.) CLM Reference'!$B$4</f>
        <v>3.6304581999918924E-3</v>
      </c>
      <c r="F239" s="40">
        <f>[1]!Table3[[#This Row],[Residential Incentive Disbursements]]+[1]!Table3[[#This Row],[C&amp;I Incentive Disbursements]]</f>
        <v>412347.66379999998</v>
      </c>
      <c r="G239" s="36">
        <f>[1]!Table3[[#This Row],[Incentive Disbursements]]/'[1]1.) CLM Reference'!$B$5</f>
        <v>5.0449302043699476E-3</v>
      </c>
      <c r="H239" s="40">
        <v>167362.33605407999</v>
      </c>
      <c r="I239" s="36">
        <f>[1]!Table3[[#This Row],[Residential CLM $ Collected]]/'[1]1.) CLM Reference'!$B$4</f>
        <v>1.4847786590646351E-3</v>
      </c>
      <c r="J239" s="41">
        <v>366228.74699999997</v>
      </c>
      <c r="K239" s="36">
        <f>[1]!Table3[[#This Row],[Residential Incentive Disbursements]]/'[1]1.) CLM Reference'!$B$5</f>
        <v>4.4806813028168292E-3</v>
      </c>
      <c r="L239" s="37">
        <v>241858.23132672001</v>
      </c>
      <c r="M239" s="36">
        <f>[1]!Table3[[#This Row],[C&amp;I CLM $ Collected]]/'[1]1.) CLM Reference'!$B$4</f>
        <v>2.1456795409272567E-3</v>
      </c>
      <c r="N239" s="41">
        <v>46118.916799999999</v>
      </c>
      <c r="O239" s="36">
        <f>[1]!Table3[[#This Row],[C&amp;I Incentive Disbursements]]/'[1]1.) CLM Reference'!$B$5</f>
        <v>5.6424890155311856E-4</v>
      </c>
      <c r="Q239">
        <f>VLOOKUP(Table3[[#This Row],[Census Tract]],'Population and Diversity Data'!$B$2:$K$823,10,FALSE)</f>
        <v>3</v>
      </c>
      <c r="R239" t="str">
        <f>VLOOKUP(Table3[[#This Row],[Census Tract]],'ES Energy Burden'!$B$2:$E$914,4,FALSE)</f>
        <v>No</v>
      </c>
    </row>
    <row r="240" spans="1:18" x14ac:dyDescent="0.2">
      <c r="A240" s="100">
        <v>9003520501</v>
      </c>
      <c r="B240" s="38" t="s">
        <v>2777</v>
      </c>
      <c r="C240" s="38" t="s">
        <v>944</v>
      </c>
      <c r="D240" s="40">
        <f>[1]!Table3[[#This Row],[Residential CLM $ Collected]]+[1]!Table3[[#This Row],[C&amp;I CLM $ Collected]]</f>
        <v>94824.764035200002</v>
      </c>
      <c r="E240" s="36">
        <f>[1]!Table3[[#This Row],[CLM $ Collected ]]/'[1]1.) CLM Reference'!$B$4</f>
        <v>8.4125131920248671E-4</v>
      </c>
      <c r="F240" s="40">
        <f>[1]!Table3[[#This Row],[Residential Incentive Disbursements]]+[1]!Table3[[#This Row],[C&amp;I Incentive Disbursements]]</f>
        <v>16202.107099999999</v>
      </c>
      <c r="G240" s="36">
        <f>[1]!Table3[[#This Row],[Incentive Disbursements]]/'[1]1.) CLM Reference'!$B$5</f>
        <v>1.9822714340118634E-4</v>
      </c>
      <c r="H240" s="40">
        <v>94824.764035200002</v>
      </c>
      <c r="I240" s="36">
        <f>[1]!Table3[[#This Row],[Residential CLM $ Collected]]/'[1]1.) CLM Reference'!$B$4</f>
        <v>8.4125131920248671E-4</v>
      </c>
      <c r="J240" s="41">
        <v>16202.107099999999</v>
      </c>
      <c r="K240" s="36">
        <f>[1]!Table3[[#This Row],[Residential Incentive Disbursements]]/'[1]1.) CLM Reference'!$B$5</f>
        <v>1.9822714340118634E-4</v>
      </c>
      <c r="L240" s="37">
        <v>0</v>
      </c>
      <c r="M240" s="36">
        <f>[1]!Table3[[#This Row],[C&amp;I CLM $ Collected]]/'[1]1.) CLM Reference'!$B$4</f>
        <v>0</v>
      </c>
      <c r="N240" s="41">
        <v>0</v>
      </c>
      <c r="O240" s="36">
        <f>[1]!Table3[[#This Row],[C&amp;I Incentive Disbursements]]/'[1]1.) CLM Reference'!$B$5</f>
        <v>0</v>
      </c>
      <c r="Q240">
        <f>VLOOKUP(Table3[[#This Row],[Census Tract]],'Population and Diversity Data'!$B$2:$K$823,10,FALSE)</f>
        <v>3</v>
      </c>
      <c r="R240" t="str">
        <f>VLOOKUP(Table3[[#This Row],[Census Tract]],'ES Energy Burden'!$B$2:$E$914,4,FALSE)</f>
        <v>No</v>
      </c>
    </row>
    <row r="241" spans="1:18" x14ac:dyDescent="0.2">
      <c r="A241" s="100">
        <v>9007560100</v>
      </c>
      <c r="B241" s="38" t="s">
        <v>2777</v>
      </c>
      <c r="C241" s="38" t="s">
        <v>944</v>
      </c>
      <c r="D241" s="40">
        <f>[1]!Table3[[#This Row],[Residential CLM $ Collected]]+[1]!Table3[[#This Row],[C&amp;I CLM $ Collected]]</f>
        <v>360.64802880000002</v>
      </c>
      <c r="E241" s="36">
        <f>[1]!Table3[[#This Row],[CLM $ Collected ]]/'[1]1.) CLM Reference'!$B$4</f>
        <v>3.1995400471880173E-6</v>
      </c>
      <c r="F241" s="40">
        <f>[1]!Table3[[#This Row],[Residential Incentive Disbursements]]+[1]!Table3[[#This Row],[C&amp;I Incentive Disbursements]]</f>
        <v>0</v>
      </c>
      <c r="G241" s="36">
        <f>[1]!Table3[[#This Row],[Incentive Disbursements]]/'[1]1.) CLM Reference'!$B$5</f>
        <v>0</v>
      </c>
      <c r="H241" s="40">
        <v>360.64802880000002</v>
      </c>
      <c r="I241" s="36">
        <f>[1]!Table3[[#This Row],[Residential CLM $ Collected]]/'[1]1.) CLM Reference'!$B$4</f>
        <v>3.1995400471880173E-6</v>
      </c>
      <c r="J241" s="41">
        <v>0</v>
      </c>
      <c r="K241" s="36">
        <f>[1]!Table3[[#This Row],[Residential Incentive Disbursements]]/'[1]1.) CLM Reference'!$B$5</f>
        <v>0</v>
      </c>
      <c r="L241" s="37">
        <v>0</v>
      </c>
      <c r="M241" s="36">
        <f>[1]!Table3[[#This Row],[C&amp;I CLM $ Collected]]/'[1]1.) CLM Reference'!$B$4</f>
        <v>0</v>
      </c>
      <c r="N241" s="41">
        <v>0</v>
      </c>
      <c r="O241" s="36">
        <f>[1]!Table3[[#This Row],[C&amp;I Incentive Disbursements]]/'[1]1.) CLM Reference'!$B$5</f>
        <v>0</v>
      </c>
      <c r="Q241">
        <f>VLOOKUP(Table3[[#This Row],[Census Tract]],'Population and Diversity Data'!$B$2:$K$823,10,FALSE)</f>
        <v>1</v>
      </c>
      <c r="R241" t="str">
        <f>VLOOKUP(Table3[[#This Row],[Census Tract]],'ES Energy Burden'!$B$2:$E$914,4,FALSE)</f>
        <v>No</v>
      </c>
    </row>
    <row r="242" spans="1:18" x14ac:dyDescent="0.2">
      <c r="A242" s="100">
        <v>9005296100</v>
      </c>
      <c r="B242" s="38" t="s">
        <v>2778</v>
      </c>
      <c r="C242" s="38" t="s">
        <v>944</v>
      </c>
      <c r="D242" s="40">
        <f>[1]!Table3[[#This Row],[Residential CLM $ Collected]]+[1]!Table3[[#This Row],[C&amp;I CLM $ Collected]]</f>
        <v>100384.60425984001</v>
      </c>
      <c r="E242" s="36">
        <f>[1]!Table3[[#This Row],[CLM $ Collected ]]/'[1]1.) CLM Reference'!$B$4</f>
        <v>8.9057622890431544E-4</v>
      </c>
      <c r="F242" s="40">
        <f>[1]!Table3[[#This Row],[Residential Incentive Disbursements]]+[1]!Table3[[#This Row],[C&amp;I Incentive Disbursements]]</f>
        <v>47056.84</v>
      </c>
      <c r="G242" s="36">
        <f>[1]!Table3[[#This Row],[Incentive Disbursements]]/'[1]1.) CLM Reference'!$B$5</f>
        <v>5.7572406558691871E-4</v>
      </c>
      <c r="H242" s="40">
        <v>87595.087141440003</v>
      </c>
      <c r="I242" s="36">
        <f>[1]!Table3[[#This Row],[Residential CLM $ Collected]]/'[1]1.) CLM Reference'!$B$4</f>
        <v>7.7711221707906202E-4</v>
      </c>
      <c r="J242" s="41">
        <v>47056.84</v>
      </c>
      <c r="K242" s="36">
        <f>[1]!Table3[[#This Row],[Residential Incentive Disbursements]]/'[1]1.) CLM Reference'!$B$5</f>
        <v>5.7572406558691871E-4</v>
      </c>
      <c r="L242" s="37">
        <v>12789.517118399999</v>
      </c>
      <c r="M242" s="36">
        <f>[1]!Table3[[#This Row],[C&amp;I CLM $ Collected]]/'[1]1.) CLM Reference'!$B$4</f>
        <v>1.1346401182525328E-4</v>
      </c>
      <c r="N242" s="41">
        <v>0</v>
      </c>
      <c r="O242" s="36">
        <f>[1]!Table3[[#This Row],[C&amp;I Incentive Disbursements]]/'[1]1.) CLM Reference'!$B$5</f>
        <v>0</v>
      </c>
      <c r="Q242">
        <f>VLOOKUP(Table3[[#This Row],[Census Tract]],'Population and Diversity Data'!$B$2:$K$823,10,FALSE)</f>
        <v>3</v>
      </c>
      <c r="R242" t="str">
        <f>VLOOKUP(Table3[[#This Row],[Census Tract]],'ES Energy Burden'!$B$2:$E$914,4,FALSE)</f>
        <v>No</v>
      </c>
    </row>
    <row r="243" spans="1:18" x14ac:dyDescent="0.2">
      <c r="A243" s="100">
        <v>9003330100</v>
      </c>
      <c r="B243" s="38" t="s">
        <v>2779</v>
      </c>
      <c r="C243" s="38" t="s">
        <v>944</v>
      </c>
      <c r="D243" s="40">
        <f>[1]!Table3[[#This Row],[Residential CLM $ Collected]]+[1]!Table3[[#This Row],[C&amp;I CLM $ Collected]]</f>
        <v>47.225030400000001</v>
      </c>
      <c r="E243" s="36">
        <f>[1]!Table3[[#This Row],[CLM $ Collected ]]/'[1]1.) CLM Reference'!$B$4</f>
        <v>4.189635432009092E-7</v>
      </c>
      <c r="F243" s="40">
        <f>[1]!Table3[[#This Row],[Residential Incentive Disbursements]]+[1]!Table3[[#This Row],[C&amp;I Incentive Disbursements]]</f>
        <v>0</v>
      </c>
      <c r="G243" s="36">
        <f>[1]!Table3[[#This Row],[Incentive Disbursements]]/'[1]1.) CLM Reference'!$B$5</f>
        <v>0</v>
      </c>
      <c r="H243" s="40">
        <v>47.225030400000001</v>
      </c>
      <c r="I243" s="36">
        <f>[1]!Table3[[#This Row],[Residential CLM $ Collected]]/'[1]1.) CLM Reference'!$B$4</f>
        <v>4.189635432009092E-7</v>
      </c>
      <c r="J243" s="41">
        <v>0</v>
      </c>
      <c r="K243" s="36">
        <f>[1]!Table3[[#This Row],[Residential Incentive Disbursements]]/'[1]1.) CLM Reference'!$B$5</f>
        <v>0</v>
      </c>
      <c r="L243" s="37">
        <v>0</v>
      </c>
      <c r="M243" s="36">
        <f>[1]!Table3[[#This Row],[C&amp;I CLM $ Collected]]/'[1]1.) CLM Reference'!$B$4</f>
        <v>0</v>
      </c>
      <c r="N243" s="41">
        <v>0</v>
      </c>
      <c r="O243" s="36">
        <f>[1]!Table3[[#This Row],[C&amp;I Incentive Disbursements]]/'[1]1.) CLM Reference'!$B$5</f>
        <v>0</v>
      </c>
      <c r="Q243">
        <f>VLOOKUP(Table3[[#This Row],[Census Tract]],'Population and Diversity Data'!$B$2:$K$823,10,FALSE)</f>
        <v>3</v>
      </c>
      <c r="R243" t="str">
        <f>VLOOKUP(Table3[[#This Row],[Census Tract]],'ES Energy Burden'!$B$2:$E$914,4,FALSE)</f>
        <v>No</v>
      </c>
    </row>
    <row r="244" spans="1:18" x14ac:dyDescent="0.2">
      <c r="A244" s="100">
        <v>9003468101</v>
      </c>
      <c r="B244" s="38" t="s">
        <v>2779</v>
      </c>
      <c r="C244" s="38" t="s">
        <v>944</v>
      </c>
      <c r="D244" s="40">
        <f>[1]!Table3[[#This Row],[Residential CLM $ Collected]]+[1]!Table3[[#This Row],[C&amp;I CLM $ Collected]]</f>
        <v>203015.85685056</v>
      </c>
      <c r="E244" s="36">
        <f>[1]!Table3[[#This Row],[CLM $ Collected ]]/'[1]1.) CLM Reference'!$B$4</f>
        <v>1.8010839165511516E-3</v>
      </c>
      <c r="F244" s="40">
        <f>[1]!Table3[[#This Row],[Residential Incentive Disbursements]]+[1]!Table3[[#This Row],[C&amp;I Incentive Disbursements]]</f>
        <v>112382.2395</v>
      </c>
      <c r="G244" s="36">
        <f>[1]!Table3[[#This Row],[Incentive Disbursements]]/'[1]1.) CLM Reference'!$B$5</f>
        <v>1.3749576007378059E-3</v>
      </c>
      <c r="H244" s="40">
        <v>151167.66732288001</v>
      </c>
      <c r="I244" s="36">
        <f>[1]!Table3[[#This Row],[Residential CLM $ Collected]]/'[1]1.) CLM Reference'!$B$4</f>
        <v>1.3411053626131728E-3</v>
      </c>
      <c r="J244" s="41">
        <v>101117.8395</v>
      </c>
      <c r="K244" s="36">
        <f>[1]!Table3[[#This Row],[Residential Incentive Disbursements]]/'[1]1.) CLM Reference'!$B$5</f>
        <v>1.2371415857993339E-3</v>
      </c>
      <c r="L244" s="37">
        <v>51848.189527679999</v>
      </c>
      <c r="M244" s="36">
        <f>[1]!Table3[[#This Row],[C&amp;I CLM $ Collected]]/'[1]1.) CLM Reference'!$B$4</f>
        <v>4.5997855393797876E-4</v>
      </c>
      <c r="N244" s="41">
        <v>11264.4</v>
      </c>
      <c r="O244" s="36">
        <f>[1]!Table3[[#This Row],[C&amp;I Incentive Disbursements]]/'[1]1.) CLM Reference'!$B$5</f>
        <v>1.3781601493847201E-4</v>
      </c>
      <c r="Q244">
        <f>VLOOKUP(Table3[[#This Row],[Census Tract]],'Population and Diversity Data'!$B$2:$K$823,10,FALSE)</f>
        <v>1</v>
      </c>
      <c r="R244" t="str">
        <f>VLOOKUP(Table3[[#This Row],[Census Tract]],'ES Energy Burden'!$B$2:$E$914,4,FALSE)</f>
        <v>No</v>
      </c>
    </row>
    <row r="245" spans="1:18" x14ac:dyDescent="0.2">
      <c r="A245" s="100">
        <v>9003468102</v>
      </c>
      <c r="B245" s="38" t="s">
        <v>2779</v>
      </c>
      <c r="C245" s="38" t="s">
        <v>944</v>
      </c>
      <c r="D245" s="40">
        <f>[1]!Table3[[#This Row],[Residential CLM $ Collected]]+[1]!Table3[[#This Row],[C&amp;I CLM $ Collected]]</f>
        <v>81276.893277120005</v>
      </c>
      <c r="E245" s="36">
        <f>[1]!Table3[[#This Row],[CLM $ Collected ]]/'[1]1.) CLM Reference'!$B$4</f>
        <v>7.2105946569691053E-4</v>
      </c>
      <c r="F245" s="40">
        <f>[1]!Table3[[#This Row],[Residential Incentive Disbursements]]+[1]!Table3[[#This Row],[C&amp;I Incentive Disbursements]]</f>
        <v>23168.03</v>
      </c>
      <c r="G245" s="36">
        <f>[1]!Table3[[#This Row],[Incentive Disbursements]]/'[1]1.) CLM Reference'!$B$5</f>
        <v>2.8345278652879582E-4</v>
      </c>
      <c r="H245" s="40">
        <v>81261.084064320006</v>
      </c>
      <c r="I245" s="36">
        <f>[1]!Table3[[#This Row],[Residential CLM $ Collected]]/'[1]1.) CLM Reference'!$B$4</f>
        <v>7.2091921202732461E-4</v>
      </c>
      <c r="J245" s="41">
        <v>23168.03</v>
      </c>
      <c r="K245" s="36">
        <f>[1]!Table3[[#This Row],[Residential Incentive Disbursements]]/'[1]1.) CLM Reference'!$B$5</f>
        <v>2.8345278652879582E-4</v>
      </c>
      <c r="L245" s="37">
        <v>15.809212799999999</v>
      </c>
      <c r="M245" s="36">
        <f>[1]!Table3[[#This Row],[C&amp;I CLM $ Collected]]/'[1]1.) CLM Reference'!$B$4</f>
        <v>1.4025366958588906E-7</v>
      </c>
      <c r="N245" s="41">
        <v>0</v>
      </c>
      <c r="O245" s="36">
        <f>[1]!Table3[[#This Row],[C&amp;I Incentive Disbursements]]/'[1]1.) CLM Reference'!$B$5</f>
        <v>0</v>
      </c>
      <c r="Q245">
        <f>VLOOKUP(Table3[[#This Row],[Census Tract]],'Population and Diversity Data'!$B$2:$K$823,10,FALSE)</f>
        <v>2</v>
      </c>
      <c r="R245" t="str">
        <f>VLOOKUP(Table3[[#This Row],[Census Tract]],'ES Energy Burden'!$B$2:$E$914,4,FALSE)</f>
        <v>No</v>
      </c>
    </row>
    <row r="246" spans="1:18" x14ac:dyDescent="0.2">
      <c r="A246" s="100">
        <v>9003470100</v>
      </c>
      <c r="B246" s="38" t="s">
        <v>2779</v>
      </c>
      <c r="C246" s="38" t="s">
        <v>944</v>
      </c>
      <c r="D246" s="40">
        <f>[1]!Table3[[#This Row],[Residential CLM $ Collected]]+[1]!Table3[[#This Row],[C&amp;I CLM $ Collected]]</f>
        <v>761.58031679999999</v>
      </c>
      <c r="E246" s="36">
        <f>[1]!Table3[[#This Row],[CLM $ Collected ]]/'[1]1.) CLM Reference'!$B$4</f>
        <v>6.7564676032182905E-6</v>
      </c>
      <c r="F246" s="40">
        <f>[1]!Table3[[#This Row],[Residential Incentive Disbursements]]+[1]!Table3[[#This Row],[C&amp;I Incentive Disbursements]]</f>
        <v>0</v>
      </c>
      <c r="G246" s="36">
        <f>[1]!Table3[[#This Row],[Incentive Disbursements]]/'[1]1.) CLM Reference'!$B$5</f>
        <v>0</v>
      </c>
      <c r="H246" s="40">
        <v>761.58031679999999</v>
      </c>
      <c r="I246" s="36">
        <f>[1]!Table3[[#This Row],[Residential CLM $ Collected]]/'[1]1.) CLM Reference'!$B$4</f>
        <v>6.7564676032182905E-6</v>
      </c>
      <c r="J246" s="41">
        <v>0</v>
      </c>
      <c r="K246" s="36">
        <f>[1]!Table3[[#This Row],[Residential Incentive Disbursements]]/'[1]1.) CLM Reference'!$B$5</f>
        <v>0</v>
      </c>
      <c r="L246" s="37">
        <v>0</v>
      </c>
      <c r="M246" s="36">
        <f>[1]!Table3[[#This Row],[C&amp;I CLM $ Collected]]/'[1]1.) CLM Reference'!$B$4</f>
        <v>0</v>
      </c>
      <c r="N246" s="41">
        <v>0</v>
      </c>
      <c r="O246" s="36">
        <f>[1]!Table3[[#This Row],[C&amp;I Incentive Disbursements]]/'[1]1.) CLM Reference'!$B$5</f>
        <v>0</v>
      </c>
      <c r="Q246">
        <f>VLOOKUP(Table3[[#This Row],[Census Tract]],'Population and Diversity Data'!$B$2:$K$823,10,FALSE)</f>
        <v>3</v>
      </c>
      <c r="R246" t="str">
        <f>VLOOKUP(Table3[[#This Row],[Census Tract]],'ES Energy Burden'!$B$2:$E$914,4,FALSE)</f>
        <v>No</v>
      </c>
    </row>
    <row r="247" spans="1:18" x14ac:dyDescent="0.2">
      <c r="A247" s="100">
        <v>9001010101</v>
      </c>
      <c r="B247" s="38" t="s">
        <v>2780</v>
      </c>
      <c r="C247" s="38" t="s">
        <v>944</v>
      </c>
      <c r="D247" s="40">
        <f>[1]!Table3[[#This Row],[Residential CLM $ Collected]]+[1]!Table3[[#This Row],[C&amp;I CLM $ Collected]]</f>
        <v>240578.94357504</v>
      </c>
      <c r="E247" s="36">
        <f>[1]!Table3[[#This Row],[CLM $ Collected ]]/'[1]1.) CLM Reference'!$B$4</f>
        <v>2.1343301585197154E-3</v>
      </c>
      <c r="F247" s="40">
        <f>[1]!Table3[[#This Row],[Residential Incentive Disbursements]]+[1]!Table3[[#This Row],[C&amp;I Incentive Disbursements]]</f>
        <v>21123.27</v>
      </c>
      <c r="G247" s="36">
        <f>[1]!Table3[[#This Row],[Incentive Disbursements]]/'[1]1.) CLM Reference'!$B$5</f>
        <v>2.5843585933288751E-4</v>
      </c>
      <c r="H247" s="40">
        <v>240328.44483264</v>
      </c>
      <c r="I247" s="36">
        <f>[1]!Table3[[#This Row],[Residential CLM $ Collected]]/'[1]1.) CLM Reference'!$B$4</f>
        <v>2.1321078234614985E-3</v>
      </c>
      <c r="J247" s="41">
        <v>21123.27</v>
      </c>
      <c r="K247" s="36">
        <f>[1]!Table3[[#This Row],[Residential Incentive Disbursements]]/'[1]1.) CLM Reference'!$B$5</f>
        <v>2.5843585933288751E-4</v>
      </c>
      <c r="L247" s="37">
        <v>250.49874240000003</v>
      </c>
      <c r="M247" s="36">
        <f>[1]!Table3[[#This Row],[C&amp;I CLM $ Collected]]/'[1]1.) CLM Reference'!$B$4</f>
        <v>2.2223350582168356E-6</v>
      </c>
      <c r="N247" s="41">
        <v>0</v>
      </c>
      <c r="O247" s="36">
        <f>[1]!Table3[[#This Row],[C&amp;I Incentive Disbursements]]/'[1]1.) CLM Reference'!$B$5</f>
        <v>0</v>
      </c>
      <c r="Q247">
        <f>VLOOKUP(Table3[[#This Row],[Census Tract]],'Population and Diversity Data'!$B$2:$K$823,10,FALSE)</f>
        <v>2</v>
      </c>
      <c r="R247" t="str">
        <f>VLOOKUP(Table3[[#This Row],[Census Tract]],'ES Energy Burden'!$B$2:$E$914,4,FALSE)</f>
        <v>No</v>
      </c>
    </row>
    <row r="248" spans="1:18" x14ac:dyDescent="0.2">
      <c r="A248" s="100">
        <v>9001010102</v>
      </c>
      <c r="B248" s="38" t="s">
        <v>2780</v>
      </c>
      <c r="C248" s="38" t="s">
        <v>944</v>
      </c>
      <c r="D248" s="40">
        <f>[1]!Table3[[#This Row],[Residential CLM $ Collected]]+[1]!Table3[[#This Row],[C&amp;I CLM $ Collected]]</f>
        <v>815679.35501184</v>
      </c>
      <c r="E248" s="36">
        <f>[1]!Table3[[#This Row],[CLM $ Collected ]]/'[1]1.) CLM Reference'!$B$4</f>
        <v>7.23641487992759E-3</v>
      </c>
      <c r="F248" s="40">
        <f>[1]!Table3[[#This Row],[Residential Incentive Disbursements]]+[1]!Table3[[#This Row],[C&amp;I Incentive Disbursements]]</f>
        <v>354251.39610000001</v>
      </c>
      <c r="G248" s="36">
        <f>[1]!Table3[[#This Row],[Incentive Disbursements]]/'[1]1.) CLM Reference'!$B$5</f>
        <v>4.3341425816636634E-3</v>
      </c>
      <c r="H248" s="40">
        <v>347737.14485856006</v>
      </c>
      <c r="I248" s="36">
        <f>[1]!Table3[[#This Row],[Residential CLM $ Collected]]/'[1]1.) CLM Reference'!$B$4</f>
        <v>3.0849993124093394E-3</v>
      </c>
      <c r="J248" s="41">
        <v>199896.71350000001</v>
      </c>
      <c r="K248" s="36">
        <f>[1]!Table3[[#This Row],[Residential Incentive Disbursements]]/'[1]1.) CLM Reference'!$B$5</f>
        <v>2.44566674246897E-3</v>
      </c>
      <c r="L248" s="37">
        <v>467942.21015327994</v>
      </c>
      <c r="M248" s="36">
        <f>[1]!Table3[[#This Row],[C&amp;I CLM $ Collected]]/'[1]1.) CLM Reference'!$B$4</f>
        <v>4.1514155675182506E-3</v>
      </c>
      <c r="N248" s="41">
        <v>154354.6826</v>
      </c>
      <c r="O248" s="36">
        <f>[1]!Table3[[#This Row],[C&amp;I Incentive Disbursements]]/'[1]1.) CLM Reference'!$B$5</f>
        <v>1.8884758391946937E-3</v>
      </c>
      <c r="Q248">
        <f>VLOOKUP(Table3[[#This Row],[Census Tract]],'Population and Diversity Data'!$B$2:$K$823,10,FALSE)</f>
        <v>3</v>
      </c>
      <c r="R248" t="str">
        <f>VLOOKUP(Table3[[#This Row],[Census Tract]],'ES Energy Burden'!$B$2:$E$914,4,FALSE)</f>
        <v>No</v>
      </c>
    </row>
    <row r="249" spans="1:18" x14ac:dyDescent="0.2">
      <c r="A249" s="100">
        <v>9001010201</v>
      </c>
      <c r="B249" s="38" t="s">
        <v>2780</v>
      </c>
      <c r="C249" s="38" t="s">
        <v>944</v>
      </c>
      <c r="D249" s="40">
        <f>[1]!Table3[[#This Row],[Residential CLM $ Collected]]+[1]!Table3[[#This Row],[C&amp;I CLM $ Collected]]</f>
        <v>185024.45169216002</v>
      </c>
      <c r="E249" s="36">
        <f>[1]!Table3[[#This Row],[CLM $ Collected ]]/'[1]1.) CLM Reference'!$B$4</f>
        <v>1.6414706185081211E-3</v>
      </c>
      <c r="F249" s="40">
        <f>[1]!Table3[[#This Row],[Residential Incentive Disbursements]]+[1]!Table3[[#This Row],[C&amp;I Incentive Disbursements]]</f>
        <v>4279.21</v>
      </c>
      <c r="G249" s="36">
        <f>[1]!Table3[[#This Row],[Incentive Disbursements]]/'[1]1.) CLM Reference'!$B$5</f>
        <v>5.2354645545688974E-5</v>
      </c>
      <c r="H249" s="40">
        <v>184550.60946816002</v>
      </c>
      <c r="I249" s="36">
        <f>[1]!Table3[[#This Row],[Residential CLM $ Collected]]/'[1]1.) CLM Reference'!$B$4</f>
        <v>1.6372668601324519E-3</v>
      </c>
      <c r="J249" s="41">
        <v>4279.21</v>
      </c>
      <c r="K249" s="36">
        <f>[1]!Table3[[#This Row],[Residential Incentive Disbursements]]/'[1]1.) CLM Reference'!$B$5</f>
        <v>5.2354645545688974E-5</v>
      </c>
      <c r="L249" s="37">
        <v>473.84222399999999</v>
      </c>
      <c r="M249" s="36">
        <f>[1]!Table3[[#This Row],[C&amp;I CLM $ Collected]]/'[1]1.) CLM Reference'!$B$4</f>
        <v>4.2037583756693337E-6</v>
      </c>
      <c r="N249" s="41">
        <v>0</v>
      </c>
      <c r="O249" s="36">
        <f>[1]!Table3[[#This Row],[C&amp;I Incentive Disbursements]]/'[1]1.) CLM Reference'!$B$5</f>
        <v>0</v>
      </c>
      <c r="Q249">
        <f>VLOOKUP(Table3[[#This Row],[Census Tract]],'Population and Diversity Data'!$B$2:$K$823,10,FALSE)</f>
        <v>3</v>
      </c>
      <c r="R249" t="str">
        <f>VLOOKUP(Table3[[#This Row],[Census Tract]],'ES Energy Burden'!$B$2:$E$914,4,FALSE)</f>
        <v>No</v>
      </c>
    </row>
    <row r="250" spans="1:18" x14ac:dyDescent="0.2">
      <c r="A250" s="100">
        <v>9001010202</v>
      </c>
      <c r="B250" s="38" t="s">
        <v>2780</v>
      </c>
      <c r="C250" s="38" t="s">
        <v>944</v>
      </c>
      <c r="D250" s="40">
        <f>[1]!Table3[[#This Row],[Residential CLM $ Collected]]+[1]!Table3[[#This Row],[C&amp;I CLM $ Collected]]</f>
        <v>149235.83767008001</v>
      </c>
      <c r="E250" s="36">
        <f>[1]!Table3[[#This Row],[CLM $ Collected ]]/'[1]1.) CLM Reference'!$B$4</f>
        <v>1.3239668623445172E-3</v>
      </c>
      <c r="F250" s="40">
        <f>[1]!Table3[[#This Row],[Residential Incentive Disbursements]]+[1]!Table3[[#This Row],[C&amp;I Incentive Disbursements]]</f>
        <v>12605.017599999999</v>
      </c>
      <c r="G250" s="36">
        <f>[1]!Table3[[#This Row],[Incentive Disbursements]]/'[1]1.) CLM Reference'!$B$5</f>
        <v>1.5421800485257116E-4</v>
      </c>
      <c r="H250" s="40">
        <v>149235.83767008001</v>
      </c>
      <c r="I250" s="36">
        <f>[1]!Table3[[#This Row],[Residential CLM $ Collected]]/'[1]1.) CLM Reference'!$B$4</f>
        <v>1.3239668623445172E-3</v>
      </c>
      <c r="J250" s="41">
        <v>12605.017599999999</v>
      </c>
      <c r="K250" s="36">
        <f>[1]!Table3[[#This Row],[Residential Incentive Disbursements]]/'[1]1.) CLM Reference'!$B$5</f>
        <v>1.5421800485257116E-4</v>
      </c>
      <c r="L250" s="37">
        <v>0</v>
      </c>
      <c r="M250" s="36">
        <f>[1]!Table3[[#This Row],[C&amp;I CLM $ Collected]]/'[1]1.) CLM Reference'!$B$4</f>
        <v>0</v>
      </c>
      <c r="N250" s="41">
        <v>0</v>
      </c>
      <c r="O250" s="36">
        <f>[1]!Table3[[#This Row],[C&amp;I Incentive Disbursements]]/'[1]1.) CLM Reference'!$B$5</f>
        <v>0</v>
      </c>
      <c r="Q250">
        <f>VLOOKUP(Table3[[#This Row],[Census Tract]],'Population and Diversity Data'!$B$2:$K$823,10,FALSE)</f>
        <v>4</v>
      </c>
      <c r="R250" t="str">
        <f>VLOOKUP(Table3[[#This Row],[Census Tract]],'ES Energy Burden'!$B$2:$E$914,4,FALSE)</f>
        <v>No</v>
      </c>
    </row>
    <row r="251" spans="1:18" x14ac:dyDescent="0.2">
      <c r="A251" s="100">
        <v>9001010300</v>
      </c>
      <c r="B251" s="38" t="s">
        <v>2780</v>
      </c>
      <c r="C251" s="38" t="s">
        <v>944</v>
      </c>
      <c r="D251" s="40">
        <f>[1]!Table3[[#This Row],[Residential CLM $ Collected]]+[1]!Table3[[#This Row],[C&amp;I CLM $ Collected]]</f>
        <v>232331.66626463999</v>
      </c>
      <c r="E251" s="36">
        <f>[1]!Table3[[#This Row],[CLM $ Collected ]]/'[1]1.) CLM Reference'!$B$4</f>
        <v>2.0611632702306256E-3</v>
      </c>
      <c r="F251" s="40">
        <f>[1]!Table3[[#This Row],[Residential Incentive Disbursements]]+[1]!Table3[[#This Row],[C&amp;I Incentive Disbursements]]</f>
        <v>14940.7438</v>
      </c>
      <c r="G251" s="36">
        <f>[1]!Table3[[#This Row],[Incentive Disbursements]]/'[1]1.) CLM Reference'!$B$5</f>
        <v>1.8279480227377252E-4</v>
      </c>
      <c r="H251" s="40">
        <v>232331.66626463999</v>
      </c>
      <c r="I251" s="36">
        <f>[1]!Table3[[#This Row],[Residential CLM $ Collected]]/'[1]1.) CLM Reference'!$B$4</f>
        <v>2.0611632702306256E-3</v>
      </c>
      <c r="J251" s="41">
        <v>14940.7438</v>
      </c>
      <c r="K251" s="36">
        <f>[1]!Table3[[#This Row],[Residential Incentive Disbursements]]/'[1]1.) CLM Reference'!$B$5</f>
        <v>1.8279480227377252E-4</v>
      </c>
      <c r="L251" s="37">
        <v>0</v>
      </c>
      <c r="M251" s="36">
        <f>[1]!Table3[[#This Row],[C&amp;I CLM $ Collected]]/'[1]1.) CLM Reference'!$B$4</f>
        <v>0</v>
      </c>
      <c r="N251" s="41">
        <v>0</v>
      </c>
      <c r="O251" s="36">
        <f>[1]!Table3[[#This Row],[C&amp;I Incentive Disbursements]]/'[1]1.) CLM Reference'!$B$5</f>
        <v>0</v>
      </c>
      <c r="Q251">
        <f>VLOOKUP(Table3[[#This Row],[Census Tract]],'Population and Diversity Data'!$B$2:$K$823,10,FALSE)</f>
        <v>2</v>
      </c>
      <c r="R251" t="str">
        <f>VLOOKUP(Table3[[#This Row],[Census Tract]],'ES Energy Burden'!$B$2:$E$914,4,FALSE)</f>
        <v>No</v>
      </c>
    </row>
    <row r="252" spans="1:18" x14ac:dyDescent="0.2">
      <c r="A252" s="100">
        <v>9001010400</v>
      </c>
      <c r="B252" s="38" t="s">
        <v>2780</v>
      </c>
      <c r="C252" s="38" t="s">
        <v>944</v>
      </c>
      <c r="D252" s="40">
        <f>[1]!Table3[[#This Row],[Residential CLM $ Collected]]+[1]!Table3[[#This Row],[C&amp;I CLM $ Collected]]</f>
        <v>104263.06610592001</v>
      </c>
      <c r="E252" s="36">
        <f>[1]!Table3[[#This Row],[CLM $ Collected ]]/'[1]1.) CLM Reference'!$B$4</f>
        <v>9.2498455227520344E-4</v>
      </c>
      <c r="F252" s="40">
        <f>[1]!Table3[[#This Row],[Residential Incentive Disbursements]]+[1]!Table3[[#This Row],[C&amp;I Incentive Disbursements]]</f>
        <v>6235.2754999999997</v>
      </c>
      <c r="G252" s="36">
        <f>[1]!Table3[[#This Row],[Incentive Disbursements]]/'[1]1.) CLM Reference'!$B$5</f>
        <v>7.6286426392305722E-5</v>
      </c>
      <c r="H252" s="40">
        <v>104263.06610592001</v>
      </c>
      <c r="I252" s="36">
        <f>[1]!Table3[[#This Row],[Residential CLM $ Collected]]/'[1]1.) CLM Reference'!$B$4</f>
        <v>9.2498455227520344E-4</v>
      </c>
      <c r="J252" s="41">
        <v>6235.2754999999997</v>
      </c>
      <c r="K252" s="36">
        <f>[1]!Table3[[#This Row],[Residential Incentive Disbursements]]/'[1]1.) CLM Reference'!$B$5</f>
        <v>7.6286426392305722E-5</v>
      </c>
      <c r="L252" s="37">
        <v>0</v>
      </c>
      <c r="M252" s="36">
        <f>[1]!Table3[[#This Row],[C&amp;I CLM $ Collected]]/'[1]1.) CLM Reference'!$B$4</f>
        <v>0</v>
      </c>
      <c r="N252" s="41">
        <v>0</v>
      </c>
      <c r="O252" s="36">
        <f>[1]!Table3[[#This Row],[C&amp;I Incentive Disbursements]]/'[1]1.) CLM Reference'!$B$5</f>
        <v>0</v>
      </c>
      <c r="Q252">
        <f>VLOOKUP(Table3[[#This Row],[Census Tract]],'Population and Diversity Data'!$B$2:$K$823,10,FALSE)</f>
        <v>3</v>
      </c>
      <c r="R252" t="str">
        <f>VLOOKUP(Table3[[#This Row],[Census Tract]],'ES Energy Burden'!$B$2:$E$914,4,FALSE)</f>
        <v>No</v>
      </c>
    </row>
    <row r="253" spans="1:18" x14ac:dyDescent="0.2">
      <c r="A253" s="100">
        <v>9001010500</v>
      </c>
      <c r="B253" s="38" t="s">
        <v>2780</v>
      </c>
      <c r="C253" s="38" t="s">
        <v>944</v>
      </c>
      <c r="D253" s="40">
        <f>[1]!Table3[[#This Row],[Residential CLM $ Collected]]+[1]!Table3[[#This Row],[C&amp;I CLM $ Collected]]</f>
        <v>79218.90946368</v>
      </c>
      <c r="E253" s="36">
        <f>[1]!Table3[[#This Row],[CLM $ Collected ]]/'[1]1.) CLM Reference'!$B$4</f>
        <v>7.0280177093153147E-4</v>
      </c>
      <c r="F253" s="40">
        <f>[1]!Table3[[#This Row],[Residential Incentive Disbursements]]+[1]!Table3[[#This Row],[C&amp;I Incentive Disbursements]]</f>
        <v>2031.71</v>
      </c>
      <c r="G253" s="36">
        <f>[1]!Table3[[#This Row],[Incentive Disbursements]]/'[1]1.) CLM Reference'!$B$5</f>
        <v>2.4857264986208143E-5</v>
      </c>
      <c r="H253" s="40">
        <v>79218.90946368</v>
      </c>
      <c r="I253" s="36">
        <f>[1]!Table3[[#This Row],[Residential CLM $ Collected]]/'[1]1.) CLM Reference'!$B$4</f>
        <v>7.0280177093153147E-4</v>
      </c>
      <c r="J253" s="41">
        <v>2031.71</v>
      </c>
      <c r="K253" s="36">
        <f>[1]!Table3[[#This Row],[Residential Incentive Disbursements]]/'[1]1.) CLM Reference'!$B$5</f>
        <v>2.4857264986208143E-5</v>
      </c>
      <c r="L253" s="37">
        <v>0</v>
      </c>
      <c r="M253" s="36">
        <f>[1]!Table3[[#This Row],[C&amp;I CLM $ Collected]]/'[1]1.) CLM Reference'!$B$4</f>
        <v>0</v>
      </c>
      <c r="N253" s="41">
        <v>0</v>
      </c>
      <c r="O253" s="36">
        <f>[1]!Table3[[#This Row],[C&amp;I Incentive Disbursements]]/'[1]1.) CLM Reference'!$B$5</f>
        <v>0</v>
      </c>
      <c r="Q253">
        <f>VLOOKUP(Table3[[#This Row],[Census Tract]],'Population and Diversity Data'!$B$2:$K$823,10,FALSE)</f>
        <v>3</v>
      </c>
      <c r="R253" t="str">
        <f>VLOOKUP(Table3[[#This Row],[Census Tract]],'ES Energy Burden'!$B$2:$E$914,4,FALSE)</f>
        <v>No</v>
      </c>
    </row>
    <row r="254" spans="1:18" x14ac:dyDescent="0.2">
      <c r="A254" s="100">
        <v>9001010600</v>
      </c>
      <c r="B254" s="38" t="s">
        <v>2780</v>
      </c>
      <c r="C254" s="38" t="s">
        <v>944</v>
      </c>
      <c r="D254" s="40">
        <f>[1]!Table3[[#This Row],[Residential CLM $ Collected]]+[1]!Table3[[#This Row],[C&amp;I CLM $ Collected]]</f>
        <v>37228.613912640001</v>
      </c>
      <c r="E254" s="36">
        <f>[1]!Table3[[#This Row],[CLM $ Collected ]]/'[1]1.) CLM Reference'!$B$4</f>
        <v>3.3027891906446118E-4</v>
      </c>
      <c r="F254" s="40">
        <f>[1]!Table3[[#This Row],[Residential Incentive Disbursements]]+[1]!Table3[[#This Row],[C&amp;I Incentive Disbursements]]</f>
        <v>0</v>
      </c>
      <c r="G254" s="36">
        <f>[1]!Table3[[#This Row],[Incentive Disbursements]]/'[1]1.) CLM Reference'!$B$5</f>
        <v>0</v>
      </c>
      <c r="H254" s="40">
        <v>37228.613912640001</v>
      </c>
      <c r="I254" s="36">
        <f>[1]!Table3[[#This Row],[Residential CLM $ Collected]]/'[1]1.) CLM Reference'!$B$4</f>
        <v>3.3027891906446118E-4</v>
      </c>
      <c r="J254" s="41">
        <v>0</v>
      </c>
      <c r="K254" s="36">
        <f>[1]!Table3[[#This Row],[Residential Incentive Disbursements]]/'[1]1.) CLM Reference'!$B$5</f>
        <v>0</v>
      </c>
      <c r="L254" s="37">
        <v>0</v>
      </c>
      <c r="M254" s="36">
        <f>[1]!Table3[[#This Row],[C&amp;I CLM $ Collected]]/'[1]1.) CLM Reference'!$B$4</f>
        <v>0</v>
      </c>
      <c r="N254" s="41">
        <v>0</v>
      </c>
      <c r="O254" s="36">
        <f>[1]!Table3[[#This Row],[C&amp;I Incentive Disbursements]]/'[1]1.) CLM Reference'!$B$5</f>
        <v>0</v>
      </c>
      <c r="Q254">
        <f>VLOOKUP(Table3[[#This Row],[Census Tract]],'Population and Diversity Data'!$B$2:$K$823,10,FALSE)</f>
        <v>3</v>
      </c>
      <c r="R254" t="str">
        <f>VLOOKUP(Table3[[#This Row],[Census Tract]],'ES Energy Burden'!$B$2:$E$914,4,FALSE)</f>
        <v>No</v>
      </c>
    </row>
    <row r="255" spans="1:18" x14ac:dyDescent="0.2">
      <c r="A255" s="100">
        <v>9001010700</v>
      </c>
      <c r="B255" s="38" t="s">
        <v>2780</v>
      </c>
      <c r="C255" s="38" t="s">
        <v>944</v>
      </c>
      <c r="D255" s="40">
        <f>[1]!Table3[[#This Row],[Residential CLM $ Collected]]+[1]!Table3[[#This Row],[C&amp;I CLM $ Collected]]</f>
        <v>75171.932176319999</v>
      </c>
      <c r="E255" s="36">
        <f>[1]!Table3[[#This Row],[CLM $ Collected ]]/'[1]1.) CLM Reference'!$B$4</f>
        <v>6.6689843896531318E-4</v>
      </c>
      <c r="F255" s="40">
        <f>[1]!Table3[[#This Row],[Residential Incentive Disbursements]]+[1]!Table3[[#This Row],[C&amp;I Incentive Disbursements]]</f>
        <v>287.59500000000003</v>
      </c>
      <c r="G255" s="36">
        <f>[1]!Table3[[#This Row],[Incentive Disbursements]]/'[1]1.) CLM Reference'!$B$5</f>
        <v>3.5186247661863806E-6</v>
      </c>
      <c r="H255" s="40">
        <v>75171.932176319999</v>
      </c>
      <c r="I255" s="36">
        <f>[1]!Table3[[#This Row],[Residential CLM $ Collected]]/'[1]1.) CLM Reference'!$B$4</f>
        <v>6.6689843896531318E-4</v>
      </c>
      <c r="J255" s="41">
        <v>287.59500000000003</v>
      </c>
      <c r="K255" s="36">
        <f>[1]!Table3[[#This Row],[Residential Incentive Disbursements]]/'[1]1.) CLM Reference'!$B$5</f>
        <v>3.5186247661863806E-6</v>
      </c>
      <c r="L255" s="37">
        <v>0</v>
      </c>
      <c r="M255" s="36">
        <f>[1]!Table3[[#This Row],[C&amp;I CLM $ Collected]]/'[1]1.) CLM Reference'!$B$4</f>
        <v>0</v>
      </c>
      <c r="N255" s="41">
        <v>0</v>
      </c>
      <c r="O255" s="36">
        <f>[1]!Table3[[#This Row],[C&amp;I Incentive Disbursements]]/'[1]1.) CLM Reference'!$B$5</f>
        <v>0</v>
      </c>
      <c r="Q255">
        <f>VLOOKUP(Table3[[#This Row],[Census Tract]],'Population and Diversity Data'!$B$2:$K$823,10,FALSE)</f>
        <v>3</v>
      </c>
      <c r="R255" t="str">
        <f>VLOOKUP(Table3[[#This Row],[Census Tract]],'ES Energy Burden'!$B$2:$E$914,4,FALSE)</f>
        <v>No</v>
      </c>
    </row>
    <row r="256" spans="1:18" x14ac:dyDescent="0.2">
      <c r="A256" s="100">
        <v>9001010800</v>
      </c>
      <c r="B256" s="38" t="s">
        <v>2780</v>
      </c>
      <c r="C256" s="38" t="s">
        <v>944</v>
      </c>
      <c r="D256" s="40">
        <f>[1]!Table3[[#This Row],[Residential CLM $ Collected]]+[1]!Table3[[#This Row],[C&amp;I CLM $ Collected]]</f>
        <v>69440.01003071999</v>
      </c>
      <c r="E256" s="36">
        <f>[1]!Table3[[#This Row],[CLM $ Collected ]]/'[1]1.) CLM Reference'!$B$4</f>
        <v>6.1604688013873943E-4</v>
      </c>
      <c r="F256" s="40">
        <f>[1]!Table3[[#This Row],[Residential Incentive Disbursements]]+[1]!Table3[[#This Row],[C&amp;I Incentive Disbursements]]</f>
        <v>4273.3671000000004</v>
      </c>
      <c r="G256" s="36">
        <f>[1]!Table3[[#This Row],[Incentive Disbursements]]/'[1]1.) CLM Reference'!$B$5</f>
        <v>5.2283159697025576E-5</v>
      </c>
      <c r="H256" s="40">
        <v>69433.055366399989</v>
      </c>
      <c r="I256" s="36">
        <f>[1]!Table3[[#This Row],[Residential CLM $ Collected]]/'[1]1.) CLM Reference'!$B$4</f>
        <v>6.1598518084959972E-4</v>
      </c>
      <c r="J256" s="41">
        <v>4273.3671000000004</v>
      </c>
      <c r="K256" s="36">
        <f>[1]!Table3[[#This Row],[Residential Incentive Disbursements]]/'[1]1.) CLM Reference'!$B$5</f>
        <v>5.2283159697025576E-5</v>
      </c>
      <c r="L256" s="37">
        <v>6.9546643200000009</v>
      </c>
      <c r="M256" s="36">
        <f>[1]!Table3[[#This Row],[C&amp;I CLM $ Collected]]/'[1]1.) CLM Reference'!$B$4</f>
        <v>6.1699289139687715E-8</v>
      </c>
      <c r="N256" s="41">
        <v>0</v>
      </c>
      <c r="O256" s="36">
        <f>[1]!Table3[[#This Row],[C&amp;I Incentive Disbursements]]/'[1]1.) CLM Reference'!$B$5</f>
        <v>0</v>
      </c>
      <c r="Q256">
        <f>VLOOKUP(Table3[[#This Row],[Census Tract]],'Population and Diversity Data'!$B$2:$K$823,10,FALSE)</f>
        <v>3</v>
      </c>
      <c r="R256" t="str">
        <f>VLOOKUP(Table3[[#This Row],[Census Tract]],'ES Energy Burden'!$B$2:$E$914,4,FALSE)</f>
        <v>No</v>
      </c>
    </row>
    <row r="257" spans="1:18" x14ac:dyDescent="0.2">
      <c r="A257" s="100">
        <v>9001010900</v>
      </c>
      <c r="B257" s="38" t="s">
        <v>2780</v>
      </c>
      <c r="C257" s="38" t="s">
        <v>944</v>
      </c>
      <c r="D257" s="40">
        <f>[1]!Table3[[#This Row],[Residential CLM $ Collected]]+[1]!Table3[[#This Row],[C&amp;I CLM $ Collected]]</f>
        <v>95240.909289600007</v>
      </c>
      <c r="E257" s="36">
        <f>[1]!Table3[[#This Row],[CLM $ Collected ]]/'[1]1.) CLM Reference'!$B$4</f>
        <v>8.4494321074375016E-4</v>
      </c>
      <c r="F257" s="40">
        <f>[1]!Table3[[#This Row],[Residential Incentive Disbursements]]+[1]!Table3[[#This Row],[C&amp;I Incentive Disbursements]]</f>
        <v>5192.7631000000001</v>
      </c>
      <c r="G257" s="36">
        <f>[1]!Table3[[#This Row],[Incentive Disbursements]]/'[1]1.) CLM Reference'!$B$5</f>
        <v>6.3531649884729445E-5</v>
      </c>
      <c r="H257" s="40">
        <v>95240.909289600007</v>
      </c>
      <c r="I257" s="36">
        <f>[1]!Table3[[#This Row],[Residential CLM $ Collected]]/'[1]1.) CLM Reference'!$B$4</f>
        <v>8.4494321074375016E-4</v>
      </c>
      <c r="J257" s="41">
        <v>5192.7631000000001</v>
      </c>
      <c r="K257" s="36">
        <f>[1]!Table3[[#This Row],[Residential Incentive Disbursements]]/'[1]1.) CLM Reference'!$B$5</f>
        <v>6.3531649884729445E-5</v>
      </c>
      <c r="L257" s="37">
        <v>0</v>
      </c>
      <c r="M257" s="36">
        <f>[1]!Table3[[#This Row],[C&amp;I CLM $ Collected]]/'[1]1.) CLM Reference'!$B$4</f>
        <v>0</v>
      </c>
      <c r="N257" s="41">
        <v>0</v>
      </c>
      <c r="O257" s="36">
        <f>[1]!Table3[[#This Row],[C&amp;I Incentive Disbursements]]/'[1]1.) CLM Reference'!$B$5</f>
        <v>0</v>
      </c>
      <c r="Q257">
        <f>VLOOKUP(Table3[[#This Row],[Census Tract]],'Population and Diversity Data'!$B$2:$K$823,10,FALSE)</f>
        <v>5</v>
      </c>
      <c r="R257" t="str">
        <f>VLOOKUP(Table3[[#This Row],[Census Tract]],'ES Energy Burden'!$B$2:$E$914,4,FALSE)</f>
        <v>No</v>
      </c>
    </row>
    <row r="258" spans="1:18" x14ac:dyDescent="0.2">
      <c r="A258" s="100">
        <v>9001011000</v>
      </c>
      <c r="B258" s="38" t="s">
        <v>2780</v>
      </c>
      <c r="C258" s="38" t="s">
        <v>944</v>
      </c>
      <c r="D258" s="40">
        <f>[1]!Table3[[#This Row],[Residential CLM $ Collected]]+[1]!Table3[[#This Row],[C&amp;I CLM $ Collected]]</f>
        <v>149163.66117504</v>
      </c>
      <c r="E258" s="36">
        <f>[1]!Table3[[#This Row],[CLM $ Collected ]]/'[1]1.) CLM Reference'!$B$4</f>
        <v>1.3233265383501935E-3</v>
      </c>
      <c r="F258" s="40">
        <f>[1]!Table3[[#This Row],[Residential Incentive Disbursements]]+[1]!Table3[[#This Row],[C&amp;I Incentive Disbursements]]</f>
        <v>6130.23</v>
      </c>
      <c r="G258" s="36">
        <f>[1]!Table3[[#This Row],[Incentive Disbursements]]/'[1]1.) CLM Reference'!$B$5</f>
        <v>7.5001231246783613E-5</v>
      </c>
      <c r="H258" s="40">
        <v>149163.66117504</v>
      </c>
      <c r="I258" s="36">
        <f>[1]!Table3[[#This Row],[Residential CLM $ Collected]]/'[1]1.) CLM Reference'!$B$4</f>
        <v>1.3233265383501935E-3</v>
      </c>
      <c r="J258" s="41">
        <v>6130.23</v>
      </c>
      <c r="K258" s="36">
        <f>[1]!Table3[[#This Row],[Residential Incentive Disbursements]]/'[1]1.) CLM Reference'!$B$5</f>
        <v>7.5001231246783613E-5</v>
      </c>
      <c r="L258" s="37">
        <v>0</v>
      </c>
      <c r="M258" s="36">
        <f>[1]!Table3[[#This Row],[C&amp;I CLM $ Collected]]/'[1]1.) CLM Reference'!$B$4</f>
        <v>0</v>
      </c>
      <c r="N258" s="41">
        <v>0</v>
      </c>
      <c r="O258" s="36">
        <f>[1]!Table3[[#This Row],[C&amp;I Incentive Disbursements]]/'[1]1.) CLM Reference'!$B$5</f>
        <v>0</v>
      </c>
      <c r="Q258">
        <f>VLOOKUP(Table3[[#This Row],[Census Tract]],'Population and Diversity Data'!$B$2:$K$823,10,FALSE)</f>
        <v>2</v>
      </c>
      <c r="R258" t="str">
        <f>VLOOKUP(Table3[[#This Row],[Census Tract]],'ES Energy Burden'!$B$2:$E$914,4,FALSE)</f>
        <v>No</v>
      </c>
    </row>
    <row r="259" spans="1:18" x14ac:dyDescent="0.2">
      <c r="A259" s="100">
        <v>9001011100</v>
      </c>
      <c r="B259" s="38" t="s">
        <v>2780</v>
      </c>
      <c r="C259" s="38" t="s">
        <v>944</v>
      </c>
      <c r="D259" s="40">
        <f>[1]!Table3[[#This Row],[Residential CLM $ Collected]]+[1]!Table3[[#This Row],[C&amp;I CLM $ Collected]]</f>
        <v>156251.62535040002</v>
      </c>
      <c r="E259" s="36">
        <f>[1]!Table3[[#This Row],[CLM $ Collected ]]/'[1]1.) CLM Reference'!$B$4</f>
        <v>1.3862084160289837E-3</v>
      </c>
      <c r="F259" s="40">
        <f>[1]!Table3[[#This Row],[Residential Incentive Disbursements]]+[1]!Table3[[#This Row],[C&amp;I Incentive Disbursements]]</f>
        <v>3011.9016999999999</v>
      </c>
      <c r="G259" s="36">
        <f>[1]!Table3[[#This Row],[Incentive Disbursements]]/'[1]1.) CLM Reference'!$B$5</f>
        <v>3.6849569411633932E-5</v>
      </c>
      <c r="H259" s="40">
        <v>155955.16353600001</v>
      </c>
      <c r="I259" s="36">
        <f>[1]!Table3[[#This Row],[Residential CLM $ Collected]]/'[1]1.) CLM Reference'!$B$4</f>
        <v>1.3835783130701764E-3</v>
      </c>
      <c r="J259" s="41">
        <v>3011.9016999999999</v>
      </c>
      <c r="K259" s="36">
        <f>[1]!Table3[[#This Row],[Residential Incentive Disbursements]]/'[1]1.) CLM Reference'!$B$5</f>
        <v>3.6849569411633932E-5</v>
      </c>
      <c r="L259" s="37">
        <v>296.46181439999998</v>
      </c>
      <c r="M259" s="36">
        <f>[1]!Table3[[#This Row],[C&amp;I CLM $ Collected]]/'[1]1.) CLM Reference'!$B$4</f>
        <v>2.6301029588070805E-6</v>
      </c>
      <c r="N259" s="41">
        <v>0</v>
      </c>
      <c r="O259" s="36">
        <f>[1]!Table3[[#This Row],[C&amp;I Incentive Disbursements]]/'[1]1.) CLM Reference'!$B$5</f>
        <v>0</v>
      </c>
      <c r="Q259">
        <f>VLOOKUP(Table3[[#This Row],[Census Tract]],'Population and Diversity Data'!$B$2:$K$823,10,FALSE)</f>
        <v>3</v>
      </c>
      <c r="R259" t="str">
        <f>VLOOKUP(Table3[[#This Row],[Census Tract]],'ES Energy Burden'!$B$2:$E$914,4,FALSE)</f>
        <v>No</v>
      </c>
    </row>
    <row r="260" spans="1:18" x14ac:dyDescent="0.2">
      <c r="A260" s="100">
        <v>9001011200</v>
      </c>
      <c r="B260" s="38" t="s">
        <v>2780</v>
      </c>
      <c r="C260" s="38" t="s">
        <v>944</v>
      </c>
      <c r="D260" s="40">
        <f>[1]!Table3[[#This Row],[Residential CLM $ Collected]]+[1]!Table3[[#This Row],[C&amp;I CLM $ Collected]]</f>
        <v>117303.06865248001</v>
      </c>
      <c r="E260" s="36">
        <f>[1]!Table3[[#This Row],[CLM $ Collected ]]/'[1]1.) CLM Reference'!$B$4</f>
        <v>1.0406707810395085E-3</v>
      </c>
      <c r="F260" s="40">
        <f>[1]!Table3[[#This Row],[Residential Incentive Disbursements]]+[1]!Table3[[#This Row],[C&amp;I Incentive Disbursements]]</f>
        <v>2614.33</v>
      </c>
      <c r="G260" s="36">
        <f>[1]!Table3[[#This Row],[Incentive Disbursements]]/'[1]1.) CLM Reference'!$B$5</f>
        <v>3.1985417983567306E-5</v>
      </c>
      <c r="H260" s="40">
        <v>117112.78500768001</v>
      </c>
      <c r="I260" s="36">
        <f>[1]!Table3[[#This Row],[Residential CLM $ Collected]]/'[1]1.) CLM Reference'!$B$4</f>
        <v>1.0389826527447601E-3</v>
      </c>
      <c r="J260" s="41">
        <v>2614.33</v>
      </c>
      <c r="K260" s="36">
        <f>[1]!Table3[[#This Row],[Residential Incentive Disbursements]]/'[1]1.) CLM Reference'!$B$5</f>
        <v>3.1985417983567306E-5</v>
      </c>
      <c r="L260" s="37">
        <v>190.28364479999999</v>
      </c>
      <c r="M260" s="36">
        <f>[1]!Table3[[#This Row],[C&amp;I CLM $ Collected]]/'[1]1.) CLM Reference'!$B$4</f>
        <v>1.6881282947483556E-6</v>
      </c>
      <c r="N260" s="41">
        <v>0</v>
      </c>
      <c r="O260" s="36">
        <f>[1]!Table3[[#This Row],[C&amp;I Incentive Disbursements]]/'[1]1.) CLM Reference'!$B$5</f>
        <v>0</v>
      </c>
      <c r="Q260">
        <f>VLOOKUP(Table3[[#This Row],[Census Tract]],'Population and Diversity Data'!$B$2:$K$823,10,FALSE)</f>
        <v>4</v>
      </c>
      <c r="R260" t="str">
        <f>VLOOKUP(Table3[[#This Row],[Census Tract]],'ES Energy Burden'!$B$2:$E$914,4,FALSE)</f>
        <v>No</v>
      </c>
    </row>
    <row r="261" spans="1:18" x14ac:dyDescent="0.2">
      <c r="A261" s="100">
        <v>9001011300</v>
      </c>
      <c r="B261" s="38" t="s">
        <v>2780</v>
      </c>
      <c r="C261" s="38" t="s">
        <v>944</v>
      </c>
      <c r="D261" s="40">
        <f>[1]!Table3[[#This Row],[Residential CLM $ Collected]]+[1]!Table3[[#This Row],[C&amp;I CLM $ Collected]]</f>
        <v>58602.084949439995</v>
      </c>
      <c r="E261" s="36">
        <f>[1]!Table3[[#This Row],[CLM $ Collected ]]/'[1]1.) CLM Reference'!$B$4</f>
        <v>5.1989669337254791E-4</v>
      </c>
      <c r="F261" s="40">
        <f>[1]!Table3[[#This Row],[Residential Incentive Disbursements]]+[1]!Table3[[#This Row],[C&amp;I Incentive Disbursements]]</f>
        <v>628.98</v>
      </c>
      <c r="G261" s="36">
        <f>[1]!Table3[[#This Row],[Incentive Disbursements]]/'[1]1.) CLM Reference'!$B$5</f>
        <v>7.6953514679876551E-6</v>
      </c>
      <c r="H261" s="40">
        <v>58601.731832639998</v>
      </c>
      <c r="I261" s="36">
        <f>[1]!Table3[[#This Row],[Residential CLM $ Collected]]/'[1]1.) CLM Reference'!$B$4</f>
        <v>5.1989356064686336E-4</v>
      </c>
      <c r="J261" s="41">
        <v>628.98</v>
      </c>
      <c r="K261" s="36">
        <f>[1]!Table3[[#This Row],[Residential Incentive Disbursements]]/'[1]1.) CLM Reference'!$B$5</f>
        <v>7.6953514679876551E-6</v>
      </c>
      <c r="L261" s="37">
        <v>0.35311680000000001</v>
      </c>
      <c r="M261" s="36">
        <f>[1]!Table3[[#This Row],[C&amp;I CLM $ Collected]]/'[1]1.) CLM Reference'!$B$4</f>
        <v>3.1327256846353841E-9</v>
      </c>
      <c r="N261" s="41">
        <v>0</v>
      </c>
      <c r="O261" s="36">
        <f>[1]!Table3[[#This Row],[C&amp;I Incentive Disbursements]]/'[1]1.) CLM Reference'!$B$5</f>
        <v>0</v>
      </c>
      <c r="Q261">
        <f>VLOOKUP(Table3[[#This Row],[Census Tract]],'Population and Diversity Data'!$B$2:$K$823,10,FALSE)</f>
        <v>5</v>
      </c>
      <c r="R261" t="str">
        <f>VLOOKUP(Table3[[#This Row],[Census Tract]],'ES Energy Burden'!$B$2:$E$914,4,FALSE)</f>
        <v>No</v>
      </c>
    </row>
    <row r="262" spans="1:18" x14ac:dyDescent="0.2">
      <c r="A262" s="100">
        <v>9001020200</v>
      </c>
      <c r="B262" s="38" t="s">
        <v>2780</v>
      </c>
      <c r="C262" s="38" t="s">
        <v>944</v>
      </c>
      <c r="D262" s="40">
        <f>[1]!Table3[[#This Row],[Residential CLM $ Collected]]+[1]!Table3[[#This Row],[C&amp;I CLM $ Collected]]</f>
        <v>19079.450639999999</v>
      </c>
      <c r="E262" s="36">
        <f>[1]!Table3[[#This Row],[CLM $ Collected ]]/'[1]1.) CLM Reference'!$B$4</f>
        <v>1.6926604757593243E-4</v>
      </c>
      <c r="F262" s="40">
        <f>[1]!Table3[[#This Row],[Residential Incentive Disbursements]]+[1]!Table3[[#This Row],[C&amp;I Incentive Disbursements]]</f>
        <v>0</v>
      </c>
      <c r="G262" s="36">
        <f>[1]!Table3[[#This Row],[Incentive Disbursements]]/'[1]1.) CLM Reference'!$B$5</f>
        <v>0</v>
      </c>
      <c r="H262" s="40">
        <v>19079.450639999999</v>
      </c>
      <c r="I262" s="36">
        <f>[1]!Table3[[#This Row],[Residential CLM $ Collected]]/'[1]1.) CLM Reference'!$B$4</f>
        <v>1.6926604757593243E-4</v>
      </c>
      <c r="J262" s="41">
        <v>0</v>
      </c>
      <c r="K262" s="36">
        <f>[1]!Table3[[#This Row],[Residential Incentive Disbursements]]/'[1]1.) CLM Reference'!$B$5</f>
        <v>0</v>
      </c>
      <c r="L262" s="37">
        <v>0</v>
      </c>
      <c r="M262" s="36">
        <f>[1]!Table3[[#This Row],[C&amp;I CLM $ Collected]]/'[1]1.) CLM Reference'!$B$4</f>
        <v>0</v>
      </c>
      <c r="N262" s="41">
        <v>0</v>
      </c>
      <c r="O262" s="36">
        <f>[1]!Table3[[#This Row],[C&amp;I Incentive Disbursements]]/'[1]1.) CLM Reference'!$B$5</f>
        <v>0</v>
      </c>
      <c r="Q262">
        <f>VLOOKUP(Table3[[#This Row],[Census Tract]],'Population and Diversity Data'!$B$2:$K$823,10,FALSE)</f>
        <v>4</v>
      </c>
      <c r="R262" t="str">
        <f>VLOOKUP(Table3[[#This Row],[Census Tract]],'ES Energy Burden'!$B$2:$E$914,4,FALSE)</f>
        <v>No</v>
      </c>
    </row>
    <row r="263" spans="1:18" x14ac:dyDescent="0.2">
      <c r="A263" s="100">
        <v>9001021400</v>
      </c>
      <c r="B263" s="38" t="s">
        <v>2780</v>
      </c>
      <c r="C263" s="38" t="s">
        <v>944</v>
      </c>
      <c r="D263" s="40">
        <f>[1]!Table3[[#This Row],[Residential CLM $ Collected]]+[1]!Table3[[#This Row],[C&amp;I CLM $ Collected]]</f>
        <v>1134.8595072000003</v>
      </c>
      <c r="E263" s="36">
        <f>[1]!Table3[[#This Row],[CLM $ Collected ]]/'[1]1.) CLM Reference'!$B$4</f>
        <v>1.0068066788830481E-5</v>
      </c>
      <c r="F263" s="40">
        <f>[1]!Table3[[#This Row],[Residential Incentive Disbursements]]+[1]!Table3[[#This Row],[C&amp;I Incentive Disbursements]]</f>
        <v>615.08000000000004</v>
      </c>
      <c r="G263" s="36">
        <f>[1]!Table3[[#This Row],[Incentive Disbursements]]/'[1]1.) CLM Reference'!$B$5</f>
        <v>7.5252898040157824E-6</v>
      </c>
      <c r="H263" s="40">
        <v>1134.8595072000003</v>
      </c>
      <c r="I263" s="36">
        <f>[1]!Table3[[#This Row],[Residential CLM $ Collected]]/'[1]1.) CLM Reference'!$B$4</f>
        <v>1.0068066788830481E-5</v>
      </c>
      <c r="J263" s="41">
        <v>615.08000000000004</v>
      </c>
      <c r="K263" s="36">
        <f>[1]!Table3[[#This Row],[Residential Incentive Disbursements]]/'[1]1.) CLM Reference'!$B$5</f>
        <v>7.5252898040157824E-6</v>
      </c>
      <c r="L263" s="37">
        <v>0</v>
      </c>
      <c r="M263" s="36">
        <f>[1]!Table3[[#This Row],[C&amp;I CLM $ Collected]]/'[1]1.) CLM Reference'!$B$4</f>
        <v>0</v>
      </c>
      <c r="N263" s="41">
        <v>0</v>
      </c>
      <c r="O263" s="36">
        <f>[1]!Table3[[#This Row],[C&amp;I Incentive Disbursements]]/'[1]1.) CLM Reference'!$B$5</f>
        <v>0</v>
      </c>
      <c r="Q263">
        <f>VLOOKUP(Table3[[#This Row],[Census Tract]],'Population and Diversity Data'!$B$2:$K$823,10,FALSE)</f>
        <v>4</v>
      </c>
      <c r="R263" t="str">
        <f>VLOOKUP(Table3[[#This Row],[Census Tract]],'ES Energy Burden'!$B$2:$E$914,4,FALSE)</f>
        <v>No</v>
      </c>
    </row>
    <row r="264" spans="1:18" x14ac:dyDescent="0.2">
      <c r="A264" s="100">
        <v>9011709100</v>
      </c>
      <c r="B264" s="38" t="s">
        <v>2781</v>
      </c>
      <c r="C264" s="38" t="s">
        <v>944</v>
      </c>
      <c r="D264" s="40">
        <f>[1]!Table3[[#This Row],[Residential CLM $ Collected]]+[1]!Table3[[#This Row],[C&amp;I CLM $ Collected]]</f>
        <v>154501.39903680002</v>
      </c>
      <c r="E264" s="36">
        <f>[1]!Table3[[#This Row],[CLM $ Collected ]]/'[1]1.) CLM Reference'!$B$4</f>
        <v>1.370681035495009E-3</v>
      </c>
      <c r="F264" s="40">
        <f>[1]!Table3[[#This Row],[Residential Incentive Disbursements]]+[1]!Table3[[#This Row],[C&amp;I Incentive Disbursements]]</f>
        <v>76633.350099999996</v>
      </c>
      <c r="G264" s="36">
        <f>[1]!Table3[[#This Row],[Incentive Disbursements]]/'[1]1.) CLM Reference'!$B$5</f>
        <v>9.375823765284219E-4</v>
      </c>
      <c r="H264" s="40">
        <v>132624.27114048001</v>
      </c>
      <c r="I264" s="36">
        <f>[1]!Table3[[#This Row],[Residential CLM $ Collected]]/'[1]1.) CLM Reference'!$B$4</f>
        <v>1.1765949980511519E-3</v>
      </c>
      <c r="J264" s="43">
        <v>76633.350099999996</v>
      </c>
      <c r="K264" s="36">
        <f>[1]!Table3[[#This Row],[Residential Incentive Disbursements]]/'[1]1.) CLM Reference'!$B$5</f>
        <v>9.375823765284219E-4</v>
      </c>
      <c r="L264" s="37">
        <v>21877.127896320002</v>
      </c>
      <c r="M264" s="36">
        <f>[1]!Table3[[#This Row],[C&amp;I CLM $ Collected]]/'[1]1.) CLM Reference'!$B$4</f>
        <v>1.9408603744385691E-4</v>
      </c>
      <c r="N264" s="41">
        <v>0</v>
      </c>
      <c r="O264" s="36">
        <f>[1]!Table3[[#This Row],[C&amp;I Incentive Disbursements]]/'[1]1.) CLM Reference'!$B$5</f>
        <v>0</v>
      </c>
      <c r="Q264">
        <f>VLOOKUP(Table3[[#This Row],[Census Tract]],'Population and Diversity Data'!$B$2:$K$823,10,FALSE)</f>
        <v>3</v>
      </c>
      <c r="R264" t="str">
        <f>VLOOKUP(Table3[[#This Row],[Census Tract]],'ES Energy Burden'!$B$2:$E$914,4,FALSE)</f>
        <v>No</v>
      </c>
    </row>
    <row r="265" spans="1:18" x14ac:dyDescent="0.2">
      <c r="A265" s="100">
        <v>9011709200</v>
      </c>
      <c r="B265" s="38" t="s">
        <v>2781</v>
      </c>
      <c r="C265" s="38" t="s">
        <v>944</v>
      </c>
      <c r="D265" s="40">
        <f>[1]!Table3[[#This Row],[Residential CLM $ Collected]]+[1]!Table3[[#This Row],[C&amp;I CLM $ Collected]]</f>
        <v>26264.613977280002</v>
      </c>
      <c r="E265" s="36">
        <f>[1]!Table3[[#This Row],[CLM $ Collected ]]/'[1]1.) CLM Reference'!$B$4</f>
        <v>2.3301024138092146E-4</v>
      </c>
      <c r="F265" s="40">
        <f>[1]!Table3[[#This Row],[Residential Incentive Disbursements]]+[1]!Table3[[#This Row],[C&amp;I Incentive Disbursements]]</f>
        <v>3627.62</v>
      </c>
      <c r="G265" s="36">
        <f>[1]!Table3[[#This Row],[Incentive Disbursements]]/'[1]1.) CLM Reference'!$B$5</f>
        <v>4.4382668594075126E-5</v>
      </c>
      <c r="H265" s="40">
        <v>26264.613977280002</v>
      </c>
      <c r="I265" s="36">
        <f>[1]!Table3[[#This Row],[Residential CLM $ Collected]]/'[1]1.) CLM Reference'!$B$4</f>
        <v>2.3301024138092146E-4</v>
      </c>
      <c r="J265" s="41">
        <v>3627.62</v>
      </c>
      <c r="K265" s="36">
        <f>[1]!Table3[[#This Row],[Residential Incentive Disbursements]]/'[1]1.) CLM Reference'!$B$5</f>
        <v>4.4382668594075126E-5</v>
      </c>
      <c r="L265" s="37">
        <v>0</v>
      </c>
      <c r="M265" s="36">
        <f>[1]!Table3[[#This Row],[C&amp;I CLM $ Collected]]/'[1]1.) CLM Reference'!$B$4</f>
        <v>0</v>
      </c>
      <c r="N265" s="41">
        <v>0</v>
      </c>
      <c r="O265" s="36">
        <f>[1]!Table3[[#This Row],[C&amp;I Incentive Disbursements]]/'[1]1.) CLM Reference'!$B$5</f>
        <v>0</v>
      </c>
      <c r="Q265">
        <f>VLOOKUP(Table3[[#This Row],[Census Tract]],'Population and Diversity Data'!$B$2:$K$823,10,FALSE)</f>
        <v>5</v>
      </c>
      <c r="R265" t="str">
        <f>VLOOKUP(Table3[[#This Row],[Census Tract]],'ES Energy Burden'!$B$2:$E$914,4,FALSE)</f>
        <v>No</v>
      </c>
    </row>
    <row r="266" spans="1:18" x14ac:dyDescent="0.2">
      <c r="A266" s="100">
        <v>9011710100</v>
      </c>
      <c r="B266" s="38" t="s">
        <v>2781</v>
      </c>
      <c r="C266" s="38" t="s">
        <v>944</v>
      </c>
      <c r="D266" s="40">
        <f>[1]!Table3[[#This Row],[Residential CLM $ Collected]]+[1]!Table3[[#This Row],[C&amp;I CLM $ Collected]]</f>
        <v>230.99048640000001</v>
      </c>
      <c r="E266" s="36">
        <f>[1]!Table3[[#This Row],[CLM $ Collected ]]/'[1]1.) CLM Reference'!$B$4</f>
        <v>2.0492648031804218E-6</v>
      </c>
      <c r="F266" s="40">
        <f>[1]!Table3[[#This Row],[Residential Incentive Disbursements]]+[1]!Table3[[#This Row],[C&amp;I Incentive Disbursements]]</f>
        <v>0</v>
      </c>
      <c r="G266" s="36">
        <f>[1]!Table3[[#This Row],[Incentive Disbursements]]/'[1]1.) CLM Reference'!$B$5</f>
        <v>0</v>
      </c>
      <c r="H266" s="40">
        <v>230.99048640000001</v>
      </c>
      <c r="I266" s="36">
        <f>[1]!Table3[[#This Row],[Residential CLM $ Collected]]/'[1]1.) CLM Reference'!$B$4</f>
        <v>2.0492648031804218E-6</v>
      </c>
      <c r="J266" s="41">
        <v>0</v>
      </c>
      <c r="K266" s="36">
        <f>[1]!Table3[[#This Row],[Residential Incentive Disbursements]]/'[1]1.) CLM Reference'!$B$5</f>
        <v>0</v>
      </c>
      <c r="L266" s="37">
        <v>0</v>
      </c>
      <c r="M266" s="36">
        <f>[1]!Table3[[#This Row],[C&amp;I CLM $ Collected]]/'[1]1.) CLM Reference'!$B$4</f>
        <v>0</v>
      </c>
      <c r="N266" s="41">
        <v>0</v>
      </c>
      <c r="O266" s="36">
        <f>[1]!Table3[[#This Row],[C&amp;I Incentive Disbursements]]/'[1]1.) CLM Reference'!$B$5</f>
        <v>0</v>
      </c>
      <c r="Q266">
        <f>VLOOKUP(Table3[[#This Row],[Census Tract]],'Population and Diversity Data'!$B$2:$K$823,10,FALSE)</f>
        <v>3</v>
      </c>
      <c r="R266" t="str">
        <f>VLOOKUP(Table3[[#This Row],[Census Tract]],'ES Energy Burden'!$B$2:$E$914,4,FALSE)</f>
        <v>No</v>
      </c>
    </row>
    <row r="267" spans="1:18" x14ac:dyDescent="0.2">
      <c r="A267" s="100">
        <v>9011702100</v>
      </c>
      <c r="B267" s="38" t="s">
        <v>2782</v>
      </c>
      <c r="C267" s="38" t="s">
        <v>944</v>
      </c>
      <c r="D267" s="40">
        <f>[1]!Table3[[#This Row],[Residential CLM $ Collected]]+[1]!Table3[[#This Row],[C&amp;I CLM $ Collected]]</f>
        <v>1500.225408</v>
      </c>
      <c r="E267" s="36">
        <f>[1]!Table3[[#This Row],[CLM $ Collected ]]/'[1]1.) CLM Reference'!$B$4</f>
        <v>1.3309462105411576E-5</v>
      </c>
      <c r="F267" s="40">
        <f>[1]!Table3[[#This Row],[Residential Incentive Disbursements]]+[1]!Table3[[#This Row],[C&amp;I Incentive Disbursements]]</f>
        <v>0</v>
      </c>
      <c r="G267" s="36">
        <f>[1]!Table3[[#This Row],[Incentive Disbursements]]/'[1]1.) CLM Reference'!$B$5</f>
        <v>0</v>
      </c>
      <c r="H267" s="40">
        <v>1500.225408</v>
      </c>
      <c r="I267" s="36">
        <f>[1]!Table3[[#This Row],[Residential CLM $ Collected]]/'[1]1.) CLM Reference'!$B$4</f>
        <v>1.3309462105411576E-5</v>
      </c>
      <c r="J267" s="41">
        <v>0</v>
      </c>
      <c r="K267" s="36">
        <f>[1]!Table3[[#This Row],[Residential Incentive Disbursements]]/'[1]1.) CLM Reference'!$B$5</f>
        <v>0</v>
      </c>
      <c r="L267" s="37">
        <v>0</v>
      </c>
      <c r="M267" s="36">
        <f>[1]!Table3[[#This Row],[C&amp;I CLM $ Collected]]/'[1]1.) CLM Reference'!$B$4</f>
        <v>0</v>
      </c>
      <c r="N267" s="41">
        <v>0</v>
      </c>
      <c r="O267" s="36">
        <f>[1]!Table3[[#This Row],[C&amp;I Incentive Disbursements]]/'[1]1.) CLM Reference'!$B$5</f>
        <v>0</v>
      </c>
      <c r="Q267">
        <f>VLOOKUP(Table3[[#This Row],[Census Tract]],'Population and Diversity Data'!$B$2:$K$823,10,FALSE)</f>
        <v>4</v>
      </c>
      <c r="R267" t="str">
        <f>VLOOKUP(Table3[[#This Row],[Census Tract]],'ES Energy Burden'!$B$2:$E$914,4,FALSE)</f>
        <v>No</v>
      </c>
    </row>
    <row r="268" spans="1:18" x14ac:dyDescent="0.2">
      <c r="A268" s="100">
        <v>9011702400</v>
      </c>
      <c r="B268" s="38" t="s">
        <v>2782</v>
      </c>
      <c r="C268" s="38" t="s">
        <v>944</v>
      </c>
      <c r="D268" s="40">
        <f>[1]!Table3[[#This Row],[Residential CLM $ Collected]]+[1]!Table3[[#This Row],[C&amp;I CLM $ Collected]]</f>
        <v>159.43512960000001</v>
      </c>
      <c r="E268" s="36">
        <f>[1]!Table3[[#This Row],[CLM $ Collected ]]/'[1]1.) CLM Reference'!$B$4</f>
        <v>1.4144513246922582E-6</v>
      </c>
      <c r="F268" s="40">
        <f>[1]!Table3[[#This Row],[Residential Incentive Disbursements]]+[1]!Table3[[#This Row],[C&amp;I Incentive Disbursements]]</f>
        <v>0</v>
      </c>
      <c r="G268" s="36">
        <f>[1]!Table3[[#This Row],[Incentive Disbursements]]/'[1]1.) CLM Reference'!$B$5</f>
        <v>0</v>
      </c>
      <c r="H268" s="40">
        <v>159.43512960000001</v>
      </c>
      <c r="I268" s="36">
        <f>[1]!Table3[[#This Row],[Residential CLM $ Collected]]/'[1]1.) CLM Reference'!$B$4</f>
        <v>1.4144513246922582E-6</v>
      </c>
      <c r="J268" s="41">
        <v>0</v>
      </c>
      <c r="K268" s="36">
        <f>[1]!Table3[[#This Row],[Residential Incentive Disbursements]]/'[1]1.) CLM Reference'!$B$5</f>
        <v>0</v>
      </c>
      <c r="L268" s="37">
        <v>0</v>
      </c>
      <c r="M268" s="36">
        <f>[1]!Table3[[#This Row],[C&amp;I CLM $ Collected]]/'[1]1.) CLM Reference'!$B$4</f>
        <v>0</v>
      </c>
      <c r="N268" s="41">
        <v>0</v>
      </c>
      <c r="O268" s="36">
        <f>[1]!Table3[[#This Row],[C&amp;I Incentive Disbursements]]/'[1]1.) CLM Reference'!$B$5</f>
        <v>0</v>
      </c>
      <c r="Q268">
        <f>VLOOKUP(Table3[[#This Row],[Census Tract]],'Population and Diversity Data'!$B$2:$K$823,10,FALSE)</f>
        <v>5</v>
      </c>
      <c r="R268" t="str">
        <f>VLOOKUP(Table3[[#This Row],[Census Tract]],'ES Energy Burden'!$B$2:$E$914,4,FALSE)</f>
        <v>No</v>
      </c>
    </row>
    <row r="269" spans="1:18" x14ac:dyDescent="0.2">
      <c r="A269" s="100">
        <v>9011702600</v>
      </c>
      <c r="B269" s="38" t="s">
        <v>2782</v>
      </c>
      <c r="C269" s="38" t="s">
        <v>944</v>
      </c>
      <c r="D269" s="40">
        <f>[1]!Table3[[#This Row],[Residential CLM $ Collected]]+[1]!Table3[[#This Row],[C&amp;I CLM $ Collected]]</f>
        <v>30.819571199999999</v>
      </c>
      <c r="E269" s="36">
        <f>[1]!Table3[[#This Row],[CLM $ Collected ]]/'[1]1.) CLM Reference'!$B$4</f>
        <v>2.7342018926227514E-7</v>
      </c>
      <c r="F269" s="40">
        <f>[1]!Table3[[#This Row],[Residential Incentive Disbursements]]+[1]!Table3[[#This Row],[C&amp;I Incentive Disbursements]]</f>
        <v>0</v>
      </c>
      <c r="G269" s="36">
        <f>[1]!Table3[[#This Row],[Incentive Disbursements]]/'[1]1.) CLM Reference'!$B$5</f>
        <v>0</v>
      </c>
      <c r="H269" s="40">
        <v>30.819571199999999</v>
      </c>
      <c r="I269" s="36">
        <f>[1]!Table3[[#This Row],[Residential CLM $ Collected]]/'[1]1.) CLM Reference'!$B$4</f>
        <v>2.7342018926227514E-7</v>
      </c>
      <c r="J269" s="41">
        <v>0</v>
      </c>
      <c r="K269" s="36">
        <f>[1]!Table3[[#This Row],[Residential Incentive Disbursements]]/'[1]1.) CLM Reference'!$B$5</f>
        <v>0</v>
      </c>
      <c r="L269" s="37">
        <v>0</v>
      </c>
      <c r="M269" s="36">
        <f>[1]!Table3[[#This Row],[C&amp;I CLM $ Collected]]/'[1]1.) CLM Reference'!$B$4</f>
        <v>0</v>
      </c>
      <c r="N269" s="41">
        <v>0</v>
      </c>
      <c r="O269" s="36">
        <f>[1]!Table3[[#This Row],[C&amp;I Incentive Disbursements]]/'[1]1.) CLM Reference'!$B$5</f>
        <v>0</v>
      </c>
      <c r="Q269">
        <f>VLOOKUP(Table3[[#This Row],[Census Tract]],'Population and Diversity Data'!$B$2:$K$823,10,FALSE)</f>
        <v>3</v>
      </c>
      <c r="R269" t="str">
        <f>VLOOKUP(Table3[[#This Row],[Census Tract]],'ES Energy Burden'!$B$2:$E$914,4,FALSE)</f>
        <v>No</v>
      </c>
    </row>
    <row r="270" spans="1:18" x14ac:dyDescent="0.2">
      <c r="A270" s="100">
        <v>9011702700</v>
      </c>
      <c r="B270" s="38" t="s">
        <v>2782</v>
      </c>
      <c r="C270" s="38" t="s">
        <v>944</v>
      </c>
      <c r="D270" s="40">
        <f>[1]!Table3[[#This Row],[Residential CLM $ Collected]]+[1]!Table3[[#This Row],[C&amp;I CLM $ Collected]]</f>
        <v>2747.5092</v>
      </c>
      <c r="E270" s="36">
        <f>[1]!Table3[[#This Row],[CLM $ Collected ]]/'[1]1.) CLM Reference'!$B$4</f>
        <v>2.4374916853607691E-5</v>
      </c>
      <c r="F270" s="40">
        <f>[1]!Table3[[#This Row],[Residential Incentive Disbursements]]+[1]!Table3[[#This Row],[C&amp;I Incentive Disbursements]]</f>
        <v>59.2</v>
      </c>
      <c r="G270" s="36">
        <f>[1]!Table3[[#This Row],[Incentive Disbursements]]/'[1]1.) CLM Reference'!$B$5</f>
        <v>7.242914033909968E-7</v>
      </c>
      <c r="H270" s="40">
        <v>2747.5092</v>
      </c>
      <c r="I270" s="36">
        <f>[1]!Table3[[#This Row],[Residential CLM $ Collected]]/'[1]1.) CLM Reference'!$B$4</f>
        <v>2.4374916853607691E-5</v>
      </c>
      <c r="J270" s="41">
        <v>59.2</v>
      </c>
      <c r="K270" s="36">
        <f>[1]!Table3[[#This Row],[Residential Incentive Disbursements]]/'[1]1.) CLM Reference'!$B$5</f>
        <v>7.242914033909968E-7</v>
      </c>
      <c r="L270" s="37">
        <v>0</v>
      </c>
      <c r="M270" s="36">
        <f>[1]!Table3[[#This Row],[C&amp;I CLM $ Collected]]/'[1]1.) CLM Reference'!$B$4</f>
        <v>0</v>
      </c>
      <c r="N270" s="41">
        <v>0</v>
      </c>
      <c r="O270" s="36">
        <f>[1]!Table3[[#This Row],[C&amp;I Incentive Disbursements]]/'[1]1.) CLM Reference'!$B$5</f>
        <v>0</v>
      </c>
      <c r="Q270">
        <f>VLOOKUP(Table3[[#This Row],[Census Tract]],'Population and Diversity Data'!$B$2:$K$823,10,FALSE)</f>
        <v>5</v>
      </c>
      <c r="R270" t="str">
        <f>VLOOKUP(Table3[[#This Row],[Census Tract]],'ES Energy Burden'!$B$2:$E$914,4,FALSE)</f>
        <v>No</v>
      </c>
    </row>
    <row r="271" spans="1:18" x14ac:dyDescent="0.2">
      <c r="A271" s="100">
        <v>9011702800</v>
      </c>
      <c r="B271" s="38" t="s">
        <v>2782</v>
      </c>
      <c r="C271" s="38" t="s">
        <v>944</v>
      </c>
      <c r="D271" s="40">
        <f>[1]!Table3[[#This Row],[Residential CLM $ Collected]]+[1]!Table3[[#This Row],[C&amp;I CLM $ Collected]]</f>
        <v>4683.0465792000005</v>
      </c>
      <c r="E271" s="36">
        <f>[1]!Table3[[#This Row],[CLM $ Collected ]]/'[1]1.) CLM Reference'!$B$4</f>
        <v>4.1546310741951998E-5</v>
      </c>
      <c r="F271" s="40">
        <f>[1]!Table3[[#This Row],[Residential Incentive Disbursements]]+[1]!Table3[[#This Row],[C&amp;I Incentive Disbursements]]</f>
        <v>456.93</v>
      </c>
      <c r="G271" s="36">
        <f>[1]!Table3[[#This Row],[Incentive Disbursements]]/'[1]1.) CLM Reference'!$B$5</f>
        <v>5.5903795768825697E-6</v>
      </c>
      <c r="H271" s="40">
        <v>4683.0465792000005</v>
      </c>
      <c r="I271" s="36">
        <f>[1]!Table3[[#This Row],[Residential CLM $ Collected]]/'[1]1.) CLM Reference'!$B$4</f>
        <v>4.1546310741951998E-5</v>
      </c>
      <c r="J271" s="41">
        <v>456.93</v>
      </c>
      <c r="K271" s="36">
        <f>[1]!Table3[[#This Row],[Residential Incentive Disbursements]]/'[1]1.) CLM Reference'!$B$5</f>
        <v>5.5903795768825697E-6</v>
      </c>
      <c r="L271" s="37">
        <v>0</v>
      </c>
      <c r="M271" s="36">
        <f>[1]!Table3[[#This Row],[C&amp;I CLM $ Collected]]/'[1]1.) CLM Reference'!$B$4</f>
        <v>0</v>
      </c>
      <c r="N271" s="41">
        <v>0</v>
      </c>
      <c r="O271" s="36">
        <f>[1]!Table3[[#This Row],[C&amp;I Incentive Disbursements]]/'[1]1.) CLM Reference'!$B$5</f>
        <v>0</v>
      </c>
      <c r="Q271">
        <f>VLOOKUP(Table3[[#This Row],[Census Tract]],'Population and Diversity Data'!$B$2:$K$823,10,FALSE)</f>
        <v>5</v>
      </c>
      <c r="R271" t="str">
        <f>VLOOKUP(Table3[[#This Row],[Census Tract]],'ES Energy Burden'!$B$2:$E$914,4,FALSE)</f>
        <v>No</v>
      </c>
    </row>
    <row r="272" spans="1:18" x14ac:dyDescent="0.2">
      <c r="A272" s="100">
        <v>9011702900</v>
      </c>
      <c r="B272" s="38" t="s">
        <v>2782</v>
      </c>
      <c r="C272" s="38" t="s">
        <v>944</v>
      </c>
      <c r="D272" s="40">
        <f>[1]!Table3[[#This Row],[Residential CLM $ Collected]]+[1]!Table3[[#This Row],[C&amp;I CLM $ Collected]]</f>
        <v>50928.539080319999</v>
      </c>
      <c r="E272" s="36">
        <f>[1]!Table3[[#This Row],[CLM $ Collected ]]/'[1]1.) CLM Reference'!$B$4</f>
        <v>4.5181974479230493E-4</v>
      </c>
      <c r="F272" s="40">
        <f>[1]!Table3[[#This Row],[Residential Incentive Disbursements]]+[1]!Table3[[#This Row],[C&amp;I Incentive Disbursements]]</f>
        <v>58206.132299999997</v>
      </c>
      <c r="G272" s="36">
        <f>[1]!Table3[[#This Row],[Incentive Disbursements]]/'[1]1.) CLM Reference'!$B$5</f>
        <v>7.1213177786366591E-4</v>
      </c>
      <c r="H272" s="40">
        <v>35301.1096512</v>
      </c>
      <c r="I272" s="36">
        <f>[1]!Table3[[#This Row],[Residential CLM $ Collected]]/'[1]1.) CLM Reference'!$B$4</f>
        <v>3.131787921176344E-4</v>
      </c>
      <c r="J272" s="41">
        <v>49359.212299999999</v>
      </c>
      <c r="K272" s="36">
        <f>[1]!Table3[[#This Row],[Residential Incentive Disbursements]]/'[1]1.) CLM Reference'!$B$5</f>
        <v>6.0389278964596534E-4</v>
      </c>
      <c r="L272" s="37">
        <v>15627.429429119999</v>
      </c>
      <c r="M272" s="36">
        <f>[1]!Table3[[#This Row],[C&amp;I CLM $ Collected]]/'[1]1.) CLM Reference'!$B$4</f>
        <v>1.3864095267467053E-4</v>
      </c>
      <c r="N272" s="41">
        <v>8846.92</v>
      </c>
      <c r="O272" s="36">
        <f>[1]!Table3[[#This Row],[C&amp;I Incentive Disbursements]]/'[1]1.) CLM Reference'!$B$5</f>
        <v>1.0823898821770063E-4</v>
      </c>
      <c r="Q272">
        <f>VLOOKUP(Table3[[#This Row],[Census Tract]],'Population and Diversity Data'!$B$2:$K$823,10,FALSE)</f>
        <v>2</v>
      </c>
      <c r="R272" t="str">
        <f>VLOOKUP(Table3[[#This Row],[Census Tract]],'ES Energy Burden'!$B$2:$E$914,4,FALSE)</f>
        <v>No</v>
      </c>
    </row>
    <row r="273" spans="1:18" x14ac:dyDescent="0.2">
      <c r="A273" s="100">
        <v>9011703000</v>
      </c>
      <c r="B273" s="38" t="s">
        <v>2782</v>
      </c>
      <c r="C273" s="38" t="s">
        <v>944</v>
      </c>
      <c r="D273" s="40">
        <f>[1]!Table3[[#This Row],[Residential CLM $ Collected]]+[1]!Table3[[#This Row],[C&amp;I CLM $ Collected]]</f>
        <v>39.334896000000001</v>
      </c>
      <c r="E273" s="36">
        <f>[1]!Table3[[#This Row],[CLM $ Collected ]]/'[1]1.) CLM Reference'!$B$4</f>
        <v>3.4896509880487595E-7</v>
      </c>
      <c r="F273" s="40">
        <f>[1]!Table3[[#This Row],[Residential Incentive Disbursements]]+[1]!Table3[[#This Row],[C&amp;I Incentive Disbursements]]</f>
        <v>0</v>
      </c>
      <c r="G273" s="36">
        <f>[1]!Table3[[#This Row],[Incentive Disbursements]]/'[1]1.) CLM Reference'!$B$5</f>
        <v>0</v>
      </c>
      <c r="H273" s="40">
        <v>39.334896000000001</v>
      </c>
      <c r="I273" s="36">
        <f>[1]!Table3[[#This Row],[Residential CLM $ Collected]]/'[1]1.) CLM Reference'!$B$4</f>
        <v>3.4896509880487595E-7</v>
      </c>
      <c r="J273" s="41">
        <v>0</v>
      </c>
      <c r="K273" s="36">
        <f>[1]!Table3[[#This Row],[Residential Incentive Disbursements]]/'[1]1.) CLM Reference'!$B$5</f>
        <v>0</v>
      </c>
      <c r="L273" s="37">
        <v>0</v>
      </c>
      <c r="M273" s="36">
        <f>[1]!Table3[[#This Row],[C&amp;I CLM $ Collected]]/'[1]1.) CLM Reference'!$B$4</f>
        <v>0</v>
      </c>
      <c r="N273" s="41">
        <v>0</v>
      </c>
      <c r="O273" s="36">
        <f>[1]!Table3[[#This Row],[C&amp;I Incentive Disbursements]]/'[1]1.) CLM Reference'!$B$5</f>
        <v>0</v>
      </c>
      <c r="Q273">
        <f>VLOOKUP(Table3[[#This Row],[Census Tract]],'Population and Diversity Data'!$B$2:$K$823,10,FALSE)</f>
        <v>2</v>
      </c>
      <c r="R273" t="str">
        <f>VLOOKUP(Table3[[#This Row],[Census Tract]],'ES Energy Burden'!$B$2:$E$914,4,FALSE)</f>
        <v>No</v>
      </c>
    </row>
    <row r="274" spans="1:18" x14ac:dyDescent="0.2">
      <c r="A274" s="100">
        <v>9009190100</v>
      </c>
      <c r="B274" s="38" t="s">
        <v>2783</v>
      </c>
      <c r="C274" s="38" t="s">
        <v>944</v>
      </c>
      <c r="D274" s="40">
        <f>[1]!Table3[[#This Row],[Residential CLM $ Collected]]+[1]!Table3[[#This Row],[C&amp;I CLM $ Collected]]</f>
        <v>74457.283976639999</v>
      </c>
      <c r="E274" s="36">
        <f>[1]!Table3[[#This Row],[CLM $ Collected ]]/'[1]1.) CLM Reference'!$B$4</f>
        <v>6.6055833628366238E-4</v>
      </c>
      <c r="F274" s="40">
        <f>[1]!Table3[[#This Row],[Residential Incentive Disbursements]]+[1]!Table3[[#This Row],[C&amp;I Incentive Disbursements]]</f>
        <v>30283.0586</v>
      </c>
      <c r="G274" s="36">
        <f>[1]!Table3[[#This Row],[Incentive Disbursements]]/'[1]1.) CLM Reference'!$B$5</f>
        <v>3.7050268601969248E-4</v>
      </c>
      <c r="H274" s="40">
        <v>74457.283976639999</v>
      </c>
      <c r="I274" s="36">
        <f>[1]!Table3[[#This Row],[Residential CLM $ Collected]]/'[1]1.) CLM Reference'!$B$4</f>
        <v>6.6055833628366238E-4</v>
      </c>
      <c r="J274" s="41">
        <v>30283.0586</v>
      </c>
      <c r="K274" s="36">
        <f>[1]!Table3[[#This Row],[Residential Incentive Disbursements]]/'[1]1.) CLM Reference'!$B$5</f>
        <v>3.7050268601969248E-4</v>
      </c>
      <c r="L274" s="37">
        <v>0</v>
      </c>
      <c r="M274" s="36">
        <f>[1]!Table3[[#This Row],[C&amp;I CLM $ Collected]]/'[1]1.) CLM Reference'!$B$4</f>
        <v>0</v>
      </c>
      <c r="N274" s="41">
        <v>0</v>
      </c>
      <c r="O274" s="36">
        <f>[1]!Table3[[#This Row],[C&amp;I Incentive Disbursements]]/'[1]1.) CLM Reference'!$B$5</f>
        <v>0</v>
      </c>
      <c r="Q274">
        <f>VLOOKUP(Table3[[#This Row],[Census Tract]],'Population and Diversity Data'!$B$2:$K$823,10,FALSE)</f>
        <v>2</v>
      </c>
      <c r="R274" t="str">
        <f>VLOOKUP(Table3[[#This Row],[Census Tract]],'ES Energy Burden'!$B$2:$E$914,4,FALSE)</f>
        <v>No</v>
      </c>
    </row>
    <row r="275" spans="1:18" x14ac:dyDescent="0.2">
      <c r="A275" s="100">
        <v>9009190200</v>
      </c>
      <c r="B275" s="38" t="s">
        <v>2783</v>
      </c>
      <c r="C275" s="38" t="s">
        <v>944</v>
      </c>
      <c r="D275" s="40">
        <f>[1]!Table3[[#This Row],[Residential CLM $ Collected]]+[1]!Table3[[#This Row],[C&amp;I CLM $ Collected]]</f>
        <v>99217.489559040012</v>
      </c>
      <c r="E275" s="36">
        <f>[1]!Table3[[#This Row],[CLM $ Collected ]]/'[1]1.) CLM Reference'!$B$4</f>
        <v>8.8022200559884913E-4</v>
      </c>
      <c r="F275" s="40">
        <f>[1]!Table3[[#This Row],[Residential Incentive Disbursements]]+[1]!Table3[[#This Row],[C&amp;I Incentive Disbursements]]</f>
        <v>24604.87</v>
      </c>
      <c r="G275" s="36">
        <f>[1]!Table3[[#This Row],[Incentive Disbursements]]/'[1]1.) CLM Reference'!$B$5</f>
        <v>3.0103202402961203E-4</v>
      </c>
      <c r="H275" s="40">
        <v>99217.489559040012</v>
      </c>
      <c r="I275" s="36">
        <f>[1]!Table3[[#This Row],[Residential CLM $ Collected]]/'[1]1.) CLM Reference'!$B$4</f>
        <v>8.8022200559884913E-4</v>
      </c>
      <c r="J275" s="41">
        <v>24604.87</v>
      </c>
      <c r="K275" s="36">
        <f>[1]!Table3[[#This Row],[Residential Incentive Disbursements]]/'[1]1.) CLM Reference'!$B$5</f>
        <v>3.0103202402961203E-4</v>
      </c>
      <c r="L275" s="37">
        <v>0</v>
      </c>
      <c r="M275" s="36">
        <f>[1]!Table3[[#This Row],[C&amp;I CLM $ Collected]]/'[1]1.) CLM Reference'!$B$4</f>
        <v>0</v>
      </c>
      <c r="N275" s="41">
        <v>0</v>
      </c>
      <c r="O275" s="36">
        <f>[1]!Table3[[#This Row],[C&amp;I Incentive Disbursements]]/'[1]1.) CLM Reference'!$B$5</f>
        <v>0</v>
      </c>
      <c r="Q275">
        <f>VLOOKUP(Table3[[#This Row],[Census Tract]],'Population and Diversity Data'!$B$2:$K$823,10,FALSE)</f>
        <v>3</v>
      </c>
      <c r="R275" t="str">
        <f>VLOOKUP(Table3[[#This Row],[Census Tract]],'ES Energy Burden'!$B$2:$E$914,4,FALSE)</f>
        <v>No</v>
      </c>
    </row>
    <row r="276" spans="1:18" x14ac:dyDescent="0.2">
      <c r="A276" s="100">
        <v>9009190301</v>
      </c>
      <c r="B276" s="38" t="s">
        <v>2783</v>
      </c>
      <c r="C276" s="38" t="s">
        <v>944</v>
      </c>
      <c r="D276" s="40">
        <f>[1]!Table3[[#This Row],[Residential CLM $ Collected]]+[1]!Table3[[#This Row],[C&amp;I CLM $ Collected]]</f>
        <v>304348.46683679998</v>
      </c>
      <c r="E276" s="36">
        <f>[1]!Table3[[#This Row],[CLM $ Collected ]]/'[1]1.) CLM Reference'!$B$4</f>
        <v>2.7000705124736167E-3</v>
      </c>
      <c r="F276" s="40">
        <f>[1]!Table3[[#This Row],[Residential Incentive Disbursements]]+[1]!Table3[[#This Row],[C&amp;I Incentive Disbursements]]</f>
        <v>204784.0661</v>
      </c>
      <c r="G276" s="36">
        <f>[1]!Table3[[#This Row],[Incentive Disbursements]]/'[1]1.) CLM Reference'!$B$5</f>
        <v>2.5054618011433045E-3</v>
      </c>
      <c r="H276" s="40">
        <v>168002.32320576001</v>
      </c>
      <c r="I276" s="36">
        <f>[1]!Table3[[#This Row],[Residential CLM $ Collected]]/'[1]1.) CLM Reference'!$B$4</f>
        <v>1.4904563956886208E-3</v>
      </c>
      <c r="J276" s="41">
        <v>178510.27609999999</v>
      </c>
      <c r="K276" s="36">
        <f>[1]!Table3[[#This Row],[Residential Incentive Disbursements]]/'[1]1.) CLM Reference'!$B$5</f>
        <v>2.1840111215571502E-3</v>
      </c>
      <c r="L276" s="37">
        <v>136346.14363104</v>
      </c>
      <c r="M276" s="36">
        <f>[1]!Table3[[#This Row],[C&amp;I CLM $ Collected]]/'[1]1.) CLM Reference'!$B$4</f>
        <v>1.2096141167849963E-3</v>
      </c>
      <c r="N276" s="41">
        <v>26273.79</v>
      </c>
      <c r="O276" s="36">
        <f>[1]!Table3[[#This Row],[C&amp;I Incentive Disbursements]]/'[1]1.) CLM Reference'!$B$5</f>
        <v>3.2145067958615437E-4</v>
      </c>
      <c r="Q276">
        <f>VLOOKUP(Table3[[#This Row],[Census Tract]],'Population and Diversity Data'!$B$2:$K$823,10,FALSE)</f>
        <v>3</v>
      </c>
      <c r="R276" t="str">
        <f>VLOOKUP(Table3[[#This Row],[Census Tract]],'ES Energy Burden'!$B$2:$E$914,4,FALSE)</f>
        <v>No</v>
      </c>
    </row>
    <row r="277" spans="1:18" x14ac:dyDescent="0.2">
      <c r="A277" s="100">
        <v>9009190302</v>
      </c>
      <c r="B277" s="38" t="s">
        <v>2783</v>
      </c>
      <c r="C277" s="38" t="s">
        <v>944</v>
      </c>
      <c r="D277" s="40">
        <f>[1]!Table3[[#This Row],[Residential CLM $ Collected]]+[1]!Table3[[#This Row],[C&amp;I CLM $ Collected]]</f>
        <v>114957.60608448001</v>
      </c>
      <c r="E277" s="36">
        <f>[1]!Table3[[#This Row],[CLM $ Collected ]]/'[1]1.) CLM Reference'!$B$4</f>
        <v>1.0198626778024932E-3</v>
      </c>
      <c r="F277" s="40">
        <f>[1]!Table3[[#This Row],[Residential Incentive Disbursements]]+[1]!Table3[[#This Row],[C&amp;I Incentive Disbursements]]</f>
        <v>20711.39</v>
      </c>
      <c r="G277" s="36">
        <f>[1]!Table3[[#This Row],[Incentive Disbursements]]/'[1]1.) CLM Reference'!$B$5</f>
        <v>2.5339665083240297E-4</v>
      </c>
      <c r="H277" s="40">
        <v>114957.60608448001</v>
      </c>
      <c r="I277" s="36">
        <f>[1]!Table3[[#This Row],[Residential CLM $ Collected]]/'[1]1.) CLM Reference'!$B$4</f>
        <v>1.0198626778024932E-3</v>
      </c>
      <c r="J277" s="41">
        <v>20711.39</v>
      </c>
      <c r="K277" s="36">
        <f>[1]!Table3[[#This Row],[Residential Incentive Disbursements]]/'[1]1.) CLM Reference'!$B$5</f>
        <v>2.5339665083240297E-4</v>
      </c>
      <c r="L277" s="37">
        <v>0</v>
      </c>
      <c r="M277" s="36">
        <f>[1]!Table3[[#This Row],[C&amp;I CLM $ Collected]]/'[1]1.) CLM Reference'!$B$4</f>
        <v>0</v>
      </c>
      <c r="N277" s="41">
        <v>0</v>
      </c>
      <c r="O277" s="36">
        <f>[1]!Table3[[#This Row],[C&amp;I Incentive Disbursements]]/'[1]1.) CLM Reference'!$B$5</f>
        <v>0</v>
      </c>
      <c r="Q277">
        <f>VLOOKUP(Table3[[#This Row],[Census Tract]],'Population and Diversity Data'!$B$2:$K$823,10,FALSE)</f>
        <v>2</v>
      </c>
      <c r="R277" t="str">
        <f>VLOOKUP(Table3[[#This Row],[Census Tract]],'ES Energy Burden'!$B$2:$E$914,4,FALSE)</f>
        <v>No</v>
      </c>
    </row>
    <row r="278" spans="1:18" x14ac:dyDescent="0.2">
      <c r="A278" s="100">
        <v>9009190303</v>
      </c>
      <c r="B278" s="38" t="s">
        <v>2783</v>
      </c>
      <c r="C278" s="38" t="s">
        <v>944</v>
      </c>
      <c r="D278" s="40">
        <f>[1]!Table3[[#This Row],[Residential CLM $ Collected]]+[1]!Table3[[#This Row],[C&amp;I CLM $ Collected]]</f>
        <v>79355.569138560008</v>
      </c>
      <c r="E278" s="36">
        <f>[1]!Table3[[#This Row],[CLM $ Collected ]]/'[1]1.) CLM Reference'!$B$4</f>
        <v>7.0401416658518075E-4</v>
      </c>
      <c r="F278" s="40">
        <f>[1]!Table3[[#This Row],[Residential Incentive Disbursements]]+[1]!Table3[[#This Row],[C&amp;I Incentive Disbursements]]</f>
        <v>18373.099999999999</v>
      </c>
      <c r="G278" s="36">
        <f>[1]!Table3[[#This Row],[Incentive Disbursements]]/'[1]1.) CLM Reference'!$B$5</f>
        <v>2.2478848621018785E-4</v>
      </c>
      <c r="H278" s="40">
        <v>79310.844869760011</v>
      </c>
      <c r="I278" s="36">
        <f>[1]!Table3[[#This Row],[Residential CLM $ Collected]]/'[1]1.) CLM Reference'!$B$4</f>
        <v>7.036173889025661E-4</v>
      </c>
      <c r="J278" s="41">
        <v>18373.099999999999</v>
      </c>
      <c r="K278" s="36">
        <f>[1]!Table3[[#This Row],[Residential Incentive Disbursements]]/'[1]1.) CLM Reference'!$B$5</f>
        <v>2.2478848621018785E-4</v>
      </c>
      <c r="L278" s="37">
        <v>44.724268800000004</v>
      </c>
      <c r="M278" s="36">
        <f>[1]!Table3[[#This Row],[C&amp;I CLM $ Collected]]/'[1]1.) CLM Reference'!$B$4</f>
        <v>3.9677768261463897E-7</v>
      </c>
      <c r="N278" s="41">
        <v>0</v>
      </c>
      <c r="O278" s="36">
        <f>[1]!Table3[[#This Row],[C&amp;I Incentive Disbursements]]/'[1]1.) CLM Reference'!$B$5</f>
        <v>0</v>
      </c>
      <c r="Q278">
        <f>VLOOKUP(Table3[[#This Row],[Census Tract]],'Population and Diversity Data'!$B$2:$K$823,10,FALSE)</f>
        <v>2</v>
      </c>
      <c r="R278" t="str">
        <f>VLOOKUP(Table3[[#This Row],[Census Tract]],'ES Energy Burden'!$B$2:$E$914,4,FALSE)</f>
        <v>No</v>
      </c>
    </row>
    <row r="279" spans="1:18" x14ac:dyDescent="0.2">
      <c r="A279" s="100">
        <v>9009194201</v>
      </c>
      <c r="B279" s="38" t="s">
        <v>2783</v>
      </c>
      <c r="C279" s="38" t="s">
        <v>944</v>
      </c>
      <c r="D279" s="40">
        <f>[1]!Table3[[#This Row],[Residential CLM $ Collected]]+[1]!Table3[[#This Row],[C&amp;I CLM $ Collected]]</f>
        <v>910.06882560000008</v>
      </c>
      <c r="E279" s="36">
        <f>[1]!Table3[[#This Row],[CLM $ Collected ]]/'[1]1.) CLM Reference'!$B$4</f>
        <v>8.0738044316868533E-6</v>
      </c>
      <c r="F279" s="40">
        <f>[1]!Table3[[#This Row],[Residential Incentive Disbursements]]+[1]!Table3[[#This Row],[C&amp;I Incentive Disbursements]]</f>
        <v>0</v>
      </c>
      <c r="G279" s="36">
        <f>[1]!Table3[[#This Row],[Incentive Disbursements]]/'[1]1.) CLM Reference'!$B$5</f>
        <v>0</v>
      </c>
      <c r="H279" s="40">
        <v>910.06882560000008</v>
      </c>
      <c r="I279" s="36">
        <f>[1]!Table3[[#This Row],[Residential CLM $ Collected]]/'[1]1.) CLM Reference'!$B$4</f>
        <v>8.0738044316868533E-6</v>
      </c>
      <c r="J279" s="41">
        <v>0</v>
      </c>
      <c r="K279" s="36">
        <f>[1]!Table3[[#This Row],[Residential Incentive Disbursements]]/'[1]1.) CLM Reference'!$B$5</f>
        <v>0</v>
      </c>
      <c r="L279" s="37">
        <v>0</v>
      </c>
      <c r="M279" s="36">
        <f>[1]!Table3[[#This Row],[C&amp;I CLM $ Collected]]/'[1]1.) CLM Reference'!$B$4</f>
        <v>0</v>
      </c>
      <c r="N279" s="41">
        <v>0</v>
      </c>
      <c r="O279" s="36">
        <f>[1]!Table3[[#This Row],[C&amp;I Incentive Disbursements]]/'[1]1.) CLM Reference'!$B$5</f>
        <v>0</v>
      </c>
      <c r="Q279">
        <f>VLOOKUP(Table3[[#This Row],[Census Tract]],'Population and Diversity Data'!$B$2:$K$823,10,FALSE)</f>
        <v>3</v>
      </c>
      <c r="R279" t="str">
        <f>VLOOKUP(Table3[[#This Row],[Census Tract]],'ES Energy Burden'!$B$2:$E$914,4,FALSE)</f>
        <v>No</v>
      </c>
    </row>
    <row r="280" spans="1:18" x14ac:dyDescent="0.2">
      <c r="A280" s="100">
        <v>9007590100</v>
      </c>
      <c r="B280" s="38" t="s">
        <v>2784</v>
      </c>
      <c r="C280" s="38" t="s">
        <v>944</v>
      </c>
      <c r="D280" s="40">
        <f>[1]!Table3[[#This Row],[Residential CLM $ Collected]]+[1]!Table3[[#This Row],[C&amp;I CLM $ Collected]]</f>
        <v>217943.65422720002</v>
      </c>
      <c r="E280" s="36">
        <f>[1]!Table3[[#This Row],[CLM $ Collected ]]/'[1]1.) CLM Reference'!$B$4</f>
        <v>1.9335179844200065E-3</v>
      </c>
      <c r="F280" s="40">
        <f>[1]!Table3[[#This Row],[Residential Incentive Disbursements]]+[1]!Table3[[#This Row],[C&amp;I Incentive Disbursements]]</f>
        <v>74360.083700000003</v>
      </c>
      <c r="G280" s="36">
        <f>[1]!Table3[[#This Row],[Incentive Disbursements]]/'[1]1.) CLM Reference'!$B$5</f>
        <v>9.0976975302947607E-4</v>
      </c>
      <c r="H280" s="40">
        <v>183426.55475616001</v>
      </c>
      <c r="I280" s="36">
        <f>[1]!Table3[[#This Row],[Residential CLM $ Collected]]/'[1]1.) CLM Reference'!$B$4</f>
        <v>1.6272946496139551E-3</v>
      </c>
      <c r="J280" s="41">
        <v>59673.923699999999</v>
      </c>
      <c r="K280" s="36">
        <f>[1]!Table3[[#This Row],[Residential Incentive Disbursements]]/'[1]1.) CLM Reference'!$B$5</f>
        <v>7.3008969497500437E-4</v>
      </c>
      <c r="L280" s="37">
        <v>34517.099471039997</v>
      </c>
      <c r="M280" s="36">
        <f>[1]!Table3[[#This Row],[C&amp;I CLM $ Collected]]/'[1]1.) CLM Reference'!$B$4</f>
        <v>3.0622333480605121E-4</v>
      </c>
      <c r="N280" s="41">
        <v>14686.16</v>
      </c>
      <c r="O280" s="36">
        <f>[1]!Table3[[#This Row],[C&amp;I Incentive Disbursements]]/'[1]1.) CLM Reference'!$B$5</f>
        <v>1.7968005805447164E-4</v>
      </c>
      <c r="Q280">
        <f>VLOOKUP(Table3[[#This Row],[Census Tract]],'Population and Diversity Data'!$B$2:$K$823,10,FALSE)</f>
        <v>1</v>
      </c>
      <c r="R280" t="str">
        <f>VLOOKUP(Table3[[#This Row],[Census Tract]],'ES Energy Burden'!$B$2:$E$914,4,FALSE)</f>
        <v>No</v>
      </c>
    </row>
    <row r="281" spans="1:18" x14ac:dyDescent="0.2">
      <c r="A281" s="100">
        <v>9015820000</v>
      </c>
      <c r="B281" s="38" t="s">
        <v>2785</v>
      </c>
      <c r="C281" s="38" t="s">
        <v>944</v>
      </c>
      <c r="D281" s="40">
        <f>[1]!Table3[[#This Row],[Residential CLM $ Collected]]+[1]!Table3[[#This Row],[C&amp;I CLM $ Collected]]</f>
        <v>44289.82572768</v>
      </c>
      <c r="E281" s="36">
        <f>[1]!Table3[[#This Row],[CLM $ Collected ]]/'[1]1.) CLM Reference'!$B$4</f>
        <v>3.9292345939113678E-4</v>
      </c>
      <c r="F281" s="40">
        <f>[1]!Table3[[#This Row],[Residential Incentive Disbursements]]+[1]!Table3[[#This Row],[C&amp;I Incentive Disbursements]]</f>
        <v>11419.08</v>
      </c>
      <c r="G281" s="36">
        <f>[1]!Table3[[#This Row],[Incentive Disbursements]]/'[1]1.) CLM Reference'!$B$5</f>
        <v>1.3970847092287269E-4</v>
      </c>
      <c r="H281" s="40">
        <v>39907.668815999998</v>
      </c>
      <c r="I281" s="36">
        <f>[1]!Table3[[#This Row],[Residential CLM $ Collected]]/'[1]1.) CLM Reference'!$B$4</f>
        <v>3.540465339338308E-4</v>
      </c>
      <c r="J281" s="41">
        <v>11419.08</v>
      </c>
      <c r="K281" s="36">
        <f>[1]!Table3[[#This Row],[Residential Incentive Disbursements]]/'[1]1.) CLM Reference'!$B$5</f>
        <v>1.3970847092287269E-4</v>
      </c>
      <c r="L281" s="37">
        <v>4382.1569116800001</v>
      </c>
      <c r="M281" s="36">
        <f>[1]!Table3[[#This Row],[C&amp;I CLM $ Collected]]/'[1]1.) CLM Reference'!$B$4</f>
        <v>3.8876925457305935E-5</v>
      </c>
      <c r="N281" s="41">
        <v>0</v>
      </c>
      <c r="O281" s="36">
        <f>[1]!Table3[[#This Row],[C&amp;I Incentive Disbursements]]/'[1]1.) CLM Reference'!$B$5</f>
        <v>0</v>
      </c>
      <c r="Q281">
        <f>VLOOKUP(Table3[[#This Row],[Census Tract]],'Population and Diversity Data'!$B$2:$K$823,10,FALSE)</f>
        <v>4</v>
      </c>
      <c r="R281" t="str">
        <f>VLOOKUP(Table3[[#This Row],[Census Tract]],'ES Energy Burden'!$B$2:$E$914,4,FALSE)</f>
        <v>No</v>
      </c>
    </row>
    <row r="282" spans="1:18" x14ac:dyDescent="0.2">
      <c r="A282" s="100">
        <v>9003471100</v>
      </c>
      <c r="B282" s="38" t="s">
        <v>979</v>
      </c>
      <c r="C282" s="38" t="s">
        <v>944</v>
      </c>
      <c r="D282" s="40">
        <f>[1]!Table3[[#This Row],[Residential CLM $ Collected]]+[1]!Table3[[#This Row],[C&amp;I CLM $ Collected]]</f>
        <v>393.70786559999999</v>
      </c>
      <c r="E282" s="36">
        <f>[1]!Table3[[#This Row],[CLM $ Collected ]]/'[1]1.) CLM Reference'!$B$4</f>
        <v>3.4928350698921594E-6</v>
      </c>
      <c r="F282" s="40">
        <f>[1]!Table3[[#This Row],[Residential Incentive Disbursements]]+[1]!Table3[[#This Row],[C&amp;I Incentive Disbursements]]</f>
        <v>823.31</v>
      </c>
      <c r="G282" s="36">
        <f>[1]!Table3[[#This Row],[Incentive Disbursements]]/'[1]1.) CLM Reference'!$B$5</f>
        <v>1.0072911407531107E-5</v>
      </c>
      <c r="H282" s="40">
        <v>393.70786559999999</v>
      </c>
      <c r="I282" s="36">
        <f>[1]!Table3[[#This Row],[Residential CLM $ Collected]]/'[1]1.) CLM Reference'!$B$4</f>
        <v>3.4928350698921594E-6</v>
      </c>
      <c r="J282" s="41">
        <v>823.31</v>
      </c>
      <c r="K282" s="36">
        <f>[1]!Table3[[#This Row],[Residential Incentive Disbursements]]/'[1]1.) CLM Reference'!$B$5</f>
        <v>1.0072911407531107E-5</v>
      </c>
      <c r="L282" s="37">
        <v>0</v>
      </c>
      <c r="M282" s="36">
        <f>[1]!Table3[[#This Row],[C&amp;I CLM $ Collected]]/'[1]1.) CLM Reference'!$B$4</f>
        <v>0</v>
      </c>
      <c r="N282" s="41">
        <v>0</v>
      </c>
      <c r="O282" s="36">
        <f>[1]!Table3[[#This Row],[C&amp;I Incentive Disbursements]]/'[1]1.) CLM Reference'!$B$5</f>
        <v>0</v>
      </c>
      <c r="Q282">
        <f>VLOOKUP(Table3[[#This Row],[Census Tract]],'Population and Diversity Data'!$B$2:$K$823,10,FALSE)</f>
        <v>3</v>
      </c>
      <c r="R282" t="str">
        <f>VLOOKUP(Table3[[#This Row],[Census Tract]],'ES Energy Burden'!$B$2:$E$914,4,FALSE)</f>
        <v>No</v>
      </c>
    </row>
    <row r="283" spans="1:18" x14ac:dyDescent="0.2">
      <c r="A283" s="100">
        <v>9003496700</v>
      </c>
      <c r="B283" s="38" t="s">
        <v>979</v>
      </c>
      <c r="C283" s="38" t="s">
        <v>944</v>
      </c>
      <c r="D283" s="40">
        <f>[1]!Table3[[#This Row],[Residential CLM $ Collected]]+[1]!Table3[[#This Row],[C&amp;I CLM $ Collected]]</f>
        <v>144.50581439999999</v>
      </c>
      <c r="E283" s="36">
        <f>[1]!Table3[[#This Row],[CLM $ Collected ]]/'[1]1.) CLM Reference'!$B$4</f>
        <v>1.2820037912385751E-6</v>
      </c>
      <c r="F283" s="40">
        <f>[1]!Table3[[#This Row],[Residential Incentive Disbursements]]+[1]!Table3[[#This Row],[C&amp;I Incentive Disbursements]]</f>
        <v>0</v>
      </c>
      <c r="G283" s="36">
        <f>[1]!Table3[[#This Row],[Incentive Disbursements]]/'[1]1.) CLM Reference'!$B$5</f>
        <v>0</v>
      </c>
      <c r="H283" s="40">
        <v>144.50581439999999</v>
      </c>
      <c r="I283" s="36">
        <f>[1]!Table3[[#This Row],[Residential CLM $ Collected]]/'[1]1.) CLM Reference'!$B$4</f>
        <v>1.2820037912385751E-6</v>
      </c>
      <c r="J283" s="41">
        <v>0</v>
      </c>
      <c r="K283" s="36">
        <f>[1]!Table3[[#This Row],[Residential Incentive Disbursements]]/'[1]1.) CLM Reference'!$B$5</f>
        <v>0</v>
      </c>
      <c r="L283" s="37">
        <v>0</v>
      </c>
      <c r="M283" s="36">
        <f>[1]!Table3[[#This Row],[C&amp;I CLM $ Collected]]/'[1]1.) CLM Reference'!$B$4</f>
        <v>0</v>
      </c>
      <c r="N283" s="41">
        <v>0</v>
      </c>
      <c r="O283" s="36">
        <f>[1]!Table3[[#This Row],[C&amp;I Incentive Disbursements]]/'[1]1.) CLM Reference'!$B$5</f>
        <v>0</v>
      </c>
      <c r="Q283">
        <f>VLOOKUP(Table3[[#This Row],[Census Tract]],'Population and Diversity Data'!$B$2:$K$823,10,FALSE)</f>
        <v>5</v>
      </c>
      <c r="R283" t="str">
        <f>VLOOKUP(Table3[[#This Row],[Census Tract]],'ES Energy Burden'!$B$2:$E$914,4,FALSE)</f>
        <v>No</v>
      </c>
    </row>
    <row r="284" spans="1:18" x14ac:dyDescent="0.2">
      <c r="A284" s="100">
        <v>9003496800</v>
      </c>
      <c r="B284" s="38" t="s">
        <v>979</v>
      </c>
      <c r="C284" s="38" t="s">
        <v>944</v>
      </c>
      <c r="D284" s="40">
        <f>[1]!Table3[[#This Row],[Residential CLM $ Collected]]+[1]!Table3[[#This Row],[C&amp;I CLM $ Collected]]</f>
        <v>153.42635519999999</v>
      </c>
      <c r="E284" s="36">
        <f>[1]!Table3[[#This Row],[CLM $ Collected ]]/'[1]1.) CLM Reference'!$B$4</f>
        <v>1.3611436318946919E-6</v>
      </c>
      <c r="F284" s="40">
        <f>[1]!Table3[[#This Row],[Residential Incentive Disbursements]]+[1]!Table3[[#This Row],[C&amp;I Incentive Disbursements]]</f>
        <v>0</v>
      </c>
      <c r="G284" s="36">
        <f>[1]!Table3[[#This Row],[Incentive Disbursements]]/'[1]1.) CLM Reference'!$B$5</f>
        <v>0</v>
      </c>
      <c r="H284" s="40">
        <v>153.42635519999999</v>
      </c>
      <c r="I284" s="36">
        <f>[1]!Table3[[#This Row],[Residential CLM $ Collected]]/'[1]1.) CLM Reference'!$B$4</f>
        <v>1.3611436318946919E-6</v>
      </c>
      <c r="J284" s="41">
        <v>0</v>
      </c>
      <c r="K284" s="36">
        <f>[1]!Table3[[#This Row],[Residential Incentive Disbursements]]/'[1]1.) CLM Reference'!$B$5</f>
        <v>0</v>
      </c>
      <c r="L284" s="37">
        <v>0</v>
      </c>
      <c r="M284" s="36">
        <f>[1]!Table3[[#This Row],[C&amp;I CLM $ Collected]]/'[1]1.) CLM Reference'!$B$4</f>
        <v>0</v>
      </c>
      <c r="N284" s="41">
        <v>0</v>
      </c>
      <c r="O284" s="36">
        <f>[1]!Table3[[#This Row],[C&amp;I Incentive Disbursements]]/'[1]1.) CLM Reference'!$B$5</f>
        <v>0</v>
      </c>
      <c r="Q284">
        <f>VLOOKUP(Table3[[#This Row],[Census Tract]],'Population and Diversity Data'!$B$2:$K$823,10,FALSE)</f>
        <v>5</v>
      </c>
      <c r="R284" t="str">
        <f>VLOOKUP(Table3[[#This Row],[Census Tract]],'ES Energy Burden'!$B$2:$E$914,4,FALSE)</f>
        <v>No</v>
      </c>
    </row>
    <row r="285" spans="1:18" x14ac:dyDescent="0.2">
      <c r="A285" s="100">
        <v>9003496900</v>
      </c>
      <c r="B285" s="38" t="s">
        <v>979</v>
      </c>
      <c r="C285" s="38" t="s">
        <v>944</v>
      </c>
      <c r="D285" s="40">
        <f>[1]!Table3[[#This Row],[Residential CLM $ Collected]]+[1]!Table3[[#This Row],[C&amp;I CLM $ Collected]]</f>
        <v>284.866848</v>
      </c>
      <c r="E285" s="36">
        <f>[1]!Table3[[#This Row],[CLM $ Collected ]]/'[1]1.) CLM Reference'!$B$4</f>
        <v>2.527236572801758E-6</v>
      </c>
      <c r="F285" s="40">
        <f>[1]!Table3[[#This Row],[Residential Incentive Disbursements]]+[1]!Table3[[#This Row],[C&amp;I Incentive Disbursements]]</f>
        <v>0</v>
      </c>
      <c r="G285" s="36">
        <f>[1]!Table3[[#This Row],[Incentive Disbursements]]/'[1]1.) CLM Reference'!$B$5</f>
        <v>0</v>
      </c>
      <c r="H285" s="40">
        <v>284.866848</v>
      </c>
      <c r="I285" s="36">
        <f>[1]!Table3[[#This Row],[Residential CLM $ Collected]]/'[1]1.) CLM Reference'!$B$4</f>
        <v>2.527236572801758E-6</v>
      </c>
      <c r="J285" s="41">
        <v>0</v>
      </c>
      <c r="K285" s="36">
        <f>[1]!Table3[[#This Row],[Residential Incentive Disbursements]]/'[1]1.) CLM Reference'!$B$5</f>
        <v>0</v>
      </c>
      <c r="L285" s="37">
        <v>0</v>
      </c>
      <c r="M285" s="36">
        <f>[1]!Table3[[#This Row],[C&amp;I CLM $ Collected]]/'[1]1.) CLM Reference'!$B$4</f>
        <v>0</v>
      </c>
      <c r="N285" s="41">
        <v>0</v>
      </c>
      <c r="O285" s="36">
        <f>[1]!Table3[[#This Row],[C&amp;I Incentive Disbursements]]/'[1]1.) CLM Reference'!$B$5</f>
        <v>0</v>
      </c>
      <c r="Q285">
        <f>VLOOKUP(Table3[[#This Row],[Census Tract]],'Population and Diversity Data'!$B$2:$K$823,10,FALSE)</f>
        <v>3</v>
      </c>
      <c r="R285" t="str">
        <f>VLOOKUP(Table3[[#This Row],[Census Tract]],'ES Energy Burden'!$B$2:$E$914,4,FALSE)</f>
        <v>No</v>
      </c>
    </row>
    <row r="286" spans="1:18" x14ac:dyDescent="0.2">
      <c r="A286" s="100">
        <v>9003497100</v>
      </c>
      <c r="B286" s="38" t="s">
        <v>979</v>
      </c>
      <c r="C286" s="38" t="s">
        <v>944</v>
      </c>
      <c r="D286" s="40">
        <f>[1]!Table3[[#This Row],[Residential CLM $ Collected]]+[1]!Table3[[#This Row],[C&amp;I CLM $ Collected]]</f>
        <v>80.979523199999988</v>
      </c>
      <c r="E286" s="36">
        <f>[1]!Table3[[#This Row],[CLM $ Collected ]]/'[1]1.) CLM Reference'!$B$4</f>
        <v>7.1842130495679313E-7</v>
      </c>
      <c r="F286" s="40">
        <f>[1]!Table3[[#This Row],[Residential Incentive Disbursements]]+[1]!Table3[[#This Row],[C&amp;I Incentive Disbursements]]</f>
        <v>0</v>
      </c>
      <c r="G286" s="36">
        <f>[1]!Table3[[#This Row],[Incentive Disbursements]]/'[1]1.) CLM Reference'!$B$5</f>
        <v>0</v>
      </c>
      <c r="H286" s="40">
        <v>80.979523199999988</v>
      </c>
      <c r="I286" s="36">
        <f>[1]!Table3[[#This Row],[Residential CLM $ Collected]]/'[1]1.) CLM Reference'!$B$4</f>
        <v>7.1842130495679313E-7</v>
      </c>
      <c r="J286" s="41">
        <v>0</v>
      </c>
      <c r="K286" s="36">
        <f>[1]!Table3[[#This Row],[Residential Incentive Disbursements]]/'[1]1.) CLM Reference'!$B$5</f>
        <v>0</v>
      </c>
      <c r="L286" s="37">
        <v>0</v>
      </c>
      <c r="M286" s="36">
        <f>[1]!Table3[[#This Row],[C&amp;I CLM $ Collected]]/'[1]1.) CLM Reference'!$B$4</f>
        <v>0</v>
      </c>
      <c r="N286" s="41">
        <v>0</v>
      </c>
      <c r="O286" s="36">
        <f>[1]!Table3[[#This Row],[C&amp;I Incentive Disbursements]]/'[1]1.) CLM Reference'!$B$5</f>
        <v>0</v>
      </c>
      <c r="Q286">
        <f>VLOOKUP(Table3[[#This Row],[Census Tract]],'Population and Diversity Data'!$B$2:$K$823,10,FALSE)</f>
        <v>2</v>
      </c>
      <c r="R286" t="str">
        <f>VLOOKUP(Table3[[#This Row],[Census Tract]],'ES Energy Burden'!$B$2:$E$914,4,FALSE)</f>
        <v>No</v>
      </c>
    </row>
    <row r="287" spans="1:18" x14ac:dyDescent="0.2">
      <c r="A287" s="100">
        <v>9003500100</v>
      </c>
      <c r="B287" s="38" t="s">
        <v>979</v>
      </c>
      <c r="C287" s="38" t="s">
        <v>944</v>
      </c>
      <c r="D287" s="40">
        <f>[1]!Table3[[#This Row],[Residential CLM $ Collected]]+[1]!Table3[[#This Row],[C&amp;I CLM $ Collected]]</f>
        <v>27599.33412</v>
      </c>
      <c r="E287" s="36">
        <f>[1]!Table3[[#This Row],[CLM $ Collected ]]/'[1]1.) CLM Reference'!$B$4</f>
        <v>2.4485140009356031E-4</v>
      </c>
      <c r="F287" s="40">
        <f>[1]!Table3[[#This Row],[Residential Incentive Disbursements]]+[1]!Table3[[#This Row],[C&amp;I Incentive Disbursements]]</f>
        <v>2246.44</v>
      </c>
      <c r="G287" s="36">
        <f>[1]!Table3[[#This Row],[Incentive Disbursements]]/'[1]1.) CLM Reference'!$B$5</f>
        <v>2.7484411828271466E-5</v>
      </c>
      <c r="H287" s="40">
        <v>27599.33412</v>
      </c>
      <c r="I287" s="36">
        <f>[1]!Table3[[#This Row],[Residential CLM $ Collected]]/'[1]1.) CLM Reference'!$B$4</f>
        <v>2.4485140009356031E-4</v>
      </c>
      <c r="J287" s="41">
        <v>2246.44</v>
      </c>
      <c r="K287" s="36">
        <f>[1]!Table3[[#This Row],[Residential Incentive Disbursements]]/'[1]1.) CLM Reference'!$B$5</f>
        <v>2.7484411828271466E-5</v>
      </c>
      <c r="L287" s="37">
        <v>0</v>
      </c>
      <c r="M287" s="36">
        <f>[1]!Table3[[#This Row],[C&amp;I CLM $ Collected]]/'[1]1.) CLM Reference'!$B$4</f>
        <v>0</v>
      </c>
      <c r="N287" s="41">
        <v>0</v>
      </c>
      <c r="O287" s="36">
        <f>[1]!Table3[[#This Row],[C&amp;I Incentive Disbursements]]/'[1]1.) CLM Reference'!$B$5</f>
        <v>0</v>
      </c>
      <c r="Q287">
        <f>VLOOKUP(Table3[[#This Row],[Census Tract]],'Population and Diversity Data'!$B$2:$K$823,10,FALSE)</f>
        <v>5</v>
      </c>
      <c r="R287" t="str">
        <f>VLOOKUP(Table3[[#This Row],[Census Tract]],'ES Energy Burden'!$B$2:$E$914,4,FALSE)</f>
        <v>Yes</v>
      </c>
    </row>
    <row r="288" spans="1:18" x14ac:dyDescent="0.2">
      <c r="A288" s="100">
        <v>9003500200</v>
      </c>
      <c r="B288" s="38" t="s">
        <v>979</v>
      </c>
      <c r="C288" s="38" t="s">
        <v>944</v>
      </c>
      <c r="D288" s="40">
        <f>[1]!Table3[[#This Row],[Residential CLM $ Collected]]+[1]!Table3[[#This Row],[C&amp;I CLM $ Collected]]</f>
        <v>18357.163539839996</v>
      </c>
      <c r="E288" s="36">
        <f>[1]!Table3[[#This Row],[CLM $ Collected ]]/'[1]1.) CLM Reference'!$B$4</f>
        <v>1.6285817530717586E-4</v>
      </c>
      <c r="F288" s="40">
        <f>[1]!Table3[[#This Row],[Residential Incentive Disbursements]]+[1]!Table3[[#This Row],[C&amp;I Incentive Disbursements]]</f>
        <v>1257.69</v>
      </c>
      <c r="G288" s="36">
        <f>[1]!Table3[[#This Row],[Incentive Disbursements]]/'[1]1.) CLM Reference'!$B$5</f>
        <v>1.5387399579912547E-5</v>
      </c>
      <c r="H288" s="40">
        <v>18357.163539839996</v>
      </c>
      <c r="I288" s="36">
        <f>[1]!Table3[[#This Row],[Residential CLM $ Collected]]/'[1]1.) CLM Reference'!$B$4</f>
        <v>1.6285817530717586E-4</v>
      </c>
      <c r="J288" s="41">
        <v>1257.69</v>
      </c>
      <c r="K288" s="36">
        <f>[1]!Table3[[#This Row],[Residential Incentive Disbursements]]/'[1]1.) CLM Reference'!$B$5</f>
        <v>1.5387399579912547E-5</v>
      </c>
      <c r="L288" s="37">
        <v>0</v>
      </c>
      <c r="M288" s="36">
        <f>[1]!Table3[[#This Row],[C&amp;I CLM $ Collected]]/'[1]1.) CLM Reference'!$B$4</f>
        <v>0</v>
      </c>
      <c r="N288" s="41">
        <v>0</v>
      </c>
      <c r="O288" s="36">
        <f>[1]!Table3[[#This Row],[C&amp;I Incentive Disbursements]]/'[1]1.) CLM Reference'!$B$5</f>
        <v>0</v>
      </c>
      <c r="Q288">
        <f>VLOOKUP(Table3[[#This Row],[Census Tract]],'Population and Diversity Data'!$B$2:$K$823,10,FALSE)</f>
        <v>5</v>
      </c>
      <c r="R288" t="str">
        <f>VLOOKUP(Table3[[#This Row],[Census Tract]],'ES Energy Burden'!$B$2:$E$914,4,FALSE)</f>
        <v>Yes</v>
      </c>
    </row>
    <row r="289" spans="1:18" x14ac:dyDescent="0.2">
      <c r="A289" s="100">
        <v>9003500300</v>
      </c>
      <c r="B289" s="38" t="s">
        <v>979</v>
      </c>
      <c r="C289" s="38" t="s">
        <v>936</v>
      </c>
      <c r="D289" s="40">
        <f>[1]!Table3[[#This Row],[Residential CLM $ Collected]]+[1]!Table3[[#This Row],[C&amp;I CLM $ Collected]]</f>
        <v>19192.581737280001</v>
      </c>
      <c r="E289" s="36">
        <f>[1]!Table3[[#This Row],[CLM $ Collected ]]/'[1]1.) CLM Reference'!$B$4</f>
        <v>1.7026970612228322E-4</v>
      </c>
      <c r="F289" s="40">
        <f>[1]!Table3[[#This Row],[Residential Incentive Disbursements]]+[1]!Table3[[#This Row],[C&amp;I Incentive Disbursements]]</f>
        <v>15607.35</v>
      </c>
      <c r="G289" s="36">
        <f>[1]!Table3[[#This Row],[Incentive Disbursements]]/'[1]1.) CLM Reference'!$B$5</f>
        <v>1.9095049720801476E-4</v>
      </c>
      <c r="H289" s="40">
        <v>19192.581737280001</v>
      </c>
      <c r="I289" s="36">
        <f>[1]!Table3[[#This Row],[Residential CLM $ Collected]]/'[1]1.) CLM Reference'!$B$4</f>
        <v>1.7026970612228322E-4</v>
      </c>
      <c r="J289" s="41">
        <v>15607.35</v>
      </c>
      <c r="K289" s="36">
        <f>[1]!Table3[[#This Row],[Residential Incentive Disbursements]]/'[1]1.) CLM Reference'!$B$5</f>
        <v>1.9095049720801476E-4</v>
      </c>
      <c r="L289" s="37">
        <v>0</v>
      </c>
      <c r="M289" s="36">
        <f>[1]!Table3[[#This Row],[C&amp;I CLM $ Collected]]/'[1]1.) CLM Reference'!$B$4</f>
        <v>0</v>
      </c>
      <c r="N289" s="41">
        <v>0</v>
      </c>
      <c r="O289" s="36">
        <f>[1]!Table3[[#This Row],[C&amp;I Incentive Disbursements]]/'[1]1.) CLM Reference'!$B$5</f>
        <v>0</v>
      </c>
      <c r="Q289">
        <f>VLOOKUP(Table3[[#This Row],[Census Tract]],'Population and Diversity Data'!$B$2:$K$823,10,FALSE)</f>
        <v>5</v>
      </c>
      <c r="R289" t="e">
        <f>VLOOKUP(Table3[[#This Row],[Census Tract]],'ES Energy Burden'!$B$2:$E$914,4,FALSE)</f>
        <v>#N/A</v>
      </c>
    </row>
    <row r="290" spans="1:18" x14ac:dyDescent="0.2">
      <c r="A290" s="100">
        <v>9003500400</v>
      </c>
      <c r="B290" s="38" t="s">
        <v>979</v>
      </c>
      <c r="C290" s="38" t="s">
        <v>944</v>
      </c>
      <c r="D290" s="40">
        <f>[1]!Table3[[#This Row],[Residential CLM $ Collected]]+[1]!Table3[[#This Row],[C&amp;I CLM $ Collected]]</f>
        <v>20330.00047296</v>
      </c>
      <c r="E290" s="36">
        <f>[1]!Table3[[#This Row],[CLM $ Collected ]]/'[1]1.) CLM Reference'!$B$4</f>
        <v>1.8036047746890349E-4</v>
      </c>
      <c r="F290" s="40">
        <f>[1]!Table3[[#This Row],[Residential Incentive Disbursements]]+[1]!Table3[[#This Row],[C&amp;I Incentive Disbursements]]</f>
        <v>601.65</v>
      </c>
      <c r="G290" s="36">
        <f>[1]!Table3[[#This Row],[Incentive Disbursements]]/'[1]1.) CLM Reference'!$B$5</f>
        <v>7.3609784265235331E-6</v>
      </c>
      <c r="H290" s="40">
        <v>20330.00047296</v>
      </c>
      <c r="I290" s="36">
        <f>[1]!Table3[[#This Row],[Residential CLM $ Collected]]/'[1]1.) CLM Reference'!$B$4</f>
        <v>1.8036047746890349E-4</v>
      </c>
      <c r="J290" s="41">
        <v>601.65</v>
      </c>
      <c r="K290" s="36">
        <f>[1]!Table3[[#This Row],[Residential Incentive Disbursements]]/'[1]1.) CLM Reference'!$B$5</f>
        <v>7.3609784265235331E-6</v>
      </c>
      <c r="L290" s="37">
        <v>0</v>
      </c>
      <c r="M290" s="36">
        <f>[1]!Table3[[#This Row],[C&amp;I CLM $ Collected]]/'[1]1.) CLM Reference'!$B$4</f>
        <v>0</v>
      </c>
      <c r="N290" s="41">
        <v>0</v>
      </c>
      <c r="O290" s="36">
        <f>[1]!Table3[[#This Row],[C&amp;I Incentive Disbursements]]/'[1]1.) CLM Reference'!$B$5</f>
        <v>0</v>
      </c>
      <c r="Q290">
        <f>VLOOKUP(Table3[[#This Row],[Census Tract]],'Population and Diversity Data'!$B$2:$K$823,10,FALSE)</f>
        <v>5</v>
      </c>
      <c r="R290" t="str">
        <f>VLOOKUP(Table3[[#This Row],[Census Tract]],'ES Energy Burden'!$B$2:$E$914,4,FALSE)</f>
        <v>Yes</v>
      </c>
    </row>
    <row r="291" spans="1:18" x14ac:dyDescent="0.2">
      <c r="A291" s="100">
        <v>9003500500</v>
      </c>
      <c r="B291" s="38" t="s">
        <v>979</v>
      </c>
      <c r="C291" s="38" t="s">
        <v>944</v>
      </c>
      <c r="D291" s="40">
        <f>[1]!Table3[[#This Row],[Residential CLM $ Collected]]+[1]!Table3[[#This Row],[C&amp;I CLM $ Collected]]</f>
        <v>16445.239833600001</v>
      </c>
      <c r="E291" s="36">
        <f>[1]!Table3[[#This Row],[CLM $ Collected ]]/'[1]1.) CLM Reference'!$B$4</f>
        <v>1.4589627346166381E-4</v>
      </c>
      <c r="F291" s="40">
        <f>[1]!Table3[[#This Row],[Residential Incentive Disbursements]]+[1]!Table3[[#This Row],[C&amp;I Incentive Disbursements]]</f>
        <v>148437.2053</v>
      </c>
      <c r="G291" s="36">
        <f>[1]!Table3[[#This Row],[Incentive Disbursements]]/'[1]1.) CLM Reference'!$B$5</f>
        <v>1.8160775632124072E-3</v>
      </c>
      <c r="H291" s="40">
        <v>16445.239833600001</v>
      </c>
      <c r="I291" s="36">
        <f>[1]!Table3[[#This Row],[Residential CLM $ Collected]]/'[1]1.) CLM Reference'!$B$4</f>
        <v>1.4589627346166381E-4</v>
      </c>
      <c r="J291" s="41">
        <v>148437.2053</v>
      </c>
      <c r="K291" s="36">
        <f>[1]!Table3[[#This Row],[Residential Incentive Disbursements]]/'[1]1.) CLM Reference'!$B$5</f>
        <v>1.8160775632124072E-3</v>
      </c>
      <c r="L291" s="37">
        <v>0</v>
      </c>
      <c r="M291" s="36">
        <f>[1]!Table3[[#This Row],[C&amp;I CLM $ Collected]]/'[1]1.) CLM Reference'!$B$4</f>
        <v>0</v>
      </c>
      <c r="N291" s="41">
        <v>0</v>
      </c>
      <c r="O291" s="36">
        <f>[1]!Table3[[#This Row],[C&amp;I Incentive Disbursements]]/'[1]1.) CLM Reference'!$B$5</f>
        <v>0</v>
      </c>
      <c r="Q291">
        <f>VLOOKUP(Table3[[#This Row],[Census Tract]],'Population and Diversity Data'!$B$2:$K$823,10,FALSE)</f>
        <v>5</v>
      </c>
      <c r="R291" t="str">
        <f>VLOOKUP(Table3[[#This Row],[Census Tract]],'ES Energy Burden'!$B$2:$E$914,4,FALSE)</f>
        <v>No</v>
      </c>
    </row>
    <row r="292" spans="1:18" x14ac:dyDescent="0.2">
      <c r="A292" s="100">
        <v>9003500900</v>
      </c>
      <c r="B292" s="38" t="s">
        <v>979</v>
      </c>
      <c r="C292" s="38" t="s">
        <v>944</v>
      </c>
      <c r="D292" s="40">
        <f>[1]!Table3[[#This Row],[Residential CLM $ Collected]]+[1]!Table3[[#This Row],[C&amp;I CLM $ Collected]]</f>
        <v>20985.07844736</v>
      </c>
      <c r="E292" s="36">
        <f>[1]!Table3[[#This Row],[CLM $ Collected ]]/'[1]1.) CLM Reference'!$B$4</f>
        <v>1.8617209446317222E-4</v>
      </c>
      <c r="F292" s="40">
        <f>[1]!Table3[[#This Row],[Residential Incentive Disbursements]]+[1]!Table3[[#This Row],[C&amp;I Incentive Disbursements]]</f>
        <v>8680.39</v>
      </c>
      <c r="G292" s="36">
        <f>[1]!Table3[[#This Row],[Incentive Disbursements]]/'[1]1.) CLM Reference'!$B$5</f>
        <v>1.0620155160610091E-4</v>
      </c>
      <c r="H292" s="40">
        <v>20985.07844736</v>
      </c>
      <c r="I292" s="36">
        <f>[1]!Table3[[#This Row],[Residential CLM $ Collected]]/'[1]1.) CLM Reference'!$B$4</f>
        <v>1.8617209446317222E-4</v>
      </c>
      <c r="J292" s="41">
        <v>8680.39</v>
      </c>
      <c r="K292" s="36">
        <f>[1]!Table3[[#This Row],[Residential Incentive Disbursements]]/'[1]1.) CLM Reference'!$B$5</f>
        <v>1.0620155160610091E-4</v>
      </c>
      <c r="L292" s="37">
        <v>0</v>
      </c>
      <c r="M292" s="36">
        <f>[1]!Table3[[#This Row],[C&amp;I CLM $ Collected]]/'[1]1.) CLM Reference'!$B$4</f>
        <v>0</v>
      </c>
      <c r="N292" s="41">
        <v>0</v>
      </c>
      <c r="O292" s="36">
        <f>[1]!Table3[[#This Row],[C&amp;I Incentive Disbursements]]/'[1]1.) CLM Reference'!$B$5</f>
        <v>0</v>
      </c>
      <c r="Q292">
        <f>VLOOKUP(Table3[[#This Row],[Census Tract]],'Population and Diversity Data'!$B$2:$K$823,10,FALSE)</f>
        <v>5</v>
      </c>
      <c r="R292" t="str">
        <f>VLOOKUP(Table3[[#This Row],[Census Tract]],'ES Energy Burden'!$B$2:$E$914,4,FALSE)</f>
        <v>Yes</v>
      </c>
    </row>
    <row r="293" spans="1:18" x14ac:dyDescent="0.2">
      <c r="A293" s="100">
        <v>9003501200</v>
      </c>
      <c r="B293" s="38" t="s">
        <v>979</v>
      </c>
      <c r="C293" s="38" t="s">
        <v>944</v>
      </c>
      <c r="D293" s="40">
        <f>[1]!Table3[[#This Row],[Residential CLM $ Collected]]+[1]!Table3[[#This Row],[C&amp;I CLM $ Collected]]</f>
        <v>23903.896184639998</v>
      </c>
      <c r="E293" s="36">
        <f>[1]!Table3[[#This Row],[CLM $ Collected ]]/'[1]1.) CLM Reference'!$B$4</f>
        <v>2.1206679925871405E-4</v>
      </c>
      <c r="F293" s="40">
        <f>[1]!Table3[[#This Row],[Residential Incentive Disbursements]]+[1]!Table3[[#This Row],[C&amp;I Incentive Disbursements]]</f>
        <v>1628.75</v>
      </c>
      <c r="G293" s="36">
        <f>[1]!Table3[[#This Row],[Incentive Disbursements]]/'[1]1.) CLM Reference'!$B$5</f>
        <v>1.992718958231564E-5</v>
      </c>
      <c r="H293" s="40">
        <v>23903.896184639998</v>
      </c>
      <c r="I293" s="36">
        <f>[1]!Table3[[#This Row],[Residential CLM $ Collected]]/'[1]1.) CLM Reference'!$B$4</f>
        <v>2.1206679925871405E-4</v>
      </c>
      <c r="J293" s="41">
        <v>1628.75</v>
      </c>
      <c r="K293" s="36">
        <f>[1]!Table3[[#This Row],[Residential Incentive Disbursements]]/'[1]1.) CLM Reference'!$B$5</f>
        <v>1.992718958231564E-5</v>
      </c>
      <c r="L293" s="37">
        <v>0</v>
      </c>
      <c r="M293" s="36">
        <f>[1]!Table3[[#This Row],[C&amp;I CLM $ Collected]]/'[1]1.) CLM Reference'!$B$4</f>
        <v>0</v>
      </c>
      <c r="N293" s="41">
        <v>0</v>
      </c>
      <c r="O293" s="36">
        <f>[1]!Table3[[#This Row],[C&amp;I Incentive Disbursements]]/'[1]1.) CLM Reference'!$B$5</f>
        <v>0</v>
      </c>
      <c r="Q293">
        <f>VLOOKUP(Table3[[#This Row],[Census Tract]],'Population and Diversity Data'!$B$2:$K$823,10,FALSE)</f>
        <v>4</v>
      </c>
      <c r="R293" t="str">
        <f>VLOOKUP(Table3[[#This Row],[Census Tract]],'ES Energy Burden'!$B$2:$E$914,4,FALSE)</f>
        <v>Yes</v>
      </c>
    </row>
    <row r="294" spans="1:18" x14ac:dyDescent="0.2">
      <c r="A294" s="100">
        <v>9003501300</v>
      </c>
      <c r="B294" s="38" t="s">
        <v>979</v>
      </c>
      <c r="C294" s="38" t="s">
        <v>944</v>
      </c>
      <c r="D294" s="40">
        <f>[1]!Table3[[#This Row],[Residential CLM $ Collected]]+[1]!Table3[[#This Row],[C&amp;I CLM $ Collected]]</f>
        <v>14078.583889920001</v>
      </c>
      <c r="E294" s="36">
        <f>[1]!Table3[[#This Row],[CLM $ Collected ]]/'[1]1.) CLM Reference'!$B$4</f>
        <v>1.249001501917958E-4</v>
      </c>
      <c r="F294" s="40">
        <f>[1]!Table3[[#This Row],[Residential Incentive Disbursements]]+[1]!Table3[[#This Row],[C&amp;I Incentive Disbursements]]</f>
        <v>2029.63</v>
      </c>
      <c r="G294" s="36">
        <f>[1]!Table3[[#This Row],[Incentive Disbursements]]/'[1]1.) CLM Reference'!$B$5</f>
        <v>2.4831816909872782E-5</v>
      </c>
      <c r="H294" s="40">
        <v>14078.583889920001</v>
      </c>
      <c r="I294" s="36">
        <f>[1]!Table3[[#This Row],[Residential CLM $ Collected]]/'[1]1.) CLM Reference'!$B$4</f>
        <v>1.249001501917958E-4</v>
      </c>
      <c r="J294" s="41">
        <v>2029.63</v>
      </c>
      <c r="K294" s="36">
        <f>[1]!Table3[[#This Row],[Residential Incentive Disbursements]]/'[1]1.) CLM Reference'!$B$5</f>
        <v>2.4831816909872782E-5</v>
      </c>
      <c r="L294" s="37">
        <v>0</v>
      </c>
      <c r="M294" s="36">
        <f>[1]!Table3[[#This Row],[C&amp;I CLM $ Collected]]/'[1]1.) CLM Reference'!$B$4</f>
        <v>0</v>
      </c>
      <c r="N294" s="41">
        <v>0</v>
      </c>
      <c r="O294" s="36">
        <f>[1]!Table3[[#This Row],[C&amp;I Incentive Disbursements]]/'[1]1.) CLM Reference'!$B$5</f>
        <v>0</v>
      </c>
      <c r="Q294">
        <f>VLOOKUP(Table3[[#This Row],[Census Tract]],'Population and Diversity Data'!$B$2:$K$823,10,FALSE)</f>
        <v>4</v>
      </c>
      <c r="R294" t="str">
        <f>VLOOKUP(Table3[[#This Row],[Census Tract]],'ES Energy Burden'!$B$2:$E$914,4,FALSE)</f>
        <v>Yes</v>
      </c>
    </row>
    <row r="295" spans="1:18" x14ac:dyDescent="0.2">
      <c r="A295" s="100">
        <v>9003501400</v>
      </c>
      <c r="B295" s="38" t="s">
        <v>979</v>
      </c>
      <c r="C295" s="38" t="s">
        <v>944</v>
      </c>
      <c r="D295" s="40">
        <f>[1]!Table3[[#This Row],[Residential CLM $ Collected]]+[1]!Table3[[#This Row],[C&amp;I CLM $ Collected]]</f>
        <v>25922.267818560002</v>
      </c>
      <c r="E295" s="36">
        <f>[1]!Table3[[#This Row],[CLM $ Collected ]]/'[1]1.) CLM Reference'!$B$4</f>
        <v>2.2997306896528334E-4</v>
      </c>
      <c r="F295" s="40">
        <f>[1]!Table3[[#This Row],[Residential Incentive Disbursements]]+[1]!Table3[[#This Row],[C&amp;I Incentive Disbursements]]</f>
        <v>53046.98</v>
      </c>
      <c r="G295" s="36">
        <f>[1]!Table3[[#This Row],[Incentive Disbursements]]/'[1]1.) CLM Reference'!$B$5</f>
        <v>6.4901134442321175E-4</v>
      </c>
      <c r="H295" s="40">
        <v>25922.267818560002</v>
      </c>
      <c r="I295" s="36">
        <f>[1]!Table3[[#This Row],[Residential CLM $ Collected]]/'[1]1.) CLM Reference'!$B$4</f>
        <v>2.2997306896528334E-4</v>
      </c>
      <c r="J295" s="41">
        <v>53046.98</v>
      </c>
      <c r="K295" s="36">
        <f>[1]!Table3[[#This Row],[Residential Incentive Disbursements]]/'[1]1.) CLM Reference'!$B$5</f>
        <v>6.4901134442321175E-4</v>
      </c>
      <c r="L295" s="37">
        <v>0</v>
      </c>
      <c r="M295" s="36">
        <f>[1]!Table3[[#This Row],[C&amp;I CLM $ Collected]]/'[1]1.) CLM Reference'!$B$4</f>
        <v>0</v>
      </c>
      <c r="N295" s="41">
        <v>0</v>
      </c>
      <c r="O295" s="36">
        <f>[1]!Table3[[#This Row],[C&amp;I Incentive Disbursements]]/'[1]1.) CLM Reference'!$B$5</f>
        <v>0</v>
      </c>
      <c r="Q295">
        <f>VLOOKUP(Table3[[#This Row],[Census Tract]],'Population and Diversity Data'!$B$2:$K$823,10,FALSE)</f>
        <v>4</v>
      </c>
      <c r="R295" t="str">
        <f>VLOOKUP(Table3[[#This Row],[Census Tract]],'ES Energy Burden'!$B$2:$E$914,4,FALSE)</f>
        <v>Yes</v>
      </c>
    </row>
    <row r="296" spans="1:18" x14ac:dyDescent="0.2">
      <c r="A296" s="100">
        <v>9003501500</v>
      </c>
      <c r="B296" s="38" t="s">
        <v>979</v>
      </c>
      <c r="C296" s="38" t="s">
        <v>944</v>
      </c>
      <c r="D296" s="40">
        <f>[1]!Table3[[#This Row],[Residential CLM $ Collected]]+[1]!Table3[[#This Row],[C&amp;I CLM $ Collected]]</f>
        <v>34494.509257919999</v>
      </c>
      <c r="E296" s="36">
        <f>[1]!Table3[[#This Row],[CLM $ Collected ]]/'[1]1.) CLM Reference'!$B$4</f>
        <v>3.0602292253208857E-4</v>
      </c>
      <c r="F296" s="40">
        <f>[1]!Table3[[#This Row],[Residential Incentive Disbursements]]+[1]!Table3[[#This Row],[C&amp;I Incentive Disbursements]]</f>
        <v>10977.39</v>
      </c>
      <c r="G296" s="36">
        <f>[1]!Table3[[#This Row],[Incentive Disbursements]]/'[1]1.) CLM Reference'!$B$5</f>
        <v>1.3430454744375495E-4</v>
      </c>
      <c r="H296" s="40">
        <v>34494.509257919999</v>
      </c>
      <c r="I296" s="36">
        <f>[1]!Table3[[#This Row],[Residential CLM $ Collected]]/'[1]1.) CLM Reference'!$B$4</f>
        <v>3.0602292253208857E-4</v>
      </c>
      <c r="J296" s="41">
        <v>10977.39</v>
      </c>
      <c r="K296" s="36">
        <f>[1]!Table3[[#This Row],[Residential Incentive Disbursements]]/'[1]1.) CLM Reference'!$B$5</f>
        <v>1.3430454744375495E-4</v>
      </c>
      <c r="L296" s="37">
        <v>0</v>
      </c>
      <c r="M296" s="36">
        <f>[1]!Table3[[#This Row],[C&amp;I CLM $ Collected]]/'[1]1.) CLM Reference'!$B$4</f>
        <v>0</v>
      </c>
      <c r="N296" s="41">
        <v>0</v>
      </c>
      <c r="O296" s="36">
        <f>[1]!Table3[[#This Row],[C&amp;I Incentive Disbursements]]/'[1]1.) CLM Reference'!$B$5</f>
        <v>0</v>
      </c>
      <c r="Q296">
        <f>VLOOKUP(Table3[[#This Row],[Census Tract]],'Population and Diversity Data'!$B$2:$K$823,10,FALSE)</f>
        <v>3</v>
      </c>
      <c r="R296" t="str">
        <f>VLOOKUP(Table3[[#This Row],[Census Tract]],'ES Energy Burden'!$B$2:$E$914,4,FALSE)</f>
        <v>Yes</v>
      </c>
    </row>
    <row r="297" spans="1:18" x14ac:dyDescent="0.2">
      <c r="A297" s="100">
        <v>9003501700</v>
      </c>
      <c r="B297" s="38" t="s">
        <v>979</v>
      </c>
      <c r="C297" s="38" t="s">
        <v>944</v>
      </c>
      <c r="D297" s="40">
        <f>[1]!Table3[[#This Row],[Residential CLM $ Collected]]+[1]!Table3[[#This Row],[C&amp;I CLM $ Collected]]</f>
        <v>10912.4263584</v>
      </c>
      <c r="E297" s="36">
        <f>[1]!Table3[[#This Row],[CLM $ Collected ]]/'[1]1.) CLM Reference'!$B$4</f>
        <v>9.6811135393874909E-5</v>
      </c>
      <c r="F297" s="40">
        <f>[1]!Table3[[#This Row],[Residential Incentive Disbursements]]+[1]!Table3[[#This Row],[C&amp;I Incentive Disbursements]]</f>
        <v>1164.8900000000001</v>
      </c>
      <c r="G297" s="36">
        <f>[1]!Table3[[#This Row],[Incentive Disbursements]]/'[1]1.) CLM Reference'!$B$5</f>
        <v>1.4252023866488823E-5</v>
      </c>
      <c r="H297" s="40">
        <v>10912.4263584</v>
      </c>
      <c r="I297" s="36">
        <f>[1]!Table3[[#This Row],[Residential CLM $ Collected]]/'[1]1.) CLM Reference'!$B$4</f>
        <v>9.6811135393874909E-5</v>
      </c>
      <c r="J297" s="41">
        <v>1164.8900000000001</v>
      </c>
      <c r="K297" s="36">
        <f>[1]!Table3[[#This Row],[Residential Incentive Disbursements]]/'[1]1.) CLM Reference'!$B$5</f>
        <v>1.4252023866488823E-5</v>
      </c>
      <c r="L297" s="37">
        <v>0</v>
      </c>
      <c r="M297" s="36">
        <f>[1]!Table3[[#This Row],[C&amp;I CLM $ Collected]]/'[1]1.) CLM Reference'!$B$4</f>
        <v>0</v>
      </c>
      <c r="N297" s="41">
        <v>0</v>
      </c>
      <c r="O297" s="36">
        <f>[1]!Table3[[#This Row],[C&amp;I Incentive Disbursements]]/'[1]1.) CLM Reference'!$B$5</f>
        <v>0</v>
      </c>
      <c r="Q297">
        <f>VLOOKUP(Table3[[#This Row],[Census Tract]],'Population and Diversity Data'!$B$2:$K$823,10,FALSE)</f>
        <v>5</v>
      </c>
      <c r="R297" t="str">
        <f>VLOOKUP(Table3[[#This Row],[Census Tract]],'ES Energy Burden'!$B$2:$E$914,4,FALSE)</f>
        <v>Yes</v>
      </c>
    </row>
    <row r="298" spans="1:18" x14ac:dyDescent="0.2">
      <c r="A298" s="100">
        <v>9003501800</v>
      </c>
      <c r="B298" s="38" t="s">
        <v>979</v>
      </c>
      <c r="C298" s="38" t="s">
        <v>936</v>
      </c>
      <c r="D298" s="40">
        <f>[1]!Table3[[#This Row],[Residential CLM $ Collected]]+[1]!Table3[[#This Row],[C&amp;I CLM $ Collected]]</f>
        <v>19569.573285120001</v>
      </c>
      <c r="E298" s="36">
        <f>[1]!Table3[[#This Row],[CLM $ Collected ]]/'[1]1.) CLM Reference'!$B$4</f>
        <v>1.7361424001251108E-4</v>
      </c>
      <c r="F298" s="40">
        <f>[1]!Table3[[#This Row],[Residential Incentive Disbursements]]+[1]!Table3[[#This Row],[C&amp;I Incentive Disbursements]]</f>
        <v>1213.1500000000001</v>
      </c>
      <c r="G298" s="36">
        <f>[1]!Table3[[#This Row],[Incentive Disbursements]]/'[1]1.) CLM Reference'!$B$5</f>
        <v>1.4842468176077495E-5</v>
      </c>
      <c r="H298" s="40">
        <v>19569.573285120001</v>
      </c>
      <c r="I298" s="36">
        <f>[1]!Table3[[#This Row],[Residential CLM $ Collected]]/'[1]1.) CLM Reference'!$B$4</f>
        <v>1.7361424001251108E-4</v>
      </c>
      <c r="J298" s="41">
        <v>1213.1500000000001</v>
      </c>
      <c r="K298" s="36">
        <f>[1]!Table3[[#This Row],[Residential Incentive Disbursements]]/'[1]1.) CLM Reference'!$B$5</f>
        <v>1.4842468176077495E-5</v>
      </c>
      <c r="L298" s="37">
        <v>0</v>
      </c>
      <c r="M298" s="36">
        <f>[1]!Table3[[#This Row],[C&amp;I CLM $ Collected]]/'[1]1.) CLM Reference'!$B$4</f>
        <v>0</v>
      </c>
      <c r="N298" s="41">
        <v>0</v>
      </c>
      <c r="O298" s="36">
        <f>[1]!Table3[[#This Row],[C&amp;I Incentive Disbursements]]/'[1]1.) CLM Reference'!$B$5</f>
        <v>0</v>
      </c>
      <c r="Q298">
        <f>VLOOKUP(Table3[[#This Row],[Census Tract]],'Population and Diversity Data'!$B$2:$K$823,10,FALSE)</f>
        <v>5</v>
      </c>
      <c r="R298" t="e">
        <f>VLOOKUP(Table3[[#This Row],[Census Tract]],'ES Energy Burden'!$B$2:$E$914,4,FALSE)</f>
        <v>#N/A</v>
      </c>
    </row>
    <row r="299" spans="1:18" x14ac:dyDescent="0.2">
      <c r="A299" s="100">
        <v>9003502100</v>
      </c>
      <c r="B299" s="38" t="s">
        <v>979</v>
      </c>
      <c r="C299" s="38" t="s">
        <v>944</v>
      </c>
      <c r="D299" s="40">
        <f>[1]!Table3[[#This Row],[Residential CLM $ Collected]]+[1]!Table3[[#This Row],[C&amp;I CLM $ Collected]]</f>
        <v>27091.375603200002</v>
      </c>
      <c r="E299" s="36">
        <f>[1]!Table3[[#This Row],[CLM $ Collected ]]/'[1]1.) CLM Reference'!$B$4</f>
        <v>2.4034497419621231E-4</v>
      </c>
      <c r="F299" s="40">
        <f>[1]!Table3[[#This Row],[Residential Incentive Disbursements]]+[1]!Table3[[#This Row],[C&amp;I Incentive Disbursements]]</f>
        <v>2298.11</v>
      </c>
      <c r="G299" s="36">
        <f>[1]!Table3[[#This Row],[Incentive Disbursements]]/'[1]1.) CLM Reference'!$B$5</f>
        <v>2.8116576301467627E-5</v>
      </c>
      <c r="H299" s="40">
        <v>27091.375603200002</v>
      </c>
      <c r="I299" s="36">
        <f>[1]!Table3[[#This Row],[Residential CLM $ Collected]]/'[1]1.) CLM Reference'!$B$4</f>
        <v>2.4034497419621231E-4</v>
      </c>
      <c r="J299" s="41">
        <v>2298.11</v>
      </c>
      <c r="K299" s="36">
        <f>[1]!Table3[[#This Row],[Residential Incentive Disbursements]]/'[1]1.) CLM Reference'!$B$5</f>
        <v>2.8116576301467627E-5</v>
      </c>
      <c r="L299" s="37">
        <v>0</v>
      </c>
      <c r="M299" s="36">
        <f>[1]!Table3[[#This Row],[C&amp;I CLM $ Collected]]/'[1]1.) CLM Reference'!$B$4</f>
        <v>0</v>
      </c>
      <c r="N299" s="41">
        <v>0</v>
      </c>
      <c r="O299" s="36">
        <f>[1]!Table3[[#This Row],[C&amp;I Incentive Disbursements]]/'[1]1.) CLM Reference'!$B$5</f>
        <v>0</v>
      </c>
      <c r="Q299">
        <f>VLOOKUP(Table3[[#This Row],[Census Tract]],'Population and Diversity Data'!$B$2:$K$823,10,FALSE)</f>
        <v>5</v>
      </c>
      <c r="R299" t="str">
        <f>VLOOKUP(Table3[[#This Row],[Census Tract]],'ES Energy Burden'!$B$2:$E$914,4,FALSE)</f>
        <v>No</v>
      </c>
    </row>
    <row r="300" spans="1:18" x14ac:dyDescent="0.2">
      <c r="A300" s="100">
        <v>9003502300</v>
      </c>
      <c r="B300" s="38" t="s">
        <v>979</v>
      </c>
      <c r="C300" s="38" t="s">
        <v>944</v>
      </c>
      <c r="D300" s="40">
        <f>[1]!Table3[[#This Row],[Residential CLM $ Collected]]+[1]!Table3[[#This Row],[C&amp;I CLM $ Collected]]</f>
        <v>61237.230647040007</v>
      </c>
      <c r="E300" s="36">
        <f>[1]!Table3[[#This Row],[CLM $ Collected ]]/'[1]1.) CLM Reference'!$B$4</f>
        <v>5.4327476150645712E-4</v>
      </c>
      <c r="F300" s="40">
        <f>[1]!Table3[[#This Row],[Residential Incentive Disbursements]]+[1]!Table3[[#This Row],[C&amp;I Incentive Disbursements]]</f>
        <v>31422.542399999998</v>
      </c>
      <c r="G300" s="36">
        <f>[1]!Table3[[#This Row],[Incentive Disbursements]]/'[1]1.) CLM Reference'!$B$5</f>
        <v>3.8444387386839691E-4</v>
      </c>
      <c r="H300" s="40">
        <v>61237.230647040007</v>
      </c>
      <c r="I300" s="36">
        <f>[1]!Table3[[#This Row],[Residential CLM $ Collected]]/'[1]1.) CLM Reference'!$B$4</f>
        <v>5.4327476150645712E-4</v>
      </c>
      <c r="J300" s="41">
        <v>31422.542399999998</v>
      </c>
      <c r="K300" s="36">
        <f>[1]!Table3[[#This Row],[Residential Incentive Disbursements]]/'[1]1.) CLM Reference'!$B$5</f>
        <v>3.8444387386839691E-4</v>
      </c>
      <c r="L300" s="37">
        <v>0</v>
      </c>
      <c r="M300" s="36">
        <f>[1]!Table3[[#This Row],[C&amp;I CLM $ Collected]]/'[1]1.) CLM Reference'!$B$4</f>
        <v>0</v>
      </c>
      <c r="N300" s="41">
        <v>0</v>
      </c>
      <c r="O300" s="36">
        <f>[1]!Table3[[#This Row],[C&amp;I Incentive Disbursements]]/'[1]1.) CLM Reference'!$B$5</f>
        <v>0</v>
      </c>
      <c r="Q300">
        <f>VLOOKUP(Table3[[#This Row],[Census Tract]],'Population and Diversity Data'!$B$2:$K$823,10,FALSE)</f>
        <v>5</v>
      </c>
      <c r="R300" t="str">
        <f>VLOOKUP(Table3[[#This Row],[Census Tract]],'ES Energy Burden'!$B$2:$E$914,4,FALSE)</f>
        <v>No</v>
      </c>
    </row>
    <row r="301" spans="1:18" x14ac:dyDescent="0.2">
      <c r="A301" s="100">
        <v>9003502400</v>
      </c>
      <c r="B301" s="38" t="s">
        <v>979</v>
      </c>
      <c r="C301" s="38" t="s">
        <v>944</v>
      </c>
      <c r="D301" s="40">
        <f>[1]!Table3[[#This Row],[Residential CLM $ Collected]]+[1]!Table3[[#This Row],[C&amp;I CLM $ Collected]]</f>
        <v>1035759.4729718401</v>
      </c>
      <c r="E301" s="36">
        <f>[1]!Table3[[#This Row],[CLM $ Collected ]]/'[1]1.) CLM Reference'!$B$4</f>
        <v>9.1888868048285791E-3</v>
      </c>
      <c r="F301" s="40">
        <f>[1]!Table3[[#This Row],[Residential Incentive Disbursements]]+[1]!Table3[[#This Row],[C&amp;I Incentive Disbursements]]</f>
        <v>1565113.7553999999</v>
      </c>
      <c r="G301" s="36">
        <f>[1]!Table3[[#This Row],[Incentive Disbursements]]/'[1]1.) CLM Reference'!$B$5</f>
        <v>1.9148622269682756E-2</v>
      </c>
      <c r="H301" s="40">
        <v>171829.57790591998</v>
      </c>
      <c r="I301" s="36">
        <f>[1]!Table3[[#This Row],[Residential CLM $ Collected]]/'[1]1.) CLM Reference'!$B$4</f>
        <v>1.5244104276146936E-3</v>
      </c>
      <c r="J301" s="41">
        <v>1207764.3359999999</v>
      </c>
      <c r="K301" s="36">
        <f>[1]!Table3[[#This Row],[Residential Incentive Disbursements]]/'[1]1.) CLM Reference'!$B$5</f>
        <v>1.4776576450794514E-2</v>
      </c>
      <c r="L301" s="37">
        <v>863929.89506592008</v>
      </c>
      <c r="M301" s="36">
        <f>[1]!Table3[[#This Row],[C&amp;I CLM $ Collected]]/'[1]1.) CLM Reference'!$B$4</f>
        <v>7.6644763772138851E-3</v>
      </c>
      <c r="N301" s="41">
        <v>357349.41940000001</v>
      </c>
      <c r="O301" s="36">
        <f>[1]!Table3[[#This Row],[C&amp;I Incentive Disbursements]]/'[1]1.) CLM Reference'!$B$5</f>
        <v>4.3720458188882417E-3</v>
      </c>
      <c r="Q301">
        <f>VLOOKUP(Table3[[#This Row],[Census Tract]],'Population and Diversity Data'!$B$2:$K$823,10,FALSE)</f>
        <v>5</v>
      </c>
      <c r="R301" t="str">
        <f>VLOOKUP(Table3[[#This Row],[Census Tract]],'ES Energy Burden'!$B$2:$E$914,4,FALSE)</f>
        <v>Yes</v>
      </c>
    </row>
    <row r="302" spans="1:18" x14ac:dyDescent="0.2">
      <c r="A302" s="100">
        <v>9003502500</v>
      </c>
      <c r="B302" s="38" t="s">
        <v>979</v>
      </c>
      <c r="C302" s="38" t="s">
        <v>944</v>
      </c>
      <c r="D302" s="40">
        <f>[1]!Table3[[#This Row],[Residential CLM $ Collected]]+[1]!Table3[[#This Row],[C&amp;I CLM $ Collected]]</f>
        <v>19614.414487680002</v>
      </c>
      <c r="E302" s="36">
        <f>[1]!Table3[[#This Row],[CLM $ Collected ]]/'[1]1.) CLM Reference'!$B$4</f>
        <v>1.7401205508953276E-4</v>
      </c>
      <c r="F302" s="40">
        <f>[1]!Table3[[#This Row],[Residential Incentive Disbursements]]+[1]!Table3[[#This Row],[C&amp;I Incentive Disbursements]]</f>
        <v>18113.2</v>
      </c>
      <c r="G302" s="36">
        <f>[1]!Table3[[#This Row],[Incentive Disbursements]]/'[1]1.) CLM Reference'!$B$5</f>
        <v>2.2160870013347641E-4</v>
      </c>
      <c r="H302" s="40">
        <v>19596.776592960003</v>
      </c>
      <c r="I302" s="36">
        <f>[1]!Table3[[#This Row],[Residential CLM $ Collected]]/'[1]1.) CLM Reference'!$B$4</f>
        <v>1.7385557800939319E-4</v>
      </c>
      <c r="J302" s="41">
        <v>18113.2</v>
      </c>
      <c r="K302" s="36">
        <f>[1]!Table3[[#This Row],[Residential Incentive Disbursements]]/'[1]1.) CLM Reference'!$B$5</f>
        <v>2.2160870013347641E-4</v>
      </c>
      <c r="L302" s="37">
        <v>17.637894720000002</v>
      </c>
      <c r="M302" s="36">
        <f>[1]!Table3[[#This Row],[C&amp;I CLM $ Collected]]/'[1]1.) CLM Reference'!$B$4</f>
        <v>1.5647708013959921E-7</v>
      </c>
      <c r="N302" s="41">
        <v>0</v>
      </c>
      <c r="O302" s="36">
        <f>[1]!Table3[[#This Row],[C&amp;I Incentive Disbursements]]/'[1]1.) CLM Reference'!$B$5</f>
        <v>0</v>
      </c>
      <c r="Q302">
        <f>VLOOKUP(Table3[[#This Row],[Census Tract]],'Population and Diversity Data'!$B$2:$K$823,10,FALSE)</f>
        <v>5</v>
      </c>
      <c r="R302" t="str">
        <f>VLOOKUP(Table3[[#This Row],[Census Tract]],'ES Energy Burden'!$B$2:$E$914,4,FALSE)</f>
        <v>Yes</v>
      </c>
    </row>
    <row r="303" spans="1:18" x14ac:dyDescent="0.2">
      <c r="A303" s="100">
        <v>9003502600</v>
      </c>
      <c r="B303" s="38" t="s">
        <v>979</v>
      </c>
      <c r="C303" s="38" t="s">
        <v>944</v>
      </c>
      <c r="D303" s="40">
        <f>[1]!Table3[[#This Row],[Residential CLM $ Collected]]+[1]!Table3[[#This Row],[C&amp;I CLM $ Collected]]</f>
        <v>36489.036245759999</v>
      </c>
      <c r="E303" s="36">
        <f>[1]!Table3[[#This Row],[CLM $ Collected ]]/'[1]1.) CLM Reference'!$B$4</f>
        <v>3.237176510850909E-4</v>
      </c>
      <c r="F303" s="40">
        <f>[1]!Table3[[#This Row],[Residential Incentive Disbursements]]+[1]!Table3[[#This Row],[C&amp;I Incentive Disbursements]]</f>
        <v>8703.0400000000009</v>
      </c>
      <c r="G303" s="36">
        <f>[1]!Table3[[#This Row],[Incentive Disbursements]]/'[1]1.) CLM Reference'!$B$5</f>
        <v>1.0647866647581049E-4</v>
      </c>
      <c r="H303" s="40">
        <v>36489.036245759999</v>
      </c>
      <c r="I303" s="36">
        <f>[1]!Table3[[#This Row],[Residential CLM $ Collected]]/'[1]1.) CLM Reference'!$B$4</f>
        <v>3.237176510850909E-4</v>
      </c>
      <c r="J303" s="41">
        <v>8703.0400000000009</v>
      </c>
      <c r="K303" s="36">
        <f>[1]!Table3[[#This Row],[Residential Incentive Disbursements]]/'[1]1.) CLM Reference'!$B$5</f>
        <v>1.0647866647581049E-4</v>
      </c>
      <c r="L303" s="37">
        <v>0</v>
      </c>
      <c r="M303" s="36">
        <f>[1]!Table3[[#This Row],[C&amp;I CLM $ Collected]]/'[1]1.) CLM Reference'!$B$4</f>
        <v>0</v>
      </c>
      <c r="N303" s="41">
        <v>0</v>
      </c>
      <c r="O303" s="36">
        <f>[1]!Table3[[#This Row],[C&amp;I Incentive Disbursements]]/'[1]1.) CLM Reference'!$B$5</f>
        <v>0</v>
      </c>
      <c r="Q303">
        <f>VLOOKUP(Table3[[#This Row],[Census Tract]],'Population and Diversity Data'!$B$2:$K$823,10,FALSE)</f>
        <v>5</v>
      </c>
      <c r="R303" t="str">
        <f>VLOOKUP(Table3[[#This Row],[Census Tract]],'ES Energy Burden'!$B$2:$E$914,4,FALSE)</f>
        <v>Yes</v>
      </c>
    </row>
    <row r="304" spans="1:18" x14ac:dyDescent="0.2">
      <c r="A304" s="100">
        <v>9003502700</v>
      </c>
      <c r="B304" s="38" t="s">
        <v>979</v>
      </c>
      <c r="C304" s="38" t="s">
        <v>944</v>
      </c>
      <c r="D304" s="40">
        <f>[1]!Table3[[#This Row],[Residential CLM $ Collected]]+[1]!Table3[[#This Row],[C&amp;I CLM $ Collected]]</f>
        <v>32741.750923200001</v>
      </c>
      <c r="E304" s="36">
        <f>[1]!Table3[[#This Row],[CLM $ Collected ]]/'[1]1.) CLM Reference'!$B$4</f>
        <v>2.9047307881427035E-4</v>
      </c>
      <c r="F304" s="40">
        <f>[1]!Table3[[#This Row],[Residential Incentive Disbursements]]+[1]!Table3[[#This Row],[C&amp;I Incentive Disbursements]]</f>
        <v>2431</v>
      </c>
      <c r="G304" s="36">
        <f>[1]!Table3[[#This Row],[Incentive Disbursements]]/'[1]1.) CLM Reference'!$B$5</f>
        <v>2.9742439216951235E-5</v>
      </c>
      <c r="H304" s="40">
        <v>32741.750923200001</v>
      </c>
      <c r="I304" s="36">
        <f>[1]!Table3[[#This Row],[Residential CLM $ Collected]]/'[1]1.) CLM Reference'!$B$4</f>
        <v>2.9047307881427035E-4</v>
      </c>
      <c r="J304" s="41">
        <v>2431</v>
      </c>
      <c r="K304" s="36">
        <f>[1]!Table3[[#This Row],[Residential Incentive Disbursements]]/'[1]1.) CLM Reference'!$B$5</f>
        <v>2.9742439216951235E-5</v>
      </c>
      <c r="L304" s="37">
        <v>0</v>
      </c>
      <c r="M304" s="36">
        <f>[1]!Table3[[#This Row],[C&amp;I CLM $ Collected]]/'[1]1.) CLM Reference'!$B$4</f>
        <v>0</v>
      </c>
      <c r="N304" s="41">
        <v>0</v>
      </c>
      <c r="O304" s="36">
        <f>[1]!Table3[[#This Row],[C&amp;I Incentive Disbursements]]/'[1]1.) CLM Reference'!$B$5</f>
        <v>0</v>
      </c>
      <c r="Q304">
        <f>VLOOKUP(Table3[[#This Row],[Census Tract]],'Population and Diversity Data'!$B$2:$K$823,10,FALSE)</f>
        <v>5</v>
      </c>
      <c r="R304" t="str">
        <f>VLOOKUP(Table3[[#This Row],[Census Tract]],'ES Energy Burden'!$B$2:$E$914,4,FALSE)</f>
        <v>Yes</v>
      </c>
    </row>
    <row r="305" spans="1:18" x14ac:dyDescent="0.2">
      <c r="A305" s="100">
        <v>9003502800</v>
      </c>
      <c r="B305" s="38" t="s">
        <v>979</v>
      </c>
      <c r="C305" s="38" t="s">
        <v>936</v>
      </c>
      <c r="D305" s="40">
        <f>[1]!Table3[[#This Row],[Residential CLM $ Collected]]+[1]!Table3[[#This Row],[C&amp;I CLM $ Collected]]</f>
        <v>34597.11747456</v>
      </c>
      <c r="E305" s="36">
        <f>[1]!Table3[[#This Row],[CLM $ Collected ]]/'[1]1.) CLM Reference'!$B$4</f>
        <v>3.0693322585303724E-4</v>
      </c>
      <c r="F305" s="40">
        <f>[1]!Table3[[#This Row],[Residential Incentive Disbursements]]+[1]!Table3[[#This Row],[C&amp;I Incentive Disbursements]]</f>
        <v>3386.56</v>
      </c>
      <c r="G305" s="36">
        <f>[1]!Table3[[#This Row],[Incentive Disbursements]]/'[1]1.) CLM Reference'!$B$5</f>
        <v>4.1433383362631992E-5</v>
      </c>
      <c r="H305" s="40">
        <v>34597.11747456</v>
      </c>
      <c r="I305" s="36">
        <f>[1]!Table3[[#This Row],[Residential CLM $ Collected]]/'[1]1.) CLM Reference'!$B$4</f>
        <v>3.0693322585303724E-4</v>
      </c>
      <c r="J305" s="41">
        <v>3386.56</v>
      </c>
      <c r="K305" s="36">
        <f>[1]!Table3[[#This Row],[Residential Incentive Disbursements]]/'[1]1.) CLM Reference'!$B$5</f>
        <v>4.1433383362631992E-5</v>
      </c>
      <c r="L305" s="37">
        <v>0</v>
      </c>
      <c r="M305" s="36">
        <f>[1]!Table3[[#This Row],[C&amp;I CLM $ Collected]]/'[1]1.) CLM Reference'!$B$4</f>
        <v>0</v>
      </c>
      <c r="N305" s="41">
        <v>0</v>
      </c>
      <c r="O305" s="36">
        <f>[1]!Table3[[#This Row],[C&amp;I Incentive Disbursements]]/'[1]1.) CLM Reference'!$B$5</f>
        <v>0</v>
      </c>
      <c r="Q305">
        <f>VLOOKUP(Table3[[#This Row],[Census Tract]],'Population and Diversity Data'!$B$2:$K$823,10,FALSE)</f>
        <v>5</v>
      </c>
      <c r="R305" t="e">
        <f>VLOOKUP(Table3[[#This Row],[Census Tract]],'ES Energy Burden'!$B$2:$E$914,4,FALSE)</f>
        <v>#N/A</v>
      </c>
    </row>
    <row r="306" spans="1:18" x14ac:dyDescent="0.2">
      <c r="A306" s="100">
        <v>9003502900</v>
      </c>
      <c r="B306" s="38" t="s">
        <v>979</v>
      </c>
      <c r="C306" s="38" t="s">
        <v>944</v>
      </c>
      <c r="D306" s="40">
        <f>[1]!Table3[[#This Row],[Residential CLM $ Collected]]+[1]!Table3[[#This Row],[C&amp;I CLM $ Collected]]</f>
        <v>21805.829562239996</v>
      </c>
      <c r="E306" s="36">
        <f>[1]!Table3[[#This Row],[CLM $ Collected ]]/'[1]1.) CLM Reference'!$B$4</f>
        <v>1.9345350417881784E-4</v>
      </c>
      <c r="F306" s="40">
        <f>[1]!Table3[[#This Row],[Residential Incentive Disbursements]]+[1]!Table3[[#This Row],[C&amp;I Incentive Disbursements]]</f>
        <v>534.38</v>
      </c>
      <c r="G306" s="36">
        <f>[1]!Table3[[#This Row],[Incentive Disbursements]]/'[1]1.) CLM Reference'!$B$5</f>
        <v>6.5379533808121765E-6</v>
      </c>
      <c r="H306" s="40">
        <v>21805.829562239996</v>
      </c>
      <c r="I306" s="36">
        <f>[1]!Table3[[#This Row],[Residential CLM $ Collected]]/'[1]1.) CLM Reference'!$B$4</f>
        <v>1.9345350417881784E-4</v>
      </c>
      <c r="J306" s="41">
        <v>534.38</v>
      </c>
      <c r="K306" s="36">
        <f>[1]!Table3[[#This Row],[Residential Incentive Disbursements]]/'[1]1.) CLM Reference'!$B$5</f>
        <v>6.5379533808121765E-6</v>
      </c>
      <c r="L306" s="37">
        <v>0</v>
      </c>
      <c r="M306" s="36">
        <f>[1]!Table3[[#This Row],[C&amp;I CLM $ Collected]]/'[1]1.) CLM Reference'!$B$4</f>
        <v>0</v>
      </c>
      <c r="N306" s="41">
        <v>0</v>
      </c>
      <c r="O306" s="36">
        <f>[1]!Table3[[#This Row],[C&amp;I Incentive Disbursements]]/'[1]1.) CLM Reference'!$B$5</f>
        <v>0</v>
      </c>
      <c r="Q306">
        <f>VLOOKUP(Table3[[#This Row],[Census Tract]],'Population and Diversity Data'!$B$2:$K$823,10,FALSE)</f>
        <v>5</v>
      </c>
      <c r="R306" t="str">
        <f>VLOOKUP(Table3[[#This Row],[Census Tract]],'ES Energy Burden'!$B$2:$E$914,4,FALSE)</f>
        <v>No</v>
      </c>
    </row>
    <row r="307" spans="1:18" x14ac:dyDescent="0.2">
      <c r="A307" s="100">
        <v>9003503000</v>
      </c>
      <c r="B307" s="38" t="s">
        <v>979</v>
      </c>
      <c r="C307" s="38" t="s">
        <v>936</v>
      </c>
      <c r="D307" s="40">
        <f>[1]!Table3[[#This Row],[Residential CLM $ Collected]]+[1]!Table3[[#This Row],[C&amp;I CLM $ Collected]]</f>
        <v>27613.769650560003</v>
      </c>
      <c r="E307" s="36">
        <f>[1]!Table3[[#This Row],[CLM $ Collected ]]/'[1]1.) CLM Reference'!$B$4</f>
        <v>2.4497946694667137E-4</v>
      </c>
      <c r="F307" s="40">
        <f>[1]!Table3[[#This Row],[Residential Incentive Disbursements]]+[1]!Table3[[#This Row],[C&amp;I Incentive Disbursements]]</f>
        <v>677.72</v>
      </c>
      <c r="G307" s="36">
        <f>[1]!Table3[[#This Row],[Incentive Disbursements]]/'[1]1.) CLM Reference'!$B$5</f>
        <v>8.2916684105767965E-6</v>
      </c>
      <c r="H307" s="40">
        <v>27613.769650560003</v>
      </c>
      <c r="I307" s="36">
        <f>[1]!Table3[[#This Row],[Residential CLM $ Collected]]/'[1]1.) CLM Reference'!$B$4</f>
        <v>2.4497946694667137E-4</v>
      </c>
      <c r="J307" s="41">
        <v>677.72</v>
      </c>
      <c r="K307" s="36">
        <f>[1]!Table3[[#This Row],[Residential Incentive Disbursements]]/'[1]1.) CLM Reference'!$B$5</f>
        <v>8.2916684105767965E-6</v>
      </c>
      <c r="L307" s="37">
        <v>0</v>
      </c>
      <c r="M307" s="36">
        <f>[1]!Table3[[#This Row],[C&amp;I CLM $ Collected]]/'[1]1.) CLM Reference'!$B$4</f>
        <v>0</v>
      </c>
      <c r="N307" s="41">
        <v>0</v>
      </c>
      <c r="O307" s="36">
        <f>[1]!Table3[[#This Row],[C&amp;I Incentive Disbursements]]/'[1]1.) CLM Reference'!$B$5</f>
        <v>0</v>
      </c>
      <c r="Q307">
        <f>VLOOKUP(Table3[[#This Row],[Census Tract]],'Population and Diversity Data'!$B$2:$K$823,10,FALSE)</f>
        <v>5</v>
      </c>
      <c r="R307" t="e">
        <f>VLOOKUP(Table3[[#This Row],[Census Tract]],'ES Energy Burden'!$B$2:$E$914,4,FALSE)</f>
        <v>#N/A</v>
      </c>
    </row>
    <row r="308" spans="1:18" x14ac:dyDescent="0.2">
      <c r="A308" s="100">
        <v>9003503100</v>
      </c>
      <c r="B308" s="38" t="s">
        <v>979</v>
      </c>
      <c r="C308" s="38" t="s">
        <v>944</v>
      </c>
      <c r="D308" s="40">
        <f>[1]!Table3[[#This Row],[Residential CLM $ Collected]]+[1]!Table3[[#This Row],[C&amp;I CLM $ Collected]]</f>
        <v>37160.74254816</v>
      </c>
      <c r="E308" s="36">
        <f>[1]!Table3[[#This Row],[CLM $ Collected ]]/'[1]1.) CLM Reference'!$B$4</f>
        <v>3.2967678864541074E-4</v>
      </c>
      <c r="F308" s="40">
        <f>[1]!Table3[[#This Row],[Residential Incentive Disbursements]]+[1]!Table3[[#This Row],[C&amp;I Incentive Disbursements]]</f>
        <v>78848.03</v>
      </c>
      <c r="G308" s="36">
        <f>[1]!Table3[[#This Row],[Incentive Disbursements]]/'[1]1.) CLM Reference'!$B$5</f>
        <v>9.6467821458303066E-4</v>
      </c>
      <c r="H308" s="40">
        <v>37160.74254816</v>
      </c>
      <c r="I308" s="36">
        <f>[1]!Table3[[#This Row],[Residential CLM $ Collected]]/'[1]1.) CLM Reference'!$B$4</f>
        <v>3.2967678864541074E-4</v>
      </c>
      <c r="J308" s="41">
        <v>78848.03</v>
      </c>
      <c r="K308" s="36">
        <f>[1]!Table3[[#This Row],[Residential Incentive Disbursements]]/'[1]1.) CLM Reference'!$B$5</f>
        <v>9.6467821458303066E-4</v>
      </c>
      <c r="L308" s="37">
        <v>0</v>
      </c>
      <c r="M308" s="36">
        <f>[1]!Table3[[#This Row],[C&amp;I CLM $ Collected]]/'[1]1.) CLM Reference'!$B$4</f>
        <v>0</v>
      </c>
      <c r="N308" s="41">
        <v>0</v>
      </c>
      <c r="O308" s="36">
        <f>[1]!Table3[[#This Row],[C&amp;I Incentive Disbursements]]/'[1]1.) CLM Reference'!$B$5</f>
        <v>0</v>
      </c>
      <c r="Q308">
        <f>VLOOKUP(Table3[[#This Row],[Census Tract]],'Population and Diversity Data'!$B$2:$K$823,10,FALSE)</f>
        <v>5</v>
      </c>
      <c r="R308" t="str">
        <f>VLOOKUP(Table3[[#This Row],[Census Tract]],'ES Energy Burden'!$B$2:$E$914,4,FALSE)</f>
        <v>No</v>
      </c>
    </row>
    <row r="309" spans="1:18" x14ac:dyDescent="0.2">
      <c r="A309" s="100">
        <v>9003503300</v>
      </c>
      <c r="B309" s="38" t="s">
        <v>979</v>
      </c>
      <c r="C309" s="38" t="s">
        <v>944</v>
      </c>
      <c r="D309" s="40">
        <f>[1]!Table3[[#This Row],[Residential CLM $ Collected]]+[1]!Table3[[#This Row],[C&amp;I CLM $ Collected]]</f>
        <v>24785.822180160001</v>
      </c>
      <c r="E309" s="36">
        <f>[1]!Table3[[#This Row],[CLM $ Collected ]]/'[1]1.) CLM Reference'!$B$4</f>
        <v>2.1989093058895137E-4</v>
      </c>
      <c r="F309" s="40">
        <f>[1]!Table3[[#This Row],[Residential Incentive Disbursements]]+[1]!Table3[[#This Row],[C&amp;I Incentive Disbursements]]</f>
        <v>61180.35</v>
      </c>
      <c r="G309" s="36">
        <f>[1]!Table3[[#This Row],[Incentive Disbursements]]/'[1]1.) CLM Reference'!$B$5</f>
        <v>7.4852029664615482E-4</v>
      </c>
      <c r="H309" s="40">
        <v>24785.822180160001</v>
      </c>
      <c r="I309" s="36">
        <f>[1]!Table3[[#This Row],[Residential CLM $ Collected]]/'[1]1.) CLM Reference'!$B$4</f>
        <v>2.1989093058895137E-4</v>
      </c>
      <c r="J309" s="41">
        <v>61180.35</v>
      </c>
      <c r="K309" s="36">
        <f>[1]!Table3[[#This Row],[Residential Incentive Disbursements]]/'[1]1.) CLM Reference'!$B$5</f>
        <v>7.4852029664615482E-4</v>
      </c>
      <c r="L309" s="37">
        <v>0</v>
      </c>
      <c r="M309" s="36">
        <f>[1]!Table3[[#This Row],[C&amp;I CLM $ Collected]]/'[1]1.) CLM Reference'!$B$4</f>
        <v>0</v>
      </c>
      <c r="N309" s="41">
        <v>0</v>
      </c>
      <c r="O309" s="36">
        <f>[1]!Table3[[#This Row],[C&amp;I Incentive Disbursements]]/'[1]1.) CLM Reference'!$B$5</f>
        <v>0</v>
      </c>
      <c r="Q309">
        <f>VLOOKUP(Table3[[#This Row],[Census Tract]],'Population and Diversity Data'!$B$2:$K$823,10,FALSE)</f>
        <v>5</v>
      </c>
      <c r="R309" t="str">
        <f>VLOOKUP(Table3[[#This Row],[Census Tract]],'ES Energy Burden'!$B$2:$E$914,4,FALSE)</f>
        <v>Yes</v>
      </c>
    </row>
    <row r="310" spans="1:18" x14ac:dyDescent="0.2">
      <c r="A310" s="100">
        <v>9003503500</v>
      </c>
      <c r="B310" s="38" t="s">
        <v>979</v>
      </c>
      <c r="C310" s="38" t="s">
        <v>944</v>
      </c>
      <c r="D310" s="40">
        <f>[1]!Table3[[#This Row],[Residential CLM $ Collected]]+[1]!Table3[[#This Row],[C&amp;I CLM $ Collected]]</f>
        <v>14693.71104</v>
      </c>
      <c r="E310" s="36">
        <f>[1]!Table3[[#This Row],[CLM $ Collected ]]/'[1]1.) CLM Reference'!$B$4</f>
        <v>1.3035733779196714E-4</v>
      </c>
      <c r="F310" s="40">
        <f>[1]!Table3[[#This Row],[Residential Incentive Disbursements]]+[1]!Table3[[#This Row],[C&amp;I Incentive Disbursements]]</f>
        <v>2186.64</v>
      </c>
      <c r="G310" s="36">
        <f>[1]!Table3[[#This Row],[Incentive Disbursements]]/'[1]1.) CLM Reference'!$B$5</f>
        <v>2.6752779633629883E-5</v>
      </c>
      <c r="H310" s="40">
        <v>14693.213203200001</v>
      </c>
      <c r="I310" s="36">
        <f>[1]!Table3[[#This Row],[Residential CLM $ Collected]]/'[1]1.) CLM Reference'!$B$4</f>
        <v>1.3035292116231339E-4</v>
      </c>
      <c r="J310" s="41">
        <v>2186.64</v>
      </c>
      <c r="K310" s="36">
        <f>[1]!Table3[[#This Row],[Residential Incentive Disbursements]]/'[1]1.) CLM Reference'!$B$5</f>
        <v>2.6752779633629883E-5</v>
      </c>
      <c r="L310" s="37">
        <v>0.49783680000000002</v>
      </c>
      <c r="M310" s="36">
        <f>[1]!Table3[[#This Row],[C&amp;I CLM $ Collected]]/'[1]1.) CLM Reference'!$B$4</f>
        <v>4.4166296537482467E-9</v>
      </c>
      <c r="N310" s="41">
        <v>0</v>
      </c>
      <c r="O310" s="36">
        <f>[1]!Table3[[#This Row],[C&amp;I Incentive Disbursements]]/'[1]1.) CLM Reference'!$B$5</f>
        <v>0</v>
      </c>
      <c r="Q310">
        <f>VLOOKUP(Table3[[#This Row],[Census Tract]],'Population and Diversity Data'!$B$2:$K$823,10,FALSE)</f>
        <v>4</v>
      </c>
      <c r="R310" t="str">
        <f>VLOOKUP(Table3[[#This Row],[Census Tract]],'ES Energy Burden'!$B$2:$E$914,4,FALSE)</f>
        <v>Yes</v>
      </c>
    </row>
    <row r="311" spans="1:18" x14ac:dyDescent="0.2">
      <c r="A311" s="100">
        <v>9003503700</v>
      </c>
      <c r="B311" s="38" t="s">
        <v>979</v>
      </c>
      <c r="C311" s="38" t="s">
        <v>944</v>
      </c>
      <c r="D311" s="40">
        <f>[1]!Table3[[#This Row],[Residential CLM $ Collected]]+[1]!Table3[[#This Row],[C&amp;I CLM $ Collected]]</f>
        <v>32750.498957759999</v>
      </c>
      <c r="E311" s="36">
        <f>[1]!Table3[[#This Row],[CLM $ Collected ]]/'[1]1.) CLM Reference'!$B$4</f>
        <v>2.9055068824139523E-4</v>
      </c>
      <c r="F311" s="40">
        <f>[1]!Table3[[#This Row],[Residential Incentive Disbursements]]+[1]!Table3[[#This Row],[C&amp;I Incentive Disbursements]]</f>
        <v>26309.74</v>
      </c>
      <c r="G311" s="36">
        <f>[1]!Table3[[#This Row],[Incentive Disbursements]]/'[1]1.) CLM Reference'!$B$5</f>
        <v>3.2189051532858522E-4</v>
      </c>
      <c r="H311" s="40">
        <v>32750.498957759999</v>
      </c>
      <c r="I311" s="36">
        <f>[1]!Table3[[#This Row],[Residential CLM $ Collected]]/'[1]1.) CLM Reference'!$B$4</f>
        <v>2.9055068824139523E-4</v>
      </c>
      <c r="J311" s="41">
        <v>26309.74</v>
      </c>
      <c r="K311" s="36">
        <f>[1]!Table3[[#This Row],[Residential Incentive Disbursements]]/'[1]1.) CLM Reference'!$B$5</f>
        <v>3.2189051532858522E-4</v>
      </c>
      <c r="L311" s="37">
        <v>0</v>
      </c>
      <c r="M311" s="36">
        <f>[1]!Table3[[#This Row],[C&amp;I CLM $ Collected]]/'[1]1.) CLM Reference'!$B$4</f>
        <v>0</v>
      </c>
      <c r="N311" s="41">
        <v>0</v>
      </c>
      <c r="O311" s="36">
        <f>[1]!Table3[[#This Row],[C&amp;I Incentive Disbursements]]/'[1]1.) CLM Reference'!$B$5</f>
        <v>0</v>
      </c>
      <c r="Q311">
        <f>VLOOKUP(Table3[[#This Row],[Census Tract]],'Population and Diversity Data'!$B$2:$K$823,10,FALSE)</f>
        <v>2</v>
      </c>
      <c r="R311" t="str">
        <f>VLOOKUP(Table3[[#This Row],[Census Tract]],'ES Energy Burden'!$B$2:$E$914,4,FALSE)</f>
        <v>Yes</v>
      </c>
    </row>
    <row r="312" spans="1:18" x14ac:dyDescent="0.2">
      <c r="A312" s="100">
        <v>9003503800</v>
      </c>
      <c r="B312" s="38" t="s">
        <v>979</v>
      </c>
      <c r="C312" s="38" t="s">
        <v>944</v>
      </c>
      <c r="D312" s="40">
        <f>[1]!Table3[[#This Row],[Residential CLM $ Collected]]+[1]!Table3[[#This Row],[C&amp;I CLM $ Collected]]</f>
        <v>5708.3524675200006</v>
      </c>
      <c r="E312" s="36">
        <f>[1]!Table3[[#This Row],[CLM $ Collected ]]/'[1]1.) CLM Reference'!$B$4</f>
        <v>5.0642457090548158E-5</v>
      </c>
      <c r="F312" s="40">
        <f>[1]!Table3[[#This Row],[Residential Incentive Disbursements]]+[1]!Table3[[#This Row],[C&amp;I Incentive Disbursements]]</f>
        <v>98479.72</v>
      </c>
      <c r="G312" s="36">
        <f>[1]!Table3[[#This Row],[Incentive Disbursements]]/'[1]1.) CLM Reference'!$B$5</f>
        <v>1.204865111560007E-3</v>
      </c>
      <c r="H312" s="40">
        <v>5708.3524675200006</v>
      </c>
      <c r="I312" s="36">
        <f>[1]!Table3[[#This Row],[Residential CLM $ Collected]]/'[1]1.) CLM Reference'!$B$4</f>
        <v>5.0642457090548158E-5</v>
      </c>
      <c r="J312" s="41">
        <v>98479.72</v>
      </c>
      <c r="K312" s="36">
        <f>[1]!Table3[[#This Row],[Residential Incentive Disbursements]]/'[1]1.) CLM Reference'!$B$5</f>
        <v>1.204865111560007E-3</v>
      </c>
      <c r="L312" s="37">
        <v>0</v>
      </c>
      <c r="M312" s="36">
        <f>[1]!Table3[[#This Row],[C&amp;I CLM $ Collected]]/'[1]1.) CLM Reference'!$B$4</f>
        <v>0</v>
      </c>
      <c r="N312" s="41">
        <v>0</v>
      </c>
      <c r="O312" s="36">
        <f>[1]!Table3[[#This Row],[C&amp;I Incentive Disbursements]]/'[1]1.) CLM Reference'!$B$5</f>
        <v>0</v>
      </c>
      <c r="Q312">
        <f>VLOOKUP(Table3[[#This Row],[Census Tract]],'Population and Diversity Data'!$B$2:$K$823,10,FALSE)</f>
        <v>4</v>
      </c>
      <c r="R312" t="str">
        <f>VLOOKUP(Table3[[#This Row],[Census Tract]],'ES Energy Burden'!$B$2:$E$914,4,FALSE)</f>
        <v>Yes</v>
      </c>
    </row>
    <row r="313" spans="1:18" x14ac:dyDescent="0.2">
      <c r="A313" s="100">
        <v>9003503900</v>
      </c>
      <c r="B313" s="38" t="s">
        <v>979</v>
      </c>
      <c r="C313" s="38" t="s">
        <v>944</v>
      </c>
      <c r="D313" s="40">
        <f>[1]!Table3[[#This Row],[Residential CLM $ Collected]]+[1]!Table3[[#This Row],[C&amp;I CLM $ Collected]]</f>
        <v>55706.715325440004</v>
      </c>
      <c r="E313" s="36">
        <f>[1]!Table3[[#This Row],[CLM $ Collected ]]/'[1]1.) CLM Reference'!$B$4</f>
        <v>4.9421001183369768E-4</v>
      </c>
      <c r="F313" s="40">
        <f>[1]!Table3[[#This Row],[Residential Incentive Disbursements]]+[1]!Table3[[#This Row],[C&amp;I Incentive Disbursements]]</f>
        <v>43874.208400000003</v>
      </c>
      <c r="G313" s="36">
        <f>[1]!Table3[[#This Row],[Incentive Disbursements]]/'[1]1.) CLM Reference'!$B$5</f>
        <v>5.3678567524839628E-4</v>
      </c>
      <c r="H313" s="40">
        <v>55706.715325440004</v>
      </c>
      <c r="I313" s="36">
        <f>[1]!Table3[[#This Row],[Residential CLM $ Collected]]/'[1]1.) CLM Reference'!$B$4</f>
        <v>4.9421001183369768E-4</v>
      </c>
      <c r="J313" s="41">
        <v>43874.208400000003</v>
      </c>
      <c r="K313" s="36">
        <f>[1]!Table3[[#This Row],[Residential Incentive Disbursements]]/'[1]1.) CLM Reference'!$B$5</f>
        <v>5.3678567524839628E-4</v>
      </c>
      <c r="L313" s="37">
        <v>0</v>
      </c>
      <c r="M313" s="36">
        <f>[1]!Table3[[#This Row],[C&amp;I CLM $ Collected]]/'[1]1.) CLM Reference'!$B$4</f>
        <v>0</v>
      </c>
      <c r="N313" s="41">
        <v>0</v>
      </c>
      <c r="O313" s="36">
        <f>[1]!Table3[[#This Row],[C&amp;I Incentive Disbursements]]/'[1]1.) CLM Reference'!$B$5</f>
        <v>0</v>
      </c>
      <c r="Q313">
        <f>VLOOKUP(Table3[[#This Row],[Census Tract]],'Population and Diversity Data'!$B$2:$K$823,10,FALSE)</f>
        <v>2</v>
      </c>
      <c r="R313" t="str">
        <f>VLOOKUP(Table3[[#This Row],[Census Tract]],'ES Energy Burden'!$B$2:$E$914,4,FALSE)</f>
        <v>No</v>
      </c>
    </row>
    <row r="314" spans="1:18" x14ac:dyDescent="0.2">
      <c r="A314" s="100">
        <v>9003504000</v>
      </c>
      <c r="B314" s="38" t="s">
        <v>979</v>
      </c>
      <c r="C314" s="38" t="s">
        <v>944</v>
      </c>
      <c r="D314" s="40">
        <f>[1]!Table3[[#This Row],[Residential CLM $ Collected]]+[1]!Table3[[#This Row],[C&amp;I CLM $ Collected]]</f>
        <v>32737.94073504</v>
      </c>
      <c r="E314" s="36">
        <f>[1]!Table3[[#This Row],[CLM $ Collected ]]/'[1]1.) CLM Reference'!$B$4</f>
        <v>2.9043927619057153E-4</v>
      </c>
      <c r="F314" s="40">
        <f>[1]!Table3[[#This Row],[Residential Incentive Disbursements]]+[1]!Table3[[#This Row],[C&amp;I Incentive Disbursements]]</f>
        <v>14980.31</v>
      </c>
      <c r="G314" s="36">
        <f>[1]!Table3[[#This Row],[Incentive Disbursements]]/'[1]1.) CLM Reference'!$B$5</f>
        <v>1.8327888096507063E-4</v>
      </c>
      <c r="H314" s="40">
        <v>32737.94073504</v>
      </c>
      <c r="I314" s="36">
        <f>[1]!Table3[[#This Row],[Residential CLM $ Collected]]/'[1]1.) CLM Reference'!$B$4</f>
        <v>2.9043927619057153E-4</v>
      </c>
      <c r="J314" s="41">
        <v>14980.31</v>
      </c>
      <c r="K314" s="36">
        <f>[1]!Table3[[#This Row],[Residential Incentive Disbursements]]/'[1]1.) CLM Reference'!$B$5</f>
        <v>1.8327888096507063E-4</v>
      </c>
      <c r="L314" s="37">
        <v>0</v>
      </c>
      <c r="M314" s="36">
        <f>[1]!Table3[[#This Row],[C&amp;I CLM $ Collected]]/'[1]1.) CLM Reference'!$B$4</f>
        <v>0</v>
      </c>
      <c r="N314" s="41">
        <v>0</v>
      </c>
      <c r="O314" s="36">
        <f>[1]!Table3[[#This Row],[C&amp;I Incentive Disbursements]]/'[1]1.) CLM Reference'!$B$5</f>
        <v>0</v>
      </c>
      <c r="Q314">
        <f>VLOOKUP(Table3[[#This Row],[Census Tract]],'Population and Diversity Data'!$B$2:$K$823,10,FALSE)</f>
        <v>1</v>
      </c>
      <c r="R314" t="str">
        <f>VLOOKUP(Table3[[#This Row],[Census Tract]],'ES Energy Burden'!$B$2:$E$914,4,FALSE)</f>
        <v>Yes</v>
      </c>
    </row>
    <row r="315" spans="1:18" x14ac:dyDescent="0.2">
      <c r="A315" s="100">
        <v>9003504100</v>
      </c>
      <c r="B315" s="38" t="s">
        <v>979</v>
      </c>
      <c r="C315" s="38" t="s">
        <v>944</v>
      </c>
      <c r="D315" s="40">
        <f>[1]!Table3[[#This Row],[Residential CLM $ Collected]]+[1]!Table3[[#This Row],[C&amp;I CLM $ Collected]]</f>
        <v>16383.093013440001</v>
      </c>
      <c r="E315" s="36">
        <f>[1]!Table3[[#This Row],[CLM $ Collected ]]/'[1]1.) CLM Reference'!$B$4</f>
        <v>1.453449291480156E-4</v>
      </c>
      <c r="F315" s="40">
        <f>[1]!Table3[[#This Row],[Residential Incentive Disbursements]]+[1]!Table3[[#This Row],[C&amp;I Incentive Disbursements]]</f>
        <v>14080.65</v>
      </c>
      <c r="G315" s="36">
        <f>[1]!Table3[[#This Row],[Incentive Disbursements]]/'[1]1.) CLM Reference'!$B$5</f>
        <v>1.7227185387090266E-4</v>
      </c>
      <c r="H315" s="40">
        <v>16383.093013440001</v>
      </c>
      <c r="I315" s="36">
        <f>[1]!Table3[[#This Row],[Residential CLM $ Collected]]/'[1]1.) CLM Reference'!$B$4</f>
        <v>1.453449291480156E-4</v>
      </c>
      <c r="J315" s="41">
        <v>14080.65</v>
      </c>
      <c r="K315" s="36">
        <f>[1]!Table3[[#This Row],[Residential Incentive Disbursements]]/'[1]1.) CLM Reference'!$B$5</f>
        <v>1.7227185387090266E-4</v>
      </c>
      <c r="L315" s="37">
        <v>0</v>
      </c>
      <c r="M315" s="36">
        <f>[1]!Table3[[#This Row],[C&amp;I CLM $ Collected]]/'[1]1.) CLM Reference'!$B$4</f>
        <v>0</v>
      </c>
      <c r="N315" s="41">
        <v>0</v>
      </c>
      <c r="O315" s="36">
        <f>[1]!Table3[[#This Row],[C&amp;I Incentive Disbursements]]/'[1]1.) CLM Reference'!$B$5</f>
        <v>0</v>
      </c>
      <c r="Q315">
        <f>VLOOKUP(Table3[[#This Row],[Census Tract]],'Population and Diversity Data'!$B$2:$K$823,10,FALSE)</f>
        <v>5</v>
      </c>
      <c r="R315" t="str">
        <f>VLOOKUP(Table3[[#This Row],[Census Tract]],'ES Energy Burden'!$B$2:$E$914,4,FALSE)</f>
        <v>Yes</v>
      </c>
    </row>
    <row r="316" spans="1:18" x14ac:dyDescent="0.2">
      <c r="A316" s="100">
        <v>9003504200</v>
      </c>
      <c r="B316" s="38" t="s">
        <v>979</v>
      </c>
      <c r="C316" s="38" t="s">
        <v>944</v>
      </c>
      <c r="D316" s="40">
        <f>[1]!Table3[[#This Row],[Residential CLM $ Collected]]+[1]!Table3[[#This Row],[C&amp;I CLM $ Collected]]</f>
        <v>54014.641560000004</v>
      </c>
      <c r="E316" s="36">
        <f>[1]!Table3[[#This Row],[CLM $ Collected ]]/'[1]1.) CLM Reference'!$B$4</f>
        <v>4.7919853986382375E-4</v>
      </c>
      <c r="F316" s="40">
        <f>[1]!Table3[[#This Row],[Residential Incentive Disbursements]]+[1]!Table3[[#This Row],[C&amp;I Incentive Disbursements]]</f>
        <v>3657.96</v>
      </c>
      <c r="G316" s="36">
        <f>[1]!Table3[[#This Row],[Incentive Disbursements]]/'[1]1.) CLM Reference'!$B$5</f>
        <v>4.4753867938313014E-5</v>
      </c>
      <c r="H316" s="40">
        <v>54014.641560000004</v>
      </c>
      <c r="I316" s="36">
        <f>[1]!Table3[[#This Row],[Residential CLM $ Collected]]/'[1]1.) CLM Reference'!$B$4</f>
        <v>4.7919853986382375E-4</v>
      </c>
      <c r="J316" s="41">
        <v>3657.96</v>
      </c>
      <c r="K316" s="36">
        <f>[1]!Table3[[#This Row],[Residential Incentive Disbursements]]/'[1]1.) CLM Reference'!$B$5</f>
        <v>4.4753867938313014E-5</v>
      </c>
      <c r="L316" s="37">
        <v>0</v>
      </c>
      <c r="M316" s="36">
        <f>[1]!Table3[[#This Row],[C&amp;I CLM $ Collected]]/'[1]1.) CLM Reference'!$B$4</f>
        <v>0</v>
      </c>
      <c r="N316" s="41">
        <v>0</v>
      </c>
      <c r="O316" s="36">
        <f>[1]!Table3[[#This Row],[C&amp;I Incentive Disbursements]]/'[1]1.) CLM Reference'!$B$5</f>
        <v>0</v>
      </c>
      <c r="Q316">
        <f>VLOOKUP(Table3[[#This Row],[Census Tract]],'Population and Diversity Data'!$B$2:$K$823,10,FALSE)</f>
        <v>5</v>
      </c>
      <c r="R316" t="str">
        <f>VLOOKUP(Table3[[#This Row],[Census Tract]],'ES Energy Burden'!$B$2:$E$914,4,FALSE)</f>
        <v>No</v>
      </c>
    </row>
    <row r="317" spans="1:18" x14ac:dyDescent="0.2">
      <c r="A317" s="100">
        <v>9003504300</v>
      </c>
      <c r="B317" s="38" t="s">
        <v>979</v>
      </c>
      <c r="C317" s="38" t="s">
        <v>944</v>
      </c>
      <c r="D317" s="40">
        <f>[1]!Table3[[#This Row],[Residential CLM $ Collected]]+[1]!Table3[[#This Row],[C&amp;I CLM $ Collected]]</f>
        <v>23985.625936320001</v>
      </c>
      <c r="E317" s="36">
        <f>[1]!Table3[[#This Row],[CLM $ Collected ]]/'[1]1.) CLM Reference'!$B$4</f>
        <v>2.1279187632184676E-4</v>
      </c>
      <c r="F317" s="40">
        <f>[1]!Table3[[#This Row],[Residential Incentive Disbursements]]+[1]!Table3[[#This Row],[C&amp;I Incentive Disbursements]]</f>
        <v>18422.213</v>
      </c>
      <c r="G317" s="36">
        <f>[1]!Table3[[#This Row],[Incentive Disbursements]]/'[1]1.) CLM Reference'!$B$5</f>
        <v>2.2538936667800447E-4</v>
      </c>
      <c r="H317" s="40">
        <v>23985.625936320001</v>
      </c>
      <c r="I317" s="36">
        <f>[1]!Table3[[#This Row],[Residential CLM $ Collected]]/'[1]1.) CLM Reference'!$B$4</f>
        <v>2.1279187632184676E-4</v>
      </c>
      <c r="J317" s="41">
        <v>18422.213</v>
      </c>
      <c r="K317" s="36">
        <f>[1]!Table3[[#This Row],[Residential Incentive Disbursements]]/'[1]1.) CLM Reference'!$B$5</f>
        <v>2.2538936667800447E-4</v>
      </c>
      <c r="L317" s="37">
        <v>0</v>
      </c>
      <c r="M317" s="36">
        <f>[1]!Table3[[#This Row],[C&amp;I CLM $ Collected]]/'[1]1.) CLM Reference'!$B$4</f>
        <v>0</v>
      </c>
      <c r="N317" s="41">
        <v>0</v>
      </c>
      <c r="O317" s="36">
        <f>[1]!Table3[[#This Row],[C&amp;I Incentive Disbursements]]/'[1]1.) CLM Reference'!$B$5</f>
        <v>0</v>
      </c>
      <c r="Q317">
        <f>VLOOKUP(Table3[[#This Row],[Census Tract]],'Population and Diversity Data'!$B$2:$K$823,10,FALSE)</f>
        <v>5</v>
      </c>
      <c r="R317" t="str">
        <f>VLOOKUP(Table3[[#This Row],[Census Tract]],'ES Energy Burden'!$B$2:$E$914,4,FALSE)</f>
        <v>Yes</v>
      </c>
    </row>
    <row r="318" spans="1:18" x14ac:dyDescent="0.2">
      <c r="A318" s="100">
        <v>9003504500</v>
      </c>
      <c r="B318" s="38" t="s">
        <v>979</v>
      </c>
      <c r="C318" s="38" t="s">
        <v>944</v>
      </c>
      <c r="D318" s="40">
        <f>[1]!Table3[[#This Row],[Residential CLM $ Collected]]+[1]!Table3[[#This Row],[C&amp;I CLM $ Collected]]</f>
        <v>37871.045095680005</v>
      </c>
      <c r="E318" s="36">
        <f>[1]!Table3[[#This Row],[CLM $ Collected ]]/'[1]1.) CLM Reference'!$B$4</f>
        <v>3.3597833825867716E-4</v>
      </c>
      <c r="F318" s="40">
        <f>[1]!Table3[[#This Row],[Residential Incentive Disbursements]]+[1]!Table3[[#This Row],[C&amp;I Incentive Disbursements]]</f>
        <v>81361.004799999995</v>
      </c>
      <c r="G318" s="36">
        <f>[1]!Table3[[#This Row],[Incentive Disbursements]]/'[1]1.) CLM Reference'!$B$5</f>
        <v>9.9542358695766243E-4</v>
      </c>
      <c r="H318" s="40">
        <v>37871.045095680005</v>
      </c>
      <c r="I318" s="36">
        <f>[1]!Table3[[#This Row],[Residential CLM $ Collected]]/'[1]1.) CLM Reference'!$B$4</f>
        <v>3.3597833825867716E-4</v>
      </c>
      <c r="J318" s="41">
        <v>81361.004799999995</v>
      </c>
      <c r="K318" s="36">
        <f>[1]!Table3[[#This Row],[Residential Incentive Disbursements]]/'[1]1.) CLM Reference'!$B$5</f>
        <v>9.9542358695766243E-4</v>
      </c>
      <c r="L318" s="37">
        <v>0</v>
      </c>
      <c r="M318" s="36">
        <f>[1]!Table3[[#This Row],[C&amp;I CLM $ Collected]]/'[1]1.) CLM Reference'!$B$4</f>
        <v>0</v>
      </c>
      <c r="N318" s="41">
        <v>0</v>
      </c>
      <c r="O318" s="36">
        <f>[1]!Table3[[#This Row],[C&amp;I Incentive Disbursements]]/'[1]1.) CLM Reference'!$B$5</f>
        <v>0</v>
      </c>
      <c r="Q318">
        <f>VLOOKUP(Table3[[#This Row],[Census Tract]],'Population and Diversity Data'!$B$2:$K$823,10,FALSE)</f>
        <v>5</v>
      </c>
      <c r="R318" t="str">
        <f>VLOOKUP(Table3[[#This Row],[Census Tract]],'ES Energy Burden'!$B$2:$E$914,4,FALSE)</f>
        <v>Yes</v>
      </c>
    </row>
    <row r="319" spans="1:18" x14ac:dyDescent="0.2">
      <c r="A319" s="100">
        <v>9003504800</v>
      </c>
      <c r="B319" s="38" t="s">
        <v>979</v>
      </c>
      <c r="C319" s="38" t="s">
        <v>944</v>
      </c>
      <c r="D319" s="40">
        <f>[1]!Table3[[#This Row],[Residential CLM $ Collected]]+[1]!Table3[[#This Row],[C&amp;I CLM $ Collected]]</f>
        <v>58254.756370559997</v>
      </c>
      <c r="E319" s="36">
        <f>[1]!Table3[[#This Row],[CLM $ Collected ]]/'[1]1.) CLM Reference'!$B$4</f>
        <v>5.1681531871106124E-4</v>
      </c>
      <c r="F319" s="40">
        <f>[1]!Table3[[#This Row],[Residential Incentive Disbursements]]+[1]!Table3[[#This Row],[C&amp;I Incentive Disbursements]]</f>
        <v>18063.281900000002</v>
      </c>
      <c r="G319" s="36">
        <f>[1]!Table3[[#This Row],[Incentive Disbursements]]/'[1]1.) CLM Reference'!$B$5</f>
        <v>2.2099796954726676E-4</v>
      </c>
      <c r="H319" s="40">
        <v>58254.756370559997</v>
      </c>
      <c r="I319" s="36">
        <f>[1]!Table3[[#This Row],[Residential CLM $ Collected]]/'[1]1.) CLM Reference'!$B$4</f>
        <v>5.1681531871106124E-4</v>
      </c>
      <c r="J319" s="41">
        <v>18063.281900000002</v>
      </c>
      <c r="K319" s="36">
        <f>[1]!Table3[[#This Row],[Residential Incentive Disbursements]]/'[1]1.) CLM Reference'!$B$5</f>
        <v>2.2099796954726676E-4</v>
      </c>
      <c r="L319" s="37">
        <v>0</v>
      </c>
      <c r="M319" s="36">
        <f>[1]!Table3[[#This Row],[C&amp;I CLM $ Collected]]/'[1]1.) CLM Reference'!$B$4</f>
        <v>0</v>
      </c>
      <c r="N319" s="41">
        <v>0</v>
      </c>
      <c r="O319" s="36">
        <f>[1]!Table3[[#This Row],[C&amp;I Incentive Disbursements]]/'[1]1.) CLM Reference'!$B$5</f>
        <v>0</v>
      </c>
      <c r="Q319">
        <f>VLOOKUP(Table3[[#This Row],[Census Tract]],'Population and Diversity Data'!$B$2:$K$823,10,FALSE)</f>
        <v>5</v>
      </c>
      <c r="R319" t="str">
        <f>VLOOKUP(Table3[[#This Row],[Census Tract]],'ES Energy Burden'!$B$2:$E$914,4,FALSE)</f>
        <v>Yes</v>
      </c>
    </row>
    <row r="320" spans="1:18" x14ac:dyDescent="0.2">
      <c r="A320" s="100">
        <v>9003504900</v>
      </c>
      <c r="B320" s="38" t="s">
        <v>979</v>
      </c>
      <c r="C320" s="38" t="s">
        <v>944</v>
      </c>
      <c r="D320" s="40">
        <f>[1]!Table3[[#This Row],[Residential CLM $ Collected]]+[1]!Table3[[#This Row],[C&amp;I CLM $ Collected]]</f>
        <v>42553.5758928</v>
      </c>
      <c r="E320" s="36">
        <f>[1]!Table3[[#This Row],[CLM $ Collected ]]/'[1]1.) CLM Reference'!$B$4</f>
        <v>3.7752007316688315E-4</v>
      </c>
      <c r="F320" s="40">
        <f>[1]!Table3[[#This Row],[Residential Incentive Disbursements]]+[1]!Table3[[#This Row],[C&amp;I Incentive Disbursements]]</f>
        <v>30501.02</v>
      </c>
      <c r="G320" s="36">
        <f>[1]!Table3[[#This Row],[Incentive Disbursements]]/'[1]1.) CLM Reference'!$B$5</f>
        <v>3.7316936791650099E-4</v>
      </c>
      <c r="H320" s="40">
        <v>42553.5758928</v>
      </c>
      <c r="I320" s="36">
        <f>[1]!Table3[[#This Row],[Residential CLM $ Collected]]/'[1]1.) CLM Reference'!$B$4</f>
        <v>3.7752007316688315E-4</v>
      </c>
      <c r="J320" s="41">
        <v>30501.02</v>
      </c>
      <c r="K320" s="36">
        <f>[1]!Table3[[#This Row],[Residential Incentive Disbursements]]/'[1]1.) CLM Reference'!$B$5</f>
        <v>3.7316936791650099E-4</v>
      </c>
      <c r="L320" s="37">
        <v>0</v>
      </c>
      <c r="M320" s="36">
        <f>[1]!Table3[[#This Row],[C&amp;I CLM $ Collected]]/'[1]1.) CLM Reference'!$B$4</f>
        <v>0</v>
      </c>
      <c r="N320" s="41">
        <v>0</v>
      </c>
      <c r="O320" s="36">
        <f>[1]!Table3[[#This Row],[C&amp;I Incentive Disbursements]]/'[1]1.) CLM Reference'!$B$5</f>
        <v>0</v>
      </c>
      <c r="Q320">
        <f>VLOOKUP(Table3[[#This Row],[Census Tract]],'Population and Diversity Data'!$B$2:$K$823,10,FALSE)</f>
        <v>5</v>
      </c>
      <c r="R320" t="str">
        <f>VLOOKUP(Table3[[#This Row],[Census Tract]],'ES Energy Burden'!$B$2:$E$914,4,FALSE)</f>
        <v>Yes</v>
      </c>
    </row>
    <row r="321" spans="1:18" x14ac:dyDescent="0.2">
      <c r="A321" s="100">
        <v>9003524400</v>
      </c>
      <c r="B321" s="38" t="s">
        <v>979</v>
      </c>
      <c r="C321" s="38" t="s">
        <v>944</v>
      </c>
      <c r="D321" s="40">
        <f>[1]!Table3[[#This Row],[Residential CLM $ Collected]]+[1]!Table3[[#This Row],[C&amp;I CLM $ Collected]]</f>
        <v>36222.419747520005</v>
      </c>
      <c r="E321" s="36">
        <f>[1]!Table3[[#This Row],[CLM $ Collected ]]/'[1]1.) CLM Reference'!$B$4</f>
        <v>3.2135232507402608E-4</v>
      </c>
      <c r="F321" s="40">
        <f>[1]!Table3[[#This Row],[Residential Incentive Disbursements]]+[1]!Table3[[#This Row],[C&amp;I Incentive Disbursements]]</f>
        <v>28619.973300000001</v>
      </c>
      <c r="G321" s="36">
        <f>[1]!Table3[[#This Row],[Incentive Disbursements]]/'[1]1.) CLM Reference'!$B$5</f>
        <v>3.5015541598766651E-4</v>
      </c>
      <c r="H321" s="40">
        <v>36222.419747520005</v>
      </c>
      <c r="I321" s="36">
        <f>[1]!Table3[[#This Row],[Residential CLM $ Collected]]/'[1]1.) CLM Reference'!$B$4</f>
        <v>3.2135232507402608E-4</v>
      </c>
      <c r="J321" s="41">
        <v>28619.973300000001</v>
      </c>
      <c r="K321" s="36">
        <f>[1]!Table3[[#This Row],[Residential Incentive Disbursements]]/'[1]1.) CLM Reference'!$B$5</f>
        <v>3.5015541598766651E-4</v>
      </c>
      <c r="L321" s="37">
        <v>0</v>
      </c>
      <c r="M321" s="36">
        <f>[1]!Table3[[#This Row],[C&amp;I CLM $ Collected]]/'[1]1.) CLM Reference'!$B$4</f>
        <v>0</v>
      </c>
      <c r="N321" s="41">
        <v>0</v>
      </c>
      <c r="O321" s="36">
        <f>[1]!Table3[[#This Row],[C&amp;I Incentive Disbursements]]/'[1]1.) CLM Reference'!$B$5</f>
        <v>0</v>
      </c>
      <c r="Q321">
        <f>VLOOKUP(Table3[[#This Row],[Census Tract]],'Population and Diversity Data'!$B$2:$K$823,10,FALSE)</f>
        <v>5</v>
      </c>
      <c r="R321" t="str">
        <f>VLOOKUP(Table3[[#This Row],[Census Tract]],'ES Energy Burden'!$B$2:$E$914,4,FALSE)</f>
        <v>Yes</v>
      </c>
    </row>
    <row r="322" spans="1:18" x14ac:dyDescent="0.2">
      <c r="A322" s="100">
        <v>9003524501</v>
      </c>
      <c r="B322" s="38" t="s">
        <v>979</v>
      </c>
      <c r="C322" s="38" t="s">
        <v>944</v>
      </c>
      <c r="D322" s="40">
        <f>[1]!Table3[[#This Row],[Residential CLM $ Collected]]+[1]!Table3[[#This Row],[C&amp;I CLM $ Collected]]</f>
        <v>26853.682265279996</v>
      </c>
      <c r="E322" s="36">
        <f>[1]!Table3[[#This Row],[CLM $ Collected ]]/'[1]1.) CLM Reference'!$B$4</f>
        <v>2.382362440967984E-4</v>
      </c>
      <c r="F322" s="40">
        <f>[1]!Table3[[#This Row],[Residential Incentive Disbursements]]+[1]!Table3[[#This Row],[C&amp;I Incentive Disbursements]]</f>
        <v>1003.633</v>
      </c>
      <c r="G322" s="36">
        <f>[1]!Table3[[#This Row],[Incentive Disbursements]]/'[1]1.) CLM Reference'!$B$5</f>
        <v>1.2279100575329666E-5</v>
      </c>
      <c r="H322" s="40">
        <v>26853.682265279996</v>
      </c>
      <c r="I322" s="36">
        <f>[1]!Table3[[#This Row],[Residential CLM $ Collected]]/'[1]1.) CLM Reference'!$B$4</f>
        <v>2.382362440967984E-4</v>
      </c>
      <c r="J322" s="41">
        <v>1003.633</v>
      </c>
      <c r="K322" s="36">
        <f>[1]!Table3[[#This Row],[Residential Incentive Disbursements]]/'[1]1.) CLM Reference'!$B$5</f>
        <v>1.2279100575329666E-5</v>
      </c>
      <c r="L322" s="37">
        <v>0</v>
      </c>
      <c r="M322" s="36">
        <f>[1]!Table3[[#This Row],[C&amp;I CLM $ Collected]]/'[1]1.) CLM Reference'!$B$4</f>
        <v>0</v>
      </c>
      <c r="N322" s="41">
        <v>0</v>
      </c>
      <c r="O322" s="36">
        <f>[1]!Table3[[#This Row],[C&amp;I Incentive Disbursements]]/'[1]1.) CLM Reference'!$B$5</f>
        <v>0</v>
      </c>
      <c r="Q322">
        <f>VLOOKUP(Table3[[#This Row],[Census Tract]],'Population and Diversity Data'!$B$2:$K$823,10,FALSE)</f>
        <v>5</v>
      </c>
      <c r="R322" t="str">
        <f>VLOOKUP(Table3[[#This Row],[Census Tract]],'ES Energy Burden'!$B$2:$E$914,4,FALSE)</f>
        <v>No</v>
      </c>
    </row>
    <row r="323" spans="1:18" x14ac:dyDescent="0.2">
      <c r="A323" s="100">
        <v>9003524502</v>
      </c>
      <c r="B323" s="38" t="s">
        <v>979</v>
      </c>
      <c r="C323" s="38" t="s">
        <v>944</v>
      </c>
      <c r="D323" s="40">
        <f>[1]!Table3[[#This Row],[Residential CLM $ Collected]]+[1]!Table3[[#This Row],[C&amp;I CLM $ Collected]]</f>
        <v>38598.850080000004</v>
      </c>
      <c r="E323" s="36">
        <f>[1]!Table3[[#This Row],[CLM $ Collected ]]/'[1]1.) CLM Reference'!$B$4</f>
        <v>3.4243516321796799E-4</v>
      </c>
      <c r="F323" s="40">
        <f>[1]!Table3[[#This Row],[Residential Incentive Disbursements]]+[1]!Table3[[#This Row],[C&amp;I Incentive Disbursements]]</f>
        <v>2487.0500000000002</v>
      </c>
      <c r="G323" s="36">
        <f>[1]!Table3[[#This Row],[Incentive Disbursements]]/'[1]1.) CLM Reference'!$B$5</f>
        <v>3.0428191466276665E-5</v>
      </c>
      <c r="H323" s="40">
        <v>38598.850080000004</v>
      </c>
      <c r="I323" s="36">
        <f>[1]!Table3[[#This Row],[Residential CLM $ Collected]]/'[1]1.) CLM Reference'!$B$4</f>
        <v>3.4243516321796799E-4</v>
      </c>
      <c r="J323" s="41">
        <v>2487.0500000000002</v>
      </c>
      <c r="K323" s="36">
        <f>[1]!Table3[[#This Row],[Residential Incentive Disbursements]]/'[1]1.) CLM Reference'!$B$5</f>
        <v>3.0428191466276665E-5</v>
      </c>
      <c r="L323" s="37">
        <v>0</v>
      </c>
      <c r="M323" s="36">
        <f>[1]!Table3[[#This Row],[C&amp;I CLM $ Collected]]/'[1]1.) CLM Reference'!$B$4</f>
        <v>0</v>
      </c>
      <c r="N323" s="41">
        <v>0</v>
      </c>
      <c r="O323" s="36">
        <f>[1]!Table3[[#This Row],[C&amp;I Incentive Disbursements]]/'[1]1.) CLM Reference'!$B$5</f>
        <v>0</v>
      </c>
      <c r="Q323">
        <f>VLOOKUP(Table3[[#This Row],[Census Tract]],'Population and Diversity Data'!$B$2:$K$823,10,FALSE)</f>
        <v>5</v>
      </c>
      <c r="R323" t="str">
        <f>VLOOKUP(Table3[[#This Row],[Census Tract]],'ES Energy Burden'!$B$2:$E$914,4,FALSE)</f>
        <v>No</v>
      </c>
    </row>
    <row r="324" spans="1:18" x14ac:dyDescent="0.2">
      <c r="A324" s="100">
        <v>9003524600</v>
      </c>
      <c r="B324" s="38" t="s">
        <v>979</v>
      </c>
      <c r="C324" s="38" t="s">
        <v>944</v>
      </c>
      <c r="D324" s="40">
        <f>[1]!Table3[[#This Row],[Residential CLM $ Collected]]+[1]!Table3[[#This Row],[C&amp;I CLM $ Collected]]</f>
        <v>29057.523577920001</v>
      </c>
      <c r="E324" s="36">
        <f>[1]!Table3[[#This Row],[CLM $ Collected ]]/'[1]1.) CLM Reference'!$B$4</f>
        <v>2.577879343164875E-4</v>
      </c>
      <c r="F324" s="40">
        <f>[1]!Table3[[#This Row],[Residential Incentive Disbursements]]+[1]!Table3[[#This Row],[C&amp;I Incentive Disbursements]]</f>
        <v>2328.62</v>
      </c>
      <c r="G324" s="36">
        <f>[1]!Table3[[#This Row],[Incentive Disbursements]]/'[1]1.) CLM Reference'!$B$5</f>
        <v>2.8489855536559844E-5</v>
      </c>
      <c r="H324" s="40">
        <v>29057.523577920001</v>
      </c>
      <c r="I324" s="36">
        <f>[1]!Table3[[#This Row],[Residential CLM $ Collected]]/'[1]1.) CLM Reference'!$B$4</f>
        <v>2.577879343164875E-4</v>
      </c>
      <c r="J324" s="41">
        <v>2328.62</v>
      </c>
      <c r="K324" s="36">
        <f>[1]!Table3[[#This Row],[Residential Incentive Disbursements]]/'[1]1.) CLM Reference'!$B$5</f>
        <v>2.8489855536559844E-5</v>
      </c>
      <c r="L324" s="37">
        <v>0</v>
      </c>
      <c r="M324" s="36">
        <f>[1]!Table3[[#This Row],[C&amp;I CLM $ Collected]]/'[1]1.) CLM Reference'!$B$4</f>
        <v>0</v>
      </c>
      <c r="N324" s="41">
        <v>0</v>
      </c>
      <c r="O324" s="36">
        <f>[1]!Table3[[#This Row],[C&amp;I Incentive Disbursements]]/'[1]1.) CLM Reference'!$B$5</f>
        <v>0</v>
      </c>
      <c r="Q324">
        <f>VLOOKUP(Table3[[#This Row],[Census Tract]],'Population and Diversity Data'!$B$2:$K$823,10,FALSE)</f>
        <v>5</v>
      </c>
      <c r="R324" t="str">
        <f>VLOOKUP(Table3[[#This Row],[Census Tract]],'ES Energy Burden'!$B$2:$E$914,4,FALSE)</f>
        <v>No</v>
      </c>
    </row>
    <row r="325" spans="1:18" x14ac:dyDescent="0.2">
      <c r="A325" s="100">
        <v>9003524700</v>
      </c>
      <c r="B325" s="38" t="s">
        <v>979</v>
      </c>
      <c r="C325" s="38" t="s">
        <v>944</v>
      </c>
      <c r="D325" s="40">
        <f>[1]!Table3[[#This Row],[Residential CLM $ Collected]]+[1]!Table3[[#This Row],[C&amp;I CLM $ Collected]]</f>
        <v>39743.093231999999</v>
      </c>
      <c r="E325" s="36">
        <f>[1]!Table3[[#This Row],[CLM $ Collected ]]/'[1]1.) CLM Reference'!$B$4</f>
        <v>3.5258647834015568E-4</v>
      </c>
      <c r="F325" s="40">
        <f>[1]!Table3[[#This Row],[Residential Incentive Disbursements]]+[1]!Table3[[#This Row],[C&amp;I Incentive Disbursements]]</f>
        <v>14436.07</v>
      </c>
      <c r="G325" s="36">
        <f>[1]!Table3[[#This Row],[Incentive Disbursements]]/'[1]1.) CLM Reference'!$B$5</f>
        <v>1.7662029391470719E-4</v>
      </c>
      <c r="H325" s="40">
        <v>39743.093231999999</v>
      </c>
      <c r="I325" s="36">
        <f>[1]!Table3[[#This Row],[Residential CLM $ Collected]]/'[1]1.) CLM Reference'!$B$4</f>
        <v>3.5258647834015568E-4</v>
      </c>
      <c r="J325" s="41">
        <v>14436.07</v>
      </c>
      <c r="K325" s="36">
        <f>[1]!Table3[[#This Row],[Residential Incentive Disbursements]]/'[1]1.) CLM Reference'!$B$5</f>
        <v>1.7662029391470719E-4</v>
      </c>
      <c r="L325" s="37">
        <v>0</v>
      </c>
      <c r="M325" s="36">
        <f>[1]!Table3[[#This Row],[C&amp;I CLM $ Collected]]/'[1]1.) CLM Reference'!$B$4</f>
        <v>0</v>
      </c>
      <c r="N325" s="41">
        <v>0</v>
      </c>
      <c r="O325" s="36">
        <f>[1]!Table3[[#This Row],[C&amp;I Incentive Disbursements]]/'[1]1.) CLM Reference'!$B$5</f>
        <v>0</v>
      </c>
      <c r="Q325">
        <f>VLOOKUP(Table3[[#This Row],[Census Tract]],'Population and Diversity Data'!$B$2:$K$823,10,FALSE)</f>
        <v>5</v>
      </c>
      <c r="R325" t="str">
        <f>VLOOKUP(Table3[[#This Row],[Census Tract]],'ES Energy Burden'!$B$2:$E$914,4,FALSE)</f>
        <v>No</v>
      </c>
    </row>
    <row r="326" spans="1:18" x14ac:dyDescent="0.2">
      <c r="A326" s="100">
        <v>9003330100</v>
      </c>
      <c r="B326" s="38" t="s">
        <v>2786</v>
      </c>
      <c r="C326" s="38" t="s">
        <v>944</v>
      </c>
      <c r="D326" s="40">
        <f>[1]!Table3[[#This Row],[Residential CLM $ Collected]]+[1]!Table3[[#This Row],[C&amp;I CLM $ Collected]]</f>
        <v>40778.266129920004</v>
      </c>
      <c r="E326" s="36">
        <f>[1]!Table3[[#This Row],[CLM $ Collected ]]/'[1]1.) CLM Reference'!$B$4</f>
        <v>3.61770161261366E-4</v>
      </c>
      <c r="F326" s="40">
        <f>[1]!Table3[[#This Row],[Residential Incentive Disbursements]]+[1]!Table3[[#This Row],[C&amp;I Incentive Disbursements]]</f>
        <v>12321.41</v>
      </c>
      <c r="G326" s="36">
        <f>[1]!Table3[[#This Row],[Incentive Disbursements]]/'[1]1.) CLM Reference'!$B$5</f>
        <v>1.5074816453810577E-4</v>
      </c>
      <c r="H326" s="40">
        <v>36984.536107200001</v>
      </c>
      <c r="I326" s="36">
        <f>[1]!Table3[[#This Row],[Residential CLM $ Collected]]/'[1]1.) CLM Reference'!$B$4</f>
        <v>3.2811354825754596E-4</v>
      </c>
      <c r="J326" s="41">
        <v>12321.41</v>
      </c>
      <c r="K326" s="36">
        <f>[1]!Table3[[#This Row],[Residential Incentive Disbursements]]/'[1]1.) CLM Reference'!$B$5</f>
        <v>1.5074816453810577E-4</v>
      </c>
      <c r="L326" s="37">
        <v>3793.7300227200003</v>
      </c>
      <c r="M326" s="36">
        <f>[1]!Table3[[#This Row],[C&amp;I CLM $ Collected]]/'[1]1.) CLM Reference'!$B$4</f>
        <v>3.3656613003820052E-5</v>
      </c>
      <c r="N326" s="41">
        <v>0</v>
      </c>
      <c r="O326" s="36">
        <f>[1]!Table3[[#This Row],[C&amp;I Incentive Disbursements]]/'[1]1.) CLM Reference'!$B$5</f>
        <v>0</v>
      </c>
      <c r="Q326">
        <f>VLOOKUP(Table3[[#This Row],[Census Tract]],'Population and Diversity Data'!$B$2:$K$823,10,FALSE)</f>
        <v>3</v>
      </c>
      <c r="R326" t="str">
        <f>VLOOKUP(Table3[[#This Row],[Census Tract]],'ES Energy Burden'!$B$2:$E$914,4,FALSE)</f>
        <v>No</v>
      </c>
    </row>
    <row r="327" spans="1:18" x14ac:dyDescent="0.2">
      <c r="A327" s="100">
        <v>9003468101</v>
      </c>
      <c r="B327" s="38" t="s">
        <v>2786</v>
      </c>
      <c r="C327" s="38" t="s">
        <v>944</v>
      </c>
      <c r="D327" s="40">
        <f>[1]!Table3[[#This Row],[Residential CLM $ Collected]]+[1]!Table3[[#This Row],[C&amp;I CLM $ Collected]]</f>
        <v>58.605811199999998</v>
      </c>
      <c r="E327" s="36">
        <f>[1]!Table3[[#This Row],[CLM $ Collected ]]/'[1]1.) CLM Reference'!$B$4</f>
        <v>5.1992975133194472E-7</v>
      </c>
      <c r="F327" s="40">
        <f>[1]!Table3[[#This Row],[Residential Incentive Disbursements]]+[1]!Table3[[#This Row],[C&amp;I Incentive Disbursements]]</f>
        <v>0</v>
      </c>
      <c r="G327" s="36">
        <f>[1]!Table3[[#This Row],[Incentive Disbursements]]/'[1]1.) CLM Reference'!$B$5</f>
        <v>0</v>
      </c>
      <c r="H327" s="40">
        <v>58.605811199999998</v>
      </c>
      <c r="I327" s="36">
        <f>[1]!Table3[[#This Row],[Residential CLM $ Collected]]/'[1]1.) CLM Reference'!$B$4</f>
        <v>5.1992975133194472E-7</v>
      </c>
      <c r="J327" s="41">
        <v>0</v>
      </c>
      <c r="K327" s="36">
        <f>[1]!Table3[[#This Row],[Residential Incentive Disbursements]]/'[1]1.) CLM Reference'!$B$5</f>
        <v>0</v>
      </c>
      <c r="L327" s="37">
        <v>0</v>
      </c>
      <c r="M327" s="36">
        <f>[1]!Table3[[#This Row],[C&amp;I CLM $ Collected]]/'[1]1.) CLM Reference'!$B$4</f>
        <v>0</v>
      </c>
      <c r="N327" s="41">
        <v>0</v>
      </c>
      <c r="O327" s="36">
        <f>[1]!Table3[[#This Row],[C&amp;I Incentive Disbursements]]/'[1]1.) CLM Reference'!$B$5</f>
        <v>0</v>
      </c>
      <c r="Q327">
        <f>VLOOKUP(Table3[[#This Row],[Census Tract]],'Population and Diversity Data'!$B$2:$K$823,10,FALSE)</f>
        <v>1</v>
      </c>
      <c r="R327" t="str">
        <f>VLOOKUP(Table3[[#This Row],[Census Tract]],'ES Energy Burden'!$B$2:$E$914,4,FALSE)</f>
        <v>No</v>
      </c>
    </row>
    <row r="328" spans="1:18" x14ac:dyDescent="0.2">
      <c r="A328" s="100">
        <v>9003410102</v>
      </c>
      <c r="B328" s="38" t="s">
        <v>2787</v>
      </c>
      <c r="C328" s="38" t="s">
        <v>944</v>
      </c>
      <c r="D328" s="40">
        <f>[1]!Table3[[#This Row],[Residential CLM $ Collected]]+[1]!Table3[[#This Row],[C&amp;I CLM $ Collected]]</f>
        <v>819.44516160000001</v>
      </c>
      <c r="E328" s="36">
        <f>[1]!Table3[[#This Row],[CLM $ Collected ]]/'[1]1.) CLM Reference'!$B$4</f>
        <v>7.2698237662283782E-6</v>
      </c>
      <c r="F328" s="40">
        <f>[1]!Table3[[#This Row],[Residential Incentive Disbursements]]+[1]!Table3[[#This Row],[C&amp;I Incentive Disbursements]]</f>
        <v>0</v>
      </c>
      <c r="G328" s="36">
        <f>[1]!Table3[[#This Row],[Incentive Disbursements]]/'[1]1.) CLM Reference'!$B$5</f>
        <v>0</v>
      </c>
      <c r="H328" s="40">
        <v>819.44516160000001</v>
      </c>
      <c r="I328" s="36">
        <f>[1]!Table3[[#This Row],[Residential CLM $ Collected]]/'[1]1.) CLM Reference'!$B$4</f>
        <v>7.2698237662283782E-6</v>
      </c>
      <c r="J328" s="41">
        <v>0</v>
      </c>
      <c r="K328" s="36">
        <f>[1]!Table3[[#This Row],[Residential Incentive Disbursements]]/'[1]1.) CLM Reference'!$B$5</f>
        <v>0</v>
      </c>
      <c r="L328" s="37">
        <v>0</v>
      </c>
      <c r="M328" s="36">
        <f>[1]!Table3[[#This Row],[C&amp;I CLM $ Collected]]/'[1]1.) CLM Reference'!$B$4</f>
        <v>0</v>
      </c>
      <c r="N328" s="41">
        <v>0</v>
      </c>
      <c r="O328" s="36">
        <f>[1]!Table3[[#This Row],[C&amp;I Incentive Disbursements]]/'[1]1.) CLM Reference'!$B$5</f>
        <v>0</v>
      </c>
      <c r="Q328">
        <f>VLOOKUP(Table3[[#This Row],[Census Tract]],'Population and Diversity Data'!$B$2:$K$823,10,FALSE)</f>
        <v>2</v>
      </c>
      <c r="R328" t="str">
        <f>VLOOKUP(Table3[[#This Row],[Census Tract]],'ES Energy Burden'!$B$2:$E$914,4,FALSE)</f>
        <v>No</v>
      </c>
    </row>
    <row r="329" spans="1:18" x14ac:dyDescent="0.2">
      <c r="A329" s="100">
        <v>9005298300</v>
      </c>
      <c r="B329" s="38" t="s">
        <v>2787</v>
      </c>
      <c r="C329" s="38" t="s">
        <v>944</v>
      </c>
      <c r="D329" s="40">
        <f>[1]!Table3[[#This Row],[Residential CLM $ Collected]]+[1]!Table3[[#This Row],[C&amp;I CLM $ Collected]]</f>
        <v>56629.998823680005</v>
      </c>
      <c r="E329" s="36">
        <f>[1]!Table3[[#This Row],[CLM $ Collected ]]/'[1]1.) CLM Reference'!$B$4</f>
        <v>5.0240105210461227E-4</v>
      </c>
      <c r="F329" s="40">
        <f>[1]!Table3[[#This Row],[Residential Incentive Disbursements]]+[1]!Table3[[#This Row],[C&amp;I Incentive Disbursements]]</f>
        <v>11448.81</v>
      </c>
      <c r="G329" s="36">
        <f>[1]!Table3[[#This Row],[Incentive Disbursements]]/'[1]1.) CLM Reference'!$B$5</f>
        <v>1.4007220712933914E-4</v>
      </c>
      <c r="H329" s="40">
        <v>56592.082183680002</v>
      </c>
      <c r="I329" s="36">
        <f>[1]!Table3[[#This Row],[Residential CLM $ Collected]]/'[1]1.) CLM Reference'!$B$4</f>
        <v>5.0206466926470462E-4</v>
      </c>
      <c r="J329" s="41">
        <v>11448.81</v>
      </c>
      <c r="K329" s="36">
        <f>[1]!Table3[[#This Row],[Residential Incentive Disbursements]]/'[1]1.) CLM Reference'!$B$5</f>
        <v>1.4007220712933914E-4</v>
      </c>
      <c r="L329" s="37">
        <v>37.916640000000001</v>
      </c>
      <c r="M329" s="36">
        <f>[1]!Table3[[#This Row],[C&amp;I CLM $ Collected]]/'[1]1.) CLM Reference'!$B$4</f>
        <v>3.3638283990756994E-7</v>
      </c>
      <c r="N329" s="41">
        <v>0</v>
      </c>
      <c r="O329" s="36">
        <f>[1]!Table3[[#This Row],[C&amp;I Incentive Disbursements]]/'[1]1.) CLM Reference'!$B$5</f>
        <v>0</v>
      </c>
      <c r="Q329">
        <f>VLOOKUP(Table3[[#This Row],[Census Tract]],'Population and Diversity Data'!$B$2:$K$823,10,FALSE)</f>
        <v>1</v>
      </c>
      <c r="R329" t="str">
        <f>VLOOKUP(Table3[[#This Row],[Census Tract]],'ES Energy Burden'!$B$2:$E$914,4,FALSE)</f>
        <v>No</v>
      </c>
    </row>
    <row r="330" spans="1:18" x14ac:dyDescent="0.2">
      <c r="A330" s="100">
        <v>9005298400</v>
      </c>
      <c r="B330" s="38" t="s">
        <v>2787</v>
      </c>
      <c r="C330" s="38" t="s">
        <v>944</v>
      </c>
      <c r="D330" s="40">
        <f>[1]!Table3[[#This Row],[Residential CLM $ Collected]]+[1]!Table3[[#This Row],[C&amp;I CLM $ Collected]]</f>
        <v>84260.560625280006</v>
      </c>
      <c r="E330" s="36">
        <f>[1]!Table3[[#This Row],[CLM $ Collected ]]/'[1]1.) CLM Reference'!$B$4</f>
        <v>7.4752949299662771E-4</v>
      </c>
      <c r="F330" s="40">
        <f>[1]!Table3[[#This Row],[Residential Incentive Disbursements]]+[1]!Table3[[#This Row],[C&amp;I Incentive Disbursements]]</f>
        <v>57299.408799999997</v>
      </c>
      <c r="G330" s="36">
        <f>[1]!Table3[[#This Row],[Incentive Disbursements]]/'[1]1.) CLM Reference'!$B$5</f>
        <v>7.010383313045004E-4</v>
      </c>
      <c r="H330" s="40">
        <v>67464.014728320006</v>
      </c>
      <c r="I330" s="36">
        <f>[1]!Table3[[#This Row],[Residential CLM $ Collected]]/'[1]1.) CLM Reference'!$B$4</f>
        <v>5.9851655805679002E-4</v>
      </c>
      <c r="J330" s="41">
        <v>51350.918799999999</v>
      </c>
      <c r="K330" s="36">
        <f>[1]!Table3[[#This Row],[Residential Incentive Disbursements]]/'[1]1.) CLM Reference'!$B$5</f>
        <v>6.282606257275189E-4</v>
      </c>
      <c r="L330" s="37">
        <v>16796.54589696</v>
      </c>
      <c r="M330" s="36">
        <f>[1]!Table3[[#This Row],[C&amp;I CLM $ Collected]]/'[1]1.) CLM Reference'!$B$4</f>
        <v>1.4901293493983767E-4</v>
      </c>
      <c r="N330" s="41">
        <v>5948.49</v>
      </c>
      <c r="O330" s="36">
        <f>[1]!Table3[[#This Row],[C&amp;I Incentive Disbursements]]/'[1]1.) CLM Reference'!$B$5</f>
        <v>7.2777705576981591E-5</v>
      </c>
      <c r="Q330">
        <f>VLOOKUP(Table3[[#This Row],[Census Tract]],'Population and Diversity Data'!$B$2:$K$823,10,FALSE)</f>
        <v>1</v>
      </c>
      <c r="R330" t="str">
        <f>VLOOKUP(Table3[[#This Row],[Census Tract]],'ES Energy Burden'!$B$2:$E$914,4,FALSE)</f>
        <v>No</v>
      </c>
    </row>
    <row r="331" spans="1:18" x14ac:dyDescent="0.2">
      <c r="A331" s="100">
        <v>9005310400</v>
      </c>
      <c r="B331" s="38" t="s">
        <v>2787</v>
      </c>
      <c r="C331" s="38" t="s">
        <v>944</v>
      </c>
      <c r="D331" s="40">
        <f>[1]!Table3[[#This Row],[Residential CLM $ Collected]]+[1]!Table3[[#This Row],[C&amp;I CLM $ Collected]]</f>
        <v>525.13099199999999</v>
      </c>
      <c r="E331" s="36">
        <f>[1]!Table3[[#This Row],[CLM $ Collected ]]/'[1]1.) CLM Reference'!$B$4</f>
        <v>4.6587739423229321E-6</v>
      </c>
      <c r="F331" s="40">
        <f>[1]!Table3[[#This Row],[Residential Incentive Disbursements]]+[1]!Table3[[#This Row],[C&amp;I Incentive Disbursements]]</f>
        <v>841.03</v>
      </c>
      <c r="G331" s="36">
        <f>[1]!Table3[[#This Row],[Incentive Disbursements]]/'[1]1.) CLM Reference'!$B$5</f>
        <v>1.0289709442465033E-5</v>
      </c>
      <c r="H331" s="40">
        <v>525.13099199999999</v>
      </c>
      <c r="I331" s="36">
        <f>[1]!Table3[[#This Row],[Residential CLM $ Collected]]/'[1]1.) CLM Reference'!$B$4</f>
        <v>4.6587739423229321E-6</v>
      </c>
      <c r="J331" s="41">
        <v>841.03</v>
      </c>
      <c r="K331" s="36">
        <f>[1]!Table3[[#This Row],[Residential Incentive Disbursements]]/'[1]1.) CLM Reference'!$B$5</f>
        <v>1.0289709442465033E-5</v>
      </c>
      <c r="L331" s="37">
        <v>0</v>
      </c>
      <c r="M331" s="36">
        <f>[1]!Table3[[#This Row],[C&amp;I CLM $ Collected]]/'[1]1.) CLM Reference'!$B$4</f>
        <v>0</v>
      </c>
      <c r="N331" s="41">
        <v>0</v>
      </c>
      <c r="O331" s="36">
        <f>[1]!Table3[[#This Row],[C&amp;I Incentive Disbursements]]/'[1]1.) CLM Reference'!$B$5</f>
        <v>0</v>
      </c>
      <c r="Q331">
        <f>VLOOKUP(Table3[[#This Row],[Census Tract]],'Population and Diversity Data'!$B$2:$K$823,10,FALSE)</f>
        <v>3</v>
      </c>
      <c r="R331" t="str">
        <f>VLOOKUP(Table3[[#This Row],[Census Tract]],'ES Energy Burden'!$B$2:$E$914,4,FALSE)</f>
        <v>No</v>
      </c>
    </row>
    <row r="332" spans="1:18" x14ac:dyDescent="0.2">
      <c r="A332" s="100">
        <v>9005349200</v>
      </c>
      <c r="B332" s="38" t="s">
        <v>2787</v>
      </c>
      <c r="C332" s="38" t="s">
        <v>944</v>
      </c>
      <c r="D332" s="40">
        <f>[1]!Table3[[#This Row],[Residential CLM $ Collected]]+[1]!Table3[[#This Row],[C&amp;I CLM $ Collected]]</f>
        <v>24.486623999999999</v>
      </c>
      <c r="E332" s="36">
        <f>[1]!Table3[[#This Row],[CLM $ Collected ]]/'[1]1.) CLM Reference'!$B$4</f>
        <v>2.1723655157389628E-7</v>
      </c>
      <c r="F332" s="40">
        <f>[1]!Table3[[#This Row],[Residential Incentive Disbursements]]+[1]!Table3[[#This Row],[C&amp;I Incentive Disbursements]]</f>
        <v>0</v>
      </c>
      <c r="G332" s="36">
        <f>[1]!Table3[[#This Row],[Incentive Disbursements]]/'[1]1.) CLM Reference'!$B$5</f>
        <v>0</v>
      </c>
      <c r="H332" s="40">
        <v>24.486623999999999</v>
      </c>
      <c r="I332" s="36">
        <f>[1]!Table3[[#This Row],[Residential CLM $ Collected]]/'[1]1.) CLM Reference'!$B$4</f>
        <v>2.1723655157389628E-7</v>
      </c>
      <c r="J332" s="41">
        <v>0</v>
      </c>
      <c r="K332" s="36">
        <f>[1]!Table3[[#This Row],[Residential Incentive Disbursements]]/'[1]1.) CLM Reference'!$B$5</f>
        <v>0</v>
      </c>
      <c r="L332" s="37">
        <v>0</v>
      </c>
      <c r="M332" s="36">
        <f>[1]!Table3[[#This Row],[C&amp;I CLM $ Collected]]/'[1]1.) CLM Reference'!$B$4</f>
        <v>0</v>
      </c>
      <c r="N332" s="41">
        <v>0</v>
      </c>
      <c r="O332" s="36">
        <f>[1]!Table3[[#This Row],[C&amp;I Incentive Disbursements]]/'[1]1.) CLM Reference'!$B$5</f>
        <v>0</v>
      </c>
      <c r="Q332">
        <f>VLOOKUP(Table3[[#This Row],[Census Tract]],'Population and Diversity Data'!$B$2:$K$823,10,FALSE)</f>
        <v>1</v>
      </c>
      <c r="R332" t="str">
        <f>VLOOKUP(Table3[[#This Row],[Census Tract]],'ES Energy Burden'!$B$2:$E$914,4,FALSE)</f>
        <v>No</v>
      </c>
    </row>
    <row r="333" spans="1:18" x14ac:dyDescent="0.2">
      <c r="A333" s="100">
        <v>9005425300</v>
      </c>
      <c r="B333" s="38" t="s">
        <v>2787</v>
      </c>
      <c r="C333" s="38" t="s">
        <v>944</v>
      </c>
      <c r="D333" s="40">
        <f>[1]!Table3[[#This Row],[Residential CLM $ Collected]]+[1]!Table3[[#This Row],[C&amp;I CLM $ Collected]]</f>
        <v>51.618729600000002</v>
      </c>
      <c r="E333" s="36">
        <f>[1]!Table3[[#This Row],[CLM $ Collected ]]/'[1]1.) CLM Reference'!$B$4</f>
        <v>4.5794286770317574E-7</v>
      </c>
      <c r="F333" s="40">
        <f>[1]!Table3[[#This Row],[Residential Incentive Disbursements]]+[1]!Table3[[#This Row],[C&amp;I Incentive Disbursements]]</f>
        <v>0</v>
      </c>
      <c r="G333" s="36">
        <f>[1]!Table3[[#This Row],[Incentive Disbursements]]/'[1]1.) CLM Reference'!$B$5</f>
        <v>0</v>
      </c>
      <c r="H333" s="40">
        <v>51.618729600000002</v>
      </c>
      <c r="I333" s="36">
        <f>[1]!Table3[[#This Row],[Residential CLM $ Collected]]/'[1]1.) CLM Reference'!$B$4</f>
        <v>4.5794286770317574E-7</v>
      </c>
      <c r="J333" s="41">
        <v>0</v>
      </c>
      <c r="K333" s="36">
        <f>[1]!Table3[[#This Row],[Residential Incentive Disbursements]]/'[1]1.) CLM Reference'!$B$5</f>
        <v>0</v>
      </c>
      <c r="L333" s="37">
        <v>0</v>
      </c>
      <c r="M333" s="36">
        <f>[1]!Table3[[#This Row],[C&amp;I CLM $ Collected]]/'[1]1.) CLM Reference'!$B$4</f>
        <v>0</v>
      </c>
      <c r="N333" s="41">
        <v>0</v>
      </c>
      <c r="O333" s="36">
        <f>[1]!Table3[[#This Row],[C&amp;I Incentive Disbursements]]/'[1]1.) CLM Reference'!$B$5</f>
        <v>0</v>
      </c>
      <c r="Q333">
        <f>VLOOKUP(Table3[[#This Row],[Census Tract]],'Population and Diversity Data'!$B$2:$K$823,10,FALSE)</f>
        <v>1</v>
      </c>
      <c r="R333" t="str">
        <f>VLOOKUP(Table3[[#This Row],[Census Tract]],'ES Energy Burden'!$B$2:$E$914,4,FALSE)</f>
        <v>No</v>
      </c>
    </row>
    <row r="334" spans="1:18" x14ac:dyDescent="0.2">
      <c r="A334" s="100">
        <v>9003520201</v>
      </c>
      <c r="B334" s="38" t="s">
        <v>2788</v>
      </c>
      <c r="C334" s="38" t="s">
        <v>944</v>
      </c>
      <c r="D334" s="40">
        <f>[1]!Table3[[#This Row],[Residential CLM $ Collected]]+[1]!Table3[[#This Row],[C&amp;I CLM $ Collected]]</f>
        <v>66.993782400000001</v>
      </c>
      <c r="E334" s="36">
        <f>[1]!Table3[[#This Row],[CLM $ Collected ]]/'[1]1.) CLM Reference'!$B$4</f>
        <v>5.9434482538172624E-7</v>
      </c>
      <c r="F334" s="40">
        <f>[1]!Table3[[#This Row],[Residential Incentive Disbursements]]+[1]!Table3[[#This Row],[C&amp;I Incentive Disbursements]]</f>
        <v>0</v>
      </c>
      <c r="G334" s="36">
        <f>[1]!Table3[[#This Row],[Incentive Disbursements]]/'[1]1.) CLM Reference'!$B$5</f>
        <v>0</v>
      </c>
      <c r="H334" s="40">
        <v>66.993782400000001</v>
      </c>
      <c r="I334" s="36">
        <f>[1]!Table3[[#This Row],[Residential CLM $ Collected]]/'[1]1.) CLM Reference'!$B$4</f>
        <v>5.9434482538172624E-7</v>
      </c>
      <c r="J334" s="41">
        <v>0</v>
      </c>
      <c r="K334" s="36">
        <f>[1]!Table3[[#This Row],[Residential Incentive Disbursements]]/'[1]1.) CLM Reference'!$B$5</f>
        <v>0</v>
      </c>
      <c r="L334" s="37">
        <v>0</v>
      </c>
      <c r="M334" s="36">
        <f>[1]!Table3[[#This Row],[C&amp;I CLM $ Collected]]/'[1]1.) CLM Reference'!$B$4</f>
        <v>0</v>
      </c>
      <c r="N334" s="41">
        <v>0</v>
      </c>
      <c r="O334" s="36">
        <f>[1]!Table3[[#This Row],[C&amp;I Incentive Disbursements]]/'[1]1.) CLM Reference'!$B$5</f>
        <v>0</v>
      </c>
      <c r="Q334">
        <f>VLOOKUP(Table3[[#This Row],[Census Tract]],'Population and Diversity Data'!$B$2:$K$823,10,FALSE)</f>
        <v>4</v>
      </c>
      <c r="R334" t="str">
        <f>VLOOKUP(Table3[[#This Row],[Census Tract]],'ES Energy Burden'!$B$2:$E$914,4,FALSE)</f>
        <v>No</v>
      </c>
    </row>
    <row r="335" spans="1:18" x14ac:dyDescent="0.2">
      <c r="A335" s="100">
        <v>9011714104</v>
      </c>
      <c r="B335" s="38" t="s">
        <v>2788</v>
      </c>
      <c r="C335" s="38" t="s">
        <v>944</v>
      </c>
      <c r="D335" s="40">
        <f>[1]!Table3[[#This Row],[Residential CLM $ Collected]]+[1]!Table3[[#This Row],[C&amp;I CLM $ Collected]]</f>
        <v>991.81825920000006</v>
      </c>
      <c r="E335" s="36">
        <f>[1]!Table3[[#This Row],[CLM $ Collected ]]/'[1]1.) CLM Reference'!$B$4</f>
        <v>8.7990561057593257E-6</v>
      </c>
      <c r="F335" s="40">
        <f>[1]!Table3[[#This Row],[Residential Incentive Disbursements]]+[1]!Table3[[#This Row],[C&amp;I Incentive Disbursements]]</f>
        <v>0</v>
      </c>
      <c r="G335" s="36">
        <f>[1]!Table3[[#This Row],[Incentive Disbursements]]/'[1]1.) CLM Reference'!$B$5</f>
        <v>0</v>
      </c>
      <c r="H335" s="40">
        <v>991.81825920000006</v>
      </c>
      <c r="I335" s="36">
        <f>[1]!Table3[[#This Row],[Residential CLM $ Collected]]/'[1]1.) CLM Reference'!$B$4</f>
        <v>8.7990561057593257E-6</v>
      </c>
      <c r="J335" s="41">
        <v>0</v>
      </c>
      <c r="K335" s="36">
        <f>[1]!Table3[[#This Row],[Residential Incentive Disbursements]]/'[1]1.) CLM Reference'!$B$5</f>
        <v>0</v>
      </c>
      <c r="L335" s="37">
        <v>0</v>
      </c>
      <c r="M335" s="36">
        <f>[1]!Table3[[#This Row],[C&amp;I CLM $ Collected]]/'[1]1.) CLM Reference'!$B$4</f>
        <v>0</v>
      </c>
      <c r="N335" s="41">
        <v>0</v>
      </c>
      <c r="O335" s="36">
        <f>[1]!Table3[[#This Row],[C&amp;I Incentive Disbursements]]/'[1]1.) CLM Reference'!$B$5</f>
        <v>0</v>
      </c>
      <c r="Q335">
        <f>VLOOKUP(Table3[[#This Row],[Census Tract]],'Population and Diversity Data'!$B$2:$K$823,10,FALSE)</f>
        <v>1</v>
      </c>
      <c r="R335" t="str">
        <f>VLOOKUP(Table3[[#This Row],[Census Tract]],'ES Energy Burden'!$B$2:$E$914,4,FALSE)</f>
        <v>No</v>
      </c>
    </row>
    <row r="336" spans="1:18" x14ac:dyDescent="0.2">
      <c r="A336" s="100">
        <v>9013526101</v>
      </c>
      <c r="B336" s="38" t="s">
        <v>2788</v>
      </c>
      <c r="C336" s="38" t="s">
        <v>944</v>
      </c>
      <c r="D336" s="40">
        <f>[1]!Table3[[#This Row],[Residential CLM $ Collected]]+[1]!Table3[[#This Row],[C&amp;I CLM $ Collected]]</f>
        <v>49109.467147199997</v>
      </c>
      <c r="E336" s="36">
        <f>[1]!Table3[[#This Row],[CLM $ Collected ]]/'[1]1.) CLM Reference'!$B$4</f>
        <v>4.3568159059775976E-4</v>
      </c>
      <c r="F336" s="40">
        <f>[1]!Table3[[#This Row],[Residential Incentive Disbursements]]+[1]!Table3[[#This Row],[C&amp;I Incentive Disbursements]]</f>
        <v>6905.26</v>
      </c>
      <c r="G336" s="36">
        <f>[1]!Table3[[#This Row],[Incentive Disbursements]]/'[1]1.) CLM Reference'!$B$5</f>
        <v>8.4483453651684358E-5</v>
      </c>
      <c r="H336" s="40">
        <v>49109.467147199997</v>
      </c>
      <c r="I336" s="36">
        <f>[1]!Table3[[#This Row],[Residential CLM $ Collected]]/'[1]1.) CLM Reference'!$B$4</f>
        <v>4.3568159059775976E-4</v>
      </c>
      <c r="J336" s="41">
        <v>6905.26</v>
      </c>
      <c r="K336" s="36">
        <f>[1]!Table3[[#This Row],[Residential Incentive Disbursements]]/'[1]1.) CLM Reference'!$B$5</f>
        <v>8.4483453651684358E-5</v>
      </c>
      <c r="L336" s="37">
        <v>0</v>
      </c>
      <c r="M336" s="36">
        <f>[1]!Table3[[#This Row],[C&amp;I CLM $ Collected]]/'[1]1.) CLM Reference'!$B$4</f>
        <v>0</v>
      </c>
      <c r="N336" s="41">
        <v>0</v>
      </c>
      <c r="O336" s="36">
        <f>[1]!Table3[[#This Row],[C&amp;I Incentive Disbursements]]/'[1]1.) CLM Reference'!$B$5</f>
        <v>0</v>
      </c>
      <c r="Q336">
        <f>VLOOKUP(Table3[[#This Row],[Census Tract]],'Population and Diversity Data'!$B$2:$K$823,10,FALSE)</f>
        <v>2</v>
      </c>
      <c r="R336" t="str">
        <f>VLOOKUP(Table3[[#This Row],[Census Tract]],'ES Energy Burden'!$B$2:$E$914,4,FALSE)</f>
        <v>No</v>
      </c>
    </row>
    <row r="337" spans="1:18" x14ac:dyDescent="0.2">
      <c r="A337" s="100">
        <v>9013526102</v>
      </c>
      <c r="B337" s="38" t="s">
        <v>2788</v>
      </c>
      <c r="C337" s="38" t="s">
        <v>944</v>
      </c>
      <c r="D337" s="40">
        <f>[1]!Table3[[#This Row],[Residential CLM $ Collected]]+[1]!Table3[[#This Row],[C&amp;I CLM $ Collected]]</f>
        <v>166494.54109824001</v>
      </c>
      <c r="E337" s="36">
        <f>[1]!Table3[[#This Row],[CLM $ Collected ]]/'[1]1.) CLM Reference'!$B$4</f>
        <v>1.477079893253558E-3</v>
      </c>
      <c r="F337" s="40">
        <f>[1]!Table3[[#This Row],[Residential Incentive Disbursements]]+[1]!Table3[[#This Row],[C&amp;I Incentive Disbursements]]</f>
        <v>82230.272499999992</v>
      </c>
      <c r="G337" s="36">
        <f>[1]!Table3[[#This Row],[Incentive Disbursements]]/'[1]1.) CLM Reference'!$B$5</f>
        <v>1.0060587748352886E-3</v>
      </c>
      <c r="H337" s="40">
        <v>136065.06323711999</v>
      </c>
      <c r="I337" s="36">
        <f>[1]!Table3[[#This Row],[Residential CLM $ Collected]]/'[1]1.) CLM Reference'!$B$4</f>
        <v>1.2071204722756423E-3</v>
      </c>
      <c r="J337" s="43">
        <v>75257.462499999994</v>
      </c>
      <c r="K337" s="36">
        <f>[1]!Table3[[#This Row],[Residential Incentive Disbursements]]/'[1]1.) CLM Reference'!$B$5</f>
        <v>9.2074887043530921E-4</v>
      </c>
      <c r="L337" s="37">
        <v>30429.477861120002</v>
      </c>
      <c r="M337" s="36">
        <f>[1]!Table3[[#This Row],[C&amp;I CLM $ Collected]]/'[1]1.) CLM Reference'!$B$4</f>
        <v>2.6995942097791557E-4</v>
      </c>
      <c r="N337" s="41">
        <v>6972.81</v>
      </c>
      <c r="O337" s="36">
        <f>[1]!Table3[[#This Row],[C&amp;I Incentive Disbursements]]/'[1]1.) CLM Reference'!$B$5</f>
        <v>8.5309904399979324E-5</v>
      </c>
      <c r="Q337">
        <f>VLOOKUP(Table3[[#This Row],[Census Tract]],'Population and Diversity Data'!$B$2:$K$823,10,FALSE)</f>
        <v>1</v>
      </c>
      <c r="R337" t="str">
        <f>VLOOKUP(Table3[[#This Row],[Census Tract]],'ES Energy Burden'!$B$2:$E$914,4,FALSE)</f>
        <v>No</v>
      </c>
    </row>
    <row r="338" spans="1:18" x14ac:dyDescent="0.2">
      <c r="A338" s="100">
        <v>9013860100</v>
      </c>
      <c r="B338" s="38" t="s">
        <v>2788</v>
      </c>
      <c r="C338" s="38" t="s">
        <v>944</v>
      </c>
      <c r="D338" s="40">
        <f>[1]!Table3[[#This Row],[Residential CLM $ Collected]]+[1]!Table3[[#This Row],[C&amp;I CLM $ Collected]]</f>
        <v>234.27273600000001</v>
      </c>
      <c r="E338" s="36">
        <f>[1]!Table3[[#This Row],[CLM $ Collected ]]/'[1]1.) CLM Reference'!$B$4</f>
        <v>2.0783837451999016E-6</v>
      </c>
      <c r="F338" s="40">
        <f>[1]!Table3[[#This Row],[Residential Incentive Disbursements]]+[1]!Table3[[#This Row],[C&amp;I Incentive Disbursements]]</f>
        <v>0</v>
      </c>
      <c r="G338" s="36">
        <f>[1]!Table3[[#This Row],[Incentive Disbursements]]/'[1]1.) CLM Reference'!$B$5</f>
        <v>0</v>
      </c>
      <c r="H338" s="40">
        <v>234.27273600000001</v>
      </c>
      <c r="I338" s="36">
        <f>[1]!Table3[[#This Row],[Residential CLM $ Collected]]/'[1]1.) CLM Reference'!$B$4</f>
        <v>2.0783837451999016E-6</v>
      </c>
      <c r="J338" s="41">
        <v>0</v>
      </c>
      <c r="K338" s="36">
        <f>[1]!Table3[[#This Row],[Residential Incentive Disbursements]]/'[1]1.) CLM Reference'!$B$5</f>
        <v>0</v>
      </c>
      <c r="L338" s="37">
        <v>0</v>
      </c>
      <c r="M338" s="36">
        <f>[1]!Table3[[#This Row],[C&amp;I CLM $ Collected]]/'[1]1.) CLM Reference'!$B$4</f>
        <v>0</v>
      </c>
      <c r="N338" s="41">
        <v>0</v>
      </c>
      <c r="O338" s="36">
        <f>[1]!Table3[[#This Row],[C&amp;I Incentive Disbursements]]/'[1]1.) CLM Reference'!$B$5</f>
        <v>0</v>
      </c>
      <c r="Q338">
        <f>VLOOKUP(Table3[[#This Row],[Census Tract]],'Population and Diversity Data'!$B$2:$K$823,10,FALSE)</f>
        <v>1</v>
      </c>
      <c r="R338" t="str">
        <f>VLOOKUP(Table3[[#This Row],[Census Tract]],'ES Energy Burden'!$B$2:$E$914,4,FALSE)</f>
        <v>No</v>
      </c>
    </row>
    <row r="339" spans="1:18" x14ac:dyDescent="0.2">
      <c r="A339" s="100">
        <v>9005253500</v>
      </c>
      <c r="B339" s="38" t="s">
        <v>2789</v>
      </c>
      <c r="C339" s="38" t="s">
        <v>944</v>
      </c>
      <c r="D339" s="40">
        <f>[1]!Table3[[#This Row],[Residential CLM $ Collected]]+[1]!Table3[[#This Row],[C&amp;I CLM $ Collected]]</f>
        <v>135.63158400000003</v>
      </c>
      <c r="E339" s="36">
        <f>[1]!Table3[[#This Row],[CLM $ Collected ]]/'[1]1.) CLM Reference'!$B$4</f>
        <v>1.2032747998525748E-6</v>
      </c>
      <c r="F339" s="40">
        <f>[1]!Table3[[#This Row],[Residential Incentive Disbursements]]+[1]!Table3[[#This Row],[C&amp;I Incentive Disbursements]]</f>
        <v>0</v>
      </c>
      <c r="G339" s="36">
        <f>[1]!Table3[[#This Row],[Incentive Disbursements]]/'[1]1.) CLM Reference'!$B$5</f>
        <v>0</v>
      </c>
      <c r="H339" s="40">
        <v>135.63158400000003</v>
      </c>
      <c r="I339" s="36">
        <f>[1]!Table3[[#This Row],[Residential CLM $ Collected]]/'[1]1.) CLM Reference'!$B$4</f>
        <v>1.2032747998525748E-6</v>
      </c>
      <c r="J339" s="41">
        <v>0</v>
      </c>
      <c r="K339" s="36">
        <f>[1]!Table3[[#This Row],[Residential Incentive Disbursements]]/'[1]1.) CLM Reference'!$B$5</f>
        <v>0</v>
      </c>
      <c r="L339" s="37">
        <v>0</v>
      </c>
      <c r="M339" s="36">
        <f>[1]!Table3[[#This Row],[C&amp;I CLM $ Collected]]/'[1]1.) CLM Reference'!$B$4</f>
        <v>0</v>
      </c>
      <c r="N339" s="41">
        <v>0</v>
      </c>
      <c r="O339" s="36">
        <f>[1]!Table3[[#This Row],[C&amp;I Incentive Disbursements]]/'[1]1.) CLM Reference'!$B$5</f>
        <v>0</v>
      </c>
      <c r="Q339">
        <f>VLOOKUP(Table3[[#This Row],[Census Tract]],'Population and Diversity Data'!$B$2:$K$823,10,FALSE)</f>
        <v>4</v>
      </c>
      <c r="R339" t="str">
        <f>VLOOKUP(Table3[[#This Row],[Census Tract]],'ES Energy Burden'!$B$2:$E$914,4,FALSE)</f>
        <v>No</v>
      </c>
    </row>
    <row r="340" spans="1:18" x14ac:dyDescent="0.2">
      <c r="A340" s="100">
        <v>9005265100</v>
      </c>
      <c r="B340" s="38" t="s">
        <v>2789</v>
      </c>
      <c r="C340" s="38" t="s">
        <v>944</v>
      </c>
      <c r="D340" s="40">
        <f>[1]!Table3[[#This Row],[Residential CLM $ Collected]]+[1]!Table3[[#This Row],[C&amp;I CLM $ Collected]]</f>
        <v>75.347020799999996</v>
      </c>
      <c r="E340" s="36">
        <f>[1]!Table3[[#This Row],[CLM $ Collected ]]/'[1]1.) CLM Reference'!$B$4</f>
        <v>6.6845176247892055E-7</v>
      </c>
      <c r="F340" s="40">
        <f>[1]!Table3[[#This Row],[Residential Incentive Disbursements]]+[1]!Table3[[#This Row],[C&amp;I Incentive Disbursements]]</f>
        <v>0</v>
      </c>
      <c r="G340" s="36">
        <f>[1]!Table3[[#This Row],[Incentive Disbursements]]/'[1]1.) CLM Reference'!$B$5</f>
        <v>0</v>
      </c>
      <c r="H340" s="40">
        <v>75.347020799999996</v>
      </c>
      <c r="I340" s="36">
        <f>[1]!Table3[[#This Row],[Residential CLM $ Collected]]/'[1]1.) CLM Reference'!$B$4</f>
        <v>6.6845176247892055E-7</v>
      </c>
      <c r="J340" s="41">
        <v>0</v>
      </c>
      <c r="K340" s="36">
        <f>[1]!Table3[[#This Row],[Residential Incentive Disbursements]]/'[1]1.) CLM Reference'!$B$5</f>
        <v>0</v>
      </c>
      <c r="L340" s="37">
        <v>0</v>
      </c>
      <c r="M340" s="36">
        <f>[1]!Table3[[#This Row],[C&amp;I CLM $ Collected]]/'[1]1.) CLM Reference'!$B$4</f>
        <v>0</v>
      </c>
      <c r="N340" s="41">
        <v>0</v>
      </c>
      <c r="O340" s="36">
        <f>[1]!Table3[[#This Row],[C&amp;I Incentive Disbursements]]/'[1]1.) CLM Reference'!$B$5</f>
        <v>0</v>
      </c>
      <c r="Q340">
        <f>VLOOKUP(Table3[[#This Row],[Census Tract]],'Population and Diversity Data'!$B$2:$K$823,10,FALSE)</f>
        <v>1</v>
      </c>
      <c r="R340" t="str">
        <f>VLOOKUP(Table3[[#This Row],[Census Tract]],'ES Energy Burden'!$B$2:$E$914,4,FALSE)</f>
        <v>No</v>
      </c>
    </row>
    <row r="341" spans="1:18" x14ac:dyDescent="0.2">
      <c r="A341" s="100">
        <v>9005266100</v>
      </c>
      <c r="B341" s="38" t="s">
        <v>2789</v>
      </c>
      <c r="C341" s="38" t="s">
        <v>944</v>
      </c>
      <c r="D341" s="40">
        <f>[1]!Table3[[#This Row],[Residential CLM $ Collected]]+[1]!Table3[[#This Row],[C&amp;I CLM $ Collected]]</f>
        <v>153538.50220128</v>
      </c>
      <c r="E341" s="36">
        <f>[1]!Table3[[#This Row],[CLM $ Collected ]]/'[1]1.) CLM Reference'!$B$4</f>
        <v>1.3621385598940529E-3</v>
      </c>
      <c r="F341" s="40">
        <f>[1]!Table3[[#This Row],[Residential Incentive Disbursements]]+[1]!Table3[[#This Row],[C&amp;I Incentive Disbursements]]</f>
        <v>30652.258000000002</v>
      </c>
      <c r="G341" s="36">
        <f>[1]!Table3[[#This Row],[Incentive Disbursements]]/'[1]1.) CLM Reference'!$B$5</f>
        <v>3.7501971222842753E-4</v>
      </c>
      <c r="H341" s="40">
        <v>107590.69931904001</v>
      </c>
      <c r="I341" s="36">
        <f>[1]!Table3[[#This Row],[Residential CLM $ Collected]]/'[1]1.) CLM Reference'!$B$4</f>
        <v>9.5450612144378107E-4</v>
      </c>
      <c r="J341" s="41">
        <v>25083.518</v>
      </c>
      <c r="K341" s="36">
        <f>[1]!Table3[[#This Row],[Residential Incentive Disbursements]]/'[1]1.) CLM Reference'!$B$5</f>
        <v>3.0688811578046161E-4</v>
      </c>
      <c r="L341" s="37">
        <v>45947.802882239994</v>
      </c>
      <c r="M341" s="36">
        <f>[1]!Table3[[#This Row],[C&amp;I CLM $ Collected]]/'[1]1.) CLM Reference'!$B$4</f>
        <v>4.0763243845027186E-4</v>
      </c>
      <c r="N341" s="41">
        <v>5568.74</v>
      </c>
      <c r="O341" s="36">
        <f>[1]!Table3[[#This Row],[C&amp;I Incentive Disbursements]]/'[1]1.) CLM Reference'!$B$5</f>
        <v>6.8131596447965862E-5</v>
      </c>
      <c r="Q341">
        <f>VLOOKUP(Table3[[#This Row],[Census Tract]],'Population and Diversity Data'!$B$2:$K$823,10,FALSE)</f>
        <v>2</v>
      </c>
      <c r="R341" t="str">
        <f>VLOOKUP(Table3[[#This Row],[Census Tract]],'ES Energy Burden'!$B$2:$E$914,4,FALSE)</f>
        <v>No</v>
      </c>
    </row>
    <row r="342" spans="1:18" x14ac:dyDescent="0.2">
      <c r="A342" s="100">
        <v>9015904100</v>
      </c>
      <c r="B342" s="38" t="s">
        <v>2790</v>
      </c>
      <c r="C342" s="38" t="s">
        <v>944</v>
      </c>
      <c r="D342" s="40">
        <f>[1]!Table3[[#This Row],[Residential CLM $ Collected]]+[1]!Table3[[#This Row],[C&amp;I CLM $ Collected]]</f>
        <v>259469.20060127997</v>
      </c>
      <c r="E342" s="36">
        <f>[1]!Table3[[#This Row],[CLM $ Collected ]]/'[1]1.) CLM Reference'!$B$4</f>
        <v>2.3019177481655943E-3</v>
      </c>
      <c r="F342" s="40">
        <f>[1]!Table3[[#This Row],[Residential Incentive Disbursements]]+[1]!Table3[[#This Row],[C&amp;I Incentive Disbursements]]</f>
        <v>230692.6937</v>
      </c>
      <c r="G342" s="36">
        <f>[1]!Table3[[#This Row],[Incentive Disbursements]]/'[1]1.) CLM Reference'!$B$5</f>
        <v>2.8224448458111884E-3</v>
      </c>
      <c r="H342" s="40">
        <v>154442.43547775998</v>
      </c>
      <c r="I342" s="36">
        <f>[1]!Table3[[#This Row],[Residential CLM $ Collected]]/'[1]1.) CLM Reference'!$B$4</f>
        <v>1.3701579319330651E-3</v>
      </c>
      <c r="J342" s="41">
        <v>226131.45370000001</v>
      </c>
      <c r="K342" s="36">
        <f>[1]!Table3[[#This Row],[Residential Incentive Disbursements]]/'[1]1.) CLM Reference'!$B$5</f>
        <v>2.7666396613381622E-3</v>
      </c>
      <c r="L342" s="37">
        <v>105026.76512351999</v>
      </c>
      <c r="M342" s="36">
        <f>[1]!Table3[[#This Row],[C&amp;I CLM $ Collected]]/'[1]1.) CLM Reference'!$B$4</f>
        <v>9.3175981623252937E-4</v>
      </c>
      <c r="N342" s="41">
        <v>4561.24</v>
      </c>
      <c r="O342" s="36">
        <f>[1]!Table3[[#This Row],[C&amp;I Incentive Disbursements]]/'[1]1.) CLM Reference'!$B$5</f>
        <v>5.5805184473026181E-5</v>
      </c>
      <c r="Q342">
        <f>VLOOKUP(Table3[[#This Row],[Census Tract]],'Population and Diversity Data'!$B$2:$K$823,10,FALSE)</f>
        <v>2</v>
      </c>
      <c r="R342" t="str">
        <f>VLOOKUP(Table3[[#This Row],[Census Tract]],'ES Energy Burden'!$B$2:$E$914,4,FALSE)</f>
        <v>No</v>
      </c>
    </row>
    <row r="343" spans="1:18" x14ac:dyDescent="0.2">
      <c r="A343" s="100">
        <v>9015904400</v>
      </c>
      <c r="B343" s="38" t="s">
        <v>2790</v>
      </c>
      <c r="C343" s="38" t="s">
        <v>944</v>
      </c>
      <c r="D343" s="40">
        <f>[1]!Table3[[#This Row],[Residential CLM $ Collected]]+[1]!Table3[[#This Row],[C&amp;I CLM $ Collected]]</f>
        <v>60618.712996800001</v>
      </c>
      <c r="E343" s="36">
        <f>[1]!Table3[[#This Row],[CLM $ Collected ]]/'[1]1.) CLM Reference'!$B$4</f>
        <v>5.3778749460409734E-4</v>
      </c>
      <c r="F343" s="40">
        <f>[1]!Table3[[#This Row],[Residential Incentive Disbursements]]+[1]!Table3[[#This Row],[C&amp;I Incentive Disbursements]]</f>
        <v>12798.2778</v>
      </c>
      <c r="G343" s="36">
        <f>[1]!Table3[[#This Row],[Incentive Disbursements]]/'[1]1.) CLM Reference'!$B$5</f>
        <v>1.5658247616131483E-4</v>
      </c>
      <c r="H343" s="40">
        <v>60618.712996800001</v>
      </c>
      <c r="I343" s="36">
        <f>[1]!Table3[[#This Row],[Residential CLM $ Collected]]/'[1]1.) CLM Reference'!$B$4</f>
        <v>5.3778749460409734E-4</v>
      </c>
      <c r="J343" s="41">
        <v>12798.2778</v>
      </c>
      <c r="K343" s="36">
        <f>[1]!Table3[[#This Row],[Residential Incentive Disbursements]]/'[1]1.) CLM Reference'!$B$5</f>
        <v>1.5658247616131483E-4</v>
      </c>
      <c r="L343" s="37">
        <v>0</v>
      </c>
      <c r="M343" s="36">
        <f>[1]!Table3[[#This Row],[C&amp;I CLM $ Collected]]/'[1]1.) CLM Reference'!$B$4</f>
        <v>0</v>
      </c>
      <c r="N343" s="41">
        <v>0</v>
      </c>
      <c r="O343" s="36">
        <f>[1]!Table3[[#This Row],[C&amp;I Incentive Disbursements]]/'[1]1.) CLM Reference'!$B$5</f>
        <v>0</v>
      </c>
      <c r="Q343">
        <f>VLOOKUP(Table3[[#This Row],[Census Tract]],'Population and Diversity Data'!$B$2:$K$823,10,FALSE)</f>
        <v>3</v>
      </c>
      <c r="R343" t="str">
        <f>VLOOKUP(Table3[[#This Row],[Census Tract]],'ES Energy Burden'!$B$2:$E$914,4,FALSE)</f>
        <v>No</v>
      </c>
    </row>
    <row r="344" spans="1:18" x14ac:dyDescent="0.2">
      <c r="A344" s="100">
        <v>9015904500</v>
      </c>
      <c r="B344" s="38" t="s">
        <v>2790</v>
      </c>
      <c r="C344" s="38" t="s">
        <v>944</v>
      </c>
      <c r="D344" s="40">
        <f>[1]!Table3[[#This Row],[Residential CLM $ Collected]]+[1]!Table3[[#This Row],[C&amp;I CLM $ Collected]]</f>
        <v>103701.58665984</v>
      </c>
      <c r="E344" s="36">
        <f>[1]!Table3[[#This Row],[CLM $ Collected ]]/'[1]1.) CLM Reference'!$B$4</f>
        <v>9.2000330787638212E-4</v>
      </c>
      <c r="F344" s="40">
        <f>[1]!Table3[[#This Row],[Residential Incentive Disbursements]]+[1]!Table3[[#This Row],[C&amp;I Incentive Disbursements]]</f>
        <v>41168.17</v>
      </c>
      <c r="G344" s="36">
        <f>[1]!Table3[[#This Row],[Incentive Disbursements]]/'[1]1.) CLM Reference'!$B$5</f>
        <v>5.0367823689762047E-4</v>
      </c>
      <c r="H344" s="40">
        <v>103701.58665984</v>
      </c>
      <c r="I344" s="36">
        <f>[1]!Table3[[#This Row],[Residential CLM $ Collected]]/'[1]1.) CLM Reference'!$B$4</f>
        <v>9.2000330787638212E-4</v>
      </c>
      <c r="J344" s="41">
        <v>41168.17</v>
      </c>
      <c r="K344" s="36">
        <f>[1]!Table3[[#This Row],[Residential Incentive Disbursements]]/'[1]1.) CLM Reference'!$B$5</f>
        <v>5.0367823689762047E-4</v>
      </c>
      <c r="L344" s="37">
        <v>0</v>
      </c>
      <c r="M344" s="36">
        <f>[1]!Table3[[#This Row],[C&amp;I CLM $ Collected]]/'[1]1.) CLM Reference'!$B$4</f>
        <v>0</v>
      </c>
      <c r="N344" s="41">
        <v>0</v>
      </c>
      <c r="O344" s="36">
        <f>[1]!Table3[[#This Row],[C&amp;I Incentive Disbursements]]/'[1]1.) CLM Reference'!$B$5</f>
        <v>0</v>
      </c>
      <c r="Q344">
        <f>VLOOKUP(Table3[[#This Row],[Census Tract]],'Population and Diversity Data'!$B$2:$K$823,10,FALSE)</f>
        <v>5</v>
      </c>
      <c r="R344" t="str">
        <f>VLOOKUP(Table3[[#This Row],[Census Tract]],'ES Energy Burden'!$B$2:$E$914,4,FALSE)</f>
        <v>No</v>
      </c>
    </row>
    <row r="345" spans="1:18" x14ac:dyDescent="0.2">
      <c r="A345" s="100">
        <v>9015907100</v>
      </c>
      <c r="B345" s="38" t="s">
        <v>2790</v>
      </c>
      <c r="C345" s="38" t="s">
        <v>944</v>
      </c>
      <c r="D345" s="40">
        <f>[1]!Table3[[#This Row],[Residential CLM $ Collected]]+[1]!Table3[[#This Row],[C&amp;I CLM $ Collected]]</f>
        <v>1382.5854144</v>
      </c>
      <c r="E345" s="36">
        <f>[1]!Table3[[#This Row],[CLM $ Collected ]]/'[1]1.) CLM Reference'!$B$4</f>
        <v>1.2265802246999111E-5</v>
      </c>
      <c r="F345" s="40">
        <f>[1]!Table3[[#This Row],[Residential Incentive Disbursements]]+[1]!Table3[[#This Row],[C&amp;I Incentive Disbursements]]</f>
        <v>0</v>
      </c>
      <c r="G345" s="36">
        <f>[1]!Table3[[#This Row],[Incentive Disbursements]]/'[1]1.) CLM Reference'!$B$5</f>
        <v>0</v>
      </c>
      <c r="H345" s="40">
        <v>1382.5854144</v>
      </c>
      <c r="I345" s="36">
        <f>[1]!Table3[[#This Row],[Residential CLM $ Collected]]/'[1]1.) CLM Reference'!$B$4</f>
        <v>1.2265802246999111E-5</v>
      </c>
      <c r="J345" s="41">
        <v>0</v>
      </c>
      <c r="K345" s="36">
        <f>[1]!Table3[[#This Row],[Residential Incentive Disbursements]]/'[1]1.) CLM Reference'!$B$5</f>
        <v>0</v>
      </c>
      <c r="L345" s="37">
        <v>0</v>
      </c>
      <c r="M345" s="36">
        <f>[1]!Table3[[#This Row],[C&amp;I CLM $ Collected]]/'[1]1.) CLM Reference'!$B$4</f>
        <v>0</v>
      </c>
      <c r="N345" s="41">
        <v>0</v>
      </c>
      <c r="O345" s="36">
        <f>[1]!Table3[[#This Row],[C&amp;I Incentive Disbursements]]/'[1]1.) CLM Reference'!$B$5</f>
        <v>0</v>
      </c>
      <c r="Q345">
        <f>VLOOKUP(Table3[[#This Row],[Census Tract]],'Population and Diversity Data'!$B$2:$K$823,10,FALSE)</f>
        <v>4</v>
      </c>
      <c r="R345" t="str">
        <f>VLOOKUP(Table3[[#This Row],[Census Tract]],'ES Energy Burden'!$B$2:$E$914,4,FALSE)</f>
        <v>No</v>
      </c>
    </row>
    <row r="346" spans="1:18" x14ac:dyDescent="0.2">
      <c r="A346" s="100">
        <v>9015907200</v>
      </c>
      <c r="B346" s="38" t="s">
        <v>2790</v>
      </c>
      <c r="C346" s="38" t="s">
        <v>944</v>
      </c>
      <c r="D346" s="40">
        <f>[1]!Table3[[#This Row],[Residential CLM $ Collected]]+[1]!Table3[[#This Row],[C&amp;I CLM $ Collected]]</f>
        <v>306.37802879999998</v>
      </c>
      <c r="E346" s="36">
        <f>[1]!Table3[[#This Row],[CLM $ Collected ]]/'[1]1.) CLM Reference'!$B$4</f>
        <v>2.7180760587706937E-6</v>
      </c>
      <c r="F346" s="40">
        <f>[1]!Table3[[#This Row],[Residential Incentive Disbursements]]+[1]!Table3[[#This Row],[C&amp;I Incentive Disbursements]]</f>
        <v>0</v>
      </c>
      <c r="G346" s="36">
        <f>[1]!Table3[[#This Row],[Incentive Disbursements]]/'[1]1.) CLM Reference'!$B$5</f>
        <v>0</v>
      </c>
      <c r="H346" s="40">
        <v>306.37802879999998</v>
      </c>
      <c r="I346" s="36">
        <f>[1]!Table3[[#This Row],[Residential CLM $ Collected]]/'[1]1.) CLM Reference'!$B$4</f>
        <v>2.7180760587706937E-6</v>
      </c>
      <c r="J346" s="41">
        <v>0</v>
      </c>
      <c r="K346" s="36">
        <f>[1]!Table3[[#This Row],[Residential Incentive Disbursements]]/'[1]1.) CLM Reference'!$B$5</f>
        <v>0</v>
      </c>
      <c r="L346" s="37">
        <v>0</v>
      </c>
      <c r="M346" s="36">
        <f>[1]!Table3[[#This Row],[C&amp;I CLM $ Collected]]/'[1]1.) CLM Reference'!$B$4</f>
        <v>0</v>
      </c>
      <c r="N346" s="41">
        <v>0</v>
      </c>
      <c r="O346" s="36">
        <f>[1]!Table3[[#This Row],[C&amp;I Incentive Disbursements]]/'[1]1.) CLM Reference'!$B$5</f>
        <v>0</v>
      </c>
      <c r="Q346">
        <f>VLOOKUP(Table3[[#This Row],[Census Tract]],'Population and Diversity Data'!$B$2:$K$823,10,FALSE)</f>
        <v>3</v>
      </c>
      <c r="R346" t="str">
        <f>VLOOKUP(Table3[[#This Row],[Census Tract]],'ES Energy Burden'!$B$2:$E$914,4,FALSE)</f>
        <v>No</v>
      </c>
    </row>
    <row r="347" spans="1:18" x14ac:dyDescent="0.2">
      <c r="A347" s="100">
        <v>9015908100</v>
      </c>
      <c r="B347" s="38" t="s">
        <v>2790</v>
      </c>
      <c r="C347" s="38" t="s">
        <v>944</v>
      </c>
      <c r="D347" s="40">
        <f>[1]!Table3[[#This Row],[Residential CLM $ Collected]]+[1]!Table3[[#This Row],[C&amp;I CLM $ Collected]]</f>
        <v>141.2640864</v>
      </c>
      <c r="E347" s="36">
        <f>[1]!Table3[[#This Row],[CLM $ Collected ]]/'[1]1.) CLM Reference'!$B$4</f>
        <v>1.2532443423304471E-6</v>
      </c>
      <c r="F347" s="40">
        <f>[1]!Table3[[#This Row],[Residential Incentive Disbursements]]+[1]!Table3[[#This Row],[C&amp;I Incentive Disbursements]]</f>
        <v>0</v>
      </c>
      <c r="G347" s="36">
        <f>[1]!Table3[[#This Row],[Incentive Disbursements]]/'[1]1.) CLM Reference'!$B$5</f>
        <v>0</v>
      </c>
      <c r="H347" s="40">
        <v>141.2640864</v>
      </c>
      <c r="I347" s="36">
        <f>[1]!Table3[[#This Row],[Residential CLM $ Collected]]/'[1]1.) CLM Reference'!$B$4</f>
        <v>1.2532443423304471E-6</v>
      </c>
      <c r="J347" s="41">
        <v>0</v>
      </c>
      <c r="K347" s="36">
        <f>[1]!Table3[[#This Row],[Residential Incentive Disbursements]]/'[1]1.) CLM Reference'!$B$5</f>
        <v>0</v>
      </c>
      <c r="L347" s="37">
        <v>0</v>
      </c>
      <c r="M347" s="36">
        <f>[1]!Table3[[#This Row],[C&amp;I CLM $ Collected]]/'[1]1.) CLM Reference'!$B$4</f>
        <v>0</v>
      </c>
      <c r="N347" s="41">
        <v>0</v>
      </c>
      <c r="O347" s="36">
        <f>[1]!Table3[[#This Row],[C&amp;I Incentive Disbursements]]/'[1]1.) CLM Reference'!$B$5</f>
        <v>0</v>
      </c>
      <c r="Q347" t="e">
        <f>VLOOKUP(Table3[[#This Row],[Census Tract]],'Population and Diversity Data'!$B$2:$K$823,10,FALSE)</f>
        <v>#N/A</v>
      </c>
      <c r="R347" t="e">
        <f>VLOOKUP(Table3[[#This Row],[Census Tract]],'ES Energy Burden'!$B$2:$E$914,4,FALSE)</f>
        <v>#N/A</v>
      </c>
    </row>
    <row r="348" spans="1:18" x14ac:dyDescent="0.2">
      <c r="A348" s="100">
        <v>9007590100</v>
      </c>
      <c r="B348" s="38" t="s">
        <v>2791</v>
      </c>
      <c r="C348" s="38" t="s">
        <v>944</v>
      </c>
      <c r="D348" s="40">
        <f>[1]!Table3[[#This Row],[Residential CLM $ Collected]]+[1]!Table3[[#This Row],[C&amp;I CLM $ Collected]]</f>
        <v>798.21763200000009</v>
      </c>
      <c r="E348" s="36">
        <f>[1]!Table3[[#This Row],[CLM $ Collected ]]/'[1]1.) CLM Reference'!$B$4</f>
        <v>7.0815007320389038E-6</v>
      </c>
      <c r="F348" s="40">
        <f>[1]!Table3[[#This Row],[Residential Incentive Disbursements]]+[1]!Table3[[#This Row],[C&amp;I Incentive Disbursements]]</f>
        <v>0</v>
      </c>
      <c r="G348" s="36">
        <f>[1]!Table3[[#This Row],[Incentive Disbursements]]/'[1]1.) CLM Reference'!$B$5</f>
        <v>0</v>
      </c>
      <c r="H348" s="40">
        <v>798.21763200000009</v>
      </c>
      <c r="I348" s="36">
        <f>[1]!Table3[[#This Row],[Residential CLM $ Collected]]/'[1]1.) CLM Reference'!$B$4</f>
        <v>7.0815007320389038E-6</v>
      </c>
      <c r="J348" s="41">
        <v>0</v>
      </c>
      <c r="K348" s="36">
        <f>[1]!Table3[[#This Row],[Residential Incentive Disbursements]]/'[1]1.) CLM Reference'!$B$5</f>
        <v>0</v>
      </c>
      <c r="L348" s="37">
        <v>0</v>
      </c>
      <c r="M348" s="36">
        <f>[1]!Table3[[#This Row],[C&amp;I CLM $ Collected]]/'[1]1.) CLM Reference'!$B$4</f>
        <v>0</v>
      </c>
      <c r="N348" s="41">
        <v>0</v>
      </c>
      <c r="O348" s="36">
        <f>[1]!Table3[[#This Row],[C&amp;I Incentive Disbursements]]/'[1]1.) CLM Reference'!$B$5</f>
        <v>0</v>
      </c>
      <c r="Q348">
        <f>VLOOKUP(Table3[[#This Row],[Census Tract]],'Population and Diversity Data'!$B$2:$K$823,10,FALSE)</f>
        <v>1</v>
      </c>
      <c r="R348" t="str">
        <f>VLOOKUP(Table3[[#This Row],[Census Tract]],'ES Energy Burden'!$B$2:$E$914,4,FALSE)</f>
        <v>No</v>
      </c>
    </row>
    <row r="349" spans="1:18" x14ac:dyDescent="0.2">
      <c r="A349" s="100">
        <v>9007640100</v>
      </c>
      <c r="B349" s="38" t="s">
        <v>2791</v>
      </c>
      <c r="C349" s="38" t="s">
        <v>944</v>
      </c>
      <c r="D349" s="40">
        <f>[1]!Table3[[#This Row],[Residential CLM $ Collected]]+[1]!Table3[[#This Row],[C&amp;I CLM $ Collected]]</f>
        <v>171906.27661151998</v>
      </c>
      <c r="E349" s="36">
        <f>[1]!Table3[[#This Row],[CLM $ Collected ]]/'[1]1.) CLM Reference'!$B$4</f>
        <v>1.5250908710402438E-3</v>
      </c>
      <c r="F349" s="40">
        <f>[1]!Table3[[#This Row],[Residential Incentive Disbursements]]+[1]!Table3[[#This Row],[C&amp;I Incentive Disbursements]]</f>
        <v>77881.463700000008</v>
      </c>
      <c r="G349" s="36">
        <f>[1]!Table3[[#This Row],[Incentive Disbursements]]/'[1]1.) CLM Reference'!$B$5</f>
        <v>9.5285261218611443E-4</v>
      </c>
      <c r="H349" s="40">
        <v>152083.24419167999</v>
      </c>
      <c r="I349" s="36">
        <f>[1]!Table3[[#This Row],[Residential CLM $ Collected]]/'[1]1.) CLM Reference'!$B$4</f>
        <v>1.3492280324299238E-3</v>
      </c>
      <c r="J349" s="41">
        <v>67481.353700000007</v>
      </c>
      <c r="K349" s="36">
        <f>[1]!Table3[[#This Row],[Residential Incentive Disbursements]]/'[1]1.) CLM Reference'!$B$5</f>
        <v>8.2561088469758847E-4</v>
      </c>
      <c r="L349" s="37">
        <v>19823.032419839998</v>
      </c>
      <c r="M349" s="36">
        <f>[1]!Table3[[#This Row],[C&amp;I CLM $ Collected]]/'[1]1.) CLM Reference'!$B$4</f>
        <v>1.7586283861032007E-4</v>
      </c>
      <c r="N349" s="41">
        <v>10400.11</v>
      </c>
      <c r="O349" s="36">
        <f>[1]!Table3[[#This Row],[C&amp;I Incentive Disbursements]]/'[1]1.) CLM Reference'!$B$5</f>
        <v>1.2724172748852601E-4</v>
      </c>
      <c r="Q349">
        <f>VLOOKUP(Table3[[#This Row],[Census Tract]],'Population and Diversity Data'!$B$2:$K$823,10,FALSE)</f>
        <v>1</v>
      </c>
      <c r="R349" t="str">
        <f>VLOOKUP(Table3[[#This Row],[Census Tract]],'ES Energy Burden'!$B$2:$E$914,4,FALSE)</f>
        <v>No</v>
      </c>
    </row>
    <row r="350" spans="1:18" x14ac:dyDescent="0.2">
      <c r="A350" s="100">
        <v>9011714104</v>
      </c>
      <c r="B350" s="38" t="s">
        <v>2792</v>
      </c>
      <c r="C350" s="38" t="s">
        <v>944</v>
      </c>
      <c r="D350" s="40">
        <f>[1]!Table3[[#This Row],[Residential CLM $ Collected]]+[1]!Table3[[#This Row],[C&amp;I CLM $ Collected]]</f>
        <v>49.528972799999998</v>
      </c>
      <c r="E350" s="36">
        <f>[1]!Table3[[#This Row],[CLM $ Collected ]]/'[1]1.) CLM Reference'!$B$4</f>
        <v>4.3940329438918598E-7</v>
      </c>
      <c r="F350" s="40">
        <f>[1]!Table3[[#This Row],[Residential Incentive Disbursements]]+[1]!Table3[[#This Row],[C&amp;I Incentive Disbursements]]</f>
        <v>0</v>
      </c>
      <c r="G350" s="36">
        <f>[1]!Table3[[#This Row],[Incentive Disbursements]]/'[1]1.) CLM Reference'!$B$5</f>
        <v>0</v>
      </c>
      <c r="H350" s="40">
        <v>49.528972799999998</v>
      </c>
      <c r="I350" s="36">
        <f>[1]!Table3[[#This Row],[Residential CLM $ Collected]]/'[1]1.) CLM Reference'!$B$4</f>
        <v>4.3940329438918598E-7</v>
      </c>
      <c r="J350" s="41">
        <v>0</v>
      </c>
      <c r="K350" s="36">
        <f>[1]!Table3[[#This Row],[Residential Incentive Disbursements]]/'[1]1.) CLM Reference'!$B$5</f>
        <v>0</v>
      </c>
      <c r="L350" s="37">
        <v>0</v>
      </c>
      <c r="M350" s="36">
        <f>[1]!Table3[[#This Row],[C&amp;I CLM $ Collected]]/'[1]1.) CLM Reference'!$B$4</f>
        <v>0</v>
      </c>
      <c r="N350" s="41">
        <v>0</v>
      </c>
      <c r="O350" s="36">
        <f>[1]!Table3[[#This Row],[C&amp;I Incentive Disbursements]]/'[1]1.) CLM Reference'!$B$5</f>
        <v>0</v>
      </c>
      <c r="Q350">
        <f>VLOOKUP(Table3[[#This Row],[Census Tract]],'Population and Diversity Data'!$B$2:$K$823,10,FALSE)</f>
        <v>1</v>
      </c>
      <c r="R350" t="str">
        <f>VLOOKUP(Table3[[#This Row],[Census Tract]],'ES Energy Burden'!$B$2:$E$914,4,FALSE)</f>
        <v>No</v>
      </c>
    </row>
    <row r="351" spans="1:18" x14ac:dyDescent="0.2">
      <c r="A351" s="100">
        <v>9011870100</v>
      </c>
      <c r="B351" s="38" t="s">
        <v>2792</v>
      </c>
      <c r="C351" s="38" t="s">
        <v>944</v>
      </c>
      <c r="D351" s="40">
        <f>[1]!Table3[[#This Row],[Residential CLM $ Collected]]+[1]!Table3[[#This Row],[C&amp;I CLM $ Collected]]</f>
        <v>105876.06717888001</v>
      </c>
      <c r="E351" s="36">
        <f>[1]!Table3[[#This Row],[CLM $ Collected ]]/'[1]1.) CLM Reference'!$B$4</f>
        <v>9.3929451965881763E-4</v>
      </c>
      <c r="F351" s="40">
        <f>[1]!Table3[[#This Row],[Residential Incentive Disbursements]]+[1]!Table3[[#This Row],[C&amp;I Incentive Disbursements]]</f>
        <v>66859.39</v>
      </c>
      <c r="G351" s="36">
        <f>[1]!Table3[[#This Row],[Incentive Disbursements]]/'[1]1.) CLM Reference'!$B$5</f>
        <v>8.1800137521901987E-4</v>
      </c>
      <c r="H351" s="40">
        <v>93097.006948800001</v>
      </c>
      <c r="I351" s="36">
        <f>[1]!Table3[[#This Row],[Residential CLM $ Collected]]/'[1]1.) CLM Reference'!$B$4</f>
        <v>8.2592327759875648E-4</v>
      </c>
      <c r="J351" s="41">
        <v>66859.39</v>
      </c>
      <c r="K351" s="36">
        <f>[1]!Table3[[#This Row],[Residential Incentive Disbursements]]/'[1]1.) CLM Reference'!$B$5</f>
        <v>8.1800137521901987E-4</v>
      </c>
      <c r="L351" s="37">
        <v>12779.060230080002</v>
      </c>
      <c r="M351" s="36">
        <f>[1]!Table3[[#This Row],[C&amp;I CLM $ Collected]]/'[1]1.) CLM Reference'!$B$4</f>
        <v>1.1337124206006109E-4</v>
      </c>
      <c r="N351" s="41">
        <v>0</v>
      </c>
      <c r="O351" s="36">
        <f>[1]!Table3[[#This Row],[C&amp;I Incentive Disbursements]]/'[1]1.) CLM Reference'!$B$5</f>
        <v>0</v>
      </c>
      <c r="Q351">
        <f>VLOOKUP(Table3[[#This Row],[Census Tract]],'Population and Diversity Data'!$B$2:$K$823,10,FALSE)</f>
        <v>1</v>
      </c>
      <c r="R351" t="str">
        <f>VLOOKUP(Table3[[#This Row],[Census Tract]],'ES Energy Burden'!$B$2:$E$914,4,FALSE)</f>
        <v>No</v>
      </c>
    </row>
    <row r="352" spans="1:18" x14ac:dyDescent="0.2">
      <c r="A352" s="100">
        <v>9011701100</v>
      </c>
      <c r="B352" s="38" t="s">
        <v>2793</v>
      </c>
      <c r="C352" s="38" t="s">
        <v>944</v>
      </c>
      <c r="D352" s="40">
        <f>[1]!Table3[[#This Row],[Residential CLM $ Collected]]+[1]!Table3[[#This Row],[C&amp;I CLM $ Collected]]</f>
        <v>233295.33706271998</v>
      </c>
      <c r="E352" s="36">
        <f>[1]!Table3[[#This Row],[CLM $ Collected ]]/'[1]1.) CLM Reference'!$B$4</f>
        <v>2.0697126121500082E-3</v>
      </c>
      <c r="F352" s="40">
        <f>[1]!Table3[[#This Row],[Residential Incentive Disbursements]]+[1]!Table3[[#This Row],[C&amp;I Incentive Disbursements]]</f>
        <v>103588.01820000009</v>
      </c>
      <c r="G352" s="36">
        <f>[1]!Table3[[#This Row],[Incentive Disbursements]]/'[1]1.) CLM Reference'!$B$5</f>
        <v>1.2673633627799017E-3</v>
      </c>
      <c r="H352" s="40">
        <v>174690.90243935998</v>
      </c>
      <c r="I352" s="36">
        <f>[1]!Table3[[#This Row],[Residential CLM $ Collected]]/'[1]1.) CLM Reference'!$B$4</f>
        <v>1.549795073312618E-3</v>
      </c>
      <c r="J352" s="41">
        <v>90400.118200000099</v>
      </c>
      <c r="K352" s="36">
        <f>[1]!Table3[[#This Row],[Residential Incentive Disbursements]]/'[1]1.) CLM Reference'!$B$5</f>
        <v>1.1060139945572645E-3</v>
      </c>
      <c r="L352" s="37">
        <v>58604.434623360001</v>
      </c>
      <c r="M352" s="36">
        <f>[1]!Table3[[#This Row],[C&amp;I CLM $ Collected]]/'[1]1.) CLM Reference'!$B$4</f>
        <v>5.1991753883739045E-4</v>
      </c>
      <c r="N352" s="41">
        <v>13187.9</v>
      </c>
      <c r="O352" s="36">
        <f>[1]!Table3[[#This Row],[C&amp;I Incentive Disbursements]]/'[1]1.) CLM Reference'!$B$5</f>
        <v>1.6134936822263725E-4</v>
      </c>
      <c r="Q352">
        <f>VLOOKUP(Table3[[#This Row],[Census Tract]],'Population and Diversity Data'!$B$2:$K$823,10,FALSE)</f>
        <v>4</v>
      </c>
      <c r="R352" t="str">
        <f>VLOOKUP(Table3[[#This Row],[Census Tract]],'ES Energy Burden'!$B$2:$E$914,4,FALSE)</f>
        <v>No</v>
      </c>
    </row>
    <row r="353" spans="1:18" x14ac:dyDescent="0.2">
      <c r="A353" s="100">
        <v>9011701200</v>
      </c>
      <c r="B353" s="38" t="s">
        <v>2793</v>
      </c>
      <c r="C353" s="38" t="s">
        <v>944</v>
      </c>
      <c r="D353" s="40">
        <f>[1]!Table3[[#This Row],[Residential CLM $ Collected]]+[1]!Table3[[#This Row],[C&amp;I CLM $ Collected]]</f>
        <v>138641.1926976</v>
      </c>
      <c r="E353" s="36">
        <f>[1]!Table3[[#This Row],[CLM $ Collected ]]/'[1]1.) CLM Reference'!$B$4</f>
        <v>1.2299749695065631E-3</v>
      </c>
      <c r="F353" s="40">
        <f>[1]!Table3[[#This Row],[Residential Incentive Disbursements]]+[1]!Table3[[#This Row],[C&amp;I Incentive Disbursements]]</f>
        <v>35876.579899999997</v>
      </c>
      <c r="G353" s="36">
        <f>[1]!Table3[[#This Row],[Incentive Disbursements]]/'[1]1.) CLM Reference'!$B$5</f>
        <v>4.3893747305135512E-4</v>
      </c>
      <c r="H353" s="40">
        <v>138641.1926976</v>
      </c>
      <c r="I353" s="36">
        <f>[1]!Table3[[#This Row],[Residential CLM $ Collected]]/'[1]1.) CLM Reference'!$B$4</f>
        <v>1.2299749695065631E-3</v>
      </c>
      <c r="J353" s="41">
        <v>35876.579899999997</v>
      </c>
      <c r="K353" s="36">
        <f>[1]!Table3[[#This Row],[Residential Incentive Disbursements]]/'[1]1.) CLM Reference'!$B$5</f>
        <v>4.3893747305135512E-4</v>
      </c>
      <c r="L353" s="37">
        <v>0</v>
      </c>
      <c r="M353" s="36">
        <f>[1]!Table3[[#This Row],[C&amp;I CLM $ Collected]]/'[1]1.) CLM Reference'!$B$4</f>
        <v>0</v>
      </c>
      <c r="N353" s="41">
        <v>0</v>
      </c>
      <c r="O353" s="36">
        <f>[1]!Table3[[#This Row],[C&amp;I Incentive Disbursements]]/'[1]1.) CLM Reference'!$B$5</f>
        <v>0</v>
      </c>
      <c r="Q353">
        <f>VLOOKUP(Table3[[#This Row],[Census Tract]],'Population and Diversity Data'!$B$2:$K$823,10,FALSE)</f>
        <v>3</v>
      </c>
      <c r="R353" t="str">
        <f>VLOOKUP(Table3[[#This Row],[Census Tract]],'ES Energy Burden'!$B$2:$E$914,4,FALSE)</f>
        <v>No</v>
      </c>
    </row>
    <row r="354" spans="1:18" x14ac:dyDescent="0.2">
      <c r="A354" s="100">
        <v>9011980000</v>
      </c>
      <c r="B354" s="38" t="s">
        <v>2793</v>
      </c>
      <c r="C354" s="38" t="s">
        <v>944</v>
      </c>
      <c r="D354" s="40">
        <f>[1]!Table3[[#This Row],[Residential CLM $ Collected]]+[1]!Table3[[#This Row],[C&amp;I CLM $ Collected]]</f>
        <v>64.956124800000012</v>
      </c>
      <c r="E354" s="36">
        <f>[1]!Table3[[#This Row],[CLM $ Collected ]]/'[1]1.) CLM Reference'!$B$4</f>
        <v>5.7626745749661721E-7</v>
      </c>
      <c r="F354" s="40">
        <f>[1]!Table3[[#This Row],[Residential Incentive Disbursements]]+[1]!Table3[[#This Row],[C&amp;I Incentive Disbursements]]</f>
        <v>0</v>
      </c>
      <c r="G354" s="36">
        <f>[1]!Table3[[#This Row],[Incentive Disbursements]]/'[1]1.) CLM Reference'!$B$5</f>
        <v>0</v>
      </c>
      <c r="H354" s="40">
        <v>64.956124800000012</v>
      </c>
      <c r="I354" s="36">
        <f>[1]!Table3[[#This Row],[Residential CLM $ Collected]]/'[1]1.) CLM Reference'!$B$4</f>
        <v>5.7626745749661721E-7</v>
      </c>
      <c r="J354" s="41">
        <v>0</v>
      </c>
      <c r="K354" s="36">
        <f>[1]!Table3[[#This Row],[Residential Incentive Disbursements]]/'[1]1.) CLM Reference'!$B$5</f>
        <v>0</v>
      </c>
      <c r="L354" s="37">
        <v>0</v>
      </c>
      <c r="M354" s="36">
        <f>[1]!Table3[[#This Row],[C&amp;I CLM $ Collected]]/'[1]1.) CLM Reference'!$B$4</f>
        <v>0</v>
      </c>
      <c r="N354" s="41">
        <v>0</v>
      </c>
      <c r="O354" s="36">
        <f>[1]!Table3[[#This Row],[C&amp;I Incentive Disbursements]]/'[1]1.) CLM Reference'!$B$5</f>
        <v>0</v>
      </c>
      <c r="Q354" t="e">
        <f>VLOOKUP(Table3[[#This Row],[Census Tract]],'Population and Diversity Data'!$B$2:$K$823,10,FALSE)</f>
        <v>#N/A</v>
      </c>
      <c r="R354" t="e">
        <f>VLOOKUP(Table3[[#This Row],[Census Tract]],'ES Energy Burden'!$B$2:$E$914,4,FALSE)</f>
        <v>#N/A</v>
      </c>
    </row>
    <row r="355" spans="1:18" x14ac:dyDescent="0.2">
      <c r="A355" s="100">
        <v>9000016000</v>
      </c>
      <c r="B355" s="38" t="s">
        <v>2794</v>
      </c>
      <c r="C355" s="38" t="s">
        <v>944</v>
      </c>
      <c r="D355" s="40">
        <f>[1]!Table3[[#This Row],[Residential CLM $ Collected]]+[1]!Table3[[#This Row],[C&amp;I CLM $ Collected]]</f>
        <v>84.533846399999987</v>
      </c>
      <c r="E355" s="36">
        <f>[1]!Table3[[#This Row],[CLM $ Collected ]]/'[1]1.) CLM Reference'!$B$4</f>
        <v>7.4995398643820495E-7</v>
      </c>
      <c r="F355" s="40">
        <f>[1]!Table3[[#This Row],[Residential Incentive Disbursements]]+[1]!Table3[[#This Row],[C&amp;I Incentive Disbursements]]</f>
        <v>0</v>
      </c>
      <c r="G355" s="36">
        <f>[1]!Table3[[#This Row],[Incentive Disbursements]]/'[1]1.) CLM Reference'!$B$5</f>
        <v>0</v>
      </c>
      <c r="H355" s="40">
        <v>84.533846399999987</v>
      </c>
      <c r="I355" s="36">
        <f>[1]!Table3[[#This Row],[Residential CLM $ Collected]]/'[1]1.) CLM Reference'!$B$4</f>
        <v>7.4995398643820495E-7</v>
      </c>
      <c r="J355" s="41">
        <v>0</v>
      </c>
      <c r="K355" s="36">
        <f>[1]!Table3[[#This Row],[Residential Incentive Disbursements]]/'[1]1.) CLM Reference'!$B$5</f>
        <v>0</v>
      </c>
      <c r="L355" s="37">
        <v>0</v>
      </c>
      <c r="M355" s="36">
        <f>[1]!Table3[[#This Row],[C&amp;I CLM $ Collected]]/'[1]1.) CLM Reference'!$B$4</f>
        <v>0</v>
      </c>
      <c r="N355" s="41">
        <v>0</v>
      </c>
      <c r="O355" s="36">
        <f>[1]!Table3[[#This Row],[C&amp;I Incentive Disbursements]]/'[1]1.) CLM Reference'!$B$5</f>
        <v>0</v>
      </c>
      <c r="Q355" t="e">
        <f>VLOOKUP(Table3[[#This Row],[Census Tract]],'Population and Diversity Data'!$B$2:$K$823,10,FALSE)</f>
        <v>#N/A</v>
      </c>
      <c r="R355" t="e">
        <f>VLOOKUP(Table3[[#This Row],[Census Tract]],'ES Energy Burden'!$B$2:$E$914,4,FALSE)</f>
        <v>#N/A</v>
      </c>
    </row>
    <row r="356" spans="1:18" x14ac:dyDescent="0.2">
      <c r="A356" s="100">
        <v>9003496200</v>
      </c>
      <c r="B356" s="38" t="s">
        <v>2794</v>
      </c>
      <c r="C356" s="38" t="s">
        <v>944</v>
      </c>
      <c r="D356" s="40">
        <f>[1]!Table3[[#This Row],[Residential CLM $ Collected]]+[1]!Table3[[#This Row],[C&amp;I CLM $ Collected]]</f>
        <v>13291.498120319999</v>
      </c>
      <c r="E356" s="36">
        <f>[1]!Table3[[#This Row],[CLM $ Collected ]]/'[1]1.) CLM Reference'!$B$4</f>
        <v>1.1791740735306105E-4</v>
      </c>
      <c r="F356" s="40">
        <f>[1]!Table3[[#This Row],[Residential Incentive Disbursements]]+[1]!Table3[[#This Row],[C&amp;I Incentive Disbursements]]</f>
        <v>0</v>
      </c>
      <c r="G356" s="36">
        <f>[1]!Table3[[#This Row],[Incentive Disbursements]]/'[1]1.) CLM Reference'!$B$5</f>
        <v>0</v>
      </c>
      <c r="H356" s="40">
        <v>511.48679040000002</v>
      </c>
      <c r="I356" s="36">
        <f>[1]!Table3[[#This Row],[Residential CLM $ Collected]]/'[1]1.) CLM Reference'!$B$4</f>
        <v>4.5377274761149711E-6</v>
      </c>
      <c r="J356" s="41">
        <v>0</v>
      </c>
      <c r="K356" s="36">
        <f>[1]!Table3[[#This Row],[Residential Incentive Disbursements]]/'[1]1.) CLM Reference'!$B$5</f>
        <v>0</v>
      </c>
      <c r="L356" s="37">
        <v>12780.011329919998</v>
      </c>
      <c r="M356" s="36">
        <f>[1]!Table3[[#This Row],[C&amp;I CLM $ Collected]]/'[1]1.) CLM Reference'!$B$4</f>
        <v>1.1337967987694607E-4</v>
      </c>
      <c r="N356" s="41">
        <v>0</v>
      </c>
      <c r="O356" s="36">
        <f>[1]!Table3[[#This Row],[C&amp;I Incentive Disbursements]]/'[1]1.) CLM Reference'!$B$5</f>
        <v>0</v>
      </c>
      <c r="Q356">
        <f>VLOOKUP(Table3[[#This Row],[Census Tract]],'Population and Diversity Data'!$B$2:$K$823,10,FALSE)</f>
        <v>5</v>
      </c>
      <c r="R356" t="str">
        <f>VLOOKUP(Table3[[#This Row],[Census Tract]],'ES Energy Burden'!$B$2:$E$914,4,FALSE)</f>
        <v>No</v>
      </c>
    </row>
    <row r="357" spans="1:18" x14ac:dyDescent="0.2">
      <c r="A357" s="100">
        <v>9011693400</v>
      </c>
      <c r="B357" s="38" t="s">
        <v>2794</v>
      </c>
      <c r="C357" s="38" t="s">
        <v>944</v>
      </c>
      <c r="D357" s="40">
        <f>[1]!Table3[[#This Row],[Residential CLM $ Collected]]+[1]!Table3[[#This Row],[C&amp;I CLM $ Collected]]</f>
        <v>44.7532128</v>
      </c>
      <c r="E357" s="36">
        <f>[1]!Table3[[#This Row],[CLM $ Collected ]]/'[1]1.) CLM Reference'!$B$4</f>
        <v>3.9703446340846151E-7</v>
      </c>
      <c r="F357" s="40">
        <f>[1]!Table3[[#This Row],[Residential Incentive Disbursements]]+[1]!Table3[[#This Row],[C&amp;I Incentive Disbursements]]</f>
        <v>0</v>
      </c>
      <c r="G357" s="36">
        <f>[1]!Table3[[#This Row],[Incentive Disbursements]]/'[1]1.) CLM Reference'!$B$5</f>
        <v>0</v>
      </c>
      <c r="H357" s="40">
        <v>44.7532128</v>
      </c>
      <c r="I357" s="36">
        <f>[1]!Table3[[#This Row],[Residential CLM $ Collected]]/'[1]1.) CLM Reference'!$B$4</f>
        <v>3.9703446340846151E-7</v>
      </c>
      <c r="J357" s="41">
        <v>0</v>
      </c>
      <c r="K357" s="36">
        <f>[1]!Table3[[#This Row],[Residential Incentive Disbursements]]/'[1]1.) CLM Reference'!$B$5</f>
        <v>0</v>
      </c>
      <c r="L357" s="37">
        <v>0</v>
      </c>
      <c r="M357" s="36">
        <f>[1]!Table3[[#This Row],[C&amp;I CLM $ Collected]]/'[1]1.) CLM Reference'!$B$4</f>
        <v>0</v>
      </c>
      <c r="N357" s="41">
        <v>0</v>
      </c>
      <c r="O357" s="36">
        <f>[1]!Table3[[#This Row],[C&amp;I Incentive Disbursements]]/'[1]1.) CLM Reference'!$B$5</f>
        <v>0</v>
      </c>
      <c r="Q357">
        <f>VLOOKUP(Table3[[#This Row],[Census Tract]],'Population and Diversity Data'!$B$2:$K$823,10,FALSE)</f>
        <v>3</v>
      </c>
      <c r="R357" t="str">
        <f>VLOOKUP(Table3[[#This Row],[Census Tract]],'ES Energy Burden'!$B$2:$E$914,4,FALSE)</f>
        <v>No</v>
      </c>
    </row>
    <row r="358" spans="1:18" x14ac:dyDescent="0.2">
      <c r="A358" s="100">
        <v>9011709100</v>
      </c>
      <c r="B358" s="38" t="s">
        <v>2794</v>
      </c>
      <c r="C358" s="38" t="s">
        <v>944</v>
      </c>
      <c r="D358" s="40">
        <f>[1]!Table3[[#This Row],[Residential CLM $ Collected]]+[1]!Table3[[#This Row],[C&amp;I CLM $ Collected]]</f>
        <v>1041.2546112</v>
      </c>
      <c r="E358" s="36">
        <f>[1]!Table3[[#This Row],[CLM $ Collected ]]/'[1]1.) CLM Reference'!$B$4</f>
        <v>9.2376377016082786E-6</v>
      </c>
      <c r="F358" s="40">
        <f>[1]!Table3[[#This Row],[Residential Incentive Disbursements]]+[1]!Table3[[#This Row],[C&amp;I Incentive Disbursements]]</f>
        <v>0</v>
      </c>
      <c r="G358" s="36">
        <f>[1]!Table3[[#This Row],[Incentive Disbursements]]/'[1]1.) CLM Reference'!$B$5</f>
        <v>0</v>
      </c>
      <c r="H358" s="40">
        <v>1041.2546112</v>
      </c>
      <c r="I358" s="36">
        <f>[1]!Table3[[#This Row],[Residential CLM $ Collected]]/'[1]1.) CLM Reference'!$B$4</f>
        <v>9.2376377016082786E-6</v>
      </c>
      <c r="J358" s="41">
        <v>0</v>
      </c>
      <c r="K358" s="36">
        <f>[1]!Table3[[#This Row],[Residential Incentive Disbursements]]/'[1]1.) CLM Reference'!$B$5</f>
        <v>0</v>
      </c>
      <c r="L358" s="37">
        <v>0</v>
      </c>
      <c r="M358" s="36">
        <f>[1]!Table3[[#This Row],[C&amp;I CLM $ Collected]]/'[1]1.) CLM Reference'!$B$4</f>
        <v>0</v>
      </c>
      <c r="N358" s="41">
        <v>0</v>
      </c>
      <c r="O358" s="36">
        <f>[1]!Table3[[#This Row],[C&amp;I Incentive Disbursements]]/'[1]1.) CLM Reference'!$B$5</f>
        <v>0</v>
      </c>
      <c r="Q358">
        <f>VLOOKUP(Table3[[#This Row],[Census Tract]],'Population and Diversity Data'!$B$2:$K$823,10,FALSE)</f>
        <v>3</v>
      </c>
      <c r="R358" t="str">
        <f>VLOOKUP(Table3[[#This Row],[Census Tract]],'ES Energy Burden'!$B$2:$E$914,4,FALSE)</f>
        <v>No</v>
      </c>
    </row>
    <row r="359" spans="1:18" x14ac:dyDescent="0.2">
      <c r="A359" s="100">
        <v>9011709200</v>
      </c>
      <c r="B359" s="38" t="s">
        <v>2794</v>
      </c>
      <c r="C359" s="38" t="s">
        <v>944</v>
      </c>
      <c r="D359" s="40">
        <f>[1]!Table3[[#This Row],[Residential CLM $ Collected]]+[1]!Table3[[#This Row],[C&amp;I CLM $ Collected]]</f>
        <v>14.0899392</v>
      </c>
      <c r="E359" s="36">
        <f>[1]!Table3[[#This Row],[CLM $ Collected ]]/'[1]1.) CLM Reference'!$B$4</f>
        <v>1.2500089043282827E-7</v>
      </c>
      <c r="F359" s="40">
        <f>[1]!Table3[[#This Row],[Residential Incentive Disbursements]]+[1]!Table3[[#This Row],[C&amp;I Incentive Disbursements]]</f>
        <v>0</v>
      </c>
      <c r="G359" s="36">
        <f>[1]!Table3[[#This Row],[Incentive Disbursements]]/'[1]1.) CLM Reference'!$B$5</f>
        <v>0</v>
      </c>
      <c r="H359" s="40">
        <v>14.0899392</v>
      </c>
      <c r="I359" s="36">
        <f>[1]!Table3[[#This Row],[Residential CLM $ Collected]]/'[1]1.) CLM Reference'!$B$4</f>
        <v>1.2500089043282827E-7</v>
      </c>
      <c r="J359" s="41">
        <v>0</v>
      </c>
      <c r="K359" s="36">
        <f>[1]!Table3[[#This Row],[Residential Incentive Disbursements]]/'[1]1.) CLM Reference'!$B$5</f>
        <v>0</v>
      </c>
      <c r="L359" s="37">
        <v>0</v>
      </c>
      <c r="M359" s="36">
        <f>[1]!Table3[[#This Row],[C&amp;I CLM $ Collected]]/'[1]1.) CLM Reference'!$B$4</f>
        <v>0</v>
      </c>
      <c r="N359" s="41">
        <v>0</v>
      </c>
      <c r="O359" s="36">
        <f>[1]!Table3[[#This Row],[C&amp;I Incentive Disbursements]]/'[1]1.) CLM Reference'!$B$5</f>
        <v>0</v>
      </c>
      <c r="Q359">
        <f>VLOOKUP(Table3[[#This Row],[Census Tract]],'Population and Diversity Data'!$B$2:$K$823,10,FALSE)</f>
        <v>5</v>
      </c>
      <c r="R359" t="str">
        <f>VLOOKUP(Table3[[#This Row],[Census Tract]],'ES Energy Burden'!$B$2:$E$914,4,FALSE)</f>
        <v>No</v>
      </c>
    </row>
    <row r="360" spans="1:18" x14ac:dyDescent="0.2">
      <c r="A360" s="100">
        <v>9011710100</v>
      </c>
      <c r="B360" s="38" t="s">
        <v>2794</v>
      </c>
      <c r="C360" s="38" t="s">
        <v>944</v>
      </c>
      <c r="D360" s="40">
        <f>[1]!Table3[[#This Row],[Residential CLM $ Collected]]+[1]!Table3[[#This Row],[C&amp;I CLM $ Collected]]</f>
        <v>93374.923184639993</v>
      </c>
      <c r="E360" s="36">
        <f>[1]!Table3[[#This Row],[CLM $ Collected ]]/'[1]1.) CLM Reference'!$B$4</f>
        <v>8.2838885083172961E-4</v>
      </c>
      <c r="F360" s="40">
        <f>[1]!Table3[[#This Row],[Residential Incentive Disbursements]]+[1]!Table3[[#This Row],[C&amp;I Incentive Disbursements]]</f>
        <v>184063.5822</v>
      </c>
      <c r="G360" s="36">
        <f>[1]!Table3[[#This Row],[Incentive Disbursements]]/'[1]1.) CLM Reference'!$B$5</f>
        <v>2.2519538896083125E-3</v>
      </c>
      <c r="H360" s="40">
        <v>81352.816283519991</v>
      </c>
      <c r="I360" s="36">
        <f>[1]!Table3[[#This Row],[Residential CLM $ Collected]]/'[1]1.) CLM Reference'!$B$4</f>
        <v>7.2173302739718631E-4</v>
      </c>
      <c r="J360" s="41">
        <v>178185.68220000001</v>
      </c>
      <c r="K360" s="36">
        <f>[1]!Table3[[#This Row],[Residential Incentive Disbursements]]/'[1]1.) CLM Reference'!$B$5</f>
        <v>2.180039828121962E-3</v>
      </c>
      <c r="L360" s="37">
        <v>12022.106901119998</v>
      </c>
      <c r="M360" s="36">
        <f>[1]!Table3[[#This Row],[C&amp;I CLM $ Collected]]/'[1]1.) CLM Reference'!$B$4</f>
        <v>1.0665582343454324E-4</v>
      </c>
      <c r="N360" s="41">
        <v>5877.9</v>
      </c>
      <c r="O360" s="36">
        <f>[1]!Table3[[#This Row],[C&amp;I Incentive Disbursements]]/'[1]1.) CLM Reference'!$B$5</f>
        <v>7.191406148635033E-5</v>
      </c>
      <c r="Q360">
        <f>VLOOKUP(Table3[[#This Row],[Census Tract]],'Population and Diversity Data'!$B$2:$K$823,10,FALSE)</f>
        <v>3</v>
      </c>
      <c r="R360" t="str">
        <f>VLOOKUP(Table3[[#This Row],[Census Tract]],'ES Energy Burden'!$B$2:$E$914,4,FALSE)</f>
        <v>No</v>
      </c>
    </row>
    <row r="361" spans="1:18" x14ac:dyDescent="0.2">
      <c r="A361" s="100">
        <v>9011716102</v>
      </c>
      <c r="B361" s="38" t="s">
        <v>2794</v>
      </c>
      <c r="C361" s="38" t="s">
        <v>944</v>
      </c>
      <c r="D361" s="40">
        <f>[1]!Table3[[#This Row],[Residential CLM $ Collected]]+[1]!Table3[[#This Row],[C&amp;I CLM $ Collected]]</f>
        <v>67.653705599999995</v>
      </c>
      <c r="E361" s="36">
        <f>[1]!Table3[[#This Row],[CLM $ Collected ]]/'[1]1.) CLM Reference'!$B$4</f>
        <v>6.0019942748088085E-7</v>
      </c>
      <c r="F361" s="40">
        <f>[1]!Table3[[#This Row],[Residential Incentive Disbursements]]+[1]!Table3[[#This Row],[C&amp;I Incentive Disbursements]]</f>
        <v>0</v>
      </c>
      <c r="G361" s="36">
        <f>[1]!Table3[[#This Row],[Incentive Disbursements]]/'[1]1.) CLM Reference'!$B$5</f>
        <v>0</v>
      </c>
      <c r="H361" s="40">
        <v>67.653705599999995</v>
      </c>
      <c r="I361" s="36">
        <f>[1]!Table3[[#This Row],[Residential CLM $ Collected]]/'[1]1.) CLM Reference'!$B$4</f>
        <v>6.0019942748088085E-7</v>
      </c>
      <c r="J361" s="41">
        <v>0</v>
      </c>
      <c r="K361" s="36">
        <f>[1]!Table3[[#This Row],[Residential Incentive Disbursements]]/'[1]1.) CLM Reference'!$B$5</f>
        <v>0</v>
      </c>
      <c r="L361" s="37">
        <v>0</v>
      </c>
      <c r="M361" s="36">
        <f>[1]!Table3[[#This Row],[C&amp;I CLM $ Collected]]/'[1]1.) CLM Reference'!$B$4</f>
        <v>0</v>
      </c>
      <c r="N361" s="41">
        <v>0</v>
      </c>
      <c r="O361" s="36">
        <f>[1]!Table3[[#This Row],[C&amp;I Incentive Disbursements]]/'[1]1.) CLM Reference'!$B$5</f>
        <v>0</v>
      </c>
      <c r="Q361">
        <f>VLOOKUP(Table3[[#This Row],[Census Tract]],'Population and Diversity Data'!$B$2:$K$823,10,FALSE)</f>
        <v>4</v>
      </c>
      <c r="R361" t="str">
        <f>VLOOKUP(Table3[[#This Row],[Census Tract]],'ES Energy Burden'!$B$2:$E$914,4,FALSE)</f>
        <v>No</v>
      </c>
    </row>
    <row r="362" spans="1:18" x14ac:dyDescent="0.2">
      <c r="A362" s="100">
        <v>9015905100</v>
      </c>
      <c r="B362" s="38" t="s">
        <v>2794</v>
      </c>
      <c r="C362" s="38" t="s">
        <v>944</v>
      </c>
      <c r="D362" s="40">
        <f>[1]!Table3[[#This Row],[Residential CLM $ Collected]]+[1]!Table3[[#This Row],[C&amp;I CLM $ Collected]]</f>
        <v>45.320515200000003</v>
      </c>
      <c r="E362" s="36">
        <f>[1]!Table3[[#This Row],[CLM $ Collected ]]/'[1]1.) CLM Reference'!$B$4</f>
        <v>4.0206736696738397E-7</v>
      </c>
      <c r="F362" s="40">
        <f>[1]!Table3[[#This Row],[Residential Incentive Disbursements]]+[1]!Table3[[#This Row],[C&amp;I Incentive Disbursements]]</f>
        <v>0</v>
      </c>
      <c r="G362" s="36">
        <f>[1]!Table3[[#This Row],[Incentive Disbursements]]/'[1]1.) CLM Reference'!$B$5</f>
        <v>0</v>
      </c>
      <c r="H362" s="40">
        <v>45.320515200000003</v>
      </c>
      <c r="I362" s="36">
        <f>[1]!Table3[[#This Row],[Residential CLM $ Collected]]/'[1]1.) CLM Reference'!$B$4</f>
        <v>4.0206736696738397E-7</v>
      </c>
      <c r="J362" s="41">
        <v>0</v>
      </c>
      <c r="K362" s="36">
        <f>[1]!Table3[[#This Row],[Residential Incentive Disbursements]]/'[1]1.) CLM Reference'!$B$5</f>
        <v>0</v>
      </c>
      <c r="L362" s="37">
        <v>0</v>
      </c>
      <c r="M362" s="36">
        <f>[1]!Table3[[#This Row],[C&amp;I CLM $ Collected]]/'[1]1.) CLM Reference'!$B$4</f>
        <v>0</v>
      </c>
      <c r="N362" s="41">
        <v>0</v>
      </c>
      <c r="O362" s="36">
        <f>[1]!Table3[[#This Row],[C&amp;I Incentive Disbursements]]/'[1]1.) CLM Reference'!$B$5</f>
        <v>0</v>
      </c>
      <c r="Q362">
        <f>VLOOKUP(Table3[[#This Row],[Census Tract]],'Population and Diversity Data'!$B$2:$K$823,10,FALSE)</f>
        <v>4</v>
      </c>
      <c r="R362" t="str">
        <f>VLOOKUP(Table3[[#This Row],[Census Tract]],'ES Energy Burden'!$B$2:$E$914,4,FALSE)</f>
        <v>No</v>
      </c>
    </row>
    <row r="363" spans="1:18" x14ac:dyDescent="0.2">
      <c r="A363" s="100">
        <v>9005296100</v>
      </c>
      <c r="B363" s="38" t="s">
        <v>2795</v>
      </c>
      <c r="C363" s="38" t="s">
        <v>944</v>
      </c>
      <c r="D363" s="40">
        <f>[1]!Table3[[#This Row],[Residential CLM $ Collected]]+[1]!Table3[[#This Row],[C&amp;I CLM $ Collected]]</f>
        <v>509.46071040000004</v>
      </c>
      <c r="E363" s="36">
        <f>[1]!Table3[[#This Row],[CLM $ Collected ]]/'[1]1.) CLM Reference'!$B$4</f>
        <v>4.5197528205473915E-6</v>
      </c>
      <c r="F363" s="40">
        <f>[1]!Table3[[#This Row],[Residential Incentive Disbursements]]+[1]!Table3[[#This Row],[C&amp;I Incentive Disbursements]]</f>
        <v>0</v>
      </c>
      <c r="G363" s="36">
        <f>[1]!Table3[[#This Row],[Incentive Disbursements]]/'[1]1.) CLM Reference'!$B$5</f>
        <v>0</v>
      </c>
      <c r="H363" s="40">
        <v>509.46071040000004</v>
      </c>
      <c r="I363" s="36">
        <f>[1]!Table3[[#This Row],[Residential CLM $ Collected]]/'[1]1.) CLM Reference'!$B$4</f>
        <v>4.5197528205473915E-6</v>
      </c>
      <c r="J363" s="41">
        <v>0</v>
      </c>
      <c r="K363" s="36">
        <f>[1]!Table3[[#This Row],[Residential Incentive Disbursements]]/'[1]1.) CLM Reference'!$B$5</f>
        <v>0</v>
      </c>
      <c r="L363" s="37">
        <v>0</v>
      </c>
      <c r="M363" s="36">
        <f>[1]!Table3[[#This Row],[C&amp;I CLM $ Collected]]/'[1]1.) CLM Reference'!$B$4</f>
        <v>0</v>
      </c>
      <c r="N363" s="41">
        <v>0</v>
      </c>
      <c r="O363" s="36">
        <f>[1]!Table3[[#This Row],[C&amp;I Incentive Disbursements]]/'[1]1.) CLM Reference'!$B$5</f>
        <v>0</v>
      </c>
      <c r="Q363">
        <f>VLOOKUP(Table3[[#This Row],[Census Tract]],'Population and Diversity Data'!$B$2:$K$823,10,FALSE)</f>
        <v>3</v>
      </c>
      <c r="R363" t="str">
        <f>VLOOKUP(Table3[[#This Row],[Census Tract]],'ES Energy Burden'!$B$2:$E$914,4,FALSE)</f>
        <v>No</v>
      </c>
    </row>
    <row r="364" spans="1:18" x14ac:dyDescent="0.2">
      <c r="A364" s="100">
        <v>9005300100</v>
      </c>
      <c r="B364" s="38" t="s">
        <v>2795</v>
      </c>
      <c r="C364" s="38" t="s">
        <v>944</v>
      </c>
      <c r="D364" s="40">
        <f>[1]!Table3[[#This Row],[Residential CLM $ Collected]]+[1]!Table3[[#This Row],[C&amp;I CLM $ Collected]]</f>
        <v>69544.787889600004</v>
      </c>
      <c r="E364" s="36">
        <f>[1]!Table3[[#This Row],[CLM $ Collected ]]/'[1]1.) CLM Reference'!$B$4</f>
        <v>6.1697643174799313E-4</v>
      </c>
      <c r="F364" s="40">
        <f>[1]!Table3[[#This Row],[Residential Incentive Disbursements]]+[1]!Table3[[#This Row],[C&amp;I Incentive Disbursements]]</f>
        <v>74664.482900000003</v>
      </c>
      <c r="G364" s="36">
        <f>[1]!Table3[[#This Row],[Incentive Disbursements]]/'[1]1.) CLM Reference'!$B$5</f>
        <v>9.1349397133621754E-4</v>
      </c>
      <c r="H364" s="40">
        <v>68888.674877760001</v>
      </c>
      <c r="I364" s="36">
        <f>[1]!Table3[[#This Row],[Residential CLM $ Collected]]/'[1]1.) CLM Reference'!$B$4</f>
        <v>6.1115563227253722E-4</v>
      </c>
      <c r="J364" s="41">
        <v>74664.482900000003</v>
      </c>
      <c r="K364" s="36">
        <f>[1]!Table3[[#This Row],[Residential Incentive Disbursements]]/'[1]1.) CLM Reference'!$B$5</f>
        <v>9.1349397133621754E-4</v>
      </c>
      <c r="L364" s="37">
        <v>656.1130118399999</v>
      </c>
      <c r="M364" s="36">
        <f>[1]!Table3[[#This Row],[C&amp;I CLM $ Collected]]/'[1]1.) CLM Reference'!$B$4</f>
        <v>5.8207994754558479E-6</v>
      </c>
      <c r="N364" s="41">
        <v>0</v>
      </c>
      <c r="O364" s="36">
        <f>[1]!Table3[[#This Row],[C&amp;I Incentive Disbursements]]/'[1]1.) CLM Reference'!$B$5</f>
        <v>0</v>
      </c>
      <c r="Q364">
        <f>VLOOKUP(Table3[[#This Row],[Census Tract]],'Population and Diversity Data'!$B$2:$K$823,10,FALSE)</f>
        <v>1</v>
      </c>
      <c r="R364" t="str">
        <f>VLOOKUP(Table3[[#This Row],[Census Tract]],'ES Energy Burden'!$B$2:$E$914,4,FALSE)</f>
        <v>No</v>
      </c>
    </row>
    <row r="365" spans="1:18" x14ac:dyDescent="0.2">
      <c r="A365" s="100">
        <v>9005300400</v>
      </c>
      <c r="B365" s="38" t="s">
        <v>2795</v>
      </c>
      <c r="C365" s="38" t="s">
        <v>944</v>
      </c>
      <c r="D365" s="40">
        <f>[1]!Table3[[#This Row],[Residential CLM $ Collected]]+[1]!Table3[[#This Row],[C&amp;I CLM $ Collected]]</f>
        <v>46661.577552000002</v>
      </c>
      <c r="E365" s="36">
        <f>[1]!Table3[[#This Row],[CLM $ Collected ]]/'[1]1.) CLM Reference'!$B$4</f>
        <v>4.1396479148756522E-4</v>
      </c>
      <c r="F365" s="40">
        <f>[1]!Table3[[#This Row],[Residential Incentive Disbursements]]+[1]!Table3[[#This Row],[C&amp;I Incentive Disbursements]]</f>
        <v>11260.856400000001</v>
      </c>
      <c r="G365" s="36">
        <f>[1]!Table3[[#This Row],[Incentive Disbursements]]/'[1]1.) CLM Reference'!$B$5</f>
        <v>1.3777266022534608E-4</v>
      </c>
      <c r="H365" s="40">
        <v>46661.577552000002</v>
      </c>
      <c r="I365" s="36">
        <f>[1]!Table3[[#This Row],[Residential CLM $ Collected]]/'[1]1.) CLM Reference'!$B$4</f>
        <v>4.1396479148756522E-4</v>
      </c>
      <c r="J365" s="41">
        <v>11260.856400000001</v>
      </c>
      <c r="K365" s="36">
        <f>[1]!Table3[[#This Row],[Residential Incentive Disbursements]]/'[1]1.) CLM Reference'!$B$5</f>
        <v>1.3777266022534608E-4</v>
      </c>
      <c r="L365" s="37">
        <v>0</v>
      </c>
      <c r="M365" s="36">
        <f>[1]!Table3[[#This Row],[C&amp;I CLM $ Collected]]/'[1]1.) CLM Reference'!$B$4</f>
        <v>0</v>
      </c>
      <c r="N365" s="41">
        <v>0</v>
      </c>
      <c r="O365" s="36">
        <f>[1]!Table3[[#This Row],[C&amp;I Incentive Disbursements]]/'[1]1.) CLM Reference'!$B$5</f>
        <v>0</v>
      </c>
      <c r="Q365">
        <f>VLOOKUP(Table3[[#This Row],[Census Tract]],'Population and Diversity Data'!$B$2:$K$823,10,FALSE)</f>
        <v>2</v>
      </c>
      <c r="R365" t="str">
        <f>VLOOKUP(Table3[[#This Row],[Census Tract]],'ES Energy Burden'!$B$2:$E$914,4,FALSE)</f>
        <v>No</v>
      </c>
    </row>
    <row r="366" spans="1:18" x14ac:dyDescent="0.2">
      <c r="A366" s="100">
        <v>9005300500</v>
      </c>
      <c r="B366" s="38" t="s">
        <v>2795</v>
      </c>
      <c r="C366" s="38" t="s">
        <v>944</v>
      </c>
      <c r="D366" s="40">
        <f>[1]!Table3[[#This Row],[Residential CLM $ Collected]]+[1]!Table3[[#This Row],[C&amp;I CLM $ Collected]]</f>
        <v>184605.2111664</v>
      </c>
      <c r="E366" s="36">
        <f>[1]!Table3[[#This Row],[CLM $ Collected ]]/'[1]1.) CLM Reference'!$B$4</f>
        <v>1.6377512668287661E-3</v>
      </c>
      <c r="F366" s="40">
        <f>[1]!Table3[[#This Row],[Residential Incentive Disbursements]]+[1]!Table3[[#This Row],[C&amp;I Incentive Disbursements]]</f>
        <v>100008.2558</v>
      </c>
      <c r="G366" s="36">
        <f>[1]!Table3[[#This Row],[Incentive Disbursements]]/'[1]1.) CLM Reference'!$B$5</f>
        <v>1.2235662152714154E-3</v>
      </c>
      <c r="H366" s="40">
        <v>108012.43597536</v>
      </c>
      <c r="I366" s="36">
        <f>[1]!Table3[[#This Row],[Residential CLM $ Collected]]/'[1]1.) CLM Reference'!$B$4</f>
        <v>9.5824761789879503E-4</v>
      </c>
      <c r="J366" s="41">
        <v>85264.085800000001</v>
      </c>
      <c r="K366" s="36">
        <f>[1]!Table3[[#This Row],[Residential Incentive Disbursements]]/'[1]1.) CLM Reference'!$B$5</f>
        <v>1.0431764250495332E-3</v>
      </c>
      <c r="L366" s="37">
        <v>76592.775191040011</v>
      </c>
      <c r="M366" s="36">
        <f>[1]!Table3[[#This Row],[C&amp;I CLM $ Collected]]/'[1]1.) CLM Reference'!$B$4</f>
        <v>6.795036489299712E-4</v>
      </c>
      <c r="N366" s="41">
        <v>14744.17</v>
      </c>
      <c r="O366" s="36">
        <f>[1]!Table3[[#This Row],[C&amp;I Incentive Disbursements]]/'[1]1.) CLM Reference'!$B$5</f>
        <v>1.803897902218823E-4</v>
      </c>
      <c r="Q366">
        <f>VLOOKUP(Table3[[#This Row],[Census Tract]],'Population and Diversity Data'!$B$2:$K$823,10,FALSE)</f>
        <v>1</v>
      </c>
      <c r="R366" t="str">
        <f>VLOOKUP(Table3[[#This Row],[Census Tract]],'ES Energy Burden'!$B$2:$E$914,4,FALSE)</f>
        <v>No</v>
      </c>
    </row>
    <row r="367" spans="1:18" x14ac:dyDescent="0.2">
      <c r="A367" s="100">
        <v>9005303100</v>
      </c>
      <c r="B367" s="38" t="s">
        <v>2795</v>
      </c>
      <c r="C367" s="38" t="s">
        <v>944</v>
      </c>
      <c r="D367" s="40">
        <f>[1]!Table3[[#This Row],[Residential CLM $ Collected]]+[1]!Table3[[#This Row],[C&amp;I CLM $ Collected]]</f>
        <v>538.43944320000003</v>
      </c>
      <c r="E367" s="36">
        <f>[1]!Table3[[#This Row],[CLM $ Collected ]]/'[1]1.) CLM Reference'!$B$4</f>
        <v>4.7768417513225511E-6</v>
      </c>
      <c r="F367" s="40">
        <f>[1]!Table3[[#This Row],[Residential Incentive Disbursements]]+[1]!Table3[[#This Row],[C&amp;I Incentive Disbursements]]</f>
        <v>1069.8900000000001</v>
      </c>
      <c r="G367" s="36">
        <f>[1]!Table3[[#This Row],[Incentive Disbursements]]/'[1]1.) CLM Reference'!$B$5</f>
        <v>1.3089731918479622E-5</v>
      </c>
      <c r="H367" s="40">
        <v>538.43944320000003</v>
      </c>
      <c r="I367" s="36">
        <f>[1]!Table3[[#This Row],[Residential CLM $ Collected]]/'[1]1.) CLM Reference'!$B$4</f>
        <v>4.7768417513225511E-6</v>
      </c>
      <c r="J367" s="41">
        <v>1069.8900000000001</v>
      </c>
      <c r="K367" s="36">
        <f>[1]!Table3[[#This Row],[Residential Incentive Disbursements]]/'[1]1.) CLM Reference'!$B$5</f>
        <v>1.3089731918479622E-5</v>
      </c>
      <c r="L367" s="37">
        <v>0</v>
      </c>
      <c r="M367" s="36">
        <f>[1]!Table3[[#This Row],[C&amp;I CLM $ Collected]]/'[1]1.) CLM Reference'!$B$4</f>
        <v>0</v>
      </c>
      <c r="N367" s="41">
        <v>0</v>
      </c>
      <c r="O367" s="36">
        <f>[1]!Table3[[#This Row],[C&amp;I Incentive Disbursements]]/'[1]1.) CLM Reference'!$B$5</f>
        <v>0</v>
      </c>
      <c r="Q367">
        <f>VLOOKUP(Table3[[#This Row],[Census Tract]],'Population and Diversity Data'!$B$2:$K$823,10,FALSE)</f>
        <v>1</v>
      </c>
      <c r="R367" t="str">
        <f>VLOOKUP(Table3[[#This Row],[Census Tract]],'ES Energy Burden'!$B$2:$E$914,4,FALSE)</f>
        <v>No</v>
      </c>
    </row>
    <row r="368" spans="1:18" x14ac:dyDescent="0.2">
      <c r="A368" s="100">
        <v>9005349100</v>
      </c>
      <c r="B368" s="38" t="s">
        <v>2795</v>
      </c>
      <c r="C368" s="38" t="s">
        <v>944</v>
      </c>
      <c r="D368" s="40">
        <f>[1]!Table3[[#This Row],[Residential CLM $ Collected]]+[1]!Table3[[#This Row],[C&amp;I CLM $ Collected]]</f>
        <v>278.03027520000001</v>
      </c>
      <c r="E368" s="36">
        <f>[1]!Table3[[#This Row],[CLM $ Collected ]]/'[1]1.) CLM Reference'!$B$4</f>
        <v>2.4665849493008667E-6</v>
      </c>
      <c r="F368" s="40">
        <f>[1]!Table3[[#This Row],[Residential Incentive Disbursements]]+[1]!Table3[[#This Row],[C&amp;I Incentive Disbursements]]</f>
        <v>0</v>
      </c>
      <c r="G368" s="36">
        <f>[1]!Table3[[#This Row],[Incentive Disbursements]]/'[1]1.) CLM Reference'!$B$5</f>
        <v>0</v>
      </c>
      <c r="H368" s="40">
        <v>278.03027520000001</v>
      </c>
      <c r="I368" s="36">
        <f>[1]!Table3[[#This Row],[Residential CLM $ Collected]]/'[1]1.) CLM Reference'!$B$4</f>
        <v>2.4665849493008667E-6</v>
      </c>
      <c r="J368" s="41">
        <v>0</v>
      </c>
      <c r="K368" s="36">
        <f>[1]!Table3[[#This Row],[Residential Incentive Disbursements]]/'[1]1.) CLM Reference'!$B$5</f>
        <v>0</v>
      </c>
      <c r="L368" s="37">
        <v>0</v>
      </c>
      <c r="M368" s="36">
        <f>[1]!Table3[[#This Row],[C&amp;I CLM $ Collected]]/'[1]1.) CLM Reference'!$B$4</f>
        <v>0</v>
      </c>
      <c r="N368" s="41">
        <v>0</v>
      </c>
      <c r="O368" s="36">
        <f>[1]!Table3[[#This Row],[C&amp;I Incentive Disbursements]]/'[1]1.) CLM Reference'!$B$5</f>
        <v>0</v>
      </c>
      <c r="Q368">
        <f>VLOOKUP(Table3[[#This Row],[Census Tract]],'Population and Diversity Data'!$B$2:$K$823,10,FALSE)</f>
        <v>1</v>
      </c>
      <c r="R368" t="str">
        <f>VLOOKUP(Table3[[#This Row],[Census Tract]],'ES Energy Burden'!$B$2:$E$914,4,FALSE)</f>
        <v>No</v>
      </c>
    </row>
    <row r="369" spans="1:18" x14ac:dyDescent="0.2">
      <c r="A369" s="100">
        <v>9011650100</v>
      </c>
      <c r="B369" s="38" t="s">
        <v>2796</v>
      </c>
      <c r="C369" s="38" t="s">
        <v>944</v>
      </c>
      <c r="D369" s="40">
        <f>[1]!Table3[[#This Row],[Residential CLM $ Collected]]+[1]!Table3[[#This Row],[C&amp;I CLM $ Collected]]</f>
        <v>84478.104887040012</v>
      </c>
      <c r="E369" s="36">
        <f>[1]!Table3[[#This Row],[CLM $ Collected ]]/'[1]1.) CLM Reference'!$B$4</f>
        <v>7.4945946771422993E-4</v>
      </c>
      <c r="F369" s="40">
        <f>[1]!Table3[[#This Row],[Residential Incentive Disbursements]]+[1]!Table3[[#This Row],[C&amp;I Incentive Disbursements]]</f>
        <v>36851.571000000004</v>
      </c>
      <c r="G369" s="36">
        <f>[1]!Table3[[#This Row],[Incentive Disbursements]]/'[1]1.) CLM Reference'!$B$5</f>
        <v>4.5086614994515136E-4</v>
      </c>
      <c r="H369" s="40">
        <v>79093.234615680005</v>
      </c>
      <c r="I369" s="36">
        <f>[1]!Table3[[#This Row],[Residential CLM $ Collected]]/'[1]1.) CLM Reference'!$B$4</f>
        <v>7.0168682872475394E-4</v>
      </c>
      <c r="J369" s="41">
        <v>36851.571000000004</v>
      </c>
      <c r="K369" s="36">
        <f>[1]!Table3[[#This Row],[Residential Incentive Disbursements]]/'[1]1.) CLM Reference'!$B$5</f>
        <v>4.5086614994515136E-4</v>
      </c>
      <c r="L369" s="37">
        <v>5384.8702713599996</v>
      </c>
      <c r="M369" s="36">
        <f>[1]!Table3[[#This Row],[C&amp;I CLM $ Collected]]/'[1]1.) CLM Reference'!$B$4</f>
        <v>4.7772638989475945E-5</v>
      </c>
      <c r="N369" s="41">
        <v>0</v>
      </c>
      <c r="O369" s="36">
        <f>[1]!Table3[[#This Row],[C&amp;I Incentive Disbursements]]/'[1]1.) CLM Reference'!$B$5</f>
        <v>0</v>
      </c>
      <c r="Q369">
        <f>VLOOKUP(Table3[[#This Row],[Census Tract]],'Population and Diversity Data'!$B$2:$K$823,10,FALSE)</f>
        <v>1</v>
      </c>
      <c r="R369" t="str">
        <f>VLOOKUP(Table3[[#This Row],[Census Tract]],'ES Energy Burden'!$B$2:$E$914,4,FALSE)</f>
        <v>No</v>
      </c>
    </row>
    <row r="370" spans="1:18" x14ac:dyDescent="0.2">
      <c r="A370" s="100">
        <v>9009190301</v>
      </c>
      <c r="B370" s="38" t="s">
        <v>2797</v>
      </c>
      <c r="C370" s="38" t="s">
        <v>944</v>
      </c>
      <c r="D370" s="40">
        <f>[1]!Table3[[#This Row],[Residential CLM $ Collected]]+[1]!Table3[[#This Row],[C&amp;I CLM $ Collected]]</f>
        <v>1231.9318943999999</v>
      </c>
      <c r="E370" s="36">
        <f>[1]!Table3[[#This Row],[CLM $ Collected ]]/'[1]1.) CLM Reference'!$B$4</f>
        <v>1.0929258215152622E-5</v>
      </c>
      <c r="F370" s="40">
        <f>[1]!Table3[[#This Row],[Residential Incentive Disbursements]]+[1]!Table3[[#This Row],[C&amp;I Incentive Disbursements]]</f>
        <v>957.25</v>
      </c>
      <c r="G370" s="36">
        <f>[1]!Table3[[#This Row],[Incentive Disbursements]]/'[1]1.) CLM Reference'!$B$5</f>
        <v>1.1711620707703237E-5</v>
      </c>
      <c r="H370" s="40">
        <v>1231.9318943999999</v>
      </c>
      <c r="I370" s="36">
        <f>[1]!Table3[[#This Row],[Residential CLM $ Collected]]/'[1]1.) CLM Reference'!$B$4</f>
        <v>1.0929258215152622E-5</v>
      </c>
      <c r="J370" s="41">
        <v>957.25</v>
      </c>
      <c r="K370" s="36">
        <f>[1]!Table3[[#This Row],[Residential Incentive Disbursements]]/'[1]1.) CLM Reference'!$B$5</f>
        <v>1.1711620707703237E-5</v>
      </c>
      <c r="L370" s="37">
        <v>0</v>
      </c>
      <c r="M370" s="36">
        <f>[1]!Table3[[#This Row],[C&amp;I CLM $ Collected]]/'[1]1.) CLM Reference'!$B$4</f>
        <v>0</v>
      </c>
      <c r="N370" s="41">
        <v>0</v>
      </c>
      <c r="O370" s="36">
        <f>[1]!Table3[[#This Row],[C&amp;I Incentive Disbursements]]/'[1]1.) CLM Reference'!$B$5</f>
        <v>0</v>
      </c>
      <c r="Q370">
        <f>VLOOKUP(Table3[[#This Row],[Census Tract]],'Population and Diversity Data'!$B$2:$K$823,10,FALSE)</f>
        <v>3</v>
      </c>
      <c r="R370" t="str">
        <f>VLOOKUP(Table3[[#This Row],[Census Tract]],'ES Energy Burden'!$B$2:$E$914,4,FALSE)</f>
        <v>No</v>
      </c>
    </row>
    <row r="371" spans="1:18" x14ac:dyDescent="0.2">
      <c r="A371" s="100">
        <v>9009194100</v>
      </c>
      <c r="B371" s="38" t="s">
        <v>2797</v>
      </c>
      <c r="C371" s="38" t="s">
        <v>944</v>
      </c>
      <c r="D371" s="40">
        <f>[1]!Table3[[#This Row],[Residential CLM $ Collected]]+[1]!Table3[[#This Row],[C&amp;I CLM $ Collected]]</f>
        <v>147742.19007552002</v>
      </c>
      <c r="E371" s="36">
        <f>[1]!Table3[[#This Row],[CLM $ Collected ]]/'[1]1.) CLM Reference'!$B$4</f>
        <v>1.3107157562423099E-3</v>
      </c>
      <c r="F371" s="40">
        <f>[1]!Table3[[#This Row],[Residential Incentive Disbursements]]+[1]!Table3[[#This Row],[C&amp;I Incentive Disbursements]]</f>
        <v>34658.589500000002</v>
      </c>
      <c r="G371" s="36">
        <f>[1]!Table3[[#This Row],[Incentive Disbursements]]/'[1]1.) CLM Reference'!$B$5</f>
        <v>4.240357842653288E-4</v>
      </c>
      <c r="H371" s="40">
        <v>147620.49213312002</v>
      </c>
      <c r="I371" s="36">
        <f>[1]!Table3[[#This Row],[Residential CLM $ Collected]]/'[1]1.) CLM Reference'!$B$4</f>
        <v>1.3096360957166034E-3</v>
      </c>
      <c r="J371" s="41">
        <v>34658.589500000002</v>
      </c>
      <c r="K371" s="36">
        <f>[1]!Table3[[#This Row],[Residential Incentive Disbursements]]/'[1]1.) CLM Reference'!$B$5</f>
        <v>4.240357842653288E-4</v>
      </c>
      <c r="L371" s="37">
        <v>121.6979424</v>
      </c>
      <c r="M371" s="36">
        <f>[1]!Table3[[#This Row],[C&amp;I CLM $ Collected]]/'[1]1.) CLM Reference'!$B$4</f>
        <v>1.0796605257063881E-6</v>
      </c>
      <c r="N371" s="41">
        <v>0</v>
      </c>
      <c r="O371" s="36">
        <f>[1]!Table3[[#This Row],[C&amp;I Incentive Disbursements]]/'[1]1.) CLM Reference'!$B$5</f>
        <v>0</v>
      </c>
      <c r="Q371">
        <f>VLOOKUP(Table3[[#This Row],[Census Tract]],'Population and Diversity Data'!$B$2:$K$823,10,FALSE)</f>
        <v>1</v>
      </c>
      <c r="R371" t="str">
        <f>VLOOKUP(Table3[[#This Row],[Census Tract]],'ES Energy Burden'!$B$2:$E$914,4,FALSE)</f>
        <v>No</v>
      </c>
    </row>
    <row r="372" spans="1:18" x14ac:dyDescent="0.2">
      <c r="A372" s="100">
        <v>9009194201</v>
      </c>
      <c r="B372" s="38" t="s">
        <v>2797</v>
      </c>
      <c r="C372" s="38" t="s">
        <v>944</v>
      </c>
      <c r="D372" s="40">
        <f>[1]!Table3[[#This Row],[Residential CLM $ Collected]]+[1]!Table3[[#This Row],[C&amp;I CLM $ Collected]]</f>
        <v>291931.58114208002</v>
      </c>
      <c r="E372" s="36">
        <f>[1]!Table3[[#This Row],[CLM $ Collected ]]/'[1]1.) CLM Reference'!$B$4</f>
        <v>2.5899123530798104E-3</v>
      </c>
      <c r="F372" s="40">
        <f>[1]!Table3[[#This Row],[Residential Incentive Disbursements]]+[1]!Table3[[#This Row],[C&amp;I Incentive Disbursements]]</f>
        <v>188699.47329999998</v>
      </c>
      <c r="G372" s="36">
        <f>[1]!Table3[[#This Row],[Incentive Disbursements]]/'[1]1.) CLM Reference'!$B$5</f>
        <v>2.308672404317549E-3</v>
      </c>
      <c r="H372" s="40">
        <v>189577.17501696001</v>
      </c>
      <c r="I372" s="36">
        <f>[1]!Table3[[#This Row],[Residential CLM $ Collected]]/'[1]1.) CLM Reference'!$B$4</f>
        <v>1.6818607480478076E-3</v>
      </c>
      <c r="J372" s="41">
        <v>170986.45329999999</v>
      </c>
      <c r="K372" s="36">
        <f>[1]!Table3[[#This Row],[Residential Incentive Disbursements]]/'[1]1.) CLM Reference'!$B$5</f>
        <v>2.0919597672551709E-3</v>
      </c>
      <c r="L372" s="37">
        <v>102354.40612512</v>
      </c>
      <c r="M372" s="36">
        <f>[1]!Table3[[#This Row],[C&amp;I CLM $ Collected]]/'[1]1.) CLM Reference'!$B$4</f>
        <v>9.0805160503200269E-4</v>
      </c>
      <c r="N372" s="41">
        <v>17713.02</v>
      </c>
      <c r="O372" s="36">
        <f>[1]!Table3[[#This Row],[C&amp;I Incentive Disbursements]]/'[1]1.) CLM Reference'!$B$5</f>
        <v>2.1671263706237825E-4</v>
      </c>
      <c r="Q372">
        <f>VLOOKUP(Table3[[#This Row],[Census Tract]],'Population and Diversity Data'!$B$2:$K$823,10,FALSE)</f>
        <v>3</v>
      </c>
      <c r="R372" t="str">
        <f>VLOOKUP(Table3[[#This Row],[Census Tract]],'ES Energy Burden'!$B$2:$E$914,4,FALSE)</f>
        <v>No</v>
      </c>
    </row>
    <row r="373" spans="1:18" x14ac:dyDescent="0.2">
      <c r="A373" s="100">
        <v>9009194202</v>
      </c>
      <c r="B373" s="38" t="s">
        <v>2797</v>
      </c>
      <c r="C373" s="38" t="s">
        <v>944</v>
      </c>
      <c r="D373" s="40">
        <f>[1]!Table3[[#This Row],[Residential CLM $ Collected]]+[1]!Table3[[#This Row],[C&amp;I CLM $ Collected]]</f>
        <v>130404.20613695998</v>
      </c>
      <c r="E373" s="36">
        <f>[1]!Table3[[#This Row],[CLM $ Collected ]]/'[1]1.) CLM Reference'!$B$4</f>
        <v>1.1568993770609093E-3</v>
      </c>
      <c r="F373" s="40">
        <f>[1]!Table3[[#This Row],[Residential Incentive Disbursements]]+[1]!Table3[[#This Row],[C&amp;I Incentive Disbursements]]</f>
        <v>29098.8796</v>
      </c>
      <c r="G373" s="36">
        <f>[1]!Table3[[#This Row],[Incentive Disbursements]]/'[1]1.) CLM Reference'!$B$5</f>
        <v>3.5601466794914942E-4</v>
      </c>
      <c r="H373" s="40">
        <v>130324.01967935999</v>
      </c>
      <c r="I373" s="36">
        <f>[1]!Table3[[#This Row],[Residential CLM $ Collected]]/'[1]1.) CLM Reference'!$B$4</f>
        <v>1.1561879915497034E-3</v>
      </c>
      <c r="J373" s="41">
        <v>29098.8796</v>
      </c>
      <c r="K373" s="36">
        <f>[1]!Table3[[#This Row],[Residential Incentive Disbursements]]/'[1]1.) CLM Reference'!$B$5</f>
        <v>3.5601466794914942E-4</v>
      </c>
      <c r="L373" s="37">
        <v>80.186457599999997</v>
      </c>
      <c r="M373" s="36">
        <f>[1]!Table3[[#This Row],[C&amp;I CLM $ Collected]]/'[1]1.) CLM Reference'!$B$4</f>
        <v>7.1138551120605468E-7</v>
      </c>
      <c r="N373" s="41">
        <v>0</v>
      </c>
      <c r="O373" s="36">
        <f>[1]!Table3[[#This Row],[C&amp;I Incentive Disbursements]]/'[1]1.) CLM Reference'!$B$5</f>
        <v>0</v>
      </c>
      <c r="Q373">
        <f>VLOOKUP(Table3[[#This Row],[Census Tract]],'Population and Diversity Data'!$B$2:$K$823,10,FALSE)</f>
        <v>3</v>
      </c>
      <c r="R373" t="str">
        <f>VLOOKUP(Table3[[#This Row],[Census Tract]],'ES Energy Burden'!$B$2:$E$914,4,FALSE)</f>
        <v>No</v>
      </c>
    </row>
    <row r="374" spans="1:18" x14ac:dyDescent="0.2">
      <c r="A374" s="100">
        <v>9003487201</v>
      </c>
      <c r="B374" s="38" t="s">
        <v>2798</v>
      </c>
      <c r="C374" s="38" t="s">
        <v>944</v>
      </c>
      <c r="D374" s="40">
        <f>[1]!Table3[[#This Row],[Residential CLM $ Collected]]+[1]!Table3[[#This Row],[C&amp;I CLM $ Collected]]</f>
        <v>744.42231360000005</v>
      </c>
      <c r="E374" s="36">
        <f>[1]!Table3[[#This Row],[CLM $ Collected ]]/'[1]1.) CLM Reference'!$B$4</f>
        <v>6.6042479486402706E-6</v>
      </c>
      <c r="F374" s="40">
        <f>[1]!Table3[[#This Row],[Residential Incentive Disbursements]]+[1]!Table3[[#This Row],[C&amp;I Incentive Disbursements]]</f>
        <v>0</v>
      </c>
      <c r="G374" s="36">
        <f>[1]!Table3[[#This Row],[Incentive Disbursements]]/'[1]1.) CLM Reference'!$B$5</f>
        <v>0</v>
      </c>
      <c r="H374" s="40">
        <v>744.42231360000005</v>
      </c>
      <c r="I374" s="36">
        <f>[1]!Table3[[#This Row],[Residential CLM $ Collected]]/'[1]1.) CLM Reference'!$B$4</f>
        <v>6.6042479486402706E-6</v>
      </c>
      <c r="J374" s="41">
        <v>0</v>
      </c>
      <c r="K374" s="36">
        <f>[1]!Table3[[#This Row],[Residential Incentive Disbursements]]/'[1]1.) CLM Reference'!$B$5</f>
        <v>0</v>
      </c>
      <c r="L374" s="37">
        <v>0</v>
      </c>
      <c r="M374" s="36">
        <f>[1]!Table3[[#This Row],[C&amp;I CLM $ Collected]]/'[1]1.) CLM Reference'!$B$4</f>
        <v>0</v>
      </c>
      <c r="N374" s="41">
        <v>0</v>
      </c>
      <c r="O374" s="36">
        <f>[1]!Table3[[#This Row],[C&amp;I Incentive Disbursements]]/'[1]1.) CLM Reference'!$B$5</f>
        <v>0</v>
      </c>
      <c r="Q374">
        <f>VLOOKUP(Table3[[#This Row],[Census Tract]],'Population and Diversity Data'!$B$2:$K$823,10,FALSE)</f>
        <v>4</v>
      </c>
      <c r="R374" t="str">
        <f>VLOOKUP(Table3[[#This Row],[Census Tract]],'ES Energy Burden'!$B$2:$E$914,4,FALSE)</f>
        <v>No</v>
      </c>
    </row>
    <row r="375" spans="1:18" x14ac:dyDescent="0.2">
      <c r="A375" s="100">
        <v>9003487500</v>
      </c>
      <c r="B375" s="38" t="s">
        <v>2798</v>
      </c>
      <c r="C375" s="38" t="s">
        <v>944</v>
      </c>
      <c r="D375" s="40">
        <f>[1]!Table3[[#This Row],[Residential CLM $ Collected]]+[1]!Table3[[#This Row],[C&amp;I CLM $ Collected]]</f>
        <v>1016.2990943999999</v>
      </c>
      <c r="E375" s="36">
        <f>[1]!Table3[[#This Row],[CLM $ Collected ]]/'[1]1.) CLM Reference'!$B$4</f>
        <v>9.0162413011744574E-6</v>
      </c>
      <c r="F375" s="40">
        <f>[1]!Table3[[#This Row],[Residential Incentive Disbursements]]+[1]!Table3[[#This Row],[C&amp;I Incentive Disbursements]]</f>
        <v>304.04000000000002</v>
      </c>
      <c r="G375" s="36">
        <f>[1]!Table3[[#This Row],[Incentive Disbursements]]/'[1]1.) CLM Reference'!$B$5</f>
        <v>3.7198236197128152E-6</v>
      </c>
      <c r="H375" s="40">
        <v>1016.2990943999999</v>
      </c>
      <c r="I375" s="36">
        <f>[1]!Table3[[#This Row],[Residential CLM $ Collected]]/'[1]1.) CLM Reference'!$B$4</f>
        <v>9.0162413011744574E-6</v>
      </c>
      <c r="J375" s="41">
        <v>304.04000000000002</v>
      </c>
      <c r="K375" s="36">
        <f>[1]!Table3[[#This Row],[Residential Incentive Disbursements]]/'[1]1.) CLM Reference'!$B$5</f>
        <v>3.7198236197128152E-6</v>
      </c>
      <c r="L375" s="37">
        <v>0</v>
      </c>
      <c r="M375" s="36">
        <f>[1]!Table3[[#This Row],[C&amp;I CLM $ Collected]]/'[1]1.) CLM Reference'!$B$4</f>
        <v>0</v>
      </c>
      <c r="N375" s="41">
        <v>0</v>
      </c>
      <c r="O375" s="36">
        <f>[1]!Table3[[#This Row],[C&amp;I Incentive Disbursements]]/'[1]1.) CLM Reference'!$B$5</f>
        <v>0</v>
      </c>
      <c r="Q375">
        <f>VLOOKUP(Table3[[#This Row],[Census Tract]],'Population and Diversity Data'!$B$2:$K$823,10,FALSE)</f>
        <v>5</v>
      </c>
      <c r="R375" t="str">
        <f>VLOOKUP(Table3[[#This Row],[Census Tract]],'ES Energy Burden'!$B$2:$E$914,4,FALSE)</f>
        <v>No</v>
      </c>
    </row>
    <row r="376" spans="1:18" x14ac:dyDescent="0.2">
      <c r="A376" s="100">
        <v>9003514101</v>
      </c>
      <c r="B376" s="38" t="s">
        <v>2798</v>
      </c>
      <c r="C376" s="38" t="s">
        <v>944</v>
      </c>
      <c r="D376" s="40">
        <f>[1]!Table3[[#This Row],[Residential CLM $ Collected]]+[1]!Table3[[#This Row],[C&amp;I CLM $ Collected]]</f>
        <v>53717.175388800002</v>
      </c>
      <c r="E376" s="36">
        <f>[1]!Table3[[#This Row],[CLM $ Collected ]]/'[1]1.) CLM Reference'!$B$4</f>
        <v>4.76559526611471E-4</v>
      </c>
      <c r="F376" s="40">
        <f>[1]!Table3[[#This Row],[Residential Incentive Disbursements]]+[1]!Table3[[#This Row],[C&amp;I Incentive Disbursements]]</f>
        <v>17130.2068</v>
      </c>
      <c r="G376" s="36">
        <f>[1]!Table3[[#This Row],[Incentive Disbursements]]/'[1]1.) CLM Reference'!$B$5</f>
        <v>2.095821203302364E-4</v>
      </c>
      <c r="H376" s="40">
        <v>53717.175388800002</v>
      </c>
      <c r="I376" s="36">
        <f>[1]!Table3[[#This Row],[Residential CLM $ Collected]]/'[1]1.) CLM Reference'!$B$4</f>
        <v>4.76559526611471E-4</v>
      </c>
      <c r="J376" s="41">
        <v>17130.2068</v>
      </c>
      <c r="K376" s="36">
        <f>[1]!Table3[[#This Row],[Residential Incentive Disbursements]]/'[1]1.) CLM Reference'!$B$5</f>
        <v>2.095821203302364E-4</v>
      </c>
      <c r="L376" s="37">
        <v>0</v>
      </c>
      <c r="M376" s="36">
        <f>[1]!Table3[[#This Row],[C&amp;I CLM $ Collected]]/'[1]1.) CLM Reference'!$B$4</f>
        <v>0</v>
      </c>
      <c r="N376" s="41">
        <v>0</v>
      </c>
      <c r="O376" s="36">
        <f>[1]!Table3[[#This Row],[C&amp;I Incentive Disbursements]]/'[1]1.) CLM Reference'!$B$5</f>
        <v>0</v>
      </c>
      <c r="Q376">
        <f>VLOOKUP(Table3[[#This Row],[Census Tract]],'Population and Diversity Data'!$B$2:$K$823,10,FALSE)</f>
        <v>3</v>
      </c>
      <c r="R376" t="str">
        <f>VLOOKUP(Table3[[#This Row],[Census Tract]],'ES Energy Burden'!$B$2:$E$914,4,FALSE)</f>
        <v>No</v>
      </c>
    </row>
    <row r="377" spans="1:18" x14ac:dyDescent="0.2">
      <c r="A377" s="100">
        <v>9003514102</v>
      </c>
      <c r="B377" s="38" t="s">
        <v>2798</v>
      </c>
      <c r="C377" s="38" t="s">
        <v>944</v>
      </c>
      <c r="D377" s="40">
        <f>[1]!Table3[[#This Row],[Residential CLM $ Collected]]+[1]!Table3[[#This Row],[C&amp;I CLM $ Collected]]</f>
        <v>631648.48832064006</v>
      </c>
      <c r="E377" s="36">
        <f>[1]!Table3[[#This Row],[CLM $ Collected ]]/'[1]1.) CLM Reference'!$B$4</f>
        <v>5.6037589914248835E-3</v>
      </c>
      <c r="F377" s="40">
        <f>[1]!Table3[[#This Row],[Residential Incentive Disbursements]]+[1]!Table3[[#This Row],[C&amp;I Incentive Disbursements]]</f>
        <v>943389.83539999998</v>
      </c>
      <c r="G377" s="36">
        <f>[1]!Table3[[#This Row],[Incentive Disbursements]]/'[1]1.) CLM Reference'!$B$5</f>
        <v>1.1542046415991004E-2</v>
      </c>
      <c r="H377" s="40">
        <v>132904.43400960002</v>
      </c>
      <c r="I377" s="36">
        <f>[1]!Table3[[#This Row],[Residential CLM $ Collected]]/'[1]1.) CLM Reference'!$B$4</f>
        <v>1.1790805026093418E-3</v>
      </c>
      <c r="J377" s="41">
        <v>734509.85600000003</v>
      </c>
      <c r="K377" s="36">
        <f>[1]!Table3[[#This Row],[Residential Incentive Disbursements]]/'[1]1.) CLM Reference'!$B$5</f>
        <v>8.9864725406547125E-3</v>
      </c>
      <c r="L377" s="37">
        <v>498744.05431103997</v>
      </c>
      <c r="M377" s="36">
        <f>[1]!Table3[[#This Row],[C&amp;I CLM $ Collected]]/'[1]1.) CLM Reference'!$B$4</f>
        <v>4.4246784888155415E-3</v>
      </c>
      <c r="N377" s="41">
        <v>208879.97940000001</v>
      </c>
      <c r="O377" s="36">
        <f>[1]!Table3[[#This Row],[C&amp;I Incentive Disbursements]]/'[1]1.) CLM Reference'!$B$5</f>
        <v>2.5555738753362924E-3</v>
      </c>
      <c r="Q377">
        <f>VLOOKUP(Table3[[#This Row],[Census Tract]],'Population and Diversity Data'!$B$2:$K$823,10,FALSE)</f>
        <v>5</v>
      </c>
      <c r="R377" t="str">
        <f>VLOOKUP(Table3[[#This Row],[Census Tract]],'ES Energy Burden'!$B$2:$E$914,4,FALSE)</f>
        <v>No</v>
      </c>
    </row>
    <row r="378" spans="1:18" x14ac:dyDescent="0.2">
      <c r="A378" s="100">
        <v>9003514200</v>
      </c>
      <c r="B378" s="38" t="s">
        <v>2798</v>
      </c>
      <c r="C378" s="38" t="s">
        <v>944</v>
      </c>
      <c r="D378" s="40">
        <f>[1]!Table3[[#This Row],[Residential CLM $ Collected]]+[1]!Table3[[#This Row],[C&amp;I CLM $ Collected]]</f>
        <v>43657.98804864</v>
      </c>
      <c r="E378" s="36">
        <f>[1]!Table3[[#This Row],[CLM $ Collected ]]/'[1]1.) CLM Reference'!$B$4</f>
        <v>3.8731802196745991E-4</v>
      </c>
      <c r="F378" s="40">
        <f>[1]!Table3[[#This Row],[Residential Incentive Disbursements]]+[1]!Table3[[#This Row],[C&amp;I Incentive Disbursements]]</f>
        <v>17546.2</v>
      </c>
      <c r="G378" s="36">
        <f>[1]!Table3[[#This Row],[Incentive Disbursements]]/'[1]1.) CLM Reference'!$B$5</f>
        <v>2.1467165240167413E-4</v>
      </c>
      <c r="H378" s="40">
        <v>43657.86648384</v>
      </c>
      <c r="I378" s="36">
        <f>[1]!Table3[[#This Row],[Residential CLM $ Collected]]/'[1]1.) CLM Reference'!$B$4</f>
        <v>3.8731694348812586E-4</v>
      </c>
      <c r="J378" s="41">
        <v>17546.2</v>
      </c>
      <c r="K378" s="36">
        <f>[1]!Table3[[#This Row],[Residential Incentive Disbursements]]/'[1]1.) CLM Reference'!$B$5</f>
        <v>2.1467165240167413E-4</v>
      </c>
      <c r="L378" s="37">
        <v>0.1215648</v>
      </c>
      <c r="M378" s="36">
        <f>[1]!Table3[[#This Row],[C&amp;I CLM $ Collected]]/'[1]1.) CLM Reference'!$B$4</f>
        <v>1.0784793340548043E-9</v>
      </c>
      <c r="N378" s="41">
        <v>0</v>
      </c>
      <c r="O378" s="36">
        <f>[1]!Table3[[#This Row],[C&amp;I Incentive Disbursements]]/'[1]1.) CLM Reference'!$B$5</f>
        <v>0</v>
      </c>
      <c r="Q378">
        <f>VLOOKUP(Table3[[#This Row],[Census Tract]],'Population and Diversity Data'!$B$2:$K$823,10,FALSE)</f>
        <v>5</v>
      </c>
      <c r="R378" t="str">
        <f>VLOOKUP(Table3[[#This Row],[Census Tract]],'ES Energy Burden'!$B$2:$E$914,4,FALSE)</f>
        <v>No</v>
      </c>
    </row>
    <row r="379" spans="1:18" x14ac:dyDescent="0.2">
      <c r="A379" s="100">
        <v>9003514300</v>
      </c>
      <c r="B379" s="38" t="s">
        <v>2798</v>
      </c>
      <c r="C379" s="38" t="s">
        <v>944</v>
      </c>
      <c r="D379" s="40">
        <f>[1]!Table3[[#This Row],[Residential CLM $ Collected]]+[1]!Table3[[#This Row],[C&amp;I CLM $ Collected]]</f>
        <v>59959.54349856</v>
      </c>
      <c r="E379" s="36">
        <f>[1]!Table3[[#This Row],[CLM $ Collected ]]/'[1]1.) CLM Reference'!$B$4</f>
        <v>5.3193957907681389E-4</v>
      </c>
      <c r="F379" s="40">
        <f>[1]!Table3[[#This Row],[Residential Incentive Disbursements]]+[1]!Table3[[#This Row],[C&amp;I Incentive Disbursements]]</f>
        <v>23289.680899999999</v>
      </c>
      <c r="G379" s="36">
        <f>[1]!Table3[[#This Row],[Incentive Disbursements]]/'[1]1.) CLM Reference'!$B$5</f>
        <v>2.8494114296603873E-4</v>
      </c>
      <c r="H379" s="40">
        <v>59959.54349856</v>
      </c>
      <c r="I379" s="36">
        <f>[1]!Table3[[#This Row],[Residential CLM $ Collected]]/'[1]1.) CLM Reference'!$B$4</f>
        <v>5.3193957907681389E-4</v>
      </c>
      <c r="J379" s="41">
        <v>23289.680899999999</v>
      </c>
      <c r="K379" s="36">
        <f>[1]!Table3[[#This Row],[Residential Incentive Disbursements]]/'[1]1.) CLM Reference'!$B$5</f>
        <v>2.8494114296603873E-4</v>
      </c>
      <c r="L379" s="37">
        <v>0</v>
      </c>
      <c r="M379" s="36">
        <f>[1]!Table3[[#This Row],[C&amp;I CLM $ Collected]]/'[1]1.) CLM Reference'!$B$4</f>
        <v>0</v>
      </c>
      <c r="N379" s="41">
        <v>0</v>
      </c>
      <c r="O379" s="36">
        <f>[1]!Table3[[#This Row],[C&amp;I Incentive Disbursements]]/'[1]1.) CLM Reference'!$B$5</f>
        <v>0</v>
      </c>
      <c r="Q379">
        <f>VLOOKUP(Table3[[#This Row],[Census Tract]],'Population and Diversity Data'!$B$2:$K$823,10,FALSE)</f>
        <v>3</v>
      </c>
      <c r="R379" t="str">
        <f>VLOOKUP(Table3[[#This Row],[Census Tract]],'ES Energy Burden'!$B$2:$E$914,4,FALSE)</f>
        <v>No</v>
      </c>
    </row>
    <row r="380" spans="1:18" x14ac:dyDescent="0.2">
      <c r="A380" s="100">
        <v>9003514400</v>
      </c>
      <c r="B380" s="38" t="s">
        <v>2798</v>
      </c>
      <c r="C380" s="38" t="s">
        <v>944</v>
      </c>
      <c r="D380" s="40">
        <f>[1]!Table3[[#This Row],[Residential CLM $ Collected]]+[1]!Table3[[#This Row],[C&amp;I CLM $ Collected]]</f>
        <v>56814.210017279998</v>
      </c>
      <c r="E380" s="36">
        <f>[1]!Table3[[#This Row],[CLM $ Collected ]]/'[1]1.) CLM Reference'!$B$4</f>
        <v>5.0403530778881658E-4</v>
      </c>
      <c r="F380" s="40">
        <f>[1]!Table3[[#This Row],[Residential Incentive Disbursements]]+[1]!Table3[[#This Row],[C&amp;I Incentive Disbursements]]</f>
        <v>19789.490000000002</v>
      </c>
      <c r="G380" s="36">
        <f>[1]!Table3[[#This Row],[Incentive Disbursements]]/'[1]1.) CLM Reference'!$B$5</f>
        <v>2.4211752507588002E-4</v>
      </c>
      <c r="H380" s="40">
        <v>56749.340724479996</v>
      </c>
      <c r="I380" s="36">
        <f>[1]!Table3[[#This Row],[Residential CLM $ Collected]]/'[1]1.) CLM Reference'!$B$4</f>
        <v>5.0345981067370139E-4</v>
      </c>
      <c r="J380" s="41">
        <v>19789.490000000002</v>
      </c>
      <c r="K380" s="36">
        <f>[1]!Table3[[#This Row],[Residential Incentive Disbursements]]/'[1]1.) CLM Reference'!$B$5</f>
        <v>2.4211752507588002E-4</v>
      </c>
      <c r="L380" s="37">
        <v>64.869292800000011</v>
      </c>
      <c r="M380" s="36">
        <f>[1]!Table3[[#This Row],[C&amp;I CLM $ Collected]]/'[1]1.) CLM Reference'!$B$4</f>
        <v>5.7549711511514953E-7</v>
      </c>
      <c r="N380" s="41">
        <v>0</v>
      </c>
      <c r="O380" s="36">
        <f>[1]!Table3[[#This Row],[C&amp;I Incentive Disbursements]]/'[1]1.) CLM Reference'!$B$5</f>
        <v>0</v>
      </c>
      <c r="Q380">
        <f>VLOOKUP(Table3[[#This Row],[Census Tract]],'Population and Diversity Data'!$B$2:$K$823,10,FALSE)</f>
        <v>4</v>
      </c>
      <c r="R380" t="str">
        <f>VLOOKUP(Table3[[#This Row],[Census Tract]],'ES Energy Burden'!$B$2:$E$914,4,FALSE)</f>
        <v>No</v>
      </c>
    </row>
    <row r="381" spans="1:18" x14ac:dyDescent="0.2">
      <c r="A381" s="100">
        <v>9003514500</v>
      </c>
      <c r="B381" s="38" t="s">
        <v>2798</v>
      </c>
      <c r="C381" s="38" t="s">
        <v>944</v>
      </c>
      <c r="D381" s="40">
        <f>[1]!Table3[[#This Row],[Residential CLM $ Collected]]+[1]!Table3[[#This Row],[C&amp;I CLM $ Collected]]</f>
        <v>54927.830548799997</v>
      </c>
      <c r="E381" s="36">
        <f>[1]!Table3[[#This Row],[CLM $ Collected ]]/'[1]1.) CLM Reference'!$B$4</f>
        <v>4.8730002526508459E-4</v>
      </c>
      <c r="F381" s="40">
        <f>[1]!Table3[[#This Row],[Residential Incentive Disbursements]]+[1]!Table3[[#This Row],[C&amp;I Incentive Disbursements]]</f>
        <v>25536.752199999999</v>
      </c>
      <c r="G381" s="36">
        <f>[1]!Table3[[#This Row],[Incentive Disbursements]]/'[1]1.) CLM Reference'!$B$5</f>
        <v>3.1243327853017097E-4</v>
      </c>
      <c r="H381" s="40">
        <v>54927.830548799997</v>
      </c>
      <c r="I381" s="36">
        <f>[1]!Table3[[#This Row],[Residential CLM $ Collected]]/'[1]1.) CLM Reference'!$B$4</f>
        <v>4.8730002526508459E-4</v>
      </c>
      <c r="J381" s="41">
        <v>25536.752199999999</v>
      </c>
      <c r="K381" s="36">
        <f>[1]!Table3[[#This Row],[Residential Incentive Disbursements]]/'[1]1.) CLM Reference'!$B$5</f>
        <v>3.1243327853017097E-4</v>
      </c>
      <c r="L381" s="37">
        <v>0</v>
      </c>
      <c r="M381" s="36">
        <f>[1]!Table3[[#This Row],[C&amp;I CLM $ Collected]]/'[1]1.) CLM Reference'!$B$4</f>
        <v>0</v>
      </c>
      <c r="N381" s="41">
        <v>0</v>
      </c>
      <c r="O381" s="36">
        <f>[1]!Table3[[#This Row],[C&amp;I Incentive Disbursements]]/'[1]1.) CLM Reference'!$B$5</f>
        <v>0</v>
      </c>
      <c r="Q381">
        <f>VLOOKUP(Table3[[#This Row],[Census Tract]],'Population and Diversity Data'!$B$2:$K$823,10,FALSE)</f>
        <v>5</v>
      </c>
      <c r="R381" t="str">
        <f>VLOOKUP(Table3[[#This Row],[Census Tract]],'ES Energy Burden'!$B$2:$E$914,4,FALSE)</f>
        <v>No</v>
      </c>
    </row>
    <row r="382" spans="1:18" x14ac:dyDescent="0.2">
      <c r="A382" s="100">
        <v>9003514600</v>
      </c>
      <c r="B382" s="38" t="s">
        <v>2798</v>
      </c>
      <c r="C382" s="38" t="s">
        <v>944</v>
      </c>
      <c r="D382" s="40">
        <f>[1]!Table3[[#This Row],[Residential CLM $ Collected]]+[1]!Table3[[#This Row],[C&amp;I CLM $ Collected]]</f>
        <v>65624.928019200001</v>
      </c>
      <c r="E382" s="36">
        <f>[1]!Table3[[#This Row],[CLM $ Collected ]]/'[1]1.) CLM Reference'!$B$4</f>
        <v>5.8220083994331656E-4</v>
      </c>
      <c r="F382" s="40">
        <f>[1]!Table3[[#This Row],[Residential Incentive Disbursements]]+[1]!Table3[[#This Row],[C&amp;I Incentive Disbursements]]</f>
        <v>48251.67</v>
      </c>
      <c r="G382" s="36">
        <f>[1]!Table3[[#This Row],[Incentive Disbursements]]/'[1]1.) CLM Reference'!$B$5</f>
        <v>5.9034239493681176E-4</v>
      </c>
      <c r="H382" s="40">
        <v>65624.928019200001</v>
      </c>
      <c r="I382" s="36">
        <f>[1]!Table3[[#This Row],[Residential CLM $ Collected]]/'[1]1.) CLM Reference'!$B$4</f>
        <v>5.8220083994331656E-4</v>
      </c>
      <c r="J382" s="41">
        <v>48251.67</v>
      </c>
      <c r="K382" s="36">
        <f>[1]!Table3[[#This Row],[Residential Incentive Disbursements]]/'[1]1.) CLM Reference'!$B$5</f>
        <v>5.9034239493681176E-4</v>
      </c>
      <c r="L382" s="37">
        <v>0</v>
      </c>
      <c r="M382" s="36">
        <f>[1]!Table3[[#This Row],[C&amp;I CLM $ Collected]]/'[1]1.) CLM Reference'!$B$4</f>
        <v>0</v>
      </c>
      <c r="N382" s="41">
        <v>0</v>
      </c>
      <c r="O382" s="36">
        <f>[1]!Table3[[#This Row],[C&amp;I Incentive Disbursements]]/'[1]1.) CLM Reference'!$B$5</f>
        <v>0</v>
      </c>
      <c r="Q382">
        <f>VLOOKUP(Table3[[#This Row],[Census Tract]],'Population and Diversity Data'!$B$2:$K$823,10,FALSE)</f>
        <v>5</v>
      </c>
      <c r="R382" t="str">
        <f>VLOOKUP(Table3[[#This Row],[Census Tract]],'ES Energy Burden'!$B$2:$E$914,4,FALSE)</f>
        <v>No</v>
      </c>
    </row>
    <row r="383" spans="1:18" x14ac:dyDescent="0.2">
      <c r="A383" s="100">
        <v>9003514700</v>
      </c>
      <c r="B383" s="38" t="s">
        <v>2798</v>
      </c>
      <c r="C383" s="38" t="s">
        <v>944</v>
      </c>
      <c r="D383" s="40">
        <f>[1]!Table3[[#This Row],[Residential CLM $ Collected]]+[1]!Table3[[#This Row],[C&amp;I CLM $ Collected]]</f>
        <v>61058.657744640004</v>
      </c>
      <c r="E383" s="36">
        <f>[1]!Table3[[#This Row],[CLM $ Collected ]]/'[1]1.) CLM Reference'!$B$4</f>
        <v>5.416905267208894E-4</v>
      </c>
      <c r="F383" s="40">
        <f>[1]!Table3[[#This Row],[Residential Incentive Disbursements]]+[1]!Table3[[#This Row],[C&amp;I Incentive Disbursements]]</f>
        <v>8211.23</v>
      </c>
      <c r="G383" s="36">
        <f>[1]!Table3[[#This Row],[Incentive Disbursements]]/'[1]1.) CLM Reference'!$B$5</f>
        <v>1.0046154223422726E-4</v>
      </c>
      <c r="H383" s="40">
        <v>61058.657744640004</v>
      </c>
      <c r="I383" s="36">
        <f>[1]!Table3[[#This Row],[Residential CLM $ Collected]]/'[1]1.) CLM Reference'!$B$4</f>
        <v>5.416905267208894E-4</v>
      </c>
      <c r="J383" s="41">
        <v>8211.23</v>
      </c>
      <c r="K383" s="36">
        <f>[1]!Table3[[#This Row],[Residential Incentive Disbursements]]/'[1]1.) CLM Reference'!$B$5</f>
        <v>1.0046154223422726E-4</v>
      </c>
      <c r="L383" s="37">
        <v>0</v>
      </c>
      <c r="M383" s="36">
        <f>[1]!Table3[[#This Row],[C&amp;I CLM $ Collected]]/'[1]1.) CLM Reference'!$B$4</f>
        <v>0</v>
      </c>
      <c r="N383" s="41">
        <v>0</v>
      </c>
      <c r="O383" s="36">
        <f>[1]!Table3[[#This Row],[C&amp;I Incentive Disbursements]]/'[1]1.) CLM Reference'!$B$5</f>
        <v>0</v>
      </c>
      <c r="Q383">
        <f>VLOOKUP(Table3[[#This Row],[Census Tract]],'Population and Diversity Data'!$B$2:$K$823,10,FALSE)</f>
        <v>5</v>
      </c>
      <c r="R383" t="str">
        <f>VLOOKUP(Table3[[#This Row],[Census Tract]],'ES Energy Burden'!$B$2:$E$914,4,FALSE)</f>
        <v>No</v>
      </c>
    </row>
    <row r="384" spans="1:18" x14ac:dyDescent="0.2">
      <c r="A384" s="100">
        <v>9003514800</v>
      </c>
      <c r="B384" s="38" t="s">
        <v>2798</v>
      </c>
      <c r="C384" s="38" t="s">
        <v>944</v>
      </c>
      <c r="D384" s="40">
        <f>[1]!Table3[[#This Row],[Residential CLM $ Collected]]+[1]!Table3[[#This Row],[C&amp;I CLM $ Collected]]</f>
        <v>42600.301349760004</v>
      </c>
      <c r="E384" s="36">
        <f>[1]!Table3[[#This Row],[CLM $ Collected ]]/'[1]1.) CLM Reference'!$B$4</f>
        <v>3.7793460467358271E-4</v>
      </c>
      <c r="F384" s="40">
        <f>[1]!Table3[[#This Row],[Residential Incentive Disbursements]]+[1]!Table3[[#This Row],[C&amp;I Incentive Disbursements]]</f>
        <v>8567.1447000000007</v>
      </c>
      <c r="G384" s="36">
        <f>[1]!Table3[[#This Row],[Incentive Disbursements]]/'[1]1.) CLM Reference'!$B$5</f>
        <v>1.0481603476041791E-4</v>
      </c>
      <c r="H384" s="40">
        <v>42600.301349760004</v>
      </c>
      <c r="I384" s="36">
        <f>[1]!Table3[[#This Row],[Residential CLM $ Collected]]/'[1]1.) CLM Reference'!$B$4</f>
        <v>3.7793460467358271E-4</v>
      </c>
      <c r="J384" s="41">
        <v>8567.1447000000007</v>
      </c>
      <c r="K384" s="36">
        <f>[1]!Table3[[#This Row],[Residential Incentive Disbursements]]/'[1]1.) CLM Reference'!$B$5</f>
        <v>1.0481603476041791E-4</v>
      </c>
      <c r="L384" s="37">
        <v>0</v>
      </c>
      <c r="M384" s="36">
        <f>[1]!Table3[[#This Row],[C&amp;I CLM $ Collected]]/'[1]1.) CLM Reference'!$B$4</f>
        <v>0</v>
      </c>
      <c r="N384" s="41">
        <v>0</v>
      </c>
      <c r="O384" s="36">
        <f>[1]!Table3[[#This Row],[C&amp;I Incentive Disbursements]]/'[1]1.) CLM Reference'!$B$5</f>
        <v>0</v>
      </c>
      <c r="Q384">
        <f>VLOOKUP(Table3[[#This Row],[Census Tract]],'Population and Diversity Data'!$B$2:$K$823,10,FALSE)</f>
        <v>5</v>
      </c>
      <c r="R384" t="str">
        <f>VLOOKUP(Table3[[#This Row],[Census Tract]],'ES Energy Burden'!$B$2:$E$914,4,FALSE)</f>
        <v>Yes</v>
      </c>
    </row>
    <row r="385" spans="1:18" x14ac:dyDescent="0.2">
      <c r="A385" s="100">
        <v>9003514900</v>
      </c>
      <c r="B385" s="38" t="s">
        <v>2798</v>
      </c>
      <c r="C385" s="38" t="s">
        <v>944</v>
      </c>
      <c r="D385" s="40">
        <f>[1]!Table3[[#This Row],[Residential CLM $ Collected]]+[1]!Table3[[#This Row],[C&amp;I CLM $ Collected]]</f>
        <v>46407.520434240003</v>
      </c>
      <c r="E385" s="36">
        <f>[1]!Table3[[#This Row],[CLM $ Collected ]]/'[1]1.) CLM Reference'!$B$4</f>
        <v>4.1171088779855584E-4</v>
      </c>
      <c r="F385" s="40">
        <f>[1]!Table3[[#This Row],[Residential Incentive Disbursements]]+[1]!Table3[[#This Row],[C&amp;I Incentive Disbursements]]</f>
        <v>37234.143300000003</v>
      </c>
      <c r="G385" s="36">
        <f>[1]!Table3[[#This Row],[Incentive Disbursements]]/'[1]1.) CLM Reference'!$B$5</f>
        <v>4.5554678893274463E-4</v>
      </c>
      <c r="H385" s="40">
        <v>46407.520434240003</v>
      </c>
      <c r="I385" s="36">
        <f>[1]!Table3[[#This Row],[Residential CLM $ Collected]]/'[1]1.) CLM Reference'!$B$4</f>
        <v>4.1171088779855584E-4</v>
      </c>
      <c r="J385" s="41">
        <v>37234.143300000003</v>
      </c>
      <c r="K385" s="36">
        <f>[1]!Table3[[#This Row],[Residential Incentive Disbursements]]/'[1]1.) CLM Reference'!$B$5</f>
        <v>4.5554678893274463E-4</v>
      </c>
      <c r="L385" s="37">
        <v>0</v>
      </c>
      <c r="M385" s="36">
        <f>[1]!Table3[[#This Row],[C&amp;I CLM $ Collected]]/'[1]1.) CLM Reference'!$B$4</f>
        <v>0</v>
      </c>
      <c r="N385" s="41">
        <v>0</v>
      </c>
      <c r="O385" s="36">
        <f>[1]!Table3[[#This Row],[C&amp;I Incentive Disbursements]]/'[1]1.) CLM Reference'!$B$5</f>
        <v>0</v>
      </c>
      <c r="Q385">
        <f>VLOOKUP(Table3[[#This Row],[Census Tract]],'Population and Diversity Data'!$B$2:$K$823,10,FALSE)</f>
        <v>3</v>
      </c>
      <c r="R385" t="str">
        <f>VLOOKUP(Table3[[#This Row],[Census Tract]],'ES Energy Burden'!$B$2:$E$914,4,FALSE)</f>
        <v>No</v>
      </c>
    </row>
    <row r="386" spans="1:18" x14ac:dyDescent="0.2">
      <c r="A386" s="100">
        <v>9003515000</v>
      </c>
      <c r="B386" s="38" t="s">
        <v>2798</v>
      </c>
      <c r="C386" s="38" t="s">
        <v>944</v>
      </c>
      <c r="D386" s="40">
        <f>[1]!Table3[[#This Row],[Residential CLM $ Collected]]+[1]!Table3[[#This Row],[C&amp;I CLM $ Collected]]</f>
        <v>54351.689230079995</v>
      </c>
      <c r="E386" s="36">
        <f>[1]!Table3[[#This Row],[CLM $ Collected ]]/'[1]1.) CLM Reference'!$B$4</f>
        <v>4.8218870598734463E-4</v>
      </c>
      <c r="F386" s="40">
        <f>[1]!Table3[[#This Row],[Residential Incentive Disbursements]]+[1]!Table3[[#This Row],[C&amp;I Incentive Disbursements]]</f>
        <v>14280.3079</v>
      </c>
      <c r="G386" s="36">
        <f>[1]!Table3[[#This Row],[Incentive Disbursements]]/'[1]1.) CLM Reference'!$B$5</f>
        <v>1.7471459881328611E-4</v>
      </c>
      <c r="H386" s="40">
        <v>54351.689230079995</v>
      </c>
      <c r="I386" s="36">
        <f>[1]!Table3[[#This Row],[Residential CLM $ Collected]]/'[1]1.) CLM Reference'!$B$4</f>
        <v>4.8218870598734463E-4</v>
      </c>
      <c r="J386" s="41">
        <v>14280.3079</v>
      </c>
      <c r="K386" s="36">
        <f>[1]!Table3[[#This Row],[Residential Incentive Disbursements]]/'[1]1.) CLM Reference'!$B$5</f>
        <v>1.7471459881328611E-4</v>
      </c>
      <c r="L386" s="37">
        <v>0</v>
      </c>
      <c r="M386" s="36">
        <f>[1]!Table3[[#This Row],[C&amp;I CLM $ Collected]]/'[1]1.) CLM Reference'!$B$4</f>
        <v>0</v>
      </c>
      <c r="N386" s="41">
        <v>0</v>
      </c>
      <c r="O386" s="36">
        <f>[1]!Table3[[#This Row],[C&amp;I Incentive Disbursements]]/'[1]1.) CLM Reference'!$B$5</f>
        <v>0</v>
      </c>
      <c r="Q386">
        <f>VLOOKUP(Table3[[#This Row],[Census Tract]],'Population and Diversity Data'!$B$2:$K$823,10,FALSE)</f>
        <v>4</v>
      </c>
      <c r="R386" t="str">
        <f>VLOOKUP(Table3[[#This Row],[Census Tract]],'ES Energy Burden'!$B$2:$E$914,4,FALSE)</f>
        <v>No</v>
      </c>
    </row>
    <row r="387" spans="1:18" x14ac:dyDescent="0.2">
      <c r="A387" s="100">
        <v>9003515101</v>
      </c>
      <c r="B387" s="38" t="s">
        <v>2798</v>
      </c>
      <c r="C387" s="38" t="s">
        <v>944</v>
      </c>
      <c r="D387" s="40">
        <f>[1]!Table3[[#This Row],[Residential CLM $ Collected]]+[1]!Table3[[#This Row],[C&amp;I CLM $ Collected]]</f>
        <v>38263.875379200006</v>
      </c>
      <c r="E387" s="36">
        <f>[1]!Table3[[#This Row],[CLM $ Collected ]]/'[1]1.) CLM Reference'!$B$4</f>
        <v>3.3946338773490058E-4</v>
      </c>
      <c r="F387" s="40">
        <f>[1]!Table3[[#This Row],[Residential Incentive Disbursements]]+[1]!Table3[[#This Row],[C&amp;I Incentive Disbursements]]</f>
        <v>5126.2425000000003</v>
      </c>
      <c r="G387" s="36">
        <f>[1]!Table3[[#This Row],[Incentive Disbursements]]/'[1]1.) CLM Reference'!$B$5</f>
        <v>6.2717793487290064E-5</v>
      </c>
      <c r="H387" s="40">
        <v>38263.875379200006</v>
      </c>
      <c r="I387" s="36">
        <f>[1]!Table3[[#This Row],[Residential CLM $ Collected]]/'[1]1.) CLM Reference'!$B$4</f>
        <v>3.3946338773490058E-4</v>
      </c>
      <c r="J387" s="41">
        <v>5126.2425000000003</v>
      </c>
      <c r="K387" s="36">
        <f>[1]!Table3[[#This Row],[Residential Incentive Disbursements]]/'[1]1.) CLM Reference'!$B$5</f>
        <v>6.2717793487290064E-5</v>
      </c>
      <c r="L387" s="37">
        <v>0</v>
      </c>
      <c r="M387" s="36">
        <f>[1]!Table3[[#This Row],[C&amp;I CLM $ Collected]]/'[1]1.) CLM Reference'!$B$4</f>
        <v>0</v>
      </c>
      <c r="N387" s="41">
        <v>0</v>
      </c>
      <c r="O387" s="36">
        <f>[1]!Table3[[#This Row],[C&amp;I Incentive Disbursements]]/'[1]1.) CLM Reference'!$B$5</f>
        <v>0</v>
      </c>
      <c r="Q387">
        <f>VLOOKUP(Table3[[#This Row],[Census Tract]],'Population and Diversity Data'!$B$2:$K$823,10,FALSE)</f>
        <v>3</v>
      </c>
      <c r="R387" t="str">
        <f>VLOOKUP(Table3[[#This Row],[Census Tract]],'ES Energy Burden'!$B$2:$E$914,4,FALSE)</f>
        <v>No</v>
      </c>
    </row>
    <row r="388" spans="1:18" x14ac:dyDescent="0.2">
      <c r="A388" s="100">
        <v>9003515102</v>
      </c>
      <c r="B388" s="38" t="s">
        <v>2798</v>
      </c>
      <c r="C388" s="38" t="s">
        <v>944</v>
      </c>
      <c r="D388" s="40">
        <f>[1]!Table3[[#This Row],[Residential CLM $ Collected]]+[1]!Table3[[#This Row],[C&amp;I CLM $ Collected]]</f>
        <v>77689.852358400007</v>
      </c>
      <c r="E388" s="36">
        <f>[1]!Table3[[#This Row],[CLM $ Collected ]]/'[1]1.) CLM Reference'!$B$4</f>
        <v>6.8923652434177743E-4</v>
      </c>
      <c r="F388" s="40">
        <f>[1]!Table3[[#This Row],[Residential Incentive Disbursements]]+[1]!Table3[[#This Row],[C&amp;I Incentive Disbursements]]</f>
        <v>17970.6512</v>
      </c>
      <c r="G388" s="36">
        <f>[1]!Table3[[#This Row],[Incentive Disbursements]]/'[1]1.) CLM Reference'!$B$5</f>
        <v>2.1986466516044087E-4</v>
      </c>
      <c r="H388" s="40">
        <v>77689.852358400007</v>
      </c>
      <c r="I388" s="36">
        <f>[1]!Table3[[#This Row],[Residential CLM $ Collected]]/'[1]1.) CLM Reference'!$B$4</f>
        <v>6.8923652434177743E-4</v>
      </c>
      <c r="J388" s="41">
        <v>17970.6512</v>
      </c>
      <c r="K388" s="36">
        <f>[1]!Table3[[#This Row],[Residential Incentive Disbursements]]/'[1]1.) CLM Reference'!$B$5</f>
        <v>2.1986466516044087E-4</v>
      </c>
      <c r="L388" s="37">
        <v>0</v>
      </c>
      <c r="M388" s="36">
        <f>[1]!Table3[[#This Row],[C&amp;I CLM $ Collected]]/'[1]1.) CLM Reference'!$B$4</f>
        <v>0</v>
      </c>
      <c r="N388" s="41">
        <v>0</v>
      </c>
      <c r="O388" s="36">
        <f>[1]!Table3[[#This Row],[C&amp;I Incentive Disbursements]]/'[1]1.) CLM Reference'!$B$5</f>
        <v>0</v>
      </c>
      <c r="Q388">
        <f>VLOOKUP(Table3[[#This Row],[Census Tract]],'Population and Diversity Data'!$B$2:$K$823,10,FALSE)</f>
        <v>5</v>
      </c>
      <c r="R388" t="str">
        <f>VLOOKUP(Table3[[#This Row],[Census Tract]],'ES Energy Burden'!$B$2:$E$914,4,FALSE)</f>
        <v>No</v>
      </c>
    </row>
    <row r="389" spans="1:18" x14ac:dyDescent="0.2">
      <c r="A389" s="100">
        <v>9003515200</v>
      </c>
      <c r="B389" s="38" t="s">
        <v>2798</v>
      </c>
      <c r="C389" s="38" t="s">
        <v>944</v>
      </c>
      <c r="D389" s="40">
        <f>[1]!Table3[[#This Row],[Residential CLM $ Collected]]+[1]!Table3[[#This Row],[C&amp;I CLM $ Collected]]</f>
        <v>65201.310581760001</v>
      </c>
      <c r="E389" s="36">
        <f>[1]!Table3[[#This Row],[CLM $ Collected ]]/'[1]1.) CLM Reference'!$B$4</f>
        <v>5.7844265787231986E-4</v>
      </c>
      <c r="F389" s="40">
        <f>[1]!Table3[[#This Row],[Residential Incentive Disbursements]]+[1]!Table3[[#This Row],[C&amp;I Incentive Disbursements]]</f>
        <v>11137.36</v>
      </c>
      <c r="G389" s="36">
        <f>[1]!Table3[[#This Row],[Incentive Disbursements]]/'[1]1.) CLM Reference'!$B$5</f>
        <v>1.3626172473768161E-4</v>
      </c>
      <c r="H389" s="40">
        <v>65201.310581760001</v>
      </c>
      <c r="I389" s="36">
        <f>[1]!Table3[[#This Row],[Residential CLM $ Collected]]/'[1]1.) CLM Reference'!$B$4</f>
        <v>5.7844265787231986E-4</v>
      </c>
      <c r="J389" s="41">
        <v>11137.36</v>
      </c>
      <c r="K389" s="36">
        <f>[1]!Table3[[#This Row],[Residential Incentive Disbursements]]/'[1]1.) CLM Reference'!$B$5</f>
        <v>1.3626172473768161E-4</v>
      </c>
      <c r="L389" s="37">
        <v>0</v>
      </c>
      <c r="M389" s="36">
        <f>[1]!Table3[[#This Row],[C&amp;I CLM $ Collected]]/'[1]1.) CLM Reference'!$B$4</f>
        <v>0</v>
      </c>
      <c r="N389" s="41">
        <v>0</v>
      </c>
      <c r="O389" s="36">
        <f>[1]!Table3[[#This Row],[C&amp;I Incentive Disbursements]]/'[1]1.) CLM Reference'!$B$5</f>
        <v>0</v>
      </c>
      <c r="Q389">
        <f>VLOOKUP(Table3[[#This Row],[Census Tract]],'Population and Diversity Data'!$B$2:$K$823,10,FALSE)</f>
        <v>4</v>
      </c>
      <c r="R389" t="str">
        <f>VLOOKUP(Table3[[#This Row],[Census Tract]],'ES Energy Burden'!$B$2:$E$914,4,FALSE)</f>
        <v>No</v>
      </c>
    </row>
    <row r="390" spans="1:18" x14ac:dyDescent="0.2">
      <c r="A390" s="100">
        <v>9003520100</v>
      </c>
      <c r="B390" s="38" t="s">
        <v>2798</v>
      </c>
      <c r="C390" s="38" t="s">
        <v>944</v>
      </c>
      <c r="D390" s="40">
        <f>[1]!Table3[[#This Row],[Residential CLM $ Collected]]+[1]!Table3[[#This Row],[C&amp;I CLM $ Collected]]</f>
        <v>138.59544959999999</v>
      </c>
      <c r="E390" s="36">
        <f>[1]!Table3[[#This Row],[CLM $ Collected ]]/'[1]1.) CLM Reference'!$B$4</f>
        <v>1.2295691531400059E-6</v>
      </c>
      <c r="F390" s="40">
        <f>[1]!Table3[[#This Row],[Residential Incentive Disbursements]]+[1]!Table3[[#This Row],[C&amp;I Incentive Disbursements]]</f>
        <v>0</v>
      </c>
      <c r="G390" s="36">
        <f>[1]!Table3[[#This Row],[Incentive Disbursements]]/'[1]1.) CLM Reference'!$B$5</f>
        <v>0</v>
      </c>
      <c r="H390" s="40">
        <v>138.59544959999999</v>
      </c>
      <c r="I390" s="36">
        <f>[1]!Table3[[#This Row],[Residential CLM $ Collected]]/'[1]1.) CLM Reference'!$B$4</f>
        <v>1.2295691531400059E-6</v>
      </c>
      <c r="J390" s="41">
        <v>0</v>
      </c>
      <c r="K390" s="36">
        <f>[1]!Table3[[#This Row],[Residential Incentive Disbursements]]/'[1]1.) CLM Reference'!$B$5</f>
        <v>0</v>
      </c>
      <c r="L390" s="37">
        <v>0</v>
      </c>
      <c r="M390" s="36">
        <f>[1]!Table3[[#This Row],[C&amp;I CLM $ Collected]]/'[1]1.) CLM Reference'!$B$4</f>
        <v>0</v>
      </c>
      <c r="N390" s="41">
        <v>0</v>
      </c>
      <c r="O390" s="36">
        <f>[1]!Table3[[#This Row],[C&amp;I Incentive Disbursements]]/'[1]1.) CLM Reference'!$B$5</f>
        <v>0</v>
      </c>
      <c r="Q390">
        <f>VLOOKUP(Table3[[#This Row],[Census Tract]],'Population and Diversity Data'!$B$2:$K$823,10,FALSE)</f>
        <v>4</v>
      </c>
      <c r="R390" t="str">
        <f>VLOOKUP(Table3[[#This Row],[Census Tract]],'ES Energy Burden'!$B$2:$E$914,4,FALSE)</f>
        <v>No</v>
      </c>
    </row>
    <row r="391" spans="1:18" x14ac:dyDescent="0.2">
      <c r="A391" s="100">
        <v>9013530500</v>
      </c>
      <c r="B391" s="38" t="s">
        <v>2798</v>
      </c>
      <c r="C391" s="38" t="s">
        <v>944</v>
      </c>
      <c r="D391" s="40">
        <f>[1]!Table3[[#This Row],[Residential CLM $ Collected]]+[1]!Table3[[#This Row],[C&amp;I CLM $ Collected]]</f>
        <v>26.200108799999999</v>
      </c>
      <c r="E391" s="36">
        <f>[1]!Table3[[#This Row],[CLM $ Collected ]]/'[1]1.) CLM Reference'!$B$4</f>
        <v>2.3243797456819258E-7</v>
      </c>
      <c r="F391" s="40">
        <f>[1]!Table3[[#This Row],[Residential Incentive Disbursements]]+[1]!Table3[[#This Row],[C&amp;I Incentive Disbursements]]</f>
        <v>0</v>
      </c>
      <c r="G391" s="36">
        <f>[1]!Table3[[#This Row],[Incentive Disbursements]]/'[1]1.) CLM Reference'!$B$5</f>
        <v>0</v>
      </c>
      <c r="H391" s="40">
        <v>26.200108799999999</v>
      </c>
      <c r="I391" s="36">
        <f>[1]!Table3[[#This Row],[Residential CLM $ Collected]]/'[1]1.) CLM Reference'!$B$4</f>
        <v>2.3243797456819258E-7</v>
      </c>
      <c r="J391" s="41">
        <v>0</v>
      </c>
      <c r="K391" s="36">
        <f>[1]!Table3[[#This Row],[Residential Incentive Disbursements]]/'[1]1.) CLM Reference'!$B$5</f>
        <v>0</v>
      </c>
      <c r="L391" s="37">
        <v>0</v>
      </c>
      <c r="M391" s="36">
        <f>[1]!Table3[[#This Row],[C&amp;I CLM $ Collected]]/'[1]1.) CLM Reference'!$B$4</f>
        <v>0</v>
      </c>
      <c r="N391" s="41">
        <v>0</v>
      </c>
      <c r="O391" s="36">
        <f>[1]!Table3[[#This Row],[C&amp;I Incentive Disbursements]]/'[1]1.) CLM Reference'!$B$5</f>
        <v>0</v>
      </c>
      <c r="Q391">
        <f>VLOOKUP(Table3[[#This Row],[Census Tract]],'Population and Diversity Data'!$B$2:$K$823,10,FALSE)</f>
        <v>4</v>
      </c>
      <c r="R391" t="str">
        <f>VLOOKUP(Table3[[#This Row],[Census Tract]],'ES Energy Burden'!$B$2:$E$914,4,FALSE)</f>
        <v>No</v>
      </c>
    </row>
    <row r="392" spans="1:18" x14ac:dyDescent="0.2">
      <c r="A392" s="100">
        <v>9013840100</v>
      </c>
      <c r="B392" s="38" t="s">
        <v>2799</v>
      </c>
      <c r="C392" s="38" t="s">
        <v>944</v>
      </c>
      <c r="D392" s="40">
        <f>[1]!Table3[[#This Row],[Residential CLM $ Collected]]+[1]!Table3[[#This Row],[C&amp;I CLM $ Collected]]</f>
        <v>135.83419199999997</v>
      </c>
      <c r="E392" s="36">
        <f>[1]!Table3[[#This Row],[CLM $ Collected ]]/'[1]1.) CLM Reference'!$B$4</f>
        <v>1.2050722654093323E-6</v>
      </c>
      <c r="F392" s="40">
        <f>[1]!Table3[[#This Row],[Residential Incentive Disbursements]]+[1]!Table3[[#This Row],[C&amp;I Incentive Disbursements]]</f>
        <v>0</v>
      </c>
      <c r="G392" s="36">
        <f>[1]!Table3[[#This Row],[Incentive Disbursements]]/'[1]1.) CLM Reference'!$B$5</f>
        <v>0</v>
      </c>
      <c r="H392" s="40">
        <v>135.83419199999997</v>
      </c>
      <c r="I392" s="36">
        <f>[1]!Table3[[#This Row],[Residential CLM $ Collected]]/'[1]1.) CLM Reference'!$B$4</f>
        <v>1.2050722654093323E-6</v>
      </c>
      <c r="J392" s="41">
        <v>0</v>
      </c>
      <c r="K392" s="36">
        <f>[1]!Table3[[#This Row],[Residential Incentive Disbursements]]/'[1]1.) CLM Reference'!$B$5</f>
        <v>0</v>
      </c>
      <c r="L392" s="37">
        <v>0</v>
      </c>
      <c r="M392" s="36">
        <f>[1]!Table3[[#This Row],[C&amp;I CLM $ Collected]]/'[1]1.) CLM Reference'!$B$4</f>
        <v>0</v>
      </c>
      <c r="N392" s="41">
        <v>0</v>
      </c>
      <c r="O392" s="36">
        <f>[1]!Table3[[#This Row],[C&amp;I Incentive Disbursements]]/'[1]1.) CLM Reference'!$B$5</f>
        <v>0</v>
      </c>
      <c r="Q392">
        <f>VLOOKUP(Table3[[#This Row],[Census Tract]],'Population and Diversity Data'!$B$2:$K$823,10,FALSE)</f>
        <v>4</v>
      </c>
      <c r="R392" t="str">
        <f>VLOOKUP(Table3[[#This Row],[Census Tract]],'ES Energy Burden'!$B$2:$E$914,4,FALSE)</f>
        <v>No</v>
      </c>
    </row>
    <row r="393" spans="1:18" x14ac:dyDescent="0.2">
      <c r="A393" s="100">
        <v>9013881100</v>
      </c>
      <c r="B393" s="38" t="s">
        <v>2799</v>
      </c>
      <c r="C393" s="38" t="s">
        <v>944</v>
      </c>
      <c r="D393" s="40">
        <f>[1]!Table3[[#This Row],[Residential CLM $ Collected]]+[1]!Table3[[#This Row],[C&amp;I CLM $ Collected]]</f>
        <v>88638.925294079992</v>
      </c>
      <c r="E393" s="36">
        <f>[1]!Table3[[#This Row],[CLM $ Collected ]]/'[1]1.) CLM Reference'!$B$4</f>
        <v>7.8637277503432689E-4</v>
      </c>
      <c r="F393" s="40">
        <f>[1]!Table3[[#This Row],[Residential Incentive Disbursements]]+[1]!Table3[[#This Row],[C&amp;I Incentive Disbursements]]</f>
        <v>31198.000400000001</v>
      </c>
      <c r="G393" s="36">
        <f>[1]!Table3[[#This Row],[Incentive Disbursements]]/'[1]1.) CLM Reference'!$B$5</f>
        <v>3.8169668062008243E-4</v>
      </c>
      <c r="H393" s="40">
        <v>88594.930414079994</v>
      </c>
      <c r="I393" s="36">
        <f>[1]!Table3[[#This Row],[Residential CLM $ Collected]]/'[1]1.) CLM Reference'!$B$4</f>
        <v>7.8598246822771654E-4</v>
      </c>
      <c r="J393" s="41">
        <v>31198.000400000001</v>
      </c>
      <c r="K393" s="36">
        <f>[1]!Table3[[#This Row],[Residential Incentive Disbursements]]/'[1]1.) CLM Reference'!$B$5</f>
        <v>3.8169668062008243E-4</v>
      </c>
      <c r="L393" s="37">
        <v>43.994880000000002</v>
      </c>
      <c r="M393" s="36">
        <f>[1]!Table3[[#This Row],[C&amp;I CLM $ Collected]]/'[1]1.) CLM Reference'!$B$4</f>
        <v>3.9030680661031012E-7</v>
      </c>
      <c r="N393" s="41">
        <v>0</v>
      </c>
      <c r="O393" s="36">
        <f>[1]!Table3[[#This Row],[C&amp;I Incentive Disbursements]]/'[1]1.) CLM Reference'!$B$5</f>
        <v>0</v>
      </c>
      <c r="Q393">
        <f>VLOOKUP(Table3[[#This Row],[Census Tract]],'Population and Diversity Data'!$B$2:$K$823,10,FALSE)</f>
        <v>4</v>
      </c>
      <c r="R393" t="str">
        <f>VLOOKUP(Table3[[#This Row],[Census Tract]],'ES Energy Burden'!$B$2:$E$914,4,FALSE)</f>
        <v>No</v>
      </c>
    </row>
    <row r="394" spans="1:18" x14ac:dyDescent="0.2">
      <c r="A394" s="100">
        <v>9013881200</v>
      </c>
      <c r="B394" s="38" t="s">
        <v>2799</v>
      </c>
      <c r="C394" s="38" t="s">
        <v>944</v>
      </c>
      <c r="D394" s="40">
        <f>[1]!Table3[[#This Row],[Residential CLM $ Collected]]+[1]!Table3[[#This Row],[C&amp;I CLM $ Collected]]</f>
        <v>5767.4219616000009</v>
      </c>
      <c r="E394" s="36">
        <f>[1]!Table3[[#This Row],[CLM $ Collected ]]/'[1]1.) CLM Reference'!$B$4</f>
        <v>5.1166500470197149E-5</v>
      </c>
      <c r="F394" s="40">
        <f>[1]!Table3[[#This Row],[Residential Incentive Disbursements]]+[1]!Table3[[#This Row],[C&amp;I Incentive Disbursements]]</f>
        <v>154</v>
      </c>
      <c r="G394" s="36">
        <f>[1]!Table3[[#This Row],[Incentive Disbursements]]/'[1]1.) CLM Reference'!$B$5</f>
        <v>1.8841364209833361E-6</v>
      </c>
      <c r="H394" s="40">
        <v>5767.4219616000009</v>
      </c>
      <c r="I394" s="36">
        <f>[1]!Table3[[#This Row],[Residential CLM $ Collected]]/'[1]1.) CLM Reference'!$B$4</f>
        <v>5.1166500470197149E-5</v>
      </c>
      <c r="J394" s="41">
        <v>154</v>
      </c>
      <c r="K394" s="36">
        <f>[1]!Table3[[#This Row],[Residential Incentive Disbursements]]/'[1]1.) CLM Reference'!$B$5</f>
        <v>1.8841364209833361E-6</v>
      </c>
      <c r="L394" s="37">
        <v>0</v>
      </c>
      <c r="M394" s="36">
        <f>[1]!Table3[[#This Row],[C&amp;I CLM $ Collected]]/'[1]1.) CLM Reference'!$B$4</f>
        <v>0</v>
      </c>
      <c r="N394" s="41">
        <v>0</v>
      </c>
      <c r="O394" s="36">
        <f>[1]!Table3[[#This Row],[C&amp;I Incentive Disbursements]]/'[1]1.) CLM Reference'!$B$5</f>
        <v>0</v>
      </c>
      <c r="Q394">
        <f>VLOOKUP(Table3[[#This Row],[Census Tract]],'Population and Diversity Data'!$B$2:$K$823,10,FALSE)</f>
        <v>5</v>
      </c>
      <c r="R394" t="str">
        <f>VLOOKUP(Table3[[#This Row],[Census Tract]],'ES Energy Burden'!$B$2:$E$914,4,FALSE)</f>
        <v>No</v>
      </c>
    </row>
    <row r="395" spans="1:18" x14ac:dyDescent="0.2">
      <c r="A395" s="100">
        <v>9013881300</v>
      </c>
      <c r="B395" s="38" t="s">
        <v>2799</v>
      </c>
      <c r="C395" s="38" t="s">
        <v>944</v>
      </c>
      <c r="D395" s="40">
        <f>[1]!Table3[[#This Row],[Residential CLM $ Collected]]+[1]!Table3[[#This Row],[C&amp;I CLM $ Collected]]</f>
        <v>61596.592404479998</v>
      </c>
      <c r="E395" s="36">
        <f>[1]!Table3[[#This Row],[CLM $ Collected ]]/'[1]1.) CLM Reference'!$B$4</f>
        <v>5.4646289021516759E-4</v>
      </c>
      <c r="F395" s="40">
        <f>[1]!Table3[[#This Row],[Residential Incentive Disbursements]]+[1]!Table3[[#This Row],[C&amp;I Incentive Disbursements]]</f>
        <v>16521.36</v>
      </c>
      <c r="G395" s="36">
        <f>[1]!Table3[[#This Row],[Incentive Disbursements]]/'[1]1.) CLM Reference'!$B$5</f>
        <v>2.0213309155959255E-4</v>
      </c>
      <c r="H395" s="40">
        <v>61596.592404479998</v>
      </c>
      <c r="I395" s="36">
        <f>[1]!Table3[[#This Row],[Residential CLM $ Collected]]/'[1]1.) CLM Reference'!$B$4</f>
        <v>5.4646289021516759E-4</v>
      </c>
      <c r="J395" s="41">
        <v>16521.36</v>
      </c>
      <c r="K395" s="36">
        <f>[1]!Table3[[#This Row],[Residential Incentive Disbursements]]/'[1]1.) CLM Reference'!$B$5</f>
        <v>2.0213309155959255E-4</v>
      </c>
      <c r="L395" s="37">
        <v>0</v>
      </c>
      <c r="M395" s="36">
        <f>[1]!Table3[[#This Row],[C&amp;I CLM $ Collected]]/'[1]1.) CLM Reference'!$B$4</f>
        <v>0</v>
      </c>
      <c r="N395" s="41">
        <v>0</v>
      </c>
      <c r="O395" s="36">
        <f>[1]!Table3[[#This Row],[C&amp;I Incentive Disbursements]]/'[1]1.) CLM Reference'!$B$5</f>
        <v>0</v>
      </c>
      <c r="Q395">
        <f>VLOOKUP(Table3[[#This Row],[Census Tract]],'Population and Diversity Data'!$B$2:$K$823,10,FALSE)</f>
        <v>4</v>
      </c>
      <c r="R395" t="str">
        <f>VLOOKUP(Table3[[#This Row],[Census Tract]],'ES Energy Burden'!$B$2:$E$914,4,FALSE)</f>
        <v>No</v>
      </c>
    </row>
    <row r="396" spans="1:18" x14ac:dyDescent="0.2">
      <c r="A396" s="100">
        <v>9013881500</v>
      </c>
      <c r="B396" s="38" t="s">
        <v>2799</v>
      </c>
      <c r="C396" s="38" t="s">
        <v>944</v>
      </c>
      <c r="D396" s="40">
        <f>[1]!Table3[[#This Row],[Residential CLM $ Collected]]+[1]!Table3[[#This Row],[C&amp;I CLM $ Collected]]</f>
        <v>206961.85025856001</v>
      </c>
      <c r="E396" s="36">
        <f>[1]!Table3[[#This Row],[CLM $ Collected ]]/'[1]1.) CLM Reference'!$B$4</f>
        <v>1.8360913557345705E-3</v>
      </c>
      <c r="F396" s="40">
        <f>[1]!Table3[[#This Row],[Residential Incentive Disbursements]]+[1]!Table3[[#This Row],[C&amp;I Incentive Disbursements]]</f>
        <v>189906.91070000012</v>
      </c>
      <c r="G396" s="36">
        <f>[1]!Table3[[#This Row],[Incentive Disbursements]]/'[1]1.) CLM Reference'!$B$5</f>
        <v>2.3234449808201313E-3</v>
      </c>
      <c r="H396" s="40">
        <v>102936.9654864</v>
      </c>
      <c r="I396" s="36">
        <f>[1]!Table3[[#This Row],[Residential CLM $ Collected]]/'[1]1.) CLM Reference'!$B$4</f>
        <v>9.132198628829649E-4</v>
      </c>
      <c r="J396" s="41">
        <v>73029.014800000106</v>
      </c>
      <c r="K396" s="36">
        <f>[1]!Table3[[#This Row],[Residential Incentive Disbursements]]/'[1]1.) CLM Reference'!$B$5</f>
        <v>8.9348458813773562E-4</v>
      </c>
      <c r="L396" s="37">
        <v>104024.88477216</v>
      </c>
      <c r="M396" s="36">
        <f>[1]!Table3[[#This Row],[C&amp;I CLM $ Collected]]/'[1]1.) CLM Reference'!$B$4</f>
        <v>9.2287149285160569E-4</v>
      </c>
      <c r="N396" s="41">
        <v>116877.8959</v>
      </c>
      <c r="O396" s="36">
        <f>[1]!Table3[[#This Row],[C&amp;I Incentive Disbursements]]/'[1]1.) CLM Reference'!$B$5</f>
        <v>1.4299603926823958E-3</v>
      </c>
      <c r="Q396">
        <f>VLOOKUP(Table3[[#This Row],[Census Tract]],'Population and Diversity Data'!$B$2:$K$823,10,FALSE)</f>
        <v>4</v>
      </c>
      <c r="R396" t="str">
        <f>VLOOKUP(Table3[[#This Row],[Census Tract]],'ES Energy Burden'!$B$2:$E$914,4,FALSE)</f>
        <v>No</v>
      </c>
    </row>
    <row r="397" spans="1:18" x14ac:dyDescent="0.2">
      <c r="A397" s="100">
        <v>9015815000</v>
      </c>
      <c r="B397" s="38" t="s">
        <v>2799</v>
      </c>
      <c r="C397" s="38" t="s">
        <v>944</v>
      </c>
      <c r="D397" s="40">
        <f>[1]!Table3[[#This Row],[Residential CLM $ Collected]]+[1]!Table3[[#This Row],[C&amp;I CLM $ Collected]]</f>
        <v>297.9263808</v>
      </c>
      <c r="E397" s="36">
        <f>[1]!Table3[[#This Row],[CLM $ Collected ]]/'[1]1.) CLM Reference'!$B$4</f>
        <v>2.643096066974503E-6</v>
      </c>
      <c r="F397" s="40">
        <f>[1]!Table3[[#This Row],[Residential Incentive Disbursements]]+[1]!Table3[[#This Row],[C&amp;I Incentive Disbursements]]</f>
        <v>0</v>
      </c>
      <c r="G397" s="36">
        <f>[1]!Table3[[#This Row],[Incentive Disbursements]]/'[1]1.) CLM Reference'!$B$5</f>
        <v>0</v>
      </c>
      <c r="H397" s="40">
        <v>297.9263808</v>
      </c>
      <c r="I397" s="36">
        <f>[1]!Table3[[#This Row],[Residential CLM $ Collected]]/'[1]1.) CLM Reference'!$B$4</f>
        <v>2.643096066974503E-6</v>
      </c>
      <c r="J397" s="41">
        <v>0</v>
      </c>
      <c r="K397" s="36">
        <f>[1]!Table3[[#This Row],[Residential Incentive Disbursements]]/'[1]1.) CLM Reference'!$B$5</f>
        <v>0</v>
      </c>
      <c r="L397" s="37">
        <v>0</v>
      </c>
      <c r="M397" s="36">
        <f>[1]!Table3[[#This Row],[C&amp;I CLM $ Collected]]/'[1]1.) CLM Reference'!$B$4</f>
        <v>0</v>
      </c>
      <c r="N397" s="41">
        <v>0</v>
      </c>
      <c r="O397" s="36">
        <f>[1]!Table3[[#This Row],[C&amp;I Incentive Disbursements]]/'[1]1.) CLM Reference'!$B$5</f>
        <v>0</v>
      </c>
      <c r="Q397">
        <f>VLOOKUP(Table3[[#This Row],[Census Tract]],'Population and Diversity Data'!$B$2:$K$823,10,FALSE)</f>
        <v>5</v>
      </c>
      <c r="R397" t="str">
        <f>VLOOKUP(Table3[[#This Row],[Census Tract]],'ES Energy Burden'!$B$2:$E$914,4,FALSE)</f>
        <v>No</v>
      </c>
    </row>
    <row r="398" spans="1:18" x14ac:dyDescent="0.2">
      <c r="A398" s="100">
        <v>9003524100</v>
      </c>
      <c r="B398" s="38" t="s">
        <v>2800</v>
      </c>
      <c r="C398" s="38" t="s">
        <v>944</v>
      </c>
      <c r="D398" s="40">
        <f>[1]!Table3[[#This Row],[Residential CLM $ Collected]]+[1]!Table3[[#This Row],[C&amp;I CLM $ Collected]]</f>
        <v>159114.29809535999</v>
      </c>
      <c r="E398" s="36">
        <f>[1]!Table3[[#This Row],[CLM $ Collected ]]/'[1]1.) CLM Reference'!$B$4</f>
        <v>1.4116050225762842E-3</v>
      </c>
      <c r="F398" s="40">
        <f>[1]!Table3[[#This Row],[Residential Incentive Disbursements]]+[1]!Table3[[#This Row],[C&amp;I Incentive Disbursements]]</f>
        <v>48667.315399999999</v>
      </c>
      <c r="G398" s="36">
        <f>[1]!Table3[[#This Row],[Incentive Disbursements]]/'[1]1.) CLM Reference'!$B$5</f>
        <v>5.9542767179625452E-4</v>
      </c>
      <c r="H398" s="40">
        <v>136171.01564351999</v>
      </c>
      <c r="I398" s="36">
        <f>[1]!Table3[[#This Row],[Residential CLM $ Collected]]/'[1]1.) CLM Reference'!$B$4</f>
        <v>1.2080604440495091E-3</v>
      </c>
      <c r="J398" s="41">
        <v>32944.274400000002</v>
      </c>
      <c r="K398" s="36">
        <f>[1]!Table3[[#This Row],[Residential Incentive Disbursements]]/'[1]1.) CLM Reference'!$B$5</f>
        <v>4.0306173545395422E-4</v>
      </c>
      <c r="L398" s="37">
        <v>22943.282451840001</v>
      </c>
      <c r="M398" s="36">
        <f>[1]!Table3[[#This Row],[C&amp;I CLM $ Collected]]/'[1]1.) CLM Reference'!$B$4</f>
        <v>2.0354457852677488E-4</v>
      </c>
      <c r="N398" s="41">
        <v>15723.040999999999</v>
      </c>
      <c r="O398" s="36">
        <f>[1]!Table3[[#This Row],[C&amp;I Incentive Disbursements]]/'[1]1.) CLM Reference'!$B$5</f>
        <v>1.9236593634230033E-4</v>
      </c>
      <c r="Q398">
        <f>VLOOKUP(Table3[[#This Row],[Census Tract]],'Population and Diversity Data'!$B$2:$K$823,10,FALSE)</f>
        <v>1</v>
      </c>
      <c r="R398" t="str">
        <f>VLOOKUP(Table3[[#This Row],[Census Tract]],'ES Energy Burden'!$B$2:$E$914,4,FALSE)</f>
        <v>No</v>
      </c>
    </row>
    <row r="399" spans="1:18" x14ac:dyDescent="0.2">
      <c r="A399" s="100">
        <v>9013526101</v>
      </c>
      <c r="B399" s="38" t="s">
        <v>2800</v>
      </c>
      <c r="C399" s="38" t="s">
        <v>944</v>
      </c>
      <c r="D399" s="40">
        <f>[1]!Table3[[#This Row],[Residential CLM $ Collected]]+[1]!Table3[[#This Row],[C&amp;I CLM $ Collected]]</f>
        <v>514.10911680000004</v>
      </c>
      <c r="E399" s="36">
        <f>[1]!Table3[[#This Row],[CLM $ Collected ]]/'[1]1.) CLM Reference'!$B$4</f>
        <v>4.5609918160352967E-6</v>
      </c>
      <c r="F399" s="40">
        <f>[1]!Table3[[#This Row],[Residential Incentive Disbursements]]+[1]!Table3[[#This Row],[C&amp;I Incentive Disbursements]]</f>
        <v>0</v>
      </c>
      <c r="G399" s="36">
        <f>[1]!Table3[[#This Row],[Incentive Disbursements]]/'[1]1.) CLM Reference'!$B$5</f>
        <v>0</v>
      </c>
      <c r="H399" s="40">
        <v>514.10911680000004</v>
      </c>
      <c r="I399" s="36">
        <f>[1]!Table3[[#This Row],[Residential CLM $ Collected]]/'[1]1.) CLM Reference'!$B$4</f>
        <v>4.5609918160352967E-6</v>
      </c>
      <c r="J399" s="41">
        <v>0</v>
      </c>
      <c r="K399" s="36">
        <f>[1]!Table3[[#This Row],[Residential Incentive Disbursements]]/'[1]1.) CLM Reference'!$B$5</f>
        <v>0</v>
      </c>
      <c r="L399" s="37">
        <v>0</v>
      </c>
      <c r="M399" s="36">
        <f>[1]!Table3[[#This Row],[C&amp;I CLM $ Collected]]/'[1]1.) CLM Reference'!$B$4</f>
        <v>0</v>
      </c>
      <c r="N399" s="41">
        <v>0</v>
      </c>
      <c r="O399" s="36">
        <f>[1]!Table3[[#This Row],[C&amp;I Incentive Disbursements]]/'[1]1.) CLM Reference'!$B$5</f>
        <v>0</v>
      </c>
      <c r="Q399">
        <f>VLOOKUP(Table3[[#This Row],[Census Tract]],'Population and Diversity Data'!$B$2:$K$823,10,FALSE)</f>
        <v>2</v>
      </c>
      <c r="R399" t="str">
        <f>VLOOKUP(Table3[[#This Row],[Census Tract]],'ES Energy Burden'!$B$2:$E$914,4,FALSE)</f>
        <v>No</v>
      </c>
    </row>
    <row r="400" spans="1:18" x14ac:dyDescent="0.2">
      <c r="A400" s="100">
        <v>9013526102</v>
      </c>
      <c r="B400" s="38" t="s">
        <v>2800</v>
      </c>
      <c r="C400" s="38" t="s">
        <v>944</v>
      </c>
      <c r="D400" s="40">
        <f>[1]!Table3[[#This Row],[Residential CLM $ Collected]]+[1]!Table3[[#This Row],[C&amp;I CLM $ Collected]]</f>
        <v>656.1315360000001</v>
      </c>
      <c r="E400" s="36">
        <f>[1]!Table3[[#This Row],[CLM $ Collected ]]/'[1]1.) CLM Reference'!$B$4</f>
        <v>5.8209638151638962E-6</v>
      </c>
      <c r="F400" s="40">
        <f>[1]!Table3[[#This Row],[Residential Incentive Disbursements]]+[1]!Table3[[#This Row],[C&amp;I Incentive Disbursements]]</f>
        <v>0</v>
      </c>
      <c r="G400" s="36">
        <f>[1]!Table3[[#This Row],[Incentive Disbursements]]/'[1]1.) CLM Reference'!$B$5</f>
        <v>0</v>
      </c>
      <c r="H400" s="40">
        <v>656.1315360000001</v>
      </c>
      <c r="I400" s="36">
        <f>[1]!Table3[[#This Row],[Residential CLM $ Collected]]/'[1]1.) CLM Reference'!$B$4</f>
        <v>5.8209638151638962E-6</v>
      </c>
      <c r="J400" s="41">
        <v>0</v>
      </c>
      <c r="K400" s="36">
        <f>[1]!Table3[[#This Row],[Residential Incentive Disbursements]]/'[1]1.) CLM Reference'!$B$5</f>
        <v>0</v>
      </c>
      <c r="L400" s="37">
        <v>0</v>
      </c>
      <c r="M400" s="36">
        <f>[1]!Table3[[#This Row],[C&amp;I CLM $ Collected]]/'[1]1.) CLM Reference'!$B$4</f>
        <v>0</v>
      </c>
      <c r="N400" s="41">
        <v>0</v>
      </c>
      <c r="O400" s="36">
        <f>[1]!Table3[[#This Row],[C&amp;I Incentive Disbursements]]/'[1]1.) CLM Reference'!$B$5</f>
        <v>0</v>
      </c>
      <c r="Q400">
        <f>VLOOKUP(Table3[[#This Row],[Census Tract]],'Population and Diversity Data'!$B$2:$K$823,10,FALSE)</f>
        <v>1</v>
      </c>
      <c r="R400" t="str">
        <f>VLOOKUP(Table3[[#This Row],[Census Tract]],'ES Energy Burden'!$B$2:$E$914,4,FALSE)</f>
        <v>No</v>
      </c>
    </row>
    <row r="401" spans="1:18" x14ac:dyDescent="0.2">
      <c r="A401" s="100">
        <v>9003430301</v>
      </c>
      <c r="B401" s="38" t="s">
        <v>991</v>
      </c>
      <c r="C401" s="38" t="s">
        <v>944</v>
      </c>
      <c r="D401" s="40">
        <f>[1]!Table3[[#This Row],[Residential CLM $ Collected]]+[1]!Table3[[#This Row],[C&amp;I CLM $ Collected]]</f>
        <v>2211.6110400000002</v>
      </c>
      <c r="E401" s="36">
        <f>[1]!Table3[[#This Row],[CLM $ Collected ]]/'[1]1.) CLM Reference'!$B$4</f>
        <v>1.9620620455982763E-5</v>
      </c>
      <c r="F401" s="40">
        <f>[1]!Table3[[#This Row],[Residential Incentive Disbursements]]+[1]!Table3[[#This Row],[C&amp;I Incentive Disbursements]]</f>
        <v>176.8</v>
      </c>
      <c r="G401" s="36">
        <f>[1]!Table3[[#This Row],[Incentive Disbursements]]/'[1]1.) CLM Reference'!$B$5</f>
        <v>2.1630864885055446E-6</v>
      </c>
      <c r="H401" s="40">
        <v>2211.6110400000002</v>
      </c>
      <c r="I401" s="36">
        <f>[1]!Table3[[#This Row],[Residential CLM $ Collected]]/'[1]1.) CLM Reference'!$B$4</f>
        <v>1.9620620455982763E-5</v>
      </c>
      <c r="J401" s="41">
        <v>176.8</v>
      </c>
      <c r="K401" s="36">
        <f>[1]!Table3[[#This Row],[Residential Incentive Disbursements]]/'[1]1.) CLM Reference'!$B$5</f>
        <v>2.1630864885055446E-6</v>
      </c>
      <c r="L401" s="37">
        <v>0</v>
      </c>
      <c r="M401" s="36">
        <f>[1]!Table3[[#This Row],[C&amp;I CLM $ Collected]]/'[1]1.) CLM Reference'!$B$4</f>
        <v>0</v>
      </c>
      <c r="N401" s="41">
        <v>0</v>
      </c>
      <c r="O401" s="36">
        <f>[1]!Table3[[#This Row],[C&amp;I Incentive Disbursements]]/'[1]1.) CLM Reference'!$B$5</f>
        <v>0</v>
      </c>
      <c r="Q401">
        <f>VLOOKUP(Table3[[#This Row],[Census Tract]],'Population and Diversity Data'!$B$2:$K$823,10,FALSE)</f>
        <v>1</v>
      </c>
      <c r="R401" t="str">
        <f>VLOOKUP(Table3[[#This Row],[Census Tract]],'ES Energy Burden'!$B$2:$E$914,4,FALSE)</f>
        <v>No</v>
      </c>
    </row>
    <row r="402" spans="1:18" x14ac:dyDescent="0.2">
      <c r="A402" s="100">
        <v>9009170100</v>
      </c>
      <c r="B402" s="38" t="s">
        <v>991</v>
      </c>
      <c r="C402" s="38" t="s">
        <v>936</v>
      </c>
      <c r="D402" s="40">
        <f>[1]!Table3[[#This Row],[Residential CLM $ Collected]]+[1]!Table3[[#This Row],[C&amp;I CLM $ Collected]]</f>
        <v>15409.842909120001</v>
      </c>
      <c r="E402" s="36">
        <f>[1]!Table3[[#This Row],[CLM $ Collected ]]/'[1]1.) CLM Reference'!$B$4</f>
        <v>1.3671060305710936E-4</v>
      </c>
      <c r="F402" s="40">
        <f>[1]!Table3[[#This Row],[Residential Incentive Disbursements]]+[1]!Table3[[#This Row],[C&amp;I Incentive Disbursements]]</f>
        <v>24.64</v>
      </c>
      <c r="G402" s="36">
        <f>[1]!Table3[[#This Row],[Incentive Disbursements]]/'[1]1.) CLM Reference'!$B$5</f>
        <v>3.0146182735733378E-7</v>
      </c>
      <c r="H402" s="40">
        <v>15409.842909120001</v>
      </c>
      <c r="I402" s="36">
        <f>[1]!Table3[[#This Row],[Residential CLM $ Collected]]/'[1]1.) CLM Reference'!$B$4</f>
        <v>1.3671060305710936E-4</v>
      </c>
      <c r="J402" s="41">
        <v>24.64</v>
      </c>
      <c r="K402" s="36">
        <f>[1]!Table3[[#This Row],[Residential Incentive Disbursements]]/'[1]1.) CLM Reference'!$B$5</f>
        <v>3.0146182735733378E-7</v>
      </c>
      <c r="L402" s="37">
        <v>0</v>
      </c>
      <c r="M402" s="36">
        <f>[1]!Table3[[#This Row],[C&amp;I CLM $ Collected]]/'[1]1.) CLM Reference'!$B$4</f>
        <v>0</v>
      </c>
      <c r="N402" s="41">
        <v>0</v>
      </c>
      <c r="O402" s="36">
        <f>[1]!Table3[[#This Row],[C&amp;I Incentive Disbursements]]/'[1]1.) CLM Reference'!$B$5</f>
        <v>0</v>
      </c>
      <c r="Q402">
        <f>VLOOKUP(Table3[[#This Row],[Census Tract]],'Population and Diversity Data'!$B$2:$K$823,10,FALSE)</f>
        <v>5</v>
      </c>
      <c r="R402" t="e">
        <f>VLOOKUP(Table3[[#This Row],[Census Tract]],'ES Energy Burden'!$B$2:$E$914,4,FALSE)</f>
        <v>#N/A</v>
      </c>
    </row>
    <row r="403" spans="1:18" x14ac:dyDescent="0.2">
      <c r="A403" s="100">
        <v>9009170200</v>
      </c>
      <c r="B403" s="38" t="s">
        <v>991</v>
      </c>
      <c r="C403" s="38" t="s">
        <v>944</v>
      </c>
      <c r="D403" s="40">
        <f>[1]!Table3[[#This Row],[Residential CLM $ Collected]]+[1]!Table3[[#This Row],[C&amp;I CLM $ Collected]]</f>
        <v>27634.187327039999</v>
      </c>
      <c r="E403" s="36">
        <f>[1]!Table3[[#This Row],[CLM $ Collected ]]/'[1]1.) CLM Reference'!$B$4</f>
        <v>2.4516060525424968E-4</v>
      </c>
      <c r="F403" s="40">
        <f>[1]!Table3[[#This Row],[Residential Incentive Disbursements]]+[1]!Table3[[#This Row],[C&amp;I Incentive Disbursements]]</f>
        <v>10720.27</v>
      </c>
      <c r="G403" s="36">
        <f>[1]!Table3[[#This Row],[Incentive Disbursements]]/'[1]1.) CLM Reference'!$B$5</f>
        <v>1.3115877369983785E-4</v>
      </c>
      <c r="H403" s="40">
        <v>27634.187327039999</v>
      </c>
      <c r="I403" s="36">
        <f>[1]!Table3[[#This Row],[Residential CLM $ Collected]]/'[1]1.) CLM Reference'!$B$4</f>
        <v>2.4516060525424968E-4</v>
      </c>
      <c r="J403" s="41">
        <v>10720.27</v>
      </c>
      <c r="K403" s="36">
        <f>[1]!Table3[[#This Row],[Residential Incentive Disbursements]]/'[1]1.) CLM Reference'!$B$5</f>
        <v>1.3115877369983785E-4</v>
      </c>
      <c r="L403" s="37">
        <v>0</v>
      </c>
      <c r="M403" s="36">
        <f>[1]!Table3[[#This Row],[C&amp;I CLM $ Collected]]/'[1]1.) CLM Reference'!$B$4</f>
        <v>0</v>
      </c>
      <c r="N403" s="41">
        <v>0</v>
      </c>
      <c r="O403" s="36">
        <f>[1]!Table3[[#This Row],[C&amp;I Incentive Disbursements]]/'[1]1.) CLM Reference'!$B$5</f>
        <v>0</v>
      </c>
      <c r="Q403">
        <f>VLOOKUP(Table3[[#This Row],[Census Tract]],'Population and Diversity Data'!$B$2:$K$823,10,FALSE)</f>
        <v>5</v>
      </c>
      <c r="R403" t="str">
        <f>VLOOKUP(Table3[[#This Row],[Census Tract]],'ES Energy Burden'!$B$2:$E$914,4,FALSE)</f>
        <v>No</v>
      </c>
    </row>
    <row r="404" spans="1:18" x14ac:dyDescent="0.2">
      <c r="A404" s="100">
        <v>9009170300</v>
      </c>
      <c r="B404" s="38" t="s">
        <v>991</v>
      </c>
      <c r="C404" s="38" t="s">
        <v>944</v>
      </c>
      <c r="D404" s="40">
        <f>[1]!Table3[[#This Row],[Residential CLM $ Collected]]+[1]!Table3[[#This Row],[C&amp;I CLM $ Collected]]</f>
        <v>26998.412106239997</v>
      </c>
      <c r="E404" s="36">
        <f>[1]!Table3[[#This Row],[CLM $ Collected ]]/'[1]1.) CLM Reference'!$B$4</f>
        <v>2.3952023537138117E-4</v>
      </c>
      <c r="F404" s="40">
        <f>[1]!Table3[[#This Row],[Residential Incentive Disbursements]]+[1]!Table3[[#This Row],[C&amp;I Incentive Disbursements]]</f>
        <v>10029.17</v>
      </c>
      <c r="G404" s="36">
        <f>[1]!Table3[[#This Row],[Incentive Disbursements]]/'[1]1.) CLM Reference'!$B$5</f>
        <v>1.2270340564437301E-4</v>
      </c>
      <c r="H404" s="40">
        <v>26998.412106239997</v>
      </c>
      <c r="I404" s="36">
        <f>[1]!Table3[[#This Row],[Residential CLM $ Collected]]/'[1]1.) CLM Reference'!$B$4</f>
        <v>2.3952023537138117E-4</v>
      </c>
      <c r="J404" s="41">
        <v>10029.17</v>
      </c>
      <c r="K404" s="36">
        <f>[1]!Table3[[#This Row],[Residential Incentive Disbursements]]/'[1]1.) CLM Reference'!$B$5</f>
        <v>1.2270340564437301E-4</v>
      </c>
      <c r="L404" s="37">
        <v>0</v>
      </c>
      <c r="M404" s="36">
        <f>[1]!Table3[[#This Row],[C&amp;I CLM $ Collected]]/'[1]1.) CLM Reference'!$B$4</f>
        <v>0</v>
      </c>
      <c r="N404" s="41">
        <v>0</v>
      </c>
      <c r="O404" s="36">
        <f>[1]!Table3[[#This Row],[C&amp;I Incentive Disbursements]]/'[1]1.) CLM Reference'!$B$5</f>
        <v>0</v>
      </c>
      <c r="Q404">
        <f>VLOOKUP(Table3[[#This Row],[Census Tract]],'Population and Diversity Data'!$B$2:$K$823,10,FALSE)</f>
        <v>4</v>
      </c>
      <c r="R404" t="str">
        <f>VLOOKUP(Table3[[#This Row],[Census Tract]],'ES Energy Burden'!$B$2:$E$914,4,FALSE)</f>
        <v>No</v>
      </c>
    </row>
    <row r="405" spans="1:18" x14ac:dyDescent="0.2">
      <c r="A405" s="100">
        <v>9009170400</v>
      </c>
      <c r="B405" s="38" t="s">
        <v>991</v>
      </c>
      <c r="C405" s="38" t="s">
        <v>944</v>
      </c>
      <c r="D405" s="40">
        <f>[1]!Table3[[#This Row],[Residential CLM $ Collected]]+[1]!Table3[[#This Row],[C&amp;I CLM $ Collected]]</f>
        <v>25467.548316479999</v>
      </c>
      <c r="E405" s="36">
        <f>[1]!Table3[[#This Row],[CLM $ Collected ]]/'[1]1.) CLM Reference'!$B$4</f>
        <v>2.2593896052447668E-4</v>
      </c>
      <c r="F405" s="40">
        <f>[1]!Table3[[#This Row],[Residential Incentive Disbursements]]+[1]!Table3[[#This Row],[C&amp;I Incentive Disbursements]]</f>
        <v>90980.7</v>
      </c>
      <c r="G405" s="36">
        <f>[1]!Table3[[#This Row],[Incentive Disbursements]]/'[1]1.) CLM Reference'!$B$5</f>
        <v>1.1131172108867441E-3</v>
      </c>
      <c r="H405" s="40">
        <v>25467.548316479999</v>
      </c>
      <c r="I405" s="36">
        <f>[1]!Table3[[#This Row],[Residential CLM $ Collected]]/'[1]1.) CLM Reference'!$B$4</f>
        <v>2.2593896052447668E-4</v>
      </c>
      <c r="J405" s="41">
        <v>90980.7</v>
      </c>
      <c r="K405" s="36">
        <f>[1]!Table3[[#This Row],[Residential Incentive Disbursements]]/'[1]1.) CLM Reference'!$B$5</f>
        <v>1.1131172108867441E-3</v>
      </c>
      <c r="L405" s="37">
        <v>0</v>
      </c>
      <c r="M405" s="36">
        <f>[1]!Table3[[#This Row],[C&amp;I CLM $ Collected]]/'[1]1.) CLM Reference'!$B$4</f>
        <v>0</v>
      </c>
      <c r="N405" s="41">
        <v>0</v>
      </c>
      <c r="O405" s="36">
        <f>[1]!Table3[[#This Row],[C&amp;I Incentive Disbursements]]/'[1]1.) CLM Reference'!$B$5</f>
        <v>0</v>
      </c>
      <c r="Q405">
        <f>VLOOKUP(Table3[[#This Row],[Census Tract]],'Population and Diversity Data'!$B$2:$K$823,10,FALSE)</f>
        <v>5</v>
      </c>
      <c r="R405" t="str">
        <f>VLOOKUP(Table3[[#This Row],[Census Tract]],'ES Energy Burden'!$B$2:$E$914,4,FALSE)</f>
        <v>No</v>
      </c>
    </row>
    <row r="406" spans="1:18" x14ac:dyDescent="0.2">
      <c r="A406" s="100">
        <v>9009170500</v>
      </c>
      <c r="B406" s="38" t="s">
        <v>991</v>
      </c>
      <c r="C406" s="38" t="s">
        <v>944</v>
      </c>
      <c r="D406" s="40">
        <f>[1]!Table3[[#This Row],[Residential CLM $ Collected]]+[1]!Table3[[#This Row],[C&amp;I CLM $ Collected]]</f>
        <v>96969.884918399999</v>
      </c>
      <c r="E406" s="36">
        <f>[1]!Table3[[#This Row],[CLM $ Collected ]]/'[1]1.) CLM Reference'!$B$4</f>
        <v>8.6028206281890023E-4</v>
      </c>
      <c r="F406" s="40">
        <f>[1]!Table3[[#This Row],[Residential Incentive Disbursements]]+[1]!Table3[[#This Row],[C&amp;I Incentive Disbursements]]</f>
        <v>50845.675799999997</v>
      </c>
      <c r="G406" s="36">
        <f>[1]!Table3[[#This Row],[Incentive Disbursements]]/'[1]1.) CLM Reference'!$B$5</f>
        <v>6.2207915340448713E-4</v>
      </c>
      <c r="H406" s="40">
        <v>96969.884918399999</v>
      </c>
      <c r="I406" s="36">
        <f>[1]!Table3[[#This Row],[Residential CLM $ Collected]]/'[1]1.) CLM Reference'!$B$4</f>
        <v>8.6028206281890023E-4</v>
      </c>
      <c r="J406" s="41">
        <v>50845.675799999997</v>
      </c>
      <c r="K406" s="36">
        <f>[1]!Table3[[#This Row],[Residential Incentive Disbursements]]/'[1]1.) CLM Reference'!$B$5</f>
        <v>6.2207915340448713E-4</v>
      </c>
      <c r="L406" s="37">
        <v>0</v>
      </c>
      <c r="M406" s="36">
        <f>[1]!Table3[[#This Row],[C&amp;I CLM $ Collected]]/'[1]1.) CLM Reference'!$B$4</f>
        <v>0</v>
      </c>
      <c r="N406" s="41">
        <v>0</v>
      </c>
      <c r="O406" s="36">
        <f>[1]!Table3[[#This Row],[C&amp;I Incentive Disbursements]]/'[1]1.) CLM Reference'!$B$5</f>
        <v>0</v>
      </c>
      <c r="Q406">
        <f>VLOOKUP(Table3[[#This Row],[Census Tract]],'Population and Diversity Data'!$B$2:$K$823,10,FALSE)</f>
        <v>4</v>
      </c>
      <c r="R406" t="str">
        <f>VLOOKUP(Table3[[#This Row],[Census Tract]],'ES Energy Burden'!$B$2:$E$914,4,FALSE)</f>
        <v>No</v>
      </c>
    </row>
    <row r="407" spans="1:18" x14ac:dyDescent="0.2">
      <c r="A407" s="100">
        <v>9009170600</v>
      </c>
      <c r="B407" s="38" t="s">
        <v>991</v>
      </c>
      <c r="C407" s="38" t="s">
        <v>944</v>
      </c>
      <c r="D407" s="40">
        <f>[1]!Table3[[#This Row],[Residential CLM $ Collected]]+[1]!Table3[[#This Row],[C&amp;I CLM $ Collected]]</f>
        <v>38795.349159359997</v>
      </c>
      <c r="E407" s="36">
        <f>[1]!Table3[[#This Row],[CLM $ Collected ]]/'[1]1.) CLM Reference'!$B$4</f>
        <v>3.4417843262038174E-4</v>
      </c>
      <c r="F407" s="40">
        <f>[1]!Table3[[#This Row],[Residential Incentive Disbursements]]+[1]!Table3[[#This Row],[C&amp;I Incentive Disbursements]]</f>
        <v>5765.8999000000003</v>
      </c>
      <c r="G407" s="36">
        <f>[1]!Table3[[#This Row],[Incentive Disbursements]]/'[1]1.) CLM Reference'!$B$5</f>
        <v>7.0543779229442709E-5</v>
      </c>
      <c r="H407" s="40">
        <v>38795.349159359997</v>
      </c>
      <c r="I407" s="36">
        <f>[1]!Table3[[#This Row],[Residential CLM $ Collected]]/'[1]1.) CLM Reference'!$B$4</f>
        <v>3.4417843262038174E-4</v>
      </c>
      <c r="J407" s="41">
        <v>5765.8999000000003</v>
      </c>
      <c r="K407" s="36">
        <f>[1]!Table3[[#This Row],[Residential Incentive Disbursements]]/'[1]1.) CLM Reference'!$B$5</f>
        <v>7.0543779229442709E-5</v>
      </c>
      <c r="L407" s="37">
        <v>0</v>
      </c>
      <c r="M407" s="36">
        <f>[1]!Table3[[#This Row],[C&amp;I CLM $ Collected]]/'[1]1.) CLM Reference'!$B$4</f>
        <v>0</v>
      </c>
      <c r="N407" s="41">
        <v>0</v>
      </c>
      <c r="O407" s="36">
        <f>[1]!Table3[[#This Row],[C&amp;I Incentive Disbursements]]/'[1]1.) CLM Reference'!$B$5</f>
        <v>0</v>
      </c>
      <c r="Q407">
        <f>VLOOKUP(Table3[[#This Row],[Census Tract]],'Population and Diversity Data'!$B$2:$K$823,10,FALSE)</f>
        <v>3</v>
      </c>
      <c r="R407" t="str">
        <f>VLOOKUP(Table3[[#This Row],[Census Tract]],'ES Energy Burden'!$B$2:$E$914,4,FALSE)</f>
        <v>No</v>
      </c>
    </row>
    <row r="408" spans="1:18" x14ac:dyDescent="0.2">
      <c r="A408" s="100">
        <v>9009170700</v>
      </c>
      <c r="B408" s="38" t="s">
        <v>991</v>
      </c>
      <c r="C408" s="38" t="s">
        <v>944</v>
      </c>
      <c r="D408" s="40">
        <f>[1]!Table3[[#This Row],[Residential CLM $ Collected]]+[1]!Table3[[#This Row],[C&amp;I CLM $ Collected]]</f>
        <v>41239.000774079999</v>
      </c>
      <c r="E408" s="36">
        <f>[1]!Table3[[#This Row],[CLM $ Collected ]]/'[1]1.) CLM Reference'!$B$4</f>
        <v>3.6585763388674483E-4</v>
      </c>
      <c r="F408" s="40">
        <f>[1]!Table3[[#This Row],[Residential Incentive Disbursements]]+[1]!Table3[[#This Row],[C&amp;I Incentive Disbursements]]</f>
        <v>16580.21</v>
      </c>
      <c r="G408" s="36">
        <f>[1]!Table3[[#This Row],[Incentive Disbursements]]/'[1]1.) CLM Reference'!$B$5</f>
        <v>2.02853100834754E-4</v>
      </c>
      <c r="H408" s="40">
        <v>41239.000774079999</v>
      </c>
      <c r="I408" s="36">
        <f>[1]!Table3[[#This Row],[Residential CLM $ Collected]]/'[1]1.) CLM Reference'!$B$4</f>
        <v>3.6585763388674483E-4</v>
      </c>
      <c r="J408" s="41">
        <v>16580.21</v>
      </c>
      <c r="K408" s="36">
        <f>[1]!Table3[[#This Row],[Residential Incentive Disbursements]]/'[1]1.) CLM Reference'!$B$5</f>
        <v>2.02853100834754E-4</v>
      </c>
      <c r="L408" s="37">
        <v>0</v>
      </c>
      <c r="M408" s="36">
        <f>[1]!Table3[[#This Row],[C&amp;I CLM $ Collected]]/'[1]1.) CLM Reference'!$B$4</f>
        <v>0</v>
      </c>
      <c r="N408" s="41">
        <v>0</v>
      </c>
      <c r="O408" s="36">
        <f>[1]!Table3[[#This Row],[C&amp;I Incentive Disbursements]]/'[1]1.) CLM Reference'!$B$5</f>
        <v>0</v>
      </c>
      <c r="Q408">
        <f>VLOOKUP(Table3[[#This Row],[Census Tract]],'Population and Diversity Data'!$B$2:$K$823,10,FALSE)</f>
        <v>4</v>
      </c>
      <c r="R408" t="str">
        <f>VLOOKUP(Table3[[#This Row],[Census Tract]],'ES Energy Burden'!$B$2:$E$914,4,FALSE)</f>
        <v>No</v>
      </c>
    </row>
    <row r="409" spans="1:18" x14ac:dyDescent="0.2">
      <c r="A409" s="100">
        <v>9009170800</v>
      </c>
      <c r="B409" s="38" t="s">
        <v>991</v>
      </c>
      <c r="C409" s="38" t="s">
        <v>944</v>
      </c>
      <c r="D409" s="40">
        <f>[1]!Table3[[#This Row],[Residential CLM $ Collected]]+[1]!Table3[[#This Row],[C&amp;I CLM $ Collected]]</f>
        <v>78850.006606080002</v>
      </c>
      <c r="E409" s="36">
        <f>[1]!Table3[[#This Row],[CLM $ Collected ]]/'[1]1.) CLM Reference'!$B$4</f>
        <v>6.9952899700194535E-4</v>
      </c>
      <c r="F409" s="40">
        <f>[1]!Table3[[#This Row],[Residential Incentive Disbursements]]+[1]!Table3[[#This Row],[C&amp;I Incentive Disbursements]]</f>
        <v>25700.38</v>
      </c>
      <c r="G409" s="36">
        <f>[1]!Table3[[#This Row],[Incentive Disbursements]]/'[1]1.) CLM Reference'!$B$5</f>
        <v>3.1443520773449167E-4</v>
      </c>
      <c r="H409" s="40">
        <v>78850.006606080002</v>
      </c>
      <c r="I409" s="36">
        <f>[1]!Table3[[#This Row],[Residential CLM $ Collected]]/'[1]1.) CLM Reference'!$B$4</f>
        <v>6.9952899700194535E-4</v>
      </c>
      <c r="J409" s="41">
        <v>25700.38</v>
      </c>
      <c r="K409" s="36">
        <f>[1]!Table3[[#This Row],[Residential Incentive Disbursements]]/'[1]1.) CLM Reference'!$B$5</f>
        <v>3.1443520773449167E-4</v>
      </c>
      <c r="L409" s="37">
        <v>0</v>
      </c>
      <c r="M409" s="36">
        <f>[1]!Table3[[#This Row],[C&amp;I CLM $ Collected]]/'[1]1.) CLM Reference'!$B$4</f>
        <v>0</v>
      </c>
      <c r="N409" s="41">
        <v>0</v>
      </c>
      <c r="O409" s="36">
        <f>[1]!Table3[[#This Row],[C&amp;I Incentive Disbursements]]/'[1]1.) CLM Reference'!$B$5</f>
        <v>0</v>
      </c>
      <c r="Q409">
        <f>VLOOKUP(Table3[[#This Row],[Census Tract]],'Population and Diversity Data'!$B$2:$K$823,10,FALSE)</f>
        <v>3</v>
      </c>
      <c r="R409" t="str">
        <f>VLOOKUP(Table3[[#This Row],[Census Tract]],'ES Energy Burden'!$B$2:$E$914,4,FALSE)</f>
        <v>No</v>
      </c>
    </row>
    <row r="410" spans="1:18" x14ac:dyDescent="0.2">
      <c r="A410" s="100">
        <v>9009170900</v>
      </c>
      <c r="B410" s="38" t="s">
        <v>991</v>
      </c>
      <c r="C410" s="38" t="s">
        <v>944</v>
      </c>
      <c r="D410" s="40">
        <f>[1]!Table3[[#This Row],[Residential CLM $ Collected]]+[1]!Table3[[#This Row],[C&amp;I CLM $ Collected]]</f>
        <v>25729.242598079996</v>
      </c>
      <c r="E410" s="36">
        <f>[1]!Table3[[#This Row],[CLM $ Collected ]]/'[1]1.) CLM Reference'!$B$4</f>
        <v>2.2826061839374405E-4</v>
      </c>
      <c r="F410" s="40">
        <f>[1]!Table3[[#This Row],[Residential Incentive Disbursements]]+[1]!Table3[[#This Row],[C&amp;I Incentive Disbursements]]</f>
        <v>4202.71</v>
      </c>
      <c r="G410" s="36">
        <f>[1]!Table3[[#This Row],[Incentive Disbursements]]/'[1]1.) CLM Reference'!$B$5</f>
        <v>5.1418694661239462E-5</v>
      </c>
      <c r="H410" s="40">
        <v>25729.242598079996</v>
      </c>
      <c r="I410" s="36">
        <f>[1]!Table3[[#This Row],[Residential CLM $ Collected]]/'[1]1.) CLM Reference'!$B$4</f>
        <v>2.2826061839374405E-4</v>
      </c>
      <c r="J410" s="41">
        <v>4202.71</v>
      </c>
      <c r="K410" s="36">
        <f>[1]!Table3[[#This Row],[Residential Incentive Disbursements]]/'[1]1.) CLM Reference'!$B$5</f>
        <v>5.1418694661239462E-5</v>
      </c>
      <c r="L410" s="37">
        <v>0</v>
      </c>
      <c r="M410" s="36">
        <f>[1]!Table3[[#This Row],[C&amp;I CLM $ Collected]]/'[1]1.) CLM Reference'!$B$4</f>
        <v>0</v>
      </c>
      <c r="N410" s="41">
        <v>0</v>
      </c>
      <c r="O410" s="36">
        <f>[1]!Table3[[#This Row],[C&amp;I Incentive Disbursements]]/'[1]1.) CLM Reference'!$B$5</f>
        <v>0</v>
      </c>
      <c r="Q410">
        <f>VLOOKUP(Table3[[#This Row],[Census Tract]],'Population and Diversity Data'!$B$2:$K$823,10,FALSE)</f>
        <v>4</v>
      </c>
      <c r="R410" t="str">
        <f>VLOOKUP(Table3[[#This Row],[Census Tract]],'ES Energy Burden'!$B$2:$E$914,4,FALSE)</f>
        <v>No</v>
      </c>
    </row>
    <row r="411" spans="1:18" x14ac:dyDescent="0.2">
      <c r="A411" s="100">
        <v>9009171000</v>
      </c>
      <c r="B411" s="38" t="s">
        <v>991</v>
      </c>
      <c r="C411" s="38" t="s">
        <v>944</v>
      </c>
      <c r="D411" s="40">
        <f>[1]!Table3[[#This Row],[Residential CLM $ Collected]]+[1]!Table3[[#This Row],[C&amp;I CLM $ Collected]]</f>
        <v>21095.331353280002</v>
      </c>
      <c r="E411" s="36">
        <f>[1]!Table3[[#This Row],[CLM $ Collected ]]/'[1]1.) CLM Reference'!$B$4</f>
        <v>1.8715021872738532E-4</v>
      </c>
      <c r="F411" s="40">
        <f>[1]!Table3[[#This Row],[Residential Incentive Disbursements]]+[1]!Table3[[#This Row],[C&amp;I Incentive Disbursements]]</f>
        <v>11921.13</v>
      </c>
      <c r="G411" s="36">
        <f>[1]!Table3[[#This Row],[Incentive Disbursements]]/'[1]1.) CLM Reference'!$B$5</f>
        <v>1.4585087800179919E-4</v>
      </c>
      <c r="H411" s="40">
        <v>21095.331353280002</v>
      </c>
      <c r="I411" s="36">
        <f>[1]!Table3[[#This Row],[Residential CLM $ Collected]]/'[1]1.) CLM Reference'!$B$4</f>
        <v>1.8715021872738532E-4</v>
      </c>
      <c r="J411" s="41">
        <v>11921.13</v>
      </c>
      <c r="K411" s="36">
        <f>[1]!Table3[[#This Row],[Residential Incentive Disbursements]]/'[1]1.) CLM Reference'!$B$5</f>
        <v>1.4585087800179919E-4</v>
      </c>
      <c r="L411" s="37">
        <v>0</v>
      </c>
      <c r="M411" s="36">
        <f>[1]!Table3[[#This Row],[C&amp;I CLM $ Collected]]/'[1]1.) CLM Reference'!$B$4</f>
        <v>0</v>
      </c>
      <c r="N411" s="41">
        <v>0</v>
      </c>
      <c r="O411" s="36">
        <f>[1]!Table3[[#This Row],[C&amp;I Incentive Disbursements]]/'[1]1.) CLM Reference'!$B$5</f>
        <v>0</v>
      </c>
      <c r="Q411">
        <f>VLOOKUP(Table3[[#This Row],[Census Tract]],'Population and Diversity Data'!$B$2:$K$823,10,FALSE)</f>
        <v>5</v>
      </c>
      <c r="R411" t="str">
        <f>VLOOKUP(Table3[[#This Row],[Census Tract]],'ES Energy Burden'!$B$2:$E$914,4,FALSE)</f>
        <v>No</v>
      </c>
    </row>
    <row r="412" spans="1:18" x14ac:dyDescent="0.2">
      <c r="A412" s="100">
        <v>9009171100</v>
      </c>
      <c r="B412" s="38" t="s">
        <v>991</v>
      </c>
      <c r="C412" s="38" t="s">
        <v>944</v>
      </c>
      <c r="D412" s="40">
        <f>[1]!Table3[[#This Row],[Residential CLM $ Collected]]+[1]!Table3[[#This Row],[C&amp;I CLM $ Collected]]</f>
        <v>86641.140948479995</v>
      </c>
      <c r="E412" s="36">
        <f>[1]!Table3[[#This Row],[CLM $ Collected ]]/'[1]1.) CLM Reference'!$B$4</f>
        <v>7.6864914837078782E-4</v>
      </c>
      <c r="F412" s="40">
        <f>[1]!Table3[[#This Row],[Residential Incentive Disbursements]]+[1]!Table3[[#This Row],[C&amp;I Incentive Disbursements]]</f>
        <v>71986.295199999993</v>
      </c>
      <c r="G412" s="36">
        <f>[1]!Table3[[#This Row],[Incentive Disbursements]]/'[1]1.) CLM Reference'!$B$5</f>
        <v>8.8072727661024609E-4</v>
      </c>
      <c r="H412" s="40">
        <v>86641.140948479995</v>
      </c>
      <c r="I412" s="36">
        <f>[1]!Table3[[#This Row],[Residential CLM $ Collected]]/'[1]1.) CLM Reference'!$B$4</f>
        <v>7.6864914837078782E-4</v>
      </c>
      <c r="J412" s="41">
        <v>71986.295199999993</v>
      </c>
      <c r="K412" s="36">
        <f>[1]!Table3[[#This Row],[Residential Incentive Disbursements]]/'[1]1.) CLM Reference'!$B$5</f>
        <v>8.8072727661024609E-4</v>
      </c>
      <c r="L412" s="37">
        <v>0</v>
      </c>
      <c r="M412" s="36">
        <f>[1]!Table3[[#This Row],[C&amp;I CLM $ Collected]]/'[1]1.) CLM Reference'!$B$4</f>
        <v>0</v>
      </c>
      <c r="N412" s="41">
        <v>0</v>
      </c>
      <c r="O412" s="36">
        <f>[1]!Table3[[#This Row],[C&amp;I Incentive Disbursements]]/'[1]1.) CLM Reference'!$B$5</f>
        <v>0</v>
      </c>
      <c r="Q412">
        <f>VLOOKUP(Table3[[#This Row],[Census Tract]],'Population and Diversity Data'!$B$2:$K$823,10,FALSE)</f>
        <v>3</v>
      </c>
      <c r="R412" t="str">
        <f>VLOOKUP(Table3[[#This Row],[Census Tract]],'ES Energy Burden'!$B$2:$E$914,4,FALSE)</f>
        <v>No</v>
      </c>
    </row>
    <row r="413" spans="1:18" x14ac:dyDescent="0.2">
      <c r="A413" s="100">
        <v>9009171200</v>
      </c>
      <c r="B413" s="38" t="s">
        <v>991</v>
      </c>
      <c r="C413" s="38" t="s">
        <v>944</v>
      </c>
      <c r="D413" s="40">
        <f>[1]!Table3[[#This Row],[Residential CLM $ Collected]]+[1]!Table3[[#This Row],[C&amp;I CLM $ Collected]]</f>
        <v>506628.12262752</v>
      </c>
      <c r="E413" s="36">
        <f>[1]!Table3[[#This Row],[CLM $ Collected ]]/'[1]1.) CLM Reference'!$B$4</f>
        <v>4.4946231170928056E-3</v>
      </c>
      <c r="F413" s="40">
        <f>[1]!Table3[[#This Row],[Residential Incentive Disbursements]]+[1]!Table3[[#This Row],[C&amp;I Incentive Disbursements]]</f>
        <v>578343.46900000004</v>
      </c>
      <c r="G413" s="36">
        <f>[1]!Table3[[#This Row],[Incentive Disbursements]]/'[1]1.) CLM Reference'!$B$5</f>
        <v>7.0758311284464092E-3</v>
      </c>
      <c r="H413" s="40">
        <v>174906.90572255998</v>
      </c>
      <c r="I413" s="36">
        <f>[1]!Table3[[#This Row],[Residential CLM $ Collected]]/'[1]1.) CLM Reference'!$B$4</f>
        <v>1.5517113770207572E-3</v>
      </c>
      <c r="J413" s="41">
        <v>483872.49900000001</v>
      </c>
      <c r="K413" s="36">
        <f>[1]!Table3[[#This Row],[Residential Incentive Disbursements]]/'[1]1.) CLM Reference'!$B$5</f>
        <v>5.9200116784293693E-3</v>
      </c>
      <c r="L413" s="37">
        <v>331721.21690495999</v>
      </c>
      <c r="M413" s="36">
        <f>[1]!Table3[[#This Row],[C&amp;I CLM $ Collected]]/'[1]1.) CLM Reference'!$B$4</f>
        <v>2.9429117400720482E-3</v>
      </c>
      <c r="N413" s="41">
        <v>94470.97</v>
      </c>
      <c r="O413" s="36">
        <f>[1]!Table3[[#This Row],[C&amp;I Incentive Disbursements]]/'[1]1.) CLM Reference'!$B$5</f>
        <v>1.1558194500170397E-3</v>
      </c>
      <c r="Q413">
        <f>VLOOKUP(Table3[[#This Row],[Census Tract]],'Population and Diversity Data'!$B$2:$K$823,10,FALSE)</f>
        <v>3</v>
      </c>
      <c r="R413" t="str">
        <f>VLOOKUP(Table3[[#This Row],[Census Tract]],'ES Energy Burden'!$B$2:$E$914,4,FALSE)</f>
        <v>No</v>
      </c>
    </row>
    <row r="414" spans="1:18" x14ac:dyDescent="0.2">
      <c r="A414" s="100">
        <v>9009171300</v>
      </c>
      <c r="B414" s="38" t="s">
        <v>991</v>
      </c>
      <c r="C414" s="38" t="s">
        <v>944</v>
      </c>
      <c r="D414" s="40">
        <f>[1]!Table3[[#This Row],[Residential CLM $ Collected]]+[1]!Table3[[#This Row],[C&amp;I CLM $ Collected]]</f>
        <v>72013.899225600006</v>
      </c>
      <c r="E414" s="36">
        <f>[1]!Table3[[#This Row],[CLM $ Collected ]]/'[1]1.) CLM Reference'!$B$4</f>
        <v>6.3888150253621837E-4</v>
      </c>
      <c r="F414" s="40">
        <f>[1]!Table3[[#This Row],[Residential Incentive Disbursements]]+[1]!Table3[[#This Row],[C&amp;I Incentive Disbursements]]</f>
        <v>39596.46</v>
      </c>
      <c r="G414" s="36">
        <f>[1]!Table3[[#This Row],[Incentive Disbursements]]/'[1]1.) CLM Reference'!$B$5</f>
        <v>4.8444891187019367E-4</v>
      </c>
      <c r="H414" s="40">
        <v>72013.899225600006</v>
      </c>
      <c r="I414" s="36">
        <f>[1]!Table3[[#This Row],[Residential CLM $ Collected]]/'[1]1.) CLM Reference'!$B$4</f>
        <v>6.3888150253621837E-4</v>
      </c>
      <c r="J414" s="41">
        <v>39596.46</v>
      </c>
      <c r="K414" s="36">
        <f>[1]!Table3[[#This Row],[Residential Incentive Disbursements]]/'[1]1.) CLM Reference'!$B$5</f>
        <v>4.8444891187019367E-4</v>
      </c>
      <c r="L414" s="37">
        <v>0</v>
      </c>
      <c r="M414" s="36">
        <f>[1]!Table3[[#This Row],[C&amp;I CLM $ Collected]]/'[1]1.) CLM Reference'!$B$4</f>
        <v>0</v>
      </c>
      <c r="N414" s="41">
        <v>0</v>
      </c>
      <c r="O414" s="36">
        <f>[1]!Table3[[#This Row],[C&amp;I Incentive Disbursements]]/'[1]1.) CLM Reference'!$B$5</f>
        <v>0</v>
      </c>
      <c r="Q414">
        <f>VLOOKUP(Table3[[#This Row],[Census Tract]],'Population and Diversity Data'!$B$2:$K$823,10,FALSE)</f>
        <v>2</v>
      </c>
      <c r="R414" t="str">
        <f>VLOOKUP(Table3[[#This Row],[Census Tract]],'ES Energy Burden'!$B$2:$E$914,4,FALSE)</f>
        <v>No</v>
      </c>
    </row>
    <row r="415" spans="1:18" x14ac:dyDescent="0.2">
      <c r="A415" s="100">
        <v>9009171400</v>
      </c>
      <c r="B415" s="38" t="s">
        <v>991</v>
      </c>
      <c r="C415" s="38" t="s">
        <v>944</v>
      </c>
      <c r="D415" s="40">
        <f>[1]!Table3[[#This Row],[Residential CLM $ Collected]]+[1]!Table3[[#This Row],[C&amp;I CLM $ Collected]]</f>
        <v>25513.065071999998</v>
      </c>
      <c r="E415" s="36">
        <f>[1]!Table3[[#This Row],[CLM $ Collected ]]/'[1]1.) CLM Reference'!$B$4</f>
        <v>2.2634276886522616E-4</v>
      </c>
      <c r="F415" s="40">
        <f>[1]!Table3[[#This Row],[Residential Incentive Disbursements]]+[1]!Table3[[#This Row],[C&amp;I Incentive Disbursements]]</f>
        <v>677.99</v>
      </c>
      <c r="G415" s="36">
        <f>[1]!Table3[[#This Row],[Incentive Disbursements]]/'[1]1.) CLM Reference'!$B$5</f>
        <v>8.2949717666395595E-6</v>
      </c>
      <c r="H415" s="40">
        <v>25513.065071999998</v>
      </c>
      <c r="I415" s="36">
        <f>[1]!Table3[[#This Row],[Residential CLM $ Collected]]/'[1]1.) CLM Reference'!$B$4</f>
        <v>2.2634276886522616E-4</v>
      </c>
      <c r="J415" s="41">
        <v>677.99</v>
      </c>
      <c r="K415" s="36">
        <f>[1]!Table3[[#This Row],[Residential Incentive Disbursements]]/'[1]1.) CLM Reference'!$B$5</f>
        <v>8.2949717666395595E-6</v>
      </c>
      <c r="L415" s="37">
        <v>0</v>
      </c>
      <c r="M415" s="36">
        <f>[1]!Table3[[#This Row],[C&amp;I CLM $ Collected]]/'[1]1.) CLM Reference'!$B$4</f>
        <v>0</v>
      </c>
      <c r="N415" s="41">
        <v>0</v>
      </c>
      <c r="O415" s="36">
        <f>[1]!Table3[[#This Row],[C&amp;I Incentive Disbursements]]/'[1]1.) CLM Reference'!$B$5</f>
        <v>0</v>
      </c>
      <c r="Q415">
        <f>VLOOKUP(Table3[[#This Row],[Census Tract]],'Population and Diversity Data'!$B$2:$K$823,10,FALSE)</f>
        <v>5</v>
      </c>
      <c r="R415" t="str">
        <f>VLOOKUP(Table3[[#This Row],[Census Tract]],'ES Energy Burden'!$B$2:$E$914,4,FALSE)</f>
        <v>No</v>
      </c>
    </row>
    <row r="416" spans="1:18" x14ac:dyDescent="0.2">
      <c r="A416" s="100">
        <v>9009171500</v>
      </c>
      <c r="B416" s="38" t="s">
        <v>991</v>
      </c>
      <c r="C416" s="38" t="s">
        <v>944</v>
      </c>
      <c r="D416" s="40">
        <f>[1]!Table3[[#This Row],[Residential CLM $ Collected]]+[1]!Table3[[#This Row],[C&amp;I CLM $ Collected]]</f>
        <v>39338.779705920009</v>
      </c>
      <c r="E416" s="36">
        <f>[1]!Table3[[#This Row],[CLM $ Collected ]]/'[1]1.) CLM Reference'!$B$4</f>
        <v>3.4899955365179114E-4</v>
      </c>
      <c r="F416" s="40">
        <f>[1]!Table3[[#This Row],[Residential Incentive Disbursements]]+[1]!Table3[[#This Row],[C&amp;I Incentive Disbursements]]</f>
        <v>134145.59239999999</v>
      </c>
      <c r="G416" s="36">
        <f>[1]!Table3[[#This Row],[Incentive Disbursements]]/'[1]1.) CLM Reference'!$B$5</f>
        <v>1.6412246516573079E-3</v>
      </c>
      <c r="H416" s="40">
        <v>39338.779705920009</v>
      </c>
      <c r="I416" s="36">
        <f>[1]!Table3[[#This Row],[Residential CLM $ Collected]]/'[1]1.) CLM Reference'!$B$4</f>
        <v>3.4899955365179114E-4</v>
      </c>
      <c r="J416" s="41">
        <v>134145.59239999999</v>
      </c>
      <c r="K416" s="36">
        <f>[1]!Table3[[#This Row],[Residential Incentive Disbursements]]/'[1]1.) CLM Reference'!$B$5</f>
        <v>1.6412246516573079E-3</v>
      </c>
      <c r="L416" s="37">
        <v>0</v>
      </c>
      <c r="M416" s="36">
        <f>[1]!Table3[[#This Row],[C&amp;I CLM $ Collected]]/'[1]1.) CLM Reference'!$B$4</f>
        <v>0</v>
      </c>
      <c r="N416" s="41">
        <v>0</v>
      </c>
      <c r="O416" s="36">
        <f>[1]!Table3[[#This Row],[C&amp;I Incentive Disbursements]]/'[1]1.) CLM Reference'!$B$5</f>
        <v>0</v>
      </c>
      <c r="Q416">
        <f>VLOOKUP(Table3[[#This Row],[Census Tract]],'Population and Diversity Data'!$B$2:$K$823,10,FALSE)</f>
        <v>5</v>
      </c>
      <c r="R416" t="str">
        <f>VLOOKUP(Table3[[#This Row],[Census Tract]],'ES Energy Burden'!$B$2:$E$914,4,FALSE)</f>
        <v>No</v>
      </c>
    </row>
    <row r="417" spans="1:18" x14ac:dyDescent="0.2">
      <c r="A417" s="100">
        <v>9009171600</v>
      </c>
      <c r="B417" s="38" t="s">
        <v>991</v>
      </c>
      <c r="C417" s="38" t="s">
        <v>944</v>
      </c>
      <c r="D417" s="40">
        <f>[1]!Table3[[#This Row],[Residential CLM $ Collected]]+[1]!Table3[[#This Row],[C&amp;I CLM $ Collected]]</f>
        <v>74736.719772479992</v>
      </c>
      <c r="E417" s="36">
        <f>[1]!Table3[[#This Row],[CLM $ Collected ]]/'[1]1.) CLM Reference'!$B$4</f>
        <v>6.6303739050831113E-4</v>
      </c>
      <c r="F417" s="40">
        <f>[1]!Table3[[#This Row],[Residential Incentive Disbursements]]+[1]!Table3[[#This Row],[C&amp;I Incentive Disbursements]]</f>
        <v>22467.59</v>
      </c>
      <c r="G417" s="36">
        <f>[1]!Table3[[#This Row],[Incentive Disbursements]]/'[1]1.) CLM Reference'!$B$5</f>
        <v>2.7488314682286362E-4</v>
      </c>
      <c r="H417" s="40">
        <v>74736.719772479992</v>
      </c>
      <c r="I417" s="36">
        <f>[1]!Table3[[#This Row],[Residential CLM $ Collected]]/'[1]1.) CLM Reference'!$B$4</f>
        <v>6.6303739050831113E-4</v>
      </c>
      <c r="J417" s="41">
        <v>22467.59</v>
      </c>
      <c r="K417" s="36">
        <f>[1]!Table3[[#This Row],[Residential Incentive Disbursements]]/'[1]1.) CLM Reference'!$B$5</f>
        <v>2.7488314682286362E-4</v>
      </c>
      <c r="L417" s="37">
        <v>0</v>
      </c>
      <c r="M417" s="36">
        <f>[1]!Table3[[#This Row],[C&amp;I CLM $ Collected]]/'[1]1.) CLM Reference'!$B$4</f>
        <v>0</v>
      </c>
      <c r="N417" s="41">
        <v>0</v>
      </c>
      <c r="O417" s="36">
        <f>[1]!Table3[[#This Row],[C&amp;I Incentive Disbursements]]/'[1]1.) CLM Reference'!$B$5</f>
        <v>0</v>
      </c>
      <c r="Q417">
        <f>VLOOKUP(Table3[[#This Row],[Census Tract]],'Population and Diversity Data'!$B$2:$K$823,10,FALSE)</f>
        <v>3</v>
      </c>
      <c r="R417" t="str">
        <f>VLOOKUP(Table3[[#This Row],[Census Tract]],'ES Energy Burden'!$B$2:$E$914,4,FALSE)</f>
        <v>No</v>
      </c>
    </row>
    <row r="418" spans="1:18" x14ac:dyDescent="0.2">
      <c r="A418" s="100">
        <v>9009171700</v>
      </c>
      <c r="B418" s="38" t="s">
        <v>991</v>
      </c>
      <c r="C418" s="38" t="s">
        <v>944</v>
      </c>
      <c r="D418" s="40">
        <f>[1]!Table3[[#This Row],[Residential CLM $ Collected]]+[1]!Table3[[#This Row],[C&amp;I CLM $ Collected]]</f>
        <v>71849.104246079994</v>
      </c>
      <c r="E418" s="36">
        <f>[1]!Table3[[#This Row],[CLM $ Collected ]]/'[1]1.) CLM Reference'!$B$4</f>
        <v>6.3741950054412597E-4</v>
      </c>
      <c r="F418" s="40">
        <f>[1]!Table3[[#This Row],[Residential Incentive Disbursements]]+[1]!Table3[[#This Row],[C&amp;I Incentive Disbursements]]</f>
        <v>40708.639999999999</v>
      </c>
      <c r="G418" s="36">
        <f>[1]!Table3[[#This Row],[Incentive Disbursements]]/'[1]1.) CLM Reference'!$B$5</f>
        <v>4.9805604722531868E-4</v>
      </c>
      <c r="H418" s="40">
        <v>71849.104246079994</v>
      </c>
      <c r="I418" s="36">
        <f>[1]!Table3[[#This Row],[Residential CLM $ Collected]]/'[1]1.) CLM Reference'!$B$4</f>
        <v>6.3741950054412597E-4</v>
      </c>
      <c r="J418" s="41">
        <v>40708.639999999999</v>
      </c>
      <c r="K418" s="36">
        <f>[1]!Table3[[#This Row],[Residential Incentive Disbursements]]/'[1]1.) CLM Reference'!$B$5</f>
        <v>4.9805604722531868E-4</v>
      </c>
      <c r="L418" s="37">
        <v>0</v>
      </c>
      <c r="M418" s="36">
        <f>[1]!Table3[[#This Row],[C&amp;I CLM $ Collected]]/'[1]1.) CLM Reference'!$B$4</f>
        <v>0</v>
      </c>
      <c r="N418" s="41">
        <v>0</v>
      </c>
      <c r="O418" s="36">
        <f>[1]!Table3[[#This Row],[C&amp;I Incentive Disbursements]]/'[1]1.) CLM Reference'!$B$5</f>
        <v>0</v>
      </c>
      <c r="Q418">
        <f>VLOOKUP(Table3[[#This Row],[Census Tract]],'Population and Diversity Data'!$B$2:$K$823,10,FALSE)</f>
        <v>2</v>
      </c>
      <c r="R418" t="str">
        <f>VLOOKUP(Table3[[#This Row],[Census Tract]],'ES Energy Burden'!$B$2:$E$914,4,FALSE)</f>
        <v>No</v>
      </c>
    </row>
    <row r="419" spans="1:18" x14ac:dyDescent="0.2">
      <c r="A419" s="100">
        <v>9009175400</v>
      </c>
      <c r="B419" s="38" t="s">
        <v>991</v>
      </c>
      <c r="C419" s="38" t="s">
        <v>944</v>
      </c>
      <c r="D419" s="40">
        <f>[1]!Table3[[#This Row],[Residential CLM $ Collected]]+[1]!Table3[[#This Row],[C&amp;I CLM $ Collected]]</f>
        <v>95.069462399999992</v>
      </c>
      <c r="E419" s="36">
        <f>[1]!Table3[[#This Row],[CLM $ Collected ]]/'[1]1.) CLM Reference'!$B$4</f>
        <v>8.4342219538962138E-7</v>
      </c>
      <c r="F419" s="40">
        <f>[1]!Table3[[#This Row],[Residential Incentive Disbursements]]+[1]!Table3[[#This Row],[C&amp;I Incentive Disbursements]]</f>
        <v>0</v>
      </c>
      <c r="G419" s="36">
        <f>[1]!Table3[[#This Row],[Incentive Disbursements]]/'[1]1.) CLM Reference'!$B$5</f>
        <v>0</v>
      </c>
      <c r="H419" s="40">
        <v>95.069462399999992</v>
      </c>
      <c r="I419" s="36">
        <f>[1]!Table3[[#This Row],[Residential CLM $ Collected]]/'[1]1.) CLM Reference'!$B$4</f>
        <v>8.4342219538962138E-7</v>
      </c>
      <c r="J419" s="41">
        <v>0</v>
      </c>
      <c r="K419" s="36">
        <f>[1]!Table3[[#This Row],[Residential Incentive Disbursements]]/'[1]1.) CLM Reference'!$B$5</f>
        <v>0</v>
      </c>
      <c r="L419" s="37">
        <v>0</v>
      </c>
      <c r="M419" s="36">
        <f>[1]!Table3[[#This Row],[C&amp;I CLM $ Collected]]/'[1]1.) CLM Reference'!$B$4</f>
        <v>0</v>
      </c>
      <c r="N419" s="41">
        <v>0</v>
      </c>
      <c r="O419" s="36">
        <f>[1]!Table3[[#This Row],[C&amp;I Incentive Disbursements]]/'[1]1.) CLM Reference'!$B$5</f>
        <v>0</v>
      </c>
      <c r="Q419">
        <f>VLOOKUP(Table3[[#This Row],[Census Tract]],'Population and Diversity Data'!$B$2:$K$823,10,FALSE)</f>
        <v>4</v>
      </c>
      <c r="R419" t="str">
        <f>VLOOKUP(Table3[[#This Row],[Census Tract]],'ES Energy Burden'!$B$2:$E$914,4,FALSE)</f>
        <v>No</v>
      </c>
    </row>
    <row r="420" spans="1:18" x14ac:dyDescent="0.2">
      <c r="A420" s="100">
        <v>9009175700</v>
      </c>
      <c r="B420" s="38" t="s">
        <v>991</v>
      </c>
      <c r="C420" s="38" t="s">
        <v>944</v>
      </c>
      <c r="D420" s="40">
        <f>[1]!Table3[[#This Row],[Residential CLM $ Collected]]+[1]!Table3[[#This Row],[C&amp;I CLM $ Collected]]</f>
        <v>292.10284799999999</v>
      </c>
      <c r="E420" s="36">
        <f>[1]!Table3[[#This Row],[CLM $ Collected ]]/'[1]1.) CLM Reference'!$B$4</f>
        <v>2.5914317712574011E-6</v>
      </c>
      <c r="F420" s="40">
        <f>[1]!Table3[[#This Row],[Residential Incentive Disbursements]]+[1]!Table3[[#This Row],[C&amp;I Incentive Disbursements]]</f>
        <v>264.70999999999998</v>
      </c>
      <c r="G420" s="36">
        <f>[1]!Table3[[#This Row],[Incentive Disbursements]]/'[1]1.) CLM Reference'!$B$5</f>
        <v>3.2386347532370057E-6</v>
      </c>
      <c r="H420" s="40">
        <v>292.10284799999999</v>
      </c>
      <c r="I420" s="36">
        <f>[1]!Table3[[#This Row],[Residential CLM $ Collected]]/'[1]1.) CLM Reference'!$B$4</f>
        <v>2.5914317712574011E-6</v>
      </c>
      <c r="J420" s="41">
        <v>264.70999999999998</v>
      </c>
      <c r="K420" s="36">
        <f>[1]!Table3[[#This Row],[Residential Incentive Disbursements]]/'[1]1.) CLM Reference'!$B$5</f>
        <v>3.2386347532370057E-6</v>
      </c>
      <c r="L420" s="37">
        <v>0</v>
      </c>
      <c r="M420" s="36">
        <f>[1]!Table3[[#This Row],[C&amp;I CLM $ Collected]]/'[1]1.) CLM Reference'!$B$4</f>
        <v>0</v>
      </c>
      <c r="N420" s="41">
        <v>0</v>
      </c>
      <c r="O420" s="36">
        <f>[1]!Table3[[#This Row],[C&amp;I Incentive Disbursements]]/'[1]1.) CLM Reference'!$B$5</f>
        <v>0</v>
      </c>
      <c r="Q420">
        <f>VLOOKUP(Table3[[#This Row],[Census Tract]],'Population and Diversity Data'!$B$2:$K$823,10,FALSE)</f>
        <v>2</v>
      </c>
      <c r="R420" t="str">
        <f>VLOOKUP(Table3[[#This Row],[Census Tract]],'ES Energy Burden'!$B$2:$E$914,4,FALSE)</f>
        <v>No</v>
      </c>
    </row>
    <row r="421" spans="1:18" x14ac:dyDescent="0.2">
      <c r="A421" s="100">
        <v>9009343101</v>
      </c>
      <c r="B421" s="38" t="s">
        <v>991</v>
      </c>
      <c r="C421" s="38" t="s">
        <v>944</v>
      </c>
      <c r="D421" s="40">
        <f>[1]!Table3[[#This Row],[Residential CLM $ Collected]]+[1]!Table3[[#This Row],[C&amp;I CLM $ Collected]]</f>
        <v>718.03117440000005</v>
      </c>
      <c r="E421" s="36">
        <f>[1]!Table3[[#This Row],[CLM $ Collected ]]/'[1]1.) CLM Reference'!$B$4</f>
        <v>6.3701152208328485E-6</v>
      </c>
      <c r="F421" s="40">
        <f>[1]!Table3[[#This Row],[Residential Incentive Disbursements]]+[1]!Table3[[#This Row],[C&amp;I Incentive Disbursements]]</f>
        <v>0</v>
      </c>
      <c r="G421" s="36">
        <f>[1]!Table3[[#This Row],[Incentive Disbursements]]/'[1]1.) CLM Reference'!$B$5</f>
        <v>0</v>
      </c>
      <c r="H421" s="40">
        <v>718.03117440000005</v>
      </c>
      <c r="I421" s="36">
        <f>[1]!Table3[[#This Row],[Residential CLM $ Collected]]/'[1]1.) CLM Reference'!$B$4</f>
        <v>6.3701152208328485E-6</v>
      </c>
      <c r="J421" s="41">
        <v>0</v>
      </c>
      <c r="K421" s="36">
        <f>[1]!Table3[[#This Row],[Residential Incentive Disbursements]]/'[1]1.) CLM Reference'!$B$5</f>
        <v>0</v>
      </c>
      <c r="L421" s="37">
        <v>0</v>
      </c>
      <c r="M421" s="36">
        <f>[1]!Table3[[#This Row],[C&amp;I CLM $ Collected]]/'[1]1.) CLM Reference'!$B$4</f>
        <v>0</v>
      </c>
      <c r="N421" s="41">
        <v>0</v>
      </c>
      <c r="O421" s="36">
        <f>[1]!Table3[[#This Row],[C&amp;I Incentive Disbursements]]/'[1]1.) CLM Reference'!$B$5</f>
        <v>0</v>
      </c>
      <c r="Q421">
        <f>VLOOKUP(Table3[[#This Row],[Census Tract]],'Population and Diversity Data'!$B$2:$K$823,10,FALSE)</f>
        <v>4</v>
      </c>
      <c r="R421" t="str">
        <f>VLOOKUP(Table3[[#This Row],[Census Tract]],'ES Energy Burden'!$B$2:$E$914,4,FALSE)</f>
        <v>No</v>
      </c>
    </row>
    <row r="422" spans="1:18" x14ac:dyDescent="0.2">
      <c r="A422" s="100">
        <v>9009344100</v>
      </c>
      <c r="B422" s="38" t="s">
        <v>2801</v>
      </c>
      <c r="C422" s="38" t="s">
        <v>944</v>
      </c>
      <c r="D422" s="40">
        <f>[1]!Table3[[#This Row],[Residential CLM $ Collected]]+[1]!Table3[[#This Row],[C&amp;I CLM $ Collected]]</f>
        <v>166541.10562656002</v>
      </c>
      <c r="E422" s="36">
        <f>[1]!Table3[[#This Row],[CLM $ Collected ]]/'[1]1.) CLM Reference'!$B$4</f>
        <v>1.477492997059044E-3</v>
      </c>
      <c r="F422" s="40">
        <f>[1]!Table3[[#This Row],[Residential Incentive Disbursements]]+[1]!Table3[[#This Row],[C&amp;I Incentive Disbursements]]</f>
        <v>51741.262999999999</v>
      </c>
      <c r="G422" s="36">
        <f>[1]!Table3[[#This Row],[Incentive Disbursements]]/'[1]1.) CLM Reference'!$B$5</f>
        <v>6.3303635120764621E-4</v>
      </c>
      <c r="H422" s="40">
        <v>107042.58100224001</v>
      </c>
      <c r="I422" s="36">
        <f>[1]!Table3[[#This Row],[Residential CLM $ Collected]]/'[1]1.) CLM Reference'!$B$4</f>
        <v>9.4964341219500427E-4</v>
      </c>
      <c r="J422" s="41">
        <v>48404.012999999999</v>
      </c>
      <c r="K422" s="36">
        <f>[1]!Table3[[#This Row],[Residential Incentive Disbursements]]/'[1]1.) CLM Reference'!$B$5</f>
        <v>5.9220625853929139E-4</v>
      </c>
      <c r="L422" s="37">
        <v>59498.524624320002</v>
      </c>
      <c r="M422" s="36">
        <f>[1]!Table3[[#This Row],[C&amp;I CLM $ Collected]]/'[1]1.) CLM Reference'!$B$4</f>
        <v>5.2784958486403963E-4</v>
      </c>
      <c r="N422" s="41">
        <v>3337.25</v>
      </c>
      <c r="O422" s="36">
        <f>[1]!Table3[[#This Row],[C&amp;I Incentive Disbursements]]/'[1]1.) CLM Reference'!$B$5</f>
        <v>4.0830092668354795E-5</v>
      </c>
      <c r="Q422">
        <f>VLOOKUP(Table3[[#This Row],[Census Tract]],'Population and Diversity Data'!$B$2:$K$823,10,FALSE)</f>
        <v>2</v>
      </c>
      <c r="R422" t="str">
        <f>VLOOKUP(Table3[[#This Row],[Census Tract]],'ES Energy Burden'!$B$2:$E$914,4,FALSE)</f>
        <v>No</v>
      </c>
    </row>
    <row r="423" spans="1:18" x14ac:dyDescent="0.2">
      <c r="A423" s="100">
        <v>9009344200</v>
      </c>
      <c r="B423" s="38" t="s">
        <v>2801</v>
      </c>
      <c r="C423" s="38" t="s">
        <v>944</v>
      </c>
      <c r="D423" s="40">
        <f>[1]!Table3[[#This Row],[Residential CLM $ Collected]]+[1]!Table3[[#This Row],[C&amp;I CLM $ Collected]]</f>
        <v>66473.724133440017</v>
      </c>
      <c r="E423" s="36">
        <f>[1]!Table3[[#This Row],[CLM $ Collected ]]/'[1]1.) CLM Reference'!$B$4</f>
        <v>5.8973105484132877E-4</v>
      </c>
      <c r="F423" s="40">
        <f>[1]!Table3[[#This Row],[Residential Incentive Disbursements]]+[1]!Table3[[#This Row],[C&amp;I Incentive Disbursements]]</f>
        <v>18638.996200000001</v>
      </c>
      <c r="G423" s="36">
        <f>[1]!Table3[[#This Row],[Incentive Disbursements]]/'[1]1.) CLM Reference'!$B$5</f>
        <v>2.2804163370772731E-4</v>
      </c>
      <c r="H423" s="40">
        <v>66473.724133440017</v>
      </c>
      <c r="I423" s="36">
        <f>[1]!Table3[[#This Row],[Residential CLM $ Collected]]/'[1]1.) CLM Reference'!$B$4</f>
        <v>5.8973105484132877E-4</v>
      </c>
      <c r="J423" s="41">
        <v>18638.996200000001</v>
      </c>
      <c r="K423" s="36">
        <f>[1]!Table3[[#This Row],[Residential Incentive Disbursements]]/'[1]1.) CLM Reference'!$B$5</f>
        <v>2.2804163370772731E-4</v>
      </c>
      <c r="L423" s="37">
        <v>0</v>
      </c>
      <c r="M423" s="36">
        <f>[1]!Table3[[#This Row],[C&amp;I CLM $ Collected]]/'[1]1.) CLM Reference'!$B$4</f>
        <v>0</v>
      </c>
      <c r="N423" s="41">
        <v>0</v>
      </c>
      <c r="O423" s="36">
        <f>[1]!Table3[[#This Row],[C&amp;I Incentive Disbursements]]/'[1]1.) CLM Reference'!$B$5</f>
        <v>0</v>
      </c>
      <c r="Q423">
        <f>VLOOKUP(Table3[[#This Row],[Census Tract]],'Population and Diversity Data'!$B$2:$K$823,10,FALSE)</f>
        <v>3</v>
      </c>
      <c r="R423" t="str">
        <f>VLOOKUP(Table3[[#This Row],[Census Tract]],'ES Energy Burden'!$B$2:$E$914,4,FALSE)</f>
        <v>No</v>
      </c>
    </row>
    <row r="424" spans="1:18" x14ac:dyDescent="0.2">
      <c r="A424" s="100">
        <v>9009345400</v>
      </c>
      <c r="B424" s="38" t="s">
        <v>2801</v>
      </c>
      <c r="C424" s="38" t="s">
        <v>944</v>
      </c>
      <c r="D424" s="40">
        <f>[1]!Table3[[#This Row],[Residential CLM $ Collected]]+[1]!Table3[[#This Row],[C&amp;I CLM $ Collected]]</f>
        <v>381.09985920000003</v>
      </c>
      <c r="E424" s="36">
        <f>[1]!Table3[[#This Row],[CLM $ Collected ]]/'[1]1.) CLM Reference'!$B$4</f>
        <v>3.3809813561030471E-6</v>
      </c>
      <c r="F424" s="40">
        <f>[1]!Table3[[#This Row],[Residential Incentive Disbursements]]+[1]!Table3[[#This Row],[C&amp;I Incentive Disbursements]]</f>
        <v>0</v>
      </c>
      <c r="G424" s="36">
        <f>[1]!Table3[[#This Row],[Incentive Disbursements]]/'[1]1.) CLM Reference'!$B$5</f>
        <v>0</v>
      </c>
      <c r="H424" s="40">
        <v>381.09985920000003</v>
      </c>
      <c r="I424" s="36">
        <f>[1]!Table3[[#This Row],[Residential CLM $ Collected]]/'[1]1.) CLM Reference'!$B$4</f>
        <v>3.3809813561030471E-6</v>
      </c>
      <c r="J424" s="41">
        <v>0</v>
      </c>
      <c r="K424" s="36">
        <f>[1]!Table3[[#This Row],[Residential Incentive Disbursements]]/'[1]1.) CLM Reference'!$B$5</f>
        <v>0</v>
      </c>
      <c r="L424" s="37">
        <v>0</v>
      </c>
      <c r="M424" s="36">
        <f>[1]!Table3[[#This Row],[C&amp;I CLM $ Collected]]/'[1]1.) CLM Reference'!$B$4</f>
        <v>0</v>
      </c>
      <c r="N424" s="41">
        <v>0</v>
      </c>
      <c r="O424" s="36">
        <f>[1]!Table3[[#This Row],[C&amp;I Incentive Disbursements]]/'[1]1.) CLM Reference'!$B$5</f>
        <v>0</v>
      </c>
      <c r="Q424">
        <f>VLOOKUP(Table3[[#This Row],[Census Tract]],'Population and Diversity Data'!$B$2:$K$823,10,FALSE)</f>
        <v>4</v>
      </c>
      <c r="R424" t="str">
        <f>VLOOKUP(Table3[[#This Row],[Census Tract]],'ES Energy Burden'!$B$2:$E$914,4,FALSE)</f>
        <v>No</v>
      </c>
    </row>
    <row r="425" spans="1:18" x14ac:dyDescent="0.2">
      <c r="A425" s="100">
        <v>9007580100</v>
      </c>
      <c r="B425" s="38" t="s">
        <v>2802</v>
      </c>
      <c r="C425" s="38" t="s">
        <v>944</v>
      </c>
      <c r="D425" s="40">
        <f>[1]!Table3[[#This Row],[Residential CLM $ Collected]]+[1]!Table3[[#This Row],[C&amp;I CLM $ Collected]]</f>
        <v>124991.71460640003</v>
      </c>
      <c r="E425" s="36">
        <f>[1]!Table3[[#This Row],[CLM $ Collected ]]/'[1]1.) CLM Reference'!$B$4</f>
        <v>1.1088816921598888E-3</v>
      </c>
      <c r="F425" s="40">
        <f>[1]!Table3[[#This Row],[Residential Incentive Disbursements]]+[1]!Table3[[#This Row],[C&amp;I Incentive Disbursements]]</f>
        <v>131187.26260000002</v>
      </c>
      <c r="G425" s="36">
        <f>[1]!Table3[[#This Row],[Incentive Disbursements]]/'[1]1.) CLM Reference'!$B$5</f>
        <v>1.6050305158036694E-3</v>
      </c>
      <c r="H425" s="40">
        <v>98224.217153280013</v>
      </c>
      <c r="I425" s="36">
        <f>[1]!Table3[[#This Row],[Residential CLM $ Collected]]/'[1]1.) CLM Reference'!$B$4</f>
        <v>8.714100488260081E-4</v>
      </c>
      <c r="J425" s="41">
        <v>53267.192600000002</v>
      </c>
      <c r="K425" s="36">
        <f>[1]!Table3[[#This Row],[Residential Incentive Disbursements]]/'[1]1.) CLM Reference'!$B$5</f>
        <v>6.5170556896879258E-4</v>
      </c>
      <c r="L425" s="37">
        <v>26767.497453120006</v>
      </c>
      <c r="M425" s="36">
        <f>[1]!Table3[[#This Row],[C&amp;I CLM $ Collected]]/'[1]1.) CLM Reference'!$B$4</f>
        <v>2.3747164333388064E-4</v>
      </c>
      <c r="N425" s="41">
        <v>77920.070000000007</v>
      </c>
      <c r="O425" s="36">
        <f>[1]!Table3[[#This Row],[C&amp;I Incentive Disbursements]]/'[1]1.) CLM Reference'!$B$5</f>
        <v>9.5332494683487686E-4</v>
      </c>
      <c r="Q425">
        <f>VLOOKUP(Table3[[#This Row],[Census Tract]],'Population and Diversity Data'!$B$2:$K$823,10,FALSE)</f>
        <v>1</v>
      </c>
      <c r="R425" t="str">
        <f>VLOOKUP(Table3[[#This Row],[Census Tract]],'ES Energy Burden'!$B$2:$E$914,4,FALSE)</f>
        <v>No</v>
      </c>
    </row>
    <row r="426" spans="1:18" x14ac:dyDescent="0.2">
      <c r="A426" s="100">
        <v>9007585100</v>
      </c>
      <c r="B426" s="38" t="s">
        <v>2802</v>
      </c>
      <c r="C426" s="38" t="s">
        <v>944</v>
      </c>
      <c r="D426" s="40">
        <f>[1]!Table3[[#This Row],[Residential CLM $ Collected]]+[1]!Table3[[#This Row],[C&amp;I CLM $ Collected]]</f>
        <v>395.59501440000003</v>
      </c>
      <c r="E426" s="36">
        <f>[1]!Table3[[#This Row],[CLM $ Collected ]]/'[1]1.) CLM Reference'!$B$4</f>
        <v>3.5095771776493913E-6</v>
      </c>
      <c r="F426" s="40">
        <f>[1]!Table3[[#This Row],[Residential Incentive Disbursements]]+[1]!Table3[[#This Row],[C&amp;I Incentive Disbursements]]</f>
        <v>0</v>
      </c>
      <c r="G426" s="36">
        <f>[1]!Table3[[#This Row],[Incentive Disbursements]]/'[1]1.) CLM Reference'!$B$5</f>
        <v>0</v>
      </c>
      <c r="H426" s="40">
        <v>395.59501440000003</v>
      </c>
      <c r="I426" s="36">
        <f>[1]!Table3[[#This Row],[Residential CLM $ Collected]]/'[1]1.) CLM Reference'!$B$4</f>
        <v>3.5095771776493913E-6</v>
      </c>
      <c r="J426" s="41">
        <v>0</v>
      </c>
      <c r="K426" s="36">
        <f>[1]!Table3[[#This Row],[Residential Incentive Disbursements]]/'[1]1.) CLM Reference'!$B$5</f>
        <v>0</v>
      </c>
      <c r="L426" s="37">
        <v>0</v>
      </c>
      <c r="M426" s="36">
        <f>[1]!Table3[[#This Row],[C&amp;I CLM $ Collected]]/'[1]1.) CLM Reference'!$B$4</f>
        <v>0</v>
      </c>
      <c r="N426" s="41">
        <v>0</v>
      </c>
      <c r="O426" s="36">
        <f>[1]!Table3[[#This Row],[C&amp;I Incentive Disbursements]]/'[1]1.) CLM Reference'!$B$5</f>
        <v>0</v>
      </c>
      <c r="Q426">
        <f>VLOOKUP(Table3[[#This Row],[Census Tract]],'Population and Diversity Data'!$B$2:$K$823,10,FALSE)</f>
        <v>1</v>
      </c>
      <c r="R426" t="str">
        <f>VLOOKUP(Table3[[#This Row],[Census Tract]],'ES Energy Burden'!$B$2:$E$914,4,FALSE)</f>
        <v>No</v>
      </c>
    </row>
    <row r="427" spans="1:18" x14ac:dyDescent="0.2">
      <c r="A427" s="100">
        <v>9007541100</v>
      </c>
      <c r="B427" s="38" t="s">
        <v>2803</v>
      </c>
      <c r="C427" s="38" t="s">
        <v>944</v>
      </c>
      <c r="D427" s="40">
        <f>[1]!Table3[[#This Row],[Residential CLM $ Collected]]+[1]!Table3[[#This Row],[C&amp;I CLM $ Collected]]</f>
        <v>32800.354997759998</v>
      </c>
      <c r="E427" s="36">
        <f>[1]!Table3[[#This Row],[CLM $ Collected ]]/'[1]1.) CLM Reference'!$B$4</f>
        <v>2.9099299315875463E-4</v>
      </c>
      <c r="F427" s="40">
        <f>[1]!Table3[[#This Row],[Residential Incentive Disbursements]]+[1]!Table3[[#This Row],[C&amp;I Incentive Disbursements]]</f>
        <v>3801.79</v>
      </c>
      <c r="G427" s="36">
        <f>[1]!Table3[[#This Row],[Incentive Disbursements]]/'[1]1.) CLM Reference'!$B$5</f>
        <v>4.6513577947598945E-5</v>
      </c>
      <c r="H427" s="40">
        <v>32734.81420416</v>
      </c>
      <c r="I427" s="36">
        <f>[1]!Table3[[#This Row],[Residential CLM $ Collected]]/'[1]1.) CLM Reference'!$B$4</f>
        <v>2.9041153872922282E-4</v>
      </c>
      <c r="J427" s="41">
        <v>3801.79</v>
      </c>
      <c r="K427" s="36">
        <f>[1]!Table3[[#This Row],[Residential Incentive Disbursements]]/'[1]1.) CLM Reference'!$B$5</f>
        <v>4.6513577947598945E-5</v>
      </c>
      <c r="L427" s="37">
        <v>65.540793600000001</v>
      </c>
      <c r="M427" s="36">
        <f>[1]!Table3[[#This Row],[C&amp;I CLM $ Collected]]/'[1]1.) CLM Reference'!$B$4</f>
        <v>5.8145442953183307E-7</v>
      </c>
      <c r="N427" s="41">
        <v>0</v>
      </c>
      <c r="O427" s="36">
        <f>[1]!Table3[[#This Row],[C&amp;I Incentive Disbursements]]/'[1]1.) CLM Reference'!$B$5</f>
        <v>0</v>
      </c>
      <c r="Q427">
        <f>VLOOKUP(Table3[[#This Row],[Census Tract]],'Population and Diversity Data'!$B$2:$K$823,10,FALSE)</f>
        <v>4</v>
      </c>
      <c r="R427" t="str">
        <f>VLOOKUP(Table3[[#This Row],[Census Tract]],'ES Energy Burden'!$B$2:$E$914,4,FALSE)</f>
        <v>Yes</v>
      </c>
    </row>
    <row r="428" spans="1:18" x14ac:dyDescent="0.2">
      <c r="A428" s="100">
        <v>9007541200</v>
      </c>
      <c r="B428" s="38" t="s">
        <v>2803</v>
      </c>
      <c r="C428" s="38" t="s">
        <v>944</v>
      </c>
      <c r="D428" s="40">
        <f>[1]!Table3[[#This Row],[Residential CLM $ Collected]]+[1]!Table3[[#This Row],[C&amp;I CLM $ Collected]]</f>
        <v>93768.011069760003</v>
      </c>
      <c r="E428" s="36">
        <f>[1]!Table3[[#This Row],[CLM $ Collected ]]/'[1]1.) CLM Reference'!$B$4</f>
        <v>8.3187618565701824E-4</v>
      </c>
      <c r="F428" s="40">
        <f>[1]!Table3[[#This Row],[Residential Incentive Disbursements]]+[1]!Table3[[#This Row],[C&amp;I Incentive Disbursements]]</f>
        <v>34895.177799999998</v>
      </c>
      <c r="G428" s="36">
        <f>[1]!Table3[[#This Row],[Incentive Disbursements]]/'[1]1.) CLM Reference'!$B$5</f>
        <v>4.2693035980304652E-4</v>
      </c>
      <c r="H428" s="40">
        <v>93768.011069760003</v>
      </c>
      <c r="I428" s="36">
        <f>[1]!Table3[[#This Row],[Residential CLM $ Collected]]/'[1]1.) CLM Reference'!$B$4</f>
        <v>8.3187618565701824E-4</v>
      </c>
      <c r="J428" s="41">
        <v>34895.177799999998</v>
      </c>
      <c r="K428" s="36">
        <f>[1]!Table3[[#This Row],[Residential Incentive Disbursements]]/'[1]1.) CLM Reference'!$B$5</f>
        <v>4.2693035980304652E-4</v>
      </c>
      <c r="L428" s="37">
        <v>0</v>
      </c>
      <c r="M428" s="36">
        <f>[1]!Table3[[#This Row],[C&amp;I CLM $ Collected]]/'[1]1.) CLM Reference'!$B$4</f>
        <v>0</v>
      </c>
      <c r="N428" s="41">
        <v>0</v>
      </c>
      <c r="O428" s="36">
        <f>[1]!Table3[[#This Row],[C&amp;I Incentive Disbursements]]/'[1]1.) CLM Reference'!$B$5</f>
        <v>0</v>
      </c>
      <c r="Q428">
        <f>VLOOKUP(Table3[[#This Row],[Census Tract]],'Population and Diversity Data'!$B$2:$K$823,10,FALSE)</f>
        <v>4</v>
      </c>
      <c r="R428" t="str">
        <f>VLOOKUP(Table3[[#This Row],[Census Tract]],'ES Energy Burden'!$B$2:$E$914,4,FALSE)</f>
        <v>No</v>
      </c>
    </row>
    <row r="429" spans="1:18" x14ac:dyDescent="0.2">
      <c r="A429" s="100">
        <v>9007541300</v>
      </c>
      <c r="B429" s="38" t="s">
        <v>2803</v>
      </c>
      <c r="C429" s="38" t="s">
        <v>944</v>
      </c>
      <c r="D429" s="40">
        <f>[1]!Table3[[#This Row],[Residential CLM $ Collected]]+[1]!Table3[[#This Row],[C&amp;I CLM $ Collected]]</f>
        <v>500137.82079263998</v>
      </c>
      <c r="E429" s="36">
        <f>[1]!Table3[[#This Row],[CLM $ Collected ]]/'[1]1.) CLM Reference'!$B$4</f>
        <v>4.4370434854831943E-3</v>
      </c>
      <c r="F429" s="40">
        <f>[1]!Table3[[#This Row],[Residential Incentive Disbursements]]+[1]!Table3[[#This Row],[C&amp;I Incentive Disbursements]]</f>
        <v>452025.68660000002</v>
      </c>
      <c r="G429" s="36">
        <f>[1]!Table3[[#This Row],[Incentive Disbursements]]/'[1]1.) CLM Reference'!$B$5</f>
        <v>5.5303770087211639E-3</v>
      </c>
      <c r="H429" s="40">
        <v>160261.96821695997</v>
      </c>
      <c r="I429" s="36">
        <f>[1]!Table3[[#This Row],[Residential CLM $ Collected]]/'[1]1.) CLM Reference'!$B$4</f>
        <v>1.4217867405444601E-3</v>
      </c>
      <c r="J429" s="41">
        <v>356256.52659999998</v>
      </c>
      <c r="K429" s="36">
        <f>[1]!Table3[[#This Row],[Residential Incentive Disbursements]]/'[1]1.) CLM Reference'!$B$5</f>
        <v>4.3586746557147966E-3</v>
      </c>
      <c r="L429" s="37">
        <v>339875.85257568001</v>
      </c>
      <c r="M429" s="36">
        <f>[1]!Table3[[#This Row],[C&amp;I CLM $ Collected]]/'[1]1.) CLM Reference'!$B$4</f>
        <v>3.015256744938734E-3</v>
      </c>
      <c r="N429" s="41">
        <v>95769.16</v>
      </c>
      <c r="O429" s="36">
        <f>[1]!Table3[[#This Row],[C&amp;I Incentive Disbursements]]/'[1]1.) CLM Reference'!$B$5</f>
        <v>1.1717023530063667E-3</v>
      </c>
      <c r="Q429">
        <f>VLOOKUP(Table3[[#This Row],[Census Tract]],'Population and Diversity Data'!$B$2:$K$823,10,FALSE)</f>
        <v>4</v>
      </c>
      <c r="R429" t="str">
        <f>VLOOKUP(Table3[[#This Row],[Census Tract]],'ES Energy Burden'!$B$2:$E$914,4,FALSE)</f>
        <v>No</v>
      </c>
    </row>
    <row r="430" spans="1:18" x14ac:dyDescent="0.2">
      <c r="A430" s="100">
        <v>9007541401</v>
      </c>
      <c r="B430" s="38" t="s">
        <v>2803</v>
      </c>
      <c r="C430" s="38" t="s">
        <v>944</v>
      </c>
      <c r="D430" s="40">
        <f>[1]!Table3[[#This Row],[Residential CLM $ Collected]]+[1]!Table3[[#This Row],[C&amp;I CLM $ Collected]]</f>
        <v>69125.694399359985</v>
      </c>
      <c r="E430" s="36">
        <f>[1]!Table3[[#This Row],[CLM $ Collected ]]/'[1]1.) CLM Reference'!$B$4</f>
        <v>6.1325838451507071E-4</v>
      </c>
      <c r="F430" s="40">
        <f>[1]!Table3[[#This Row],[Residential Incentive Disbursements]]+[1]!Table3[[#This Row],[C&amp;I Incentive Disbursements]]</f>
        <v>17537.349699999999</v>
      </c>
      <c r="G430" s="36">
        <f>[1]!Table3[[#This Row],[Incentive Disbursements]]/'[1]1.) CLM Reference'!$B$5</f>
        <v>2.1456337206033236E-4</v>
      </c>
      <c r="H430" s="40">
        <v>69095.818402559991</v>
      </c>
      <c r="I430" s="36">
        <f>[1]!Table3[[#This Row],[Residential CLM $ Collected]]/'[1]1.) CLM Reference'!$B$4</f>
        <v>6.1299333537968717E-4</v>
      </c>
      <c r="J430" s="41">
        <v>17537.349699999999</v>
      </c>
      <c r="K430" s="36">
        <f>[1]!Table3[[#This Row],[Residential Incentive Disbursements]]/'[1]1.) CLM Reference'!$B$5</f>
        <v>2.1456337206033236E-4</v>
      </c>
      <c r="L430" s="37">
        <v>29.875996800000003</v>
      </c>
      <c r="M430" s="36">
        <f>[1]!Table3[[#This Row],[C&amp;I CLM $ Collected]]/'[1]1.) CLM Reference'!$B$4</f>
        <v>2.6504913538365933E-7</v>
      </c>
      <c r="N430" s="41">
        <v>0</v>
      </c>
      <c r="O430" s="36">
        <f>[1]!Table3[[#This Row],[C&amp;I Incentive Disbursements]]/'[1]1.) CLM Reference'!$B$5</f>
        <v>0</v>
      </c>
      <c r="Q430">
        <f>VLOOKUP(Table3[[#This Row],[Census Tract]],'Population and Diversity Data'!$B$2:$K$823,10,FALSE)</f>
        <v>2</v>
      </c>
      <c r="R430" t="str">
        <f>VLOOKUP(Table3[[#This Row],[Census Tract]],'ES Energy Burden'!$B$2:$E$914,4,FALSE)</f>
        <v>No</v>
      </c>
    </row>
    <row r="431" spans="1:18" x14ac:dyDescent="0.2">
      <c r="A431" s="100">
        <v>9007541402</v>
      </c>
      <c r="B431" s="38" t="s">
        <v>2803</v>
      </c>
      <c r="C431" s="38" t="s">
        <v>944</v>
      </c>
      <c r="D431" s="40">
        <f>[1]!Table3[[#This Row],[Residential CLM $ Collected]]+[1]!Table3[[#This Row],[C&amp;I CLM $ Collected]]</f>
        <v>112928.96280384</v>
      </c>
      <c r="E431" s="36">
        <f>[1]!Table3[[#This Row],[CLM $ Collected ]]/'[1]1.) CLM Reference'!$B$4</f>
        <v>1.0018652817278121E-3</v>
      </c>
      <c r="F431" s="40">
        <f>[1]!Table3[[#This Row],[Residential Incentive Disbursements]]+[1]!Table3[[#This Row],[C&amp;I Incentive Disbursements]]</f>
        <v>285103.42810000002</v>
      </c>
      <c r="G431" s="36">
        <f>[1]!Table3[[#This Row],[Incentive Disbursements]]/'[1]1.) CLM Reference'!$B$5</f>
        <v>3.4881412508468439E-3</v>
      </c>
      <c r="H431" s="40">
        <v>112928.96280384</v>
      </c>
      <c r="I431" s="36">
        <f>[1]!Table3[[#This Row],[Residential CLM $ Collected]]/'[1]1.) CLM Reference'!$B$4</f>
        <v>1.0018652817278121E-3</v>
      </c>
      <c r="J431" s="41">
        <v>285103.42810000002</v>
      </c>
      <c r="K431" s="36">
        <f>[1]!Table3[[#This Row],[Residential Incentive Disbursements]]/'[1]1.) CLM Reference'!$B$5</f>
        <v>3.4881412508468439E-3</v>
      </c>
      <c r="L431" s="37">
        <v>0</v>
      </c>
      <c r="M431" s="36">
        <f>[1]!Table3[[#This Row],[C&amp;I CLM $ Collected]]/'[1]1.) CLM Reference'!$B$4</f>
        <v>0</v>
      </c>
      <c r="N431" s="41">
        <v>0</v>
      </c>
      <c r="O431" s="36">
        <f>[1]!Table3[[#This Row],[C&amp;I Incentive Disbursements]]/'[1]1.) CLM Reference'!$B$5</f>
        <v>0</v>
      </c>
      <c r="Q431">
        <f>VLOOKUP(Table3[[#This Row],[Census Tract]],'Population and Diversity Data'!$B$2:$K$823,10,FALSE)</f>
        <v>2</v>
      </c>
      <c r="R431" t="str">
        <f>VLOOKUP(Table3[[#This Row],[Census Tract]],'ES Energy Burden'!$B$2:$E$914,4,FALSE)</f>
        <v>No</v>
      </c>
    </row>
    <row r="432" spans="1:18" x14ac:dyDescent="0.2">
      <c r="A432" s="100">
        <v>9007541500</v>
      </c>
      <c r="B432" s="38" t="s">
        <v>2803</v>
      </c>
      <c r="C432" s="38" t="s">
        <v>944</v>
      </c>
      <c r="D432" s="40">
        <f>[1]!Table3[[#This Row],[Residential CLM $ Collected]]+[1]!Table3[[#This Row],[C&amp;I CLM $ Collected]]</f>
        <v>21092.82943392</v>
      </c>
      <c r="E432" s="36">
        <f>[1]!Table3[[#This Row],[CLM $ Collected ]]/'[1]1.) CLM Reference'!$B$4</f>
        <v>1.8712802259556726E-4</v>
      </c>
      <c r="F432" s="40">
        <f>[1]!Table3[[#This Row],[Residential Incentive Disbursements]]+[1]!Table3[[#This Row],[C&amp;I Incentive Disbursements]]</f>
        <v>7092.3125</v>
      </c>
      <c r="G432" s="36">
        <f>[1]!Table3[[#This Row],[Incentive Disbursements]]/'[1]1.) CLM Reference'!$B$5</f>
        <v>8.6771975910684268E-5</v>
      </c>
      <c r="H432" s="40">
        <v>21092.82943392</v>
      </c>
      <c r="I432" s="36">
        <f>[1]!Table3[[#This Row],[Residential CLM $ Collected]]/'[1]1.) CLM Reference'!$B$4</f>
        <v>1.8712802259556726E-4</v>
      </c>
      <c r="J432" s="41">
        <v>7092.3125</v>
      </c>
      <c r="K432" s="36">
        <f>[1]!Table3[[#This Row],[Residential Incentive Disbursements]]/'[1]1.) CLM Reference'!$B$5</f>
        <v>8.6771975910684268E-5</v>
      </c>
      <c r="L432" s="37">
        <v>0</v>
      </c>
      <c r="M432" s="36">
        <f>[1]!Table3[[#This Row],[C&amp;I CLM $ Collected]]/'[1]1.) CLM Reference'!$B$4</f>
        <v>0</v>
      </c>
      <c r="N432" s="41">
        <v>0</v>
      </c>
      <c r="O432" s="36">
        <f>[1]!Table3[[#This Row],[C&amp;I Incentive Disbursements]]/'[1]1.) CLM Reference'!$B$5</f>
        <v>0</v>
      </c>
      <c r="Q432">
        <f>VLOOKUP(Table3[[#This Row],[Census Tract]],'Population and Diversity Data'!$B$2:$K$823,10,FALSE)</f>
        <v>5</v>
      </c>
      <c r="R432" t="str">
        <f>VLOOKUP(Table3[[#This Row],[Census Tract]],'ES Energy Burden'!$B$2:$E$914,4,FALSE)</f>
        <v>No</v>
      </c>
    </row>
    <row r="433" spans="1:18" x14ac:dyDescent="0.2">
      <c r="A433" s="100">
        <v>9007541600</v>
      </c>
      <c r="B433" s="38" t="s">
        <v>2803</v>
      </c>
      <c r="C433" s="38" t="s">
        <v>944</v>
      </c>
      <c r="D433" s="40">
        <f>[1]!Table3[[#This Row],[Residential CLM $ Collected]]+[1]!Table3[[#This Row],[C&amp;I CLM $ Collected]]</f>
        <v>15013.82183904</v>
      </c>
      <c r="E433" s="36">
        <f>[1]!Table3[[#This Row],[CLM $ Collected ]]/'[1]1.) CLM Reference'!$B$4</f>
        <v>1.3319724606617489E-4</v>
      </c>
      <c r="F433" s="40">
        <f>[1]!Table3[[#This Row],[Residential Incentive Disbursements]]+[1]!Table3[[#This Row],[C&amp;I Incentive Disbursements]]</f>
        <v>37706.81</v>
      </c>
      <c r="G433" s="36">
        <f>[1]!Table3[[#This Row],[Incentive Disbursements]]/'[1]1.) CLM Reference'!$B$5</f>
        <v>4.6132970155908222E-4</v>
      </c>
      <c r="H433" s="40">
        <v>15013.82183904</v>
      </c>
      <c r="I433" s="36">
        <f>[1]!Table3[[#This Row],[Residential CLM $ Collected]]/'[1]1.) CLM Reference'!$B$4</f>
        <v>1.3319724606617489E-4</v>
      </c>
      <c r="J433" s="41">
        <v>37706.81</v>
      </c>
      <c r="K433" s="36">
        <f>[1]!Table3[[#This Row],[Residential Incentive Disbursements]]/'[1]1.) CLM Reference'!$B$5</f>
        <v>4.6132970155908222E-4</v>
      </c>
      <c r="L433" s="37">
        <v>0</v>
      </c>
      <c r="M433" s="36">
        <f>[1]!Table3[[#This Row],[C&amp;I CLM $ Collected]]/'[1]1.) CLM Reference'!$B$4</f>
        <v>0</v>
      </c>
      <c r="N433" s="41">
        <v>0</v>
      </c>
      <c r="O433" s="36">
        <f>[1]!Table3[[#This Row],[C&amp;I Incentive Disbursements]]/'[1]1.) CLM Reference'!$B$5</f>
        <v>0</v>
      </c>
      <c r="Q433">
        <f>VLOOKUP(Table3[[#This Row],[Census Tract]],'Population and Diversity Data'!$B$2:$K$823,10,FALSE)</f>
        <v>5</v>
      </c>
      <c r="R433" t="str">
        <f>VLOOKUP(Table3[[#This Row],[Census Tract]],'ES Energy Burden'!$B$2:$E$914,4,FALSE)</f>
        <v>Yes</v>
      </c>
    </row>
    <row r="434" spans="1:18" x14ac:dyDescent="0.2">
      <c r="A434" s="100">
        <v>9007541700</v>
      </c>
      <c r="B434" s="38" t="s">
        <v>2803</v>
      </c>
      <c r="C434" s="38" t="s">
        <v>944</v>
      </c>
      <c r="D434" s="40">
        <f>[1]!Table3[[#This Row],[Residential CLM $ Collected]]+[1]!Table3[[#This Row],[C&amp;I CLM $ Collected]]</f>
        <v>36521.771909760006</v>
      </c>
      <c r="E434" s="36">
        <f>[1]!Table3[[#This Row],[CLM $ Collected ]]/'[1]1.) CLM Reference'!$B$4</f>
        <v>3.2400807016290433E-4</v>
      </c>
      <c r="F434" s="40">
        <f>[1]!Table3[[#This Row],[Residential Incentive Disbursements]]+[1]!Table3[[#This Row],[C&amp;I Incentive Disbursements]]</f>
        <v>4608.43</v>
      </c>
      <c r="G434" s="36">
        <f>[1]!Table3[[#This Row],[Incentive Disbursements]]/'[1]1.) CLM Reference'!$B$5</f>
        <v>5.6382537704884649E-5</v>
      </c>
      <c r="H434" s="40">
        <v>36521.771909760006</v>
      </c>
      <c r="I434" s="36">
        <f>[1]!Table3[[#This Row],[Residential CLM $ Collected]]/'[1]1.) CLM Reference'!$B$4</f>
        <v>3.2400807016290433E-4</v>
      </c>
      <c r="J434" s="41">
        <v>4608.43</v>
      </c>
      <c r="K434" s="36">
        <f>[1]!Table3[[#This Row],[Residential Incentive Disbursements]]/'[1]1.) CLM Reference'!$B$5</f>
        <v>5.6382537704884649E-5</v>
      </c>
      <c r="L434" s="37">
        <v>0</v>
      </c>
      <c r="M434" s="36">
        <f>[1]!Table3[[#This Row],[C&amp;I CLM $ Collected]]/'[1]1.) CLM Reference'!$B$4</f>
        <v>0</v>
      </c>
      <c r="N434" s="41">
        <v>0</v>
      </c>
      <c r="O434" s="36">
        <f>[1]!Table3[[#This Row],[C&amp;I Incentive Disbursements]]/'[1]1.) CLM Reference'!$B$5</f>
        <v>0</v>
      </c>
      <c r="Q434">
        <f>VLOOKUP(Table3[[#This Row],[Census Tract]],'Population and Diversity Data'!$B$2:$K$823,10,FALSE)</f>
        <v>4</v>
      </c>
      <c r="R434" t="str">
        <f>VLOOKUP(Table3[[#This Row],[Census Tract]],'ES Energy Burden'!$B$2:$E$914,4,FALSE)</f>
        <v>Yes</v>
      </c>
    </row>
    <row r="435" spans="1:18" x14ac:dyDescent="0.2">
      <c r="A435" s="100">
        <v>9007542000</v>
      </c>
      <c r="B435" s="38" t="s">
        <v>2803</v>
      </c>
      <c r="C435" s="38" t="s">
        <v>944</v>
      </c>
      <c r="D435" s="40">
        <f>[1]!Table3[[#This Row],[Residential CLM $ Collected]]+[1]!Table3[[#This Row],[C&amp;I CLM $ Collected]]</f>
        <v>71103.73662144001</v>
      </c>
      <c r="E435" s="36">
        <f>[1]!Table3[[#This Row],[CLM $ Collected ]]/'[1]1.) CLM Reference'!$B$4</f>
        <v>6.3080686613475954E-4</v>
      </c>
      <c r="F435" s="40">
        <f>[1]!Table3[[#This Row],[Residential Incentive Disbursements]]+[1]!Table3[[#This Row],[C&amp;I Incentive Disbursements]]</f>
        <v>22533.360000000001</v>
      </c>
      <c r="G435" s="36">
        <f>[1]!Table3[[#This Row],[Incentive Disbursements]]/'[1]1.) CLM Reference'!$B$5</f>
        <v>2.7568781989044849E-4</v>
      </c>
      <c r="H435" s="40">
        <v>71103.73662144001</v>
      </c>
      <c r="I435" s="36">
        <f>[1]!Table3[[#This Row],[Residential CLM $ Collected]]/'[1]1.) CLM Reference'!$B$4</f>
        <v>6.3080686613475954E-4</v>
      </c>
      <c r="J435" s="41">
        <v>22533.360000000001</v>
      </c>
      <c r="K435" s="36">
        <f>[1]!Table3[[#This Row],[Residential Incentive Disbursements]]/'[1]1.) CLM Reference'!$B$5</f>
        <v>2.7568781989044849E-4</v>
      </c>
      <c r="L435" s="37">
        <v>0</v>
      </c>
      <c r="M435" s="36">
        <f>[1]!Table3[[#This Row],[C&amp;I CLM $ Collected]]/'[1]1.) CLM Reference'!$B$4</f>
        <v>0</v>
      </c>
      <c r="N435" s="41">
        <v>0</v>
      </c>
      <c r="O435" s="36">
        <f>[1]!Table3[[#This Row],[C&amp;I Incentive Disbursements]]/'[1]1.) CLM Reference'!$B$5</f>
        <v>0</v>
      </c>
      <c r="Q435">
        <f>VLOOKUP(Table3[[#This Row],[Census Tract]],'Population and Diversity Data'!$B$2:$K$823,10,FALSE)</f>
        <v>2</v>
      </c>
      <c r="R435" t="str">
        <f>VLOOKUP(Table3[[#This Row],[Census Tract]],'ES Energy Burden'!$B$2:$E$914,4,FALSE)</f>
        <v>No</v>
      </c>
    </row>
    <row r="436" spans="1:18" x14ac:dyDescent="0.2">
      <c r="A436" s="100">
        <v>9007542100</v>
      </c>
      <c r="B436" s="38" t="s">
        <v>2803</v>
      </c>
      <c r="C436" s="38" t="s">
        <v>944</v>
      </c>
      <c r="D436" s="40">
        <f>[1]!Table3[[#This Row],[Residential CLM $ Collected]]+[1]!Table3[[#This Row],[C&amp;I CLM $ Collected]]</f>
        <v>59097.286108800006</v>
      </c>
      <c r="E436" s="36">
        <f>[1]!Table3[[#This Row],[CLM $ Collected ]]/'[1]1.) CLM Reference'!$B$4</f>
        <v>5.2428994056721075E-4</v>
      </c>
      <c r="F436" s="40">
        <f>[1]!Table3[[#This Row],[Residential Incentive Disbursements]]+[1]!Table3[[#This Row],[C&amp;I Incentive Disbursements]]</f>
        <v>30046.16</v>
      </c>
      <c r="G436" s="36">
        <f>[1]!Table3[[#This Row],[Incentive Disbursements]]/'[1]1.) CLM Reference'!$B$5</f>
        <v>3.6760431406943295E-4</v>
      </c>
      <c r="H436" s="40">
        <v>59097.286108800006</v>
      </c>
      <c r="I436" s="36">
        <f>[1]!Table3[[#This Row],[Residential CLM $ Collected]]/'[1]1.) CLM Reference'!$B$4</f>
        <v>5.2428994056721075E-4</v>
      </c>
      <c r="J436" s="41">
        <v>30046.16</v>
      </c>
      <c r="K436" s="36">
        <f>[1]!Table3[[#This Row],[Residential Incentive Disbursements]]/'[1]1.) CLM Reference'!$B$5</f>
        <v>3.6760431406943295E-4</v>
      </c>
      <c r="L436" s="37">
        <v>0</v>
      </c>
      <c r="M436" s="36">
        <f>[1]!Table3[[#This Row],[C&amp;I CLM $ Collected]]/'[1]1.) CLM Reference'!$B$4</f>
        <v>0</v>
      </c>
      <c r="N436" s="41">
        <v>0</v>
      </c>
      <c r="O436" s="36">
        <f>[1]!Table3[[#This Row],[C&amp;I Incentive Disbursements]]/'[1]1.) CLM Reference'!$B$5</f>
        <v>0</v>
      </c>
      <c r="Q436">
        <f>VLOOKUP(Table3[[#This Row],[Census Tract]],'Population and Diversity Data'!$B$2:$K$823,10,FALSE)</f>
        <v>4</v>
      </c>
      <c r="R436" t="str">
        <f>VLOOKUP(Table3[[#This Row],[Census Tract]],'ES Energy Burden'!$B$2:$E$914,4,FALSE)</f>
        <v>No</v>
      </c>
    </row>
    <row r="437" spans="1:18" x14ac:dyDescent="0.2">
      <c r="A437" s="100">
        <v>9007542200</v>
      </c>
      <c r="B437" s="38" t="s">
        <v>2803</v>
      </c>
      <c r="C437" s="38" t="s">
        <v>944</v>
      </c>
      <c r="D437" s="40">
        <f>[1]!Table3[[#This Row],[Residential CLM $ Collected]]+[1]!Table3[[#This Row],[C&amp;I CLM $ Collected]]</f>
        <v>46529.618961600005</v>
      </c>
      <c r="E437" s="36">
        <f>[1]!Table3[[#This Row],[CLM $ Collected ]]/'[1]1.) CLM Reference'!$B$4</f>
        <v>4.1279410217044877E-4</v>
      </c>
      <c r="F437" s="40">
        <f>[1]!Table3[[#This Row],[Residential Incentive Disbursements]]+[1]!Table3[[#This Row],[C&amp;I Incentive Disbursements]]</f>
        <v>11053.972100000001</v>
      </c>
      <c r="G437" s="36">
        <f>[1]!Table3[[#This Row],[Incentive Disbursements]]/'[1]1.) CLM Reference'!$B$5</f>
        <v>1.3524150279314062E-4</v>
      </c>
      <c r="H437" s="40">
        <v>46529.618961600005</v>
      </c>
      <c r="I437" s="36">
        <f>[1]!Table3[[#This Row],[Residential CLM $ Collected]]/'[1]1.) CLM Reference'!$B$4</f>
        <v>4.1279410217044877E-4</v>
      </c>
      <c r="J437" s="41">
        <v>11053.972100000001</v>
      </c>
      <c r="K437" s="36">
        <f>[1]!Table3[[#This Row],[Residential Incentive Disbursements]]/'[1]1.) CLM Reference'!$B$5</f>
        <v>1.3524150279314062E-4</v>
      </c>
      <c r="L437" s="37">
        <v>0</v>
      </c>
      <c r="M437" s="36">
        <f>[1]!Table3[[#This Row],[C&amp;I CLM $ Collected]]/'[1]1.) CLM Reference'!$B$4</f>
        <v>0</v>
      </c>
      <c r="N437" s="41">
        <v>0</v>
      </c>
      <c r="O437" s="36">
        <f>[1]!Table3[[#This Row],[C&amp;I Incentive Disbursements]]/'[1]1.) CLM Reference'!$B$5</f>
        <v>0</v>
      </c>
      <c r="Q437">
        <f>VLOOKUP(Table3[[#This Row],[Census Tract]],'Population and Diversity Data'!$B$2:$K$823,10,FALSE)</f>
        <v>3</v>
      </c>
      <c r="R437" t="str">
        <f>VLOOKUP(Table3[[#This Row],[Census Tract]],'ES Energy Burden'!$B$2:$E$914,4,FALSE)</f>
        <v>No</v>
      </c>
    </row>
    <row r="438" spans="1:18" x14ac:dyDescent="0.2">
      <c r="A438" s="100">
        <v>9007580100</v>
      </c>
      <c r="B438" s="38" t="s">
        <v>2803</v>
      </c>
      <c r="C438" s="38" t="s">
        <v>944</v>
      </c>
      <c r="D438" s="40">
        <f>[1]!Table3[[#This Row],[Residential CLM $ Collected]]+[1]!Table3[[#This Row],[C&amp;I CLM $ Collected]]</f>
        <v>289.41684480000004</v>
      </c>
      <c r="E438" s="36">
        <f>[1]!Table3[[#This Row],[CLM $ Collected ]]/'[1]1.) CLM Reference'!$B$4</f>
        <v>2.5676025135906669E-6</v>
      </c>
      <c r="F438" s="40">
        <f>[1]!Table3[[#This Row],[Residential Incentive Disbursements]]+[1]!Table3[[#This Row],[C&amp;I Incentive Disbursements]]</f>
        <v>0</v>
      </c>
      <c r="G438" s="36">
        <f>[1]!Table3[[#This Row],[Incentive Disbursements]]/'[1]1.) CLM Reference'!$B$5</f>
        <v>0</v>
      </c>
      <c r="H438" s="40">
        <v>289.41684480000004</v>
      </c>
      <c r="I438" s="36">
        <f>[1]!Table3[[#This Row],[Residential CLM $ Collected]]/'[1]1.) CLM Reference'!$B$4</f>
        <v>2.5676025135906669E-6</v>
      </c>
      <c r="J438" s="41">
        <v>0</v>
      </c>
      <c r="K438" s="36">
        <f>[1]!Table3[[#This Row],[Residential Incentive Disbursements]]/'[1]1.) CLM Reference'!$B$5</f>
        <v>0</v>
      </c>
      <c r="L438" s="37">
        <v>0</v>
      </c>
      <c r="M438" s="36">
        <f>[1]!Table3[[#This Row],[C&amp;I CLM $ Collected]]/'[1]1.) CLM Reference'!$B$4</f>
        <v>0</v>
      </c>
      <c r="N438" s="41">
        <v>0</v>
      </c>
      <c r="O438" s="36">
        <f>[1]!Table3[[#This Row],[C&amp;I Incentive Disbursements]]/'[1]1.) CLM Reference'!$B$5</f>
        <v>0</v>
      </c>
      <c r="Q438">
        <f>VLOOKUP(Table3[[#This Row],[Census Tract]],'Population and Diversity Data'!$B$2:$K$823,10,FALSE)</f>
        <v>1</v>
      </c>
      <c r="R438" t="str">
        <f>VLOOKUP(Table3[[#This Row],[Census Tract]],'ES Energy Burden'!$B$2:$E$914,4,FALSE)</f>
        <v>No</v>
      </c>
    </row>
    <row r="439" spans="1:18" x14ac:dyDescent="0.2">
      <c r="A439" s="100">
        <v>9007590100</v>
      </c>
      <c r="B439" s="38" t="s">
        <v>2803</v>
      </c>
      <c r="C439" s="38" t="s">
        <v>944</v>
      </c>
      <c r="D439" s="40">
        <f>[1]!Table3[[#This Row],[Residential CLM $ Collected]]+[1]!Table3[[#This Row],[C&amp;I CLM $ Collected]]</f>
        <v>599.83545600000002</v>
      </c>
      <c r="E439" s="36">
        <f>[1]!Table3[[#This Row],[CLM $ Collected ]]/'[1]1.) CLM Reference'!$B$4</f>
        <v>5.3215251711789913E-6</v>
      </c>
      <c r="F439" s="40">
        <f>[1]!Table3[[#This Row],[Residential Incentive Disbursements]]+[1]!Table3[[#This Row],[C&amp;I Incentive Disbursements]]</f>
        <v>0</v>
      </c>
      <c r="G439" s="36">
        <f>[1]!Table3[[#This Row],[Incentive Disbursements]]/'[1]1.) CLM Reference'!$B$5</f>
        <v>0</v>
      </c>
      <c r="H439" s="40">
        <v>599.83545600000002</v>
      </c>
      <c r="I439" s="36">
        <f>[1]!Table3[[#This Row],[Residential CLM $ Collected]]/'[1]1.) CLM Reference'!$B$4</f>
        <v>5.3215251711789913E-6</v>
      </c>
      <c r="J439" s="41">
        <v>0</v>
      </c>
      <c r="K439" s="36">
        <f>[1]!Table3[[#This Row],[Residential Incentive Disbursements]]/'[1]1.) CLM Reference'!$B$5</f>
        <v>0</v>
      </c>
      <c r="L439" s="37">
        <v>0</v>
      </c>
      <c r="M439" s="36">
        <f>[1]!Table3[[#This Row],[C&amp;I CLM $ Collected]]/'[1]1.) CLM Reference'!$B$4</f>
        <v>0</v>
      </c>
      <c r="N439" s="41">
        <v>0</v>
      </c>
      <c r="O439" s="36">
        <f>[1]!Table3[[#This Row],[C&amp;I Incentive Disbursements]]/'[1]1.) CLM Reference'!$B$5</f>
        <v>0</v>
      </c>
      <c r="Q439">
        <f>VLOOKUP(Table3[[#This Row],[Census Tract]],'Population and Diversity Data'!$B$2:$K$823,10,FALSE)</f>
        <v>1</v>
      </c>
      <c r="R439" t="str">
        <f>VLOOKUP(Table3[[#This Row],[Census Tract]],'ES Energy Burden'!$B$2:$E$914,4,FALSE)</f>
        <v>No</v>
      </c>
    </row>
    <row r="440" spans="1:18" x14ac:dyDescent="0.2">
      <c r="A440" s="100">
        <v>9007680200</v>
      </c>
      <c r="B440" s="38" t="s">
        <v>2803</v>
      </c>
      <c r="C440" s="38" t="s">
        <v>944</v>
      </c>
      <c r="D440" s="40">
        <f>[1]!Table3[[#This Row],[Residential CLM $ Collected]]+[1]!Table3[[#This Row],[C&amp;I CLM $ Collected]]</f>
        <v>109151.62550496</v>
      </c>
      <c r="E440" s="36">
        <f>[1]!Table3[[#This Row],[CLM $ Collected ]]/'[1]1.) CLM Reference'!$B$4</f>
        <v>9.683540990943814E-4</v>
      </c>
      <c r="F440" s="40">
        <f>[1]!Table3[[#This Row],[Residential Incentive Disbursements]]+[1]!Table3[[#This Row],[C&amp;I Incentive Disbursements]]</f>
        <v>359384.16</v>
      </c>
      <c r="G440" s="36">
        <f>[1]!Table3[[#This Row],[Incentive Disbursements]]/'[1]1.) CLM Reference'!$B$5</f>
        <v>4.3969401622110556E-3</v>
      </c>
      <c r="H440" s="40">
        <v>109151.62550496</v>
      </c>
      <c r="I440" s="36">
        <f>[1]!Table3[[#This Row],[Residential CLM $ Collected]]/'[1]1.) CLM Reference'!$B$4</f>
        <v>9.683540990943814E-4</v>
      </c>
      <c r="J440" s="41">
        <v>359384.16</v>
      </c>
      <c r="K440" s="36">
        <f>[1]!Table3[[#This Row],[Residential Incentive Disbursements]]/'[1]1.) CLM Reference'!$B$5</f>
        <v>4.3969401622110556E-3</v>
      </c>
      <c r="L440" s="37">
        <v>0</v>
      </c>
      <c r="M440" s="36">
        <f>[1]!Table3[[#This Row],[C&amp;I CLM $ Collected]]/'[1]1.) CLM Reference'!$B$4</f>
        <v>0</v>
      </c>
      <c r="N440" s="41">
        <v>0</v>
      </c>
      <c r="O440" s="36">
        <f>[1]!Table3[[#This Row],[C&amp;I Incentive Disbursements]]/'[1]1.) CLM Reference'!$B$5</f>
        <v>0</v>
      </c>
      <c r="Q440">
        <f>VLOOKUP(Table3[[#This Row],[Census Tract]],'Population and Diversity Data'!$B$2:$K$823,10,FALSE)</f>
        <v>2</v>
      </c>
      <c r="R440" t="str">
        <f>VLOOKUP(Table3[[#This Row],[Census Tract]],'ES Energy Burden'!$B$2:$E$914,4,FALSE)</f>
        <v>No</v>
      </c>
    </row>
    <row r="441" spans="1:18" x14ac:dyDescent="0.2">
      <c r="A441" s="100">
        <v>9001100100</v>
      </c>
      <c r="B441" s="38" t="s">
        <v>2804</v>
      </c>
      <c r="C441" s="38" t="s">
        <v>944</v>
      </c>
      <c r="D441" s="40">
        <f>[1]!Table3[[#This Row],[Residential CLM $ Collected]]+[1]!Table3[[#This Row],[C&amp;I CLM $ Collected]]</f>
        <v>100563.03417888001</v>
      </c>
      <c r="E441" s="36">
        <f>[1]!Table3[[#This Row],[CLM $ Collected ]]/'[1]1.) CLM Reference'!$B$4</f>
        <v>8.921591951927617E-4</v>
      </c>
      <c r="F441" s="40">
        <f>[1]!Table3[[#This Row],[Residential Incentive Disbursements]]+[1]!Table3[[#This Row],[C&amp;I Incentive Disbursements]]</f>
        <v>20403.166799999999</v>
      </c>
      <c r="G441" s="36">
        <f>[1]!Table3[[#This Row],[Incentive Disbursements]]/'[1]1.) CLM Reference'!$B$5</f>
        <v>2.4962564721609106E-4</v>
      </c>
      <c r="H441" s="40">
        <v>100563.03417888001</v>
      </c>
      <c r="I441" s="36">
        <f>[1]!Table3[[#This Row],[Residential CLM $ Collected]]/'[1]1.) CLM Reference'!$B$4</f>
        <v>8.921591951927617E-4</v>
      </c>
      <c r="J441" s="41">
        <v>20403.166799999999</v>
      </c>
      <c r="K441" s="36">
        <f>[1]!Table3[[#This Row],[Residential Incentive Disbursements]]/'[1]1.) CLM Reference'!$B$5</f>
        <v>2.4962564721609106E-4</v>
      </c>
      <c r="L441" s="37">
        <v>0</v>
      </c>
      <c r="M441" s="36">
        <f>[1]!Table3[[#This Row],[C&amp;I CLM $ Collected]]/'[1]1.) CLM Reference'!$B$4</f>
        <v>0</v>
      </c>
      <c r="N441" s="41">
        <v>0</v>
      </c>
      <c r="O441" s="36">
        <f>[1]!Table3[[#This Row],[C&amp;I Incentive Disbursements]]/'[1]1.) CLM Reference'!$B$5</f>
        <v>0</v>
      </c>
      <c r="Q441">
        <f>VLOOKUP(Table3[[#This Row],[Census Tract]],'Population and Diversity Data'!$B$2:$K$823,10,FALSE)</f>
        <v>3</v>
      </c>
      <c r="R441" t="str">
        <f>VLOOKUP(Table3[[#This Row],[Census Tract]],'ES Energy Burden'!$B$2:$E$914,4,FALSE)</f>
        <v>No</v>
      </c>
    </row>
    <row r="442" spans="1:18" x14ac:dyDescent="0.2">
      <c r="A442" s="100">
        <v>9001100200</v>
      </c>
      <c r="B442" s="38" t="s">
        <v>2804</v>
      </c>
      <c r="C442" s="38" t="s">
        <v>944</v>
      </c>
      <c r="D442" s="40">
        <f>[1]!Table3[[#This Row],[Residential CLM $ Collected]]+[1]!Table3[[#This Row],[C&amp;I CLM $ Collected]]</f>
        <v>133580.15600255999</v>
      </c>
      <c r="E442" s="36">
        <f>[1]!Table3[[#This Row],[CLM $ Collected ]]/'[1]1.) CLM Reference'!$B$4</f>
        <v>1.1850752659369962E-3</v>
      </c>
      <c r="F442" s="40">
        <f>[1]!Table3[[#This Row],[Residential Incentive Disbursements]]+[1]!Table3[[#This Row],[C&amp;I Incentive Disbursements]]</f>
        <v>32119.5658</v>
      </c>
      <c r="G442" s="36">
        <f>[1]!Table3[[#This Row],[Incentive Disbursements]]/'[1]1.) CLM Reference'!$B$5</f>
        <v>3.9297171266201798E-4</v>
      </c>
      <c r="H442" s="40">
        <v>133580.15600255999</v>
      </c>
      <c r="I442" s="36">
        <f>[1]!Table3[[#This Row],[Residential CLM $ Collected]]/'[1]1.) CLM Reference'!$B$4</f>
        <v>1.1850752659369962E-3</v>
      </c>
      <c r="J442" s="41">
        <v>32119.5658</v>
      </c>
      <c r="K442" s="36">
        <f>[1]!Table3[[#This Row],[Residential Incentive Disbursements]]/'[1]1.) CLM Reference'!$B$5</f>
        <v>3.9297171266201798E-4</v>
      </c>
      <c r="L442" s="37">
        <v>0</v>
      </c>
      <c r="M442" s="36">
        <f>[1]!Table3[[#This Row],[C&amp;I CLM $ Collected]]/'[1]1.) CLM Reference'!$B$4</f>
        <v>0</v>
      </c>
      <c r="N442" s="41">
        <v>0</v>
      </c>
      <c r="O442" s="36">
        <f>[1]!Table3[[#This Row],[C&amp;I Incentive Disbursements]]/'[1]1.) CLM Reference'!$B$5</f>
        <v>0</v>
      </c>
      <c r="Q442">
        <f>VLOOKUP(Table3[[#This Row],[Census Tract]],'Population and Diversity Data'!$B$2:$K$823,10,FALSE)</f>
        <v>4</v>
      </c>
      <c r="R442" t="str">
        <f>VLOOKUP(Table3[[#This Row],[Census Tract]],'ES Energy Burden'!$B$2:$E$914,4,FALSE)</f>
        <v>No</v>
      </c>
    </row>
    <row r="443" spans="1:18" x14ac:dyDescent="0.2">
      <c r="A443" s="100">
        <v>9001100300</v>
      </c>
      <c r="B443" s="38" t="s">
        <v>2804</v>
      </c>
      <c r="C443" s="38" t="s">
        <v>944</v>
      </c>
      <c r="D443" s="40">
        <f>[1]!Table3[[#This Row],[Residential CLM $ Collected]]+[1]!Table3[[#This Row],[C&amp;I CLM $ Collected]]</f>
        <v>256326.97744223999</v>
      </c>
      <c r="E443" s="36">
        <f>[1]!Table3[[#This Row],[CLM $ Collected ]]/'[1]1.) CLM Reference'!$B$4</f>
        <v>2.2740410705417015E-3</v>
      </c>
      <c r="F443" s="40">
        <f>[1]!Table3[[#This Row],[Residential Incentive Disbursements]]+[1]!Table3[[#This Row],[C&amp;I Incentive Disbursements]]</f>
        <v>156101.05499999999</v>
      </c>
      <c r="G443" s="36">
        <f>[1]!Table3[[#This Row],[Incentive Disbursements]]/'[1]1.) CLM Reference'!$B$5</f>
        <v>1.9098420979183305E-3</v>
      </c>
      <c r="H443" s="40">
        <v>139355.86578912</v>
      </c>
      <c r="I443" s="36">
        <f>[1]!Table3[[#This Row],[Residential CLM $ Collected]]/'[1]1.) CLM Reference'!$B$4</f>
        <v>1.2363152930196966E-3</v>
      </c>
      <c r="J443" s="41">
        <v>96915.585000000006</v>
      </c>
      <c r="K443" s="36">
        <f>[1]!Table3[[#This Row],[Residential Incentive Disbursements]]/'[1]1.) CLM Reference'!$B$5</f>
        <v>1.1857284640221189E-3</v>
      </c>
      <c r="L443" s="37">
        <v>116971.11165312</v>
      </c>
      <c r="M443" s="36">
        <f>[1]!Table3[[#This Row],[C&amp;I CLM $ Collected]]/'[1]1.) CLM Reference'!$B$4</f>
        <v>1.0377257775220049E-3</v>
      </c>
      <c r="N443" s="41">
        <v>59185.47</v>
      </c>
      <c r="O443" s="36">
        <f>[1]!Table3[[#This Row],[C&amp;I Incentive Disbursements]]/'[1]1.) CLM Reference'!$B$5</f>
        <v>7.2411363389621175E-4</v>
      </c>
      <c r="Q443">
        <f>VLOOKUP(Table3[[#This Row],[Census Tract]],'Population and Diversity Data'!$B$2:$K$823,10,FALSE)</f>
        <v>2</v>
      </c>
      <c r="R443" t="str">
        <f>VLOOKUP(Table3[[#This Row],[Census Tract]],'ES Energy Burden'!$B$2:$E$914,4,FALSE)</f>
        <v>No</v>
      </c>
    </row>
    <row r="444" spans="1:18" x14ac:dyDescent="0.2">
      <c r="A444" s="100">
        <v>9001105200</v>
      </c>
      <c r="B444" s="38" t="s">
        <v>2804</v>
      </c>
      <c r="C444" s="38" t="s">
        <v>944</v>
      </c>
      <c r="D444" s="40">
        <f>[1]!Table3[[#This Row],[Residential CLM $ Collected]]+[1]!Table3[[#This Row],[C&amp;I CLM $ Collected]]</f>
        <v>279.45432000000005</v>
      </c>
      <c r="E444" s="36">
        <f>[1]!Table3[[#This Row],[CLM $ Collected ]]/'[1]1.) CLM Reference'!$B$4</f>
        <v>2.4792185643569375E-6</v>
      </c>
      <c r="F444" s="40">
        <f>[1]!Table3[[#This Row],[Residential Incentive Disbursements]]+[1]!Table3[[#This Row],[C&amp;I Incentive Disbursements]]</f>
        <v>0</v>
      </c>
      <c r="G444" s="36">
        <f>[1]!Table3[[#This Row],[Incentive Disbursements]]/'[1]1.) CLM Reference'!$B$5</f>
        <v>0</v>
      </c>
      <c r="H444" s="40">
        <v>279.45432000000005</v>
      </c>
      <c r="I444" s="36">
        <f>[1]!Table3[[#This Row],[Residential CLM $ Collected]]/'[1]1.) CLM Reference'!$B$4</f>
        <v>2.4792185643569375E-6</v>
      </c>
      <c r="J444" s="41">
        <v>0</v>
      </c>
      <c r="K444" s="36">
        <f>[1]!Table3[[#This Row],[Residential Incentive Disbursements]]/'[1]1.) CLM Reference'!$B$5</f>
        <v>0</v>
      </c>
      <c r="L444" s="37">
        <v>0</v>
      </c>
      <c r="M444" s="36">
        <f>[1]!Table3[[#This Row],[C&amp;I CLM $ Collected]]/'[1]1.) CLM Reference'!$B$4</f>
        <v>0</v>
      </c>
      <c r="N444" s="41">
        <v>0</v>
      </c>
      <c r="O444" s="36">
        <f>[1]!Table3[[#This Row],[C&amp;I Incentive Disbursements]]/'[1]1.) CLM Reference'!$B$5</f>
        <v>0</v>
      </c>
      <c r="Q444">
        <f>VLOOKUP(Table3[[#This Row],[Census Tract]],'Population and Diversity Data'!$B$2:$K$823,10,FALSE)</f>
        <v>3</v>
      </c>
      <c r="R444" t="str">
        <f>VLOOKUP(Table3[[#This Row],[Census Tract]],'ES Energy Burden'!$B$2:$E$914,4,FALSE)</f>
        <v>No</v>
      </c>
    </row>
    <row r="445" spans="1:18" x14ac:dyDescent="0.2">
      <c r="A445" s="100">
        <v>9001110500</v>
      </c>
      <c r="B445" s="38" t="s">
        <v>2804</v>
      </c>
      <c r="C445" s="38" t="s">
        <v>944</v>
      </c>
      <c r="D445" s="40">
        <f>[1]!Table3[[#This Row],[Residential CLM $ Collected]]+[1]!Table3[[#This Row],[C&amp;I CLM $ Collected]]</f>
        <v>763.01015040000004</v>
      </c>
      <c r="E445" s="36">
        <f>[1]!Table3[[#This Row],[CLM $ Collected ]]/'[1]1.) CLM Reference'!$B$4</f>
        <v>6.7691525744331265E-6</v>
      </c>
      <c r="F445" s="40">
        <f>[1]!Table3[[#This Row],[Residential Incentive Disbursements]]+[1]!Table3[[#This Row],[C&amp;I Incentive Disbursements]]</f>
        <v>0</v>
      </c>
      <c r="G445" s="36">
        <f>[1]!Table3[[#This Row],[Incentive Disbursements]]/'[1]1.) CLM Reference'!$B$5</f>
        <v>0</v>
      </c>
      <c r="H445" s="40">
        <v>763.01015040000004</v>
      </c>
      <c r="I445" s="36">
        <f>[1]!Table3[[#This Row],[Residential CLM $ Collected]]/'[1]1.) CLM Reference'!$B$4</f>
        <v>6.7691525744331265E-6</v>
      </c>
      <c r="J445" s="41">
        <v>0</v>
      </c>
      <c r="K445" s="36">
        <f>[1]!Table3[[#This Row],[Residential Incentive Disbursements]]/'[1]1.) CLM Reference'!$B$5</f>
        <v>0</v>
      </c>
      <c r="L445" s="37">
        <v>0</v>
      </c>
      <c r="M445" s="36">
        <f>[1]!Table3[[#This Row],[C&amp;I CLM $ Collected]]/'[1]1.) CLM Reference'!$B$4</f>
        <v>0</v>
      </c>
      <c r="N445" s="41">
        <v>0</v>
      </c>
      <c r="O445" s="36">
        <f>[1]!Table3[[#This Row],[C&amp;I Incentive Disbursements]]/'[1]1.) CLM Reference'!$B$5</f>
        <v>0</v>
      </c>
      <c r="Q445">
        <f>VLOOKUP(Table3[[#This Row],[Census Tract]],'Population and Diversity Data'!$B$2:$K$823,10,FALSE)</f>
        <v>1</v>
      </c>
      <c r="R445" t="str">
        <f>VLOOKUP(Table3[[#This Row],[Census Tract]],'ES Energy Burden'!$B$2:$E$914,4,FALSE)</f>
        <v>No</v>
      </c>
    </row>
    <row r="446" spans="1:18" x14ac:dyDescent="0.2">
      <c r="A446" s="100">
        <v>9001230400</v>
      </c>
      <c r="B446" s="38" t="s">
        <v>2804</v>
      </c>
      <c r="C446" s="38" t="s">
        <v>944</v>
      </c>
      <c r="D446" s="40">
        <f>[1]!Table3[[#This Row],[Residential CLM $ Collected]]+[1]!Table3[[#This Row],[C&amp;I CLM $ Collected]]</f>
        <v>408.54455999999999</v>
      </c>
      <c r="E446" s="36">
        <f>[1]!Table3[[#This Row],[CLM $ Collected ]]/'[1]1.) CLM Reference'!$B$4</f>
        <v>3.6244609048056099E-6</v>
      </c>
      <c r="F446" s="40">
        <f>[1]!Table3[[#This Row],[Residential Incentive Disbursements]]+[1]!Table3[[#This Row],[C&amp;I Incentive Disbursements]]</f>
        <v>1374.16</v>
      </c>
      <c r="G446" s="36">
        <f>[1]!Table3[[#This Row],[Incentive Disbursements]]/'[1]1.) CLM Reference'!$B$5</f>
        <v>1.6812369508171827E-5</v>
      </c>
      <c r="H446" s="40">
        <v>408.54455999999999</v>
      </c>
      <c r="I446" s="36">
        <f>[1]!Table3[[#This Row],[Residential CLM $ Collected]]/'[1]1.) CLM Reference'!$B$4</f>
        <v>3.6244609048056099E-6</v>
      </c>
      <c r="J446" s="41">
        <v>1374.16</v>
      </c>
      <c r="K446" s="36">
        <f>[1]!Table3[[#This Row],[Residential Incentive Disbursements]]/'[1]1.) CLM Reference'!$B$5</f>
        <v>1.6812369508171827E-5</v>
      </c>
      <c r="L446" s="37">
        <v>0</v>
      </c>
      <c r="M446" s="36">
        <f>[1]!Table3[[#This Row],[C&amp;I CLM $ Collected]]/'[1]1.) CLM Reference'!$B$4</f>
        <v>0</v>
      </c>
      <c r="N446" s="41">
        <v>0</v>
      </c>
      <c r="O446" s="36">
        <f>[1]!Table3[[#This Row],[C&amp;I Incentive Disbursements]]/'[1]1.) CLM Reference'!$B$5</f>
        <v>0</v>
      </c>
      <c r="Q446">
        <f>VLOOKUP(Table3[[#This Row],[Census Tract]],'Population and Diversity Data'!$B$2:$K$823,10,FALSE)</f>
        <v>2</v>
      </c>
      <c r="R446" t="str">
        <f>VLOOKUP(Table3[[#This Row],[Census Tract]],'ES Energy Burden'!$B$2:$E$914,4,FALSE)</f>
        <v>No</v>
      </c>
    </row>
    <row r="447" spans="1:18" x14ac:dyDescent="0.2">
      <c r="A447" s="100">
        <v>9011693600</v>
      </c>
      <c r="B447" s="38" t="s">
        <v>2805</v>
      </c>
      <c r="C447" s="38" t="s">
        <v>944</v>
      </c>
      <c r="D447" s="40">
        <f>[1]!Table3[[#This Row],[Residential CLM $ Collected]]+[1]!Table3[[#This Row],[C&amp;I CLM $ Collected]]</f>
        <v>386.32135679999999</v>
      </c>
      <c r="E447" s="36">
        <f>[1]!Table3[[#This Row],[CLM $ Collected ]]/'[1]1.) CLM Reference'!$B$4</f>
        <v>3.427304611308639E-6</v>
      </c>
      <c r="F447" s="40">
        <f>[1]!Table3[[#This Row],[Residential Incentive Disbursements]]+[1]!Table3[[#This Row],[C&amp;I Incentive Disbursements]]</f>
        <v>467.33</v>
      </c>
      <c r="G447" s="36">
        <f>[1]!Table3[[#This Row],[Incentive Disbursements]]/'[1]1.) CLM Reference'!$B$5</f>
        <v>5.7176199585593669E-6</v>
      </c>
      <c r="H447" s="40">
        <v>386.32135679999999</v>
      </c>
      <c r="I447" s="36">
        <f>[1]!Table3[[#This Row],[Residential CLM $ Collected]]/'[1]1.) CLM Reference'!$B$4</f>
        <v>3.427304611308639E-6</v>
      </c>
      <c r="J447" s="41">
        <v>467.33</v>
      </c>
      <c r="K447" s="36">
        <f>[1]!Table3[[#This Row],[Residential Incentive Disbursements]]/'[1]1.) CLM Reference'!$B$5</f>
        <v>5.7176199585593669E-6</v>
      </c>
      <c r="L447" s="37">
        <v>0</v>
      </c>
      <c r="M447" s="36">
        <f>[1]!Table3[[#This Row],[C&amp;I CLM $ Collected]]/'[1]1.) CLM Reference'!$B$4</f>
        <v>0</v>
      </c>
      <c r="N447" s="41">
        <v>0</v>
      </c>
      <c r="O447" s="36">
        <f>[1]!Table3[[#This Row],[C&amp;I Incentive Disbursements]]/'[1]1.) CLM Reference'!$B$5</f>
        <v>0</v>
      </c>
      <c r="Q447">
        <f>VLOOKUP(Table3[[#This Row],[Census Tract]],'Population and Diversity Data'!$B$2:$K$823,10,FALSE)</f>
        <v>2</v>
      </c>
      <c r="R447" t="str">
        <f>VLOOKUP(Table3[[#This Row],[Census Tract]],'ES Energy Burden'!$B$2:$E$914,4,FALSE)</f>
        <v>No</v>
      </c>
    </row>
    <row r="448" spans="1:18" x14ac:dyDescent="0.2">
      <c r="A448" s="100">
        <v>9011695201</v>
      </c>
      <c r="B448" s="38" t="s">
        <v>2805</v>
      </c>
      <c r="C448" s="38" t="s">
        <v>944</v>
      </c>
      <c r="D448" s="40">
        <f>[1]!Table3[[#This Row],[Residential CLM $ Collected]]+[1]!Table3[[#This Row],[C&amp;I CLM $ Collected]]</f>
        <v>192522.74222016</v>
      </c>
      <c r="E448" s="36">
        <f>[1]!Table3[[#This Row],[CLM $ Collected ]]/'[1]1.) CLM Reference'!$B$4</f>
        <v>1.7079927645173843E-3</v>
      </c>
      <c r="F448" s="40">
        <f>[1]!Table3[[#This Row],[Residential Incentive Disbursements]]+[1]!Table3[[#This Row],[C&amp;I Incentive Disbursements]]</f>
        <v>190334.15599999999</v>
      </c>
      <c r="G448" s="36">
        <f>[1]!Table3[[#This Row],[Incentive Disbursements]]/'[1]1.) CLM Reference'!$B$5</f>
        <v>2.3286721784202854E-3</v>
      </c>
      <c r="H448" s="40">
        <v>106350.08769791998</v>
      </c>
      <c r="I448" s="36">
        <f>[1]!Table3[[#This Row],[Residential CLM $ Collected]]/'[1]1.) CLM Reference'!$B$4</f>
        <v>9.4349985980417663E-4</v>
      </c>
      <c r="J448" s="41">
        <v>162569.386</v>
      </c>
      <c r="K448" s="36">
        <f>[1]!Table3[[#This Row],[Residential Incentive Disbursements]]/'[1]1.) CLM Reference'!$B$5</f>
        <v>1.9889798772694707E-3</v>
      </c>
      <c r="L448" s="37">
        <v>86172.654522240016</v>
      </c>
      <c r="M448" s="36">
        <f>[1]!Table3[[#This Row],[C&amp;I CLM $ Collected]]/'[1]1.) CLM Reference'!$B$4</f>
        <v>7.6449290471320753E-4</v>
      </c>
      <c r="N448" s="41">
        <v>27764.77</v>
      </c>
      <c r="O448" s="36">
        <f>[1]!Table3[[#This Row],[C&amp;I Incentive Disbursements]]/'[1]1.) CLM Reference'!$B$5</f>
        <v>3.3969230115081495E-4</v>
      </c>
      <c r="Q448">
        <f>VLOOKUP(Table3[[#This Row],[Census Tract]],'Population and Diversity Data'!$B$2:$K$823,10,FALSE)</f>
        <v>3</v>
      </c>
      <c r="R448" t="str">
        <f>VLOOKUP(Table3[[#This Row],[Census Tract]],'ES Energy Burden'!$B$2:$E$914,4,FALSE)</f>
        <v>No</v>
      </c>
    </row>
    <row r="449" spans="1:18" x14ac:dyDescent="0.2">
      <c r="A449" s="100">
        <v>9011695202</v>
      </c>
      <c r="B449" s="38" t="s">
        <v>2805</v>
      </c>
      <c r="C449" s="38" t="s">
        <v>944</v>
      </c>
      <c r="D449" s="40">
        <f>[1]!Table3[[#This Row],[Residential CLM $ Collected]]+[1]!Table3[[#This Row],[C&amp;I CLM $ Collected]]</f>
        <v>99676.927511999995</v>
      </c>
      <c r="E449" s="36">
        <f>[1]!Table3[[#This Row],[CLM $ Collected ]]/'[1]1.) CLM Reference'!$B$4</f>
        <v>8.8429797444466453E-4</v>
      </c>
      <c r="F449" s="40">
        <f>[1]!Table3[[#This Row],[Residential Incentive Disbursements]]+[1]!Table3[[#This Row],[C&amp;I Incentive Disbursements]]</f>
        <v>14638.392099999999</v>
      </c>
      <c r="G449" s="36">
        <f>[1]!Table3[[#This Row],[Incentive Disbursements]]/'[1]1.) CLM Reference'!$B$5</f>
        <v>1.7909563441717363E-4</v>
      </c>
      <c r="H449" s="40">
        <v>99676.927511999995</v>
      </c>
      <c r="I449" s="36">
        <f>[1]!Table3[[#This Row],[Residential CLM $ Collected]]/'[1]1.) CLM Reference'!$B$4</f>
        <v>8.8429797444466453E-4</v>
      </c>
      <c r="J449" s="41">
        <v>14638.392099999999</v>
      </c>
      <c r="K449" s="36">
        <f>[1]!Table3[[#This Row],[Residential Incentive Disbursements]]/'[1]1.) CLM Reference'!$B$5</f>
        <v>1.7909563441717363E-4</v>
      </c>
      <c r="L449" s="37">
        <v>0</v>
      </c>
      <c r="M449" s="36">
        <f>[1]!Table3[[#This Row],[C&amp;I CLM $ Collected]]/'[1]1.) CLM Reference'!$B$4</f>
        <v>0</v>
      </c>
      <c r="N449" s="41">
        <v>0</v>
      </c>
      <c r="O449" s="36">
        <f>[1]!Table3[[#This Row],[C&amp;I Incentive Disbursements]]/'[1]1.) CLM Reference'!$B$5</f>
        <v>0</v>
      </c>
      <c r="Q449">
        <f>VLOOKUP(Table3[[#This Row],[Census Tract]],'Population and Diversity Data'!$B$2:$K$823,10,FALSE)</f>
        <v>3</v>
      </c>
      <c r="R449" t="str">
        <f>VLOOKUP(Table3[[#This Row],[Census Tract]],'ES Energy Burden'!$B$2:$E$914,4,FALSE)</f>
        <v>No</v>
      </c>
    </row>
    <row r="450" spans="1:18" x14ac:dyDescent="0.2">
      <c r="A450" s="100">
        <v>9011715100</v>
      </c>
      <c r="B450" s="38" t="s">
        <v>2805</v>
      </c>
      <c r="C450" s="38" t="s">
        <v>944</v>
      </c>
      <c r="D450" s="40">
        <f>[1]!Table3[[#This Row],[Residential CLM $ Collected]]+[1]!Table3[[#This Row],[C&amp;I CLM $ Collected]]</f>
        <v>663.31543680000004</v>
      </c>
      <c r="E450" s="36">
        <f>[1]!Table3[[#This Row],[CLM $ Collected ]]/'[1]1.) CLM Reference'!$B$4</f>
        <v>5.8846968081906578E-6</v>
      </c>
      <c r="F450" s="40">
        <f>[1]!Table3[[#This Row],[Residential Incentive Disbursements]]+[1]!Table3[[#This Row],[C&amp;I Incentive Disbursements]]</f>
        <v>0</v>
      </c>
      <c r="G450" s="36">
        <f>[1]!Table3[[#This Row],[Incentive Disbursements]]/'[1]1.) CLM Reference'!$B$5</f>
        <v>0</v>
      </c>
      <c r="H450" s="40">
        <v>663.31543680000004</v>
      </c>
      <c r="I450" s="36">
        <f>[1]!Table3[[#This Row],[Residential CLM $ Collected]]/'[1]1.) CLM Reference'!$B$4</f>
        <v>5.8846968081906578E-6</v>
      </c>
      <c r="J450" s="41">
        <v>0</v>
      </c>
      <c r="K450" s="36">
        <f>[1]!Table3[[#This Row],[Residential Incentive Disbursements]]/'[1]1.) CLM Reference'!$B$5</f>
        <v>0</v>
      </c>
      <c r="L450" s="37">
        <v>0</v>
      </c>
      <c r="M450" s="36">
        <f>[1]!Table3[[#This Row],[C&amp;I CLM $ Collected]]/'[1]1.) CLM Reference'!$B$4</f>
        <v>0</v>
      </c>
      <c r="N450" s="41">
        <v>0</v>
      </c>
      <c r="O450" s="36">
        <f>[1]!Table3[[#This Row],[C&amp;I Incentive Disbursements]]/'[1]1.) CLM Reference'!$B$5</f>
        <v>0</v>
      </c>
      <c r="Q450">
        <f>VLOOKUP(Table3[[#This Row],[Census Tract]],'Population and Diversity Data'!$B$2:$K$823,10,FALSE)</f>
        <v>3</v>
      </c>
      <c r="R450" t="str">
        <f>VLOOKUP(Table3[[#This Row],[Census Tract]],'ES Energy Burden'!$B$2:$E$914,4,FALSE)</f>
        <v>No</v>
      </c>
    </row>
    <row r="451" spans="1:18" x14ac:dyDescent="0.2">
      <c r="A451" s="100">
        <v>9011716102</v>
      </c>
      <c r="B451" s="38" t="s">
        <v>2805</v>
      </c>
      <c r="C451" s="38" t="s">
        <v>944</v>
      </c>
      <c r="D451" s="40">
        <f>[1]!Table3[[#This Row],[Residential CLM $ Collected]]+[1]!Table3[[#This Row],[C&amp;I CLM $ Collected]]</f>
        <v>658.65545280000003</v>
      </c>
      <c r="E451" s="36">
        <f>[1]!Table3[[#This Row],[CLM $ Collected ]]/'[1]1.) CLM Reference'!$B$4</f>
        <v>5.8433551003852238E-6</v>
      </c>
      <c r="F451" s="40">
        <f>[1]!Table3[[#This Row],[Residential Incentive Disbursements]]+[1]!Table3[[#This Row],[C&amp;I Incentive Disbursements]]</f>
        <v>0</v>
      </c>
      <c r="G451" s="36">
        <f>[1]!Table3[[#This Row],[Incentive Disbursements]]/'[1]1.) CLM Reference'!$B$5</f>
        <v>0</v>
      </c>
      <c r="H451" s="40">
        <v>658.65545280000003</v>
      </c>
      <c r="I451" s="36">
        <f>[1]!Table3[[#This Row],[Residential CLM $ Collected]]/'[1]1.) CLM Reference'!$B$4</f>
        <v>5.8433551003852238E-6</v>
      </c>
      <c r="J451" s="41">
        <v>0</v>
      </c>
      <c r="K451" s="36">
        <f>[1]!Table3[[#This Row],[Residential Incentive Disbursements]]/'[1]1.) CLM Reference'!$B$5</f>
        <v>0</v>
      </c>
      <c r="L451" s="37">
        <v>0</v>
      </c>
      <c r="M451" s="36">
        <f>[1]!Table3[[#This Row],[C&amp;I CLM $ Collected]]/'[1]1.) CLM Reference'!$B$4</f>
        <v>0</v>
      </c>
      <c r="N451" s="41">
        <v>0</v>
      </c>
      <c r="O451" s="36">
        <f>[1]!Table3[[#This Row],[C&amp;I Incentive Disbursements]]/'[1]1.) CLM Reference'!$B$5</f>
        <v>0</v>
      </c>
      <c r="Q451">
        <f>VLOOKUP(Table3[[#This Row],[Census Tract]],'Population and Diversity Data'!$B$2:$K$823,10,FALSE)</f>
        <v>4</v>
      </c>
      <c r="R451" t="str">
        <f>VLOOKUP(Table3[[#This Row],[Census Tract]],'ES Energy Burden'!$B$2:$E$914,4,FALSE)</f>
        <v>No</v>
      </c>
    </row>
    <row r="452" spans="1:18" x14ac:dyDescent="0.2">
      <c r="A452" s="100">
        <v>9011870501</v>
      </c>
      <c r="B452" s="38" t="s">
        <v>2805</v>
      </c>
      <c r="C452" s="38" t="s">
        <v>944</v>
      </c>
      <c r="D452" s="40">
        <f>[1]!Table3[[#This Row],[Residential CLM $ Collected]]+[1]!Table3[[#This Row],[C&amp;I CLM $ Collected]]</f>
        <v>80574.145113599996</v>
      </c>
      <c r="E452" s="36">
        <f>[1]!Table3[[#This Row],[CLM $ Collected ]]/'[1]1.) CLM Reference'!$B$4</f>
        <v>7.1482493587083176E-4</v>
      </c>
      <c r="F452" s="40">
        <f>[1]!Table3[[#This Row],[Residential Incentive Disbursements]]+[1]!Table3[[#This Row],[C&amp;I Incentive Disbursements]]</f>
        <v>31425.54</v>
      </c>
      <c r="G452" s="36">
        <f>[1]!Table3[[#This Row],[Incentive Disbursements]]/'[1]1.) CLM Reference'!$B$5</f>
        <v>3.8448054846148487E-4</v>
      </c>
      <c r="H452" s="40">
        <v>80574.145113599996</v>
      </c>
      <c r="I452" s="36">
        <f>[1]!Table3[[#This Row],[Residential CLM $ Collected]]/'[1]1.) CLM Reference'!$B$4</f>
        <v>7.1482493587083176E-4</v>
      </c>
      <c r="J452" s="41">
        <v>31425.54</v>
      </c>
      <c r="K452" s="36">
        <f>[1]!Table3[[#This Row],[Residential Incentive Disbursements]]/'[1]1.) CLM Reference'!$B$5</f>
        <v>3.8448054846148487E-4</v>
      </c>
      <c r="L452" s="37">
        <v>0</v>
      </c>
      <c r="M452" s="36">
        <f>[1]!Table3[[#This Row],[C&amp;I CLM $ Collected]]/'[1]1.) CLM Reference'!$B$4</f>
        <v>0</v>
      </c>
      <c r="N452" s="41">
        <v>0</v>
      </c>
      <c r="O452" s="36">
        <f>[1]!Table3[[#This Row],[C&amp;I Incentive Disbursements]]/'[1]1.) CLM Reference'!$B$5</f>
        <v>0</v>
      </c>
      <c r="Q452">
        <f>VLOOKUP(Table3[[#This Row],[Census Tract]],'Population and Diversity Data'!$B$2:$K$823,10,FALSE)</f>
        <v>5</v>
      </c>
      <c r="R452" t="str">
        <f>VLOOKUP(Table3[[#This Row],[Census Tract]],'ES Energy Burden'!$B$2:$E$914,4,FALSE)</f>
        <v>No</v>
      </c>
    </row>
    <row r="453" spans="1:18" x14ac:dyDescent="0.2">
      <c r="A453" s="100">
        <v>9011870502</v>
      </c>
      <c r="B453" s="38" t="s">
        <v>2805</v>
      </c>
      <c r="C453" s="38" t="s">
        <v>944</v>
      </c>
      <c r="D453" s="40">
        <f>[1]!Table3[[#This Row],[Residential CLM $ Collected]]+[1]!Table3[[#This Row],[C&amp;I CLM $ Collected]]</f>
        <v>40248.384848640002</v>
      </c>
      <c r="E453" s="36">
        <f>[1]!Table3[[#This Row],[CLM $ Collected ]]/'[1]1.) CLM Reference'!$B$4</f>
        <v>3.5706924445516093E-4</v>
      </c>
      <c r="F453" s="40">
        <f>[1]!Table3[[#This Row],[Residential Incentive Disbursements]]+[1]!Table3[[#This Row],[C&amp;I Incentive Disbursements]]</f>
        <v>10395.2546</v>
      </c>
      <c r="G453" s="36">
        <f>[1]!Table3[[#This Row],[Incentive Disbursements]]/'[1]1.) CLM Reference'!$B$5</f>
        <v>1.2718232335879587E-4</v>
      </c>
      <c r="H453" s="40">
        <v>40248.384848640002</v>
      </c>
      <c r="I453" s="36">
        <f>[1]!Table3[[#This Row],[Residential CLM $ Collected]]/'[1]1.) CLM Reference'!$B$4</f>
        <v>3.5706924445516093E-4</v>
      </c>
      <c r="J453" s="41">
        <v>10395.2546</v>
      </c>
      <c r="K453" s="36">
        <f>[1]!Table3[[#This Row],[Residential Incentive Disbursements]]/'[1]1.) CLM Reference'!$B$5</f>
        <v>1.2718232335879587E-4</v>
      </c>
      <c r="L453" s="37">
        <v>0</v>
      </c>
      <c r="M453" s="36">
        <f>[1]!Table3[[#This Row],[C&amp;I CLM $ Collected]]/'[1]1.) CLM Reference'!$B$4</f>
        <v>0</v>
      </c>
      <c r="N453" s="41">
        <v>0</v>
      </c>
      <c r="O453" s="36">
        <f>[1]!Table3[[#This Row],[C&amp;I Incentive Disbursements]]/'[1]1.) CLM Reference'!$B$5</f>
        <v>0</v>
      </c>
      <c r="Q453">
        <f>VLOOKUP(Table3[[#This Row],[Census Tract]],'Population and Diversity Data'!$B$2:$K$823,10,FALSE)</f>
        <v>5</v>
      </c>
      <c r="R453" t="str">
        <f>VLOOKUP(Table3[[#This Row],[Census Tract]],'ES Energy Burden'!$B$2:$E$914,4,FALSE)</f>
        <v>No</v>
      </c>
    </row>
    <row r="454" spans="1:18" x14ac:dyDescent="0.2">
      <c r="A454" s="100">
        <v>9005300100</v>
      </c>
      <c r="B454" s="38" t="s">
        <v>2806</v>
      </c>
      <c r="C454" s="38" t="s">
        <v>944</v>
      </c>
      <c r="D454" s="40">
        <f>[1]!Table3[[#This Row],[Residential CLM $ Collected]]+[1]!Table3[[#This Row],[C&amp;I CLM $ Collected]]</f>
        <v>536.4886176</v>
      </c>
      <c r="E454" s="36">
        <f>[1]!Table3[[#This Row],[CLM $ Collected ]]/'[1]1.) CLM Reference'!$B$4</f>
        <v>4.7595347258189093E-6</v>
      </c>
      <c r="F454" s="40">
        <f>[1]!Table3[[#This Row],[Residential Incentive Disbursements]]+[1]!Table3[[#This Row],[C&amp;I Incentive Disbursements]]</f>
        <v>0</v>
      </c>
      <c r="G454" s="36">
        <f>[1]!Table3[[#This Row],[Incentive Disbursements]]/'[1]1.) CLM Reference'!$B$5</f>
        <v>0</v>
      </c>
      <c r="H454" s="40">
        <v>536.4886176</v>
      </c>
      <c r="I454" s="36">
        <f>[1]!Table3[[#This Row],[Residential CLM $ Collected]]/'[1]1.) CLM Reference'!$B$4</f>
        <v>4.7595347258189093E-6</v>
      </c>
      <c r="J454" s="41">
        <v>0</v>
      </c>
      <c r="K454" s="36">
        <f>[1]!Table3[[#This Row],[Residential Incentive Disbursements]]/'[1]1.) CLM Reference'!$B$5</f>
        <v>0</v>
      </c>
      <c r="L454" s="37">
        <v>0</v>
      </c>
      <c r="M454" s="36">
        <f>[1]!Table3[[#This Row],[C&amp;I CLM $ Collected]]/'[1]1.) CLM Reference'!$B$4</f>
        <v>0</v>
      </c>
      <c r="N454" s="41">
        <v>0</v>
      </c>
      <c r="O454" s="36">
        <f>[1]!Table3[[#This Row],[C&amp;I Incentive Disbursements]]/'[1]1.) CLM Reference'!$B$5</f>
        <v>0</v>
      </c>
      <c r="Q454">
        <f>VLOOKUP(Table3[[#This Row],[Census Tract]],'Population and Diversity Data'!$B$2:$K$823,10,FALSE)</f>
        <v>1</v>
      </c>
      <c r="R454" t="str">
        <f>VLOOKUP(Table3[[#This Row],[Census Tract]],'ES Energy Burden'!$B$2:$E$914,4,FALSE)</f>
        <v>No</v>
      </c>
    </row>
    <row r="455" spans="1:18" x14ac:dyDescent="0.2">
      <c r="A455" s="100">
        <v>9005303100</v>
      </c>
      <c r="B455" s="38" t="s">
        <v>2806</v>
      </c>
      <c r="C455" s="38" t="s">
        <v>944</v>
      </c>
      <c r="D455" s="40">
        <f>[1]!Table3[[#This Row],[Residential CLM $ Collected]]+[1]!Table3[[#This Row],[C&amp;I CLM $ Collected]]</f>
        <v>70145.255482560009</v>
      </c>
      <c r="E455" s="36">
        <f>[1]!Table3[[#This Row],[CLM $ Collected ]]/'[1]1.) CLM Reference'!$B$4</f>
        <v>6.2230356501170923E-4</v>
      </c>
      <c r="F455" s="40">
        <f>[1]!Table3[[#This Row],[Residential Incentive Disbursements]]+[1]!Table3[[#This Row],[C&amp;I Incentive Disbursements]]</f>
        <v>31889.019799999998</v>
      </c>
      <c r="G455" s="36">
        <f>[1]!Table3[[#This Row],[Incentive Disbursements]]/'[1]1.) CLM Reference'!$B$5</f>
        <v>3.9015106256258921E-4</v>
      </c>
      <c r="H455" s="40">
        <v>58713.956403840006</v>
      </c>
      <c r="I455" s="36">
        <f>[1]!Table3[[#This Row],[Residential CLM $ Collected]]/'[1]1.) CLM Reference'!$B$4</f>
        <v>5.2088917681875166E-4</v>
      </c>
      <c r="J455" s="41">
        <v>31889.019799999998</v>
      </c>
      <c r="K455" s="36">
        <f>[1]!Table3[[#This Row],[Residential Incentive Disbursements]]/'[1]1.) CLM Reference'!$B$5</f>
        <v>3.9015106256258921E-4</v>
      </c>
      <c r="L455" s="37">
        <v>11431.29907872</v>
      </c>
      <c r="M455" s="36">
        <f>[1]!Table3[[#This Row],[C&amp;I CLM $ Collected]]/'[1]1.) CLM Reference'!$B$4</f>
        <v>1.0141438819295753E-4</v>
      </c>
      <c r="N455" s="41">
        <v>0</v>
      </c>
      <c r="O455" s="36">
        <f>[1]!Table3[[#This Row],[C&amp;I Incentive Disbursements]]/'[1]1.) CLM Reference'!$B$5</f>
        <v>0</v>
      </c>
      <c r="Q455">
        <f>VLOOKUP(Table3[[#This Row],[Census Tract]],'Population and Diversity Data'!$B$2:$K$823,10,FALSE)</f>
        <v>1</v>
      </c>
      <c r="R455" t="str">
        <f>VLOOKUP(Table3[[#This Row],[Census Tract]],'ES Energy Burden'!$B$2:$E$914,4,FALSE)</f>
        <v>No</v>
      </c>
    </row>
    <row r="456" spans="1:18" x14ac:dyDescent="0.2">
      <c r="A456" s="100">
        <v>9009344100</v>
      </c>
      <c r="B456" s="38" t="s">
        <v>2807</v>
      </c>
      <c r="C456" s="38" t="s">
        <v>944</v>
      </c>
      <c r="D456" s="40">
        <f>[1]!Table3[[#This Row],[Residential CLM $ Collected]]+[1]!Table3[[#This Row],[C&amp;I CLM $ Collected]]</f>
        <v>231.36675839999998</v>
      </c>
      <c r="E456" s="36">
        <f>[1]!Table3[[#This Row],[CLM $ Collected ]]/'[1]1.) CLM Reference'!$B$4</f>
        <v>2.052602953500115E-6</v>
      </c>
      <c r="F456" s="40">
        <f>[1]!Table3[[#This Row],[Residential Incentive Disbursements]]+[1]!Table3[[#This Row],[C&amp;I Incentive Disbursements]]</f>
        <v>0</v>
      </c>
      <c r="G456" s="36">
        <f>[1]!Table3[[#This Row],[Incentive Disbursements]]/'[1]1.) CLM Reference'!$B$5</f>
        <v>0</v>
      </c>
      <c r="H456" s="40">
        <v>231.36675839999998</v>
      </c>
      <c r="I456" s="36">
        <f>[1]!Table3[[#This Row],[Residential CLM $ Collected]]/'[1]1.) CLM Reference'!$B$4</f>
        <v>2.052602953500115E-6</v>
      </c>
      <c r="J456" s="41">
        <v>0</v>
      </c>
      <c r="K456" s="36">
        <f>[1]!Table3[[#This Row],[Residential Incentive Disbursements]]/'[1]1.) CLM Reference'!$B$5</f>
        <v>0</v>
      </c>
      <c r="L456" s="37">
        <v>0</v>
      </c>
      <c r="M456" s="36">
        <f>[1]!Table3[[#This Row],[C&amp;I CLM $ Collected]]/'[1]1.) CLM Reference'!$B$4</f>
        <v>0</v>
      </c>
      <c r="N456" s="41">
        <v>0</v>
      </c>
      <c r="O456" s="36">
        <f>[1]!Table3[[#This Row],[C&amp;I Incentive Disbursements]]/'[1]1.) CLM Reference'!$B$5</f>
        <v>0</v>
      </c>
      <c r="Q456">
        <f>VLOOKUP(Table3[[#This Row],[Census Tract]],'Population and Diversity Data'!$B$2:$K$823,10,FALSE)</f>
        <v>2</v>
      </c>
      <c r="R456" t="str">
        <f>VLOOKUP(Table3[[#This Row],[Census Tract]],'ES Energy Burden'!$B$2:$E$914,4,FALSE)</f>
        <v>No</v>
      </c>
    </row>
    <row r="457" spans="1:18" x14ac:dyDescent="0.2">
      <c r="A457" s="100">
        <v>9009345100</v>
      </c>
      <c r="B457" s="38" t="s">
        <v>2807</v>
      </c>
      <c r="C457" s="38" t="s">
        <v>944</v>
      </c>
      <c r="D457" s="40">
        <f>[1]!Table3[[#This Row],[Residential CLM $ Collected]]+[1]!Table3[[#This Row],[C&amp;I CLM $ Collected]]</f>
        <v>115370.42856768001</v>
      </c>
      <c r="E457" s="36">
        <f>[1]!Table3[[#This Row],[CLM $ Collected ]]/'[1]1.) CLM Reference'!$B$4</f>
        <v>1.0235250909086256E-3</v>
      </c>
      <c r="F457" s="40">
        <f>[1]!Table3[[#This Row],[Residential Incentive Disbursements]]+[1]!Table3[[#This Row],[C&amp;I Incentive Disbursements]]</f>
        <v>53359.099099999999</v>
      </c>
      <c r="G457" s="36">
        <f>[1]!Table3[[#This Row],[Incentive Disbursements]]/'[1]1.) CLM Reference'!$B$5</f>
        <v>6.5283001302057894E-4</v>
      </c>
      <c r="H457" s="40">
        <v>115340.70307968001</v>
      </c>
      <c r="I457" s="36">
        <f>[1]!Table3[[#This Row],[Residential CLM $ Collected]]/'[1]1.) CLM Reference'!$B$4</f>
        <v>1.0232613770333699E-3</v>
      </c>
      <c r="J457" s="41">
        <v>53359.099099999999</v>
      </c>
      <c r="K457" s="36">
        <f>[1]!Table3[[#This Row],[Residential Incentive Disbursements]]/'[1]1.) CLM Reference'!$B$5</f>
        <v>6.5283001302057894E-4</v>
      </c>
      <c r="L457" s="37">
        <v>29.725488000000002</v>
      </c>
      <c r="M457" s="36">
        <f>[1]!Table3[[#This Row],[C&amp;I CLM $ Collected]]/'[1]1.) CLM Reference'!$B$4</f>
        <v>2.6371387525578193E-7</v>
      </c>
      <c r="N457" s="41">
        <v>0</v>
      </c>
      <c r="O457" s="36">
        <f>[1]!Table3[[#This Row],[C&amp;I Incentive Disbursements]]/'[1]1.) CLM Reference'!$B$5</f>
        <v>0</v>
      </c>
      <c r="Q457">
        <f>VLOOKUP(Table3[[#This Row],[Census Tract]],'Population and Diversity Data'!$B$2:$K$823,10,FALSE)</f>
        <v>2</v>
      </c>
      <c r="R457" t="str">
        <f>VLOOKUP(Table3[[#This Row],[Census Tract]],'ES Energy Burden'!$B$2:$E$914,4,FALSE)</f>
        <v>No</v>
      </c>
    </row>
    <row r="458" spans="1:18" x14ac:dyDescent="0.2">
      <c r="A458" s="100">
        <v>9009345201</v>
      </c>
      <c r="B458" s="38" t="s">
        <v>2807</v>
      </c>
      <c r="C458" s="38" t="s">
        <v>944</v>
      </c>
      <c r="D458" s="40">
        <f>[1]!Table3[[#This Row],[Residential CLM $ Collected]]+[1]!Table3[[#This Row],[C&amp;I CLM $ Collected]]</f>
        <v>120469.52720159998</v>
      </c>
      <c r="E458" s="36">
        <f>[1]!Table3[[#This Row],[CLM $ Collected ]]/'[1]1.) CLM Reference'!$B$4</f>
        <v>1.0687624663576847E-3</v>
      </c>
      <c r="F458" s="40">
        <f>[1]!Table3[[#This Row],[Residential Incentive Disbursements]]+[1]!Table3[[#This Row],[C&amp;I Incentive Disbursements]]</f>
        <v>55301.3724</v>
      </c>
      <c r="G458" s="36">
        <f>[1]!Table3[[#This Row],[Incentive Disbursements]]/'[1]1.) CLM Reference'!$B$5</f>
        <v>6.7659305109871843E-4</v>
      </c>
      <c r="H458" s="40">
        <v>120430.25714015999</v>
      </c>
      <c r="I458" s="36">
        <f>[1]!Table3[[#This Row],[Residential CLM $ Collected]]/'[1]1.) CLM Reference'!$B$4</f>
        <v>1.0684140764478582E-3</v>
      </c>
      <c r="J458" s="41">
        <v>55301.3724</v>
      </c>
      <c r="K458" s="36">
        <f>[1]!Table3[[#This Row],[Residential Incentive Disbursements]]/'[1]1.) CLM Reference'!$B$5</f>
        <v>6.7659305109871843E-4</v>
      </c>
      <c r="L458" s="37">
        <v>39.270061440000006</v>
      </c>
      <c r="M458" s="36">
        <f>[1]!Table3[[#This Row],[C&amp;I CLM $ Collected]]/'[1]1.) CLM Reference'!$B$4</f>
        <v>3.4838990982671347E-7</v>
      </c>
      <c r="N458" s="41">
        <v>0</v>
      </c>
      <c r="O458" s="36">
        <f>[1]!Table3[[#This Row],[C&amp;I Incentive Disbursements]]/'[1]1.) CLM Reference'!$B$5</f>
        <v>0</v>
      </c>
      <c r="Q458">
        <f>VLOOKUP(Table3[[#This Row],[Census Tract]],'Population and Diversity Data'!$B$2:$K$823,10,FALSE)</f>
        <v>4</v>
      </c>
      <c r="R458" t="str">
        <f>VLOOKUP(Table3[[#This Row],[Census Tract]],'ES Energy Burden'!$B$2:$E$914,4,FALSE)</f>
        <v>No</v>
      </c>
    </row>
    <row r="459" spans="1:18" x14ac:dyDescent="0.2">
      <c r="A459" s="100">
        <v>9009345202</v>
      </c>
      <c r="B459" s="38" t="s">
        <v>2807</v>
      </c>
      <c r="C459" s="38" t="s">
        <v>944</v>
      </c>
      <c r="D459" s="40">
        <f>[1]!Table3[[#This Row],[Residential CLM $ Collected]]+[1]!Table3[[#This Row],[C&amp;I CLM $ Collected]]</f>
        <v>76552.852731840016</v>
      </c>
      <c r="E459" s="36">
        <f>[1]!Table3[[#This Row],[CLM $ Collected ]]/'[1]1.) CLM Reference'!$B$4</f>
        <v>6.7914947118105184E-4</v>
      </c>
      <c r="F459" s="40">
        <f>[1]!Table3[[#This Row],[Residential Incentive Disbursements]]+[1]!Table3[[#This Row],[C&amp;I Incentive Disbursements]]</f>
        <v>51535.862300000001</v>
      </c>
      <c r="G459" s="36">
        <f>[1]!Table3[[#This Row],[Incentive Disbursements]]/'[1]1.) CLM Reference'!$B$5</f>
        <v>6.3052334510527305E-4</v>
      </c>
      <c r="H459" s="40">
        <v>76552.852731840016</v>
      </c>
      <c r="I459" s="36">
        <f>[1]!Table3[[#This Row],[Residential CLM $ Collected]]/'[1]1.) CLM Reference'!$B$4</f>
        <v>6.7914947118105184E-4</v>
      </c>
      <c r="J459" s="41">
        <v>51535.862300000001</v>
      </c>
      <c r="K459" s="36">
        <f>[1]!Table3[[#This Row],[Residential Incentive Disbursements]]/'[1]1.) CLM Reference'!$B$5</f>
        <v>6.3052334510527305E-4</v>
      </c>
      <c r="L459" s="37">
        <v>0</v>
      </c>
      <c r="M459" s="36">
        <f>[1]!Table3[[#This Row],[C&amp;I CLM $ Collected]]/'[1]1.) CLM Reference'!$B$4</f>
        <v>0</v>
      </c>
      <c r="N459" s="41">
        <v>0</v>
      </c>
      <c r="O459" s="36">
        <f>[1]!Table3[[#This Row],[C&amp;I Incentive Disbursements]]/'[1]1.) CLM Reference'!$B$5</f>
        <v>0</v>
      </c>
      <c r="Q459">
        <f>VLOOKUP(Table3[[#This Row],[Census Tract]],'Population and Diversity Data'!$B$2:$K$823,10,FALSE)</f>
        <v>3</v>
      </c>
      <c r="R459" t="str">
        <f>VLOOKUP(Table3[[#This Row],[Census Tract]],'ES Energy Burden'!$B$2:$E$914,4,FALSE)</f>
        <v>No</v>
      </c>
    </row>
    <row r="460" spans="1:18" x14ac:dyDescent="0.2">
      <c r="A460" s="100">
        <v>9009345300</v>
      </c>
      <c r="B460" s="38" t="s">
        <v>2807</v>
      </c>
      <c r="C460" s="38" t="s">
        <v>944</v>
      </c>
      <c r="D460" s="40">
        <f>[1]!Table3[[#This Row],[Residential CLM $ Collected]]+[1]!Table3[[#This Row],[C&amp;I CLM $ Collected]]</f>
        <v>93780.901569599999</v>
      </c>
      <c r="E460" s="36">
        <f>[1]!Table3[[#This Row],[CLM $ Collected ]]/'[1]1.) CLM Reference'!$B$4</f>
        <v>8.3199054555135497E-4</v>
      </c>
      <c r="F460" s="40">
        <f>[1]!Table3[[#This Row],[Residential Incentive Disbursements]]+[1]!Table3[[#This Row],[C&amp;I Incentive Disbursements]]</f>
        <v>25594.8802</v>
      </c>
      <c r="G460" s="36">
        <f>[1]!Table3[[#This Row],[Incentive Disbursements]]/'[1]1.) CLM Reference'!$B$5</f>
        <v>3.131444543865276E-4</v>
      </c>
      <c r="H460" s="40">
        <v>93771.541079999995</v>
      </c>
      <c r="I460" s="36">
        <f>[1]!Table3[[#This Row],[Residential CLM $ Collected]]/'[1]1.) CLM Reference'!$B$4</f>
        <v>8.319075026426327E-4</v>
      </c>
      <c r="J460" s="41">
        <v>25594.8802</v>
      </c>
      <c r="K460" s="36">
        <f>[1]!Table3[[#This Row],[Residential Incentive Disbursements]]/'[1]1.) CLM Reference'!$B$5</f>
        <v>3.131444543865276E-4</v>
      </c>
      <c r="L460" s="37">
        <v>9.3604896000000011</v>
      </c>
      <c r="M460" s="36">
        <f>[1]!Table3[[#This Row],[C&amp;I CLM $ Collected]]/'[1]1.) CLM Reference'!$B$4</f>
        <v>8.3042908722219938E-8</v>
      </c>
      <c r="N460" s="41">
        <v>0</v>
      </c>
      <c r="O460" s="36">
        <f>[1]!Table3[[#This Row],[C&amp;I Incentive Disbursements]]/'[1]1.) CLM Reference'!$B$5</f>
        <v>0</v>
      </c>
      <c r="Q460">
        <f>VLOOKUP(Table3[[#This Row],[Census Tract]],'Population and Diversity Data'!$B$2:$K$823,10,FALSE)</f>
        <v>4</v>
      </c>
      <c r="R460" t="str">
        <f>VLOOKUP(Table3[[#This Row],[Census Tract]],'ES Energy Burden'!$B$2:$E$914,4,FALSE)</f>
        <v>No</v>
      </c>
    </row>
    <row r="461" spans="1:18" x14ac:dyDescent="0.2">
      <c r="A461" s="100">
        <v>9009345400</v>
      </c>
      <c r="B461" s="38" t="s">
        <v>2807</v>
      </c>
      <c r="C461" s="38" t="s">
        <v>944</v>
      </c>
      <c r="D461" s="40">
        <f>[1]!Table3[[#This Row],[Residential CLM $ Collected]]+[1]!Table3[[#This Row],[C&amp;I CLM $ Collected]]</f>
        <v>283435.20482112002</v>
      </c>
      <c r="E461" s="36">
        <f>[1]!Table3[[#This Row],[CLM $ Collected ]]/'[1]1.) CLM Reference'!$B$4</f>
        <v>2.5145355476516936E-3</v>
      </c>
      <c r="F461" s="40">
        <f>[1]!Table3[[#This Row],[Residential Incentive Disbursements]]+[1]!Table3[[#This Row],[C&amp;I Incentive Disbursements]]</f>
        <v>1161160.6663000002</v>
      </c>
      <c r="G461" s="36">
        <f>[1]!Table3[[#This Row],[Incentive Disbursements]]/'[1]1.) CLM Reference'!$B$5</f>
        <v>1.4206396766163041E-2</v>
      </c>
      <c r="H461" s="40">
        <v>141079.33048031997</v>
      </c>
      <c r="I461" s="36">
        <f>[1]!Table3[[#This Row],[Residential CLM $ Collected]]/'[1]1.) CLM Reference'!$B$4</f>
        <v>1.2516052540317028E-3</v>
      </c>
      <c r="J461" s="41">
        <v>1079229.5663000001</v>
      </c>
      <c r="K461" s="36">
        <f>[1]!Table3[[#This Row],[Residential Incentive Disbursements]]/'[1]1.) CLM Reference'!$B$5</f>
        <v>1.3203998262778443E-2</v>
      </c>
      <c r="L461" s="37">
        <v>142355.87434080002</v>
      </c>
      <c r="M461" s="36">
        <f>[1]!Table3[[#This Row],[C&amp;I CLM $ Collected]]/'[1]1.) CLM Reference'!$B$4</f>
        <v>1.2629302936199903E-3</v>
      </c>
      <c r="N461" s="41">
        <v>81931.100000000006</v>
      </c>
      <c r="O461" s="36">
        <f>[1]!Table3[[#This Row],[C&amp;I Incentive Disbursements]]/'[1]1.) CLM Reference'!$B$5</f>
        <v>1.0023985033845962E-3</v>
      </c>
      <c r="Q461">
        <f>VLOOKUP(Table3[[#This Row],[Census Tract]],'Population and Diversity Data'!$B$2:$K$823,10,FALSE)</f>
        <v>4</v>
      </c>
      <c r="R461" t="str">
        <f>VLOOKUP(Table3[[#This Row],[Census Tract]],'ES Energy Burden'!$B$2:$E$914,4,FALSE)</f>
        <v>No</v>
      </c>
    </row>
    <row r="462" spans="1:18" x14ac:dyDescent="0.2">
      <c r="A462" s="100">
        <v>9009346102</v>
      </c>
      <c r="B462" s="38" t="s">
        <v>2807</v>
      </c>
      <c r="C462" s="38" t="s">
        <v>944</v>
      </c>
      <c r="D462" s="40">
        <f>[1]!Table3[[#This Row],[Residential CLM $ Collected]]+[1]!Table3[[#This Row],[C&amp;I CLM $ Collected]]</f>
        <v>364.28918399999998</v>
      </c>
      <c r="E462" s="36">
        <f>[1]!Table3[[#This Row],[CLM $ Collected ]]/'[1]1.) CLM Reference'!$B$4</f>
        <v>3.2318430710508967E-6</v>
      </c>
      <c r="F462" s="40">
        <f>[1]!Table3[[#This Row],[Residential Incentive Disbursements]]+[1]!Table3[[#This Row],[C&amp;I Incentive Disbursements]]</f>
        <v>0</v>
      </c>
      <c r="G462" s="36">
        <f>[1]!Table3[[#This Row],[Incentive Disbursements]]/'[1]1.) CLM Reference'!$B$5</f>
        <v>0</v>
      </c>
      <c r="H462" s="40">
        <v>364.28918399999998</v>
      </c>
      <c r="I462" s="36">
        <f>[1]!Table3[[#This Row],[Residential CLM $ Collected]]/'[1]1.) CLM Reference'!$B$4</f>
        <v>3.2318430710508967E-6</v>
      </c>
      <c r="J462" s="41">
        <v>0</v>
      </c>
      <c r="K462" s="36">
        <f>[1]!Table3[[#This Row],[Residential Incentive Disbursements]]/'[1]1.) CLM Reference'!$B$5</f>
        <v>0</v>
      </c>
      <c r="L462" s="37">
        <v>0</v>
      </c>
      <c r="M462" s="36">
        <f>[1]!Table3[[#This Row],[C&amp;I CLM $ Collected]]/'[1]1.) CLM Reference'!$B$4</f>
        <v>0</v>
      </c>
      <c r="N462" s="41">
        <v>0</v>
      </c>
      <c r="O462" s="36">
        <f>[1]!Table3[[#This Row],[C&amp;I Incentive Disbursements]]/'[1]1.) CLM Reference'!$B$5</f>
        <v>0</v>
      </c>
      <c r="Q462">
        <f>VLOOKUP(Table3[[#This Row],[Census Tract]],'Population and Diversity Data'!$B$2:$K$823,10,FALSE)</f>
        <v>2</v>
      </c>
      <c r="R462" t="str">
        <f>VLOOKUP(Table3[[#This Row],[Census Tract]],'ES Energy Burden'!$B$2:$E$914,4,FALSE)</f>
        <v>No</v>
      </c>
    </row>
    <row r="463" spans="1:18" x14ac:dyDescent="0.2">
      <c r="A463" s="100">
        <v>9009347200</v>
      </c>
      <c r="B463" s="38" t="s">
        <v>2807</v>
      </c>
      <c r="C463" s="38" t="s">
        <v>944</v>
      </c>
      <c r="D463" s="40">
        <f>[1]!Table3[[#This Row],[Residential CLM $ Collected]]+[1]!Table3[[#This Row],[C&amp;I CLM $ Collected]]</f>
        <v>782.27527680000003</v>
      </c>
      <c r="E463" s="36">
        <f>[1]!Table3[[#This Row],[CLM $ Collected ]]/'[1]1.) CLM Reference'!$B$4</f>
        <v>6.9400658708014303E-6</v>
      </c>
      <c r="F463" s="40">
        <f>[1]!Table3[[#This Row],[Residential Incentive Disbursements]]+[1]!Table3[[#This Row],[C&amp;I Incentive Disbursements]]</f>
        <v>0</v>
      </c>
      <c r="G463" s="36">
        <f>[1]!Table3[[#This Row],[Incentive Disbursements]]/'[1]1.) CLM Reference'!$B$5</f>
        <v>0</v>
      </c>
      <c r="H463" s="40">
        <v>782.27527680000003</v>
      </c>
      <c r="I463" s="36">
        <f>[1]!Table3[[#This Row],[Residential CLM $ Collected]]/'[1]1.) CLM Reference'!$B$4</f>
        <v>6.9400658708014303E-6</v>
      </c>
      <c r="J463" s="41">
        <v>0</v>
      </c>
      <c r="K463" s="36">
        <f>[1]!Table3[[#This Row],[Residential Incentive Disbursements]]/'[1]1.) CLM Reference'!$B$5</f>
        <v>0</v>
      </c>
      <c r="L463" s="37">
        <v>0</v>
      </c>
      <c r="M463" s="36">
        <f>[1]!Table3[[#This Row],[C&amp;I CLM $ Collected]]/'[1]1.) CLM Reference'!$B$4</f>
        <v>0</v>
      </c>
      <c r="N463" s="41">
        <v>0</v>
      </c>
      <c r="O463" s="36">
        <f>[1]!Table3[[#This Row],[C&amp;I Incentive Disbursements]]/'[1]1.) CLM Reference'!$B$5</f>
        <v>0</v>
      </c>
      <c r="Q463">
        <f>VLOOKUP(Table3[[#This Row],[Census Tract]],'Population and Diversity Data'!$B$2:$K$823,10,FALSE)</f>
        <v>2</v>
      </c>
      <c r="R463" t="str">
        <f>VLOOKUP(Table3[[#This Row],[Census Tract]],'ES Energy Burden'!$B$2:$E$914,4,FALSE)</f>
        <v>No</v>
      </c>
    </row>
    <row r="464" spans="1:18" x14ac:dyDescent="0.2">
      <c r="A464" s="100">
        <v>9009351900</v>
      </c>
      <c r="B464" s="38" t="s">
        <v>2807</v>
      </c>
      <c r="C464" s="38" t="s">
        <v>944</v>
      </c>
      <c r="D464" s="40">
        <f>[1]!Table3[[#This Row],[Residential CLM $ Collected]]+[1]!Table3[[#This Row],[C&amp;I CLM $ Collected]]</f>
        <v>679.60511999999994</v>
      </c>
      <c r="E464" s="36">
        <f>[1]!Table3[[#This Row],[CLM $ Collected ]]/'[1]1.) CLM Reference'!$B$4</f>
        <v>6.0292130389540004E-6</v>
      </c>
      <c r="F464" s="40">
        <f>[1]!Table3[[#This Row],[Residential Incentive Disbursements]]+[1]!Table3[[#This Row],[C&amp;I Incentive Disbursements]]</f>
        <v>0</v>
      </c>
      <c r="G464" s="36">
        <f>[1]!Table3[[#This Row],[Incentive Disbursements]]/'[1]1.) CLM Reference'!$B$5</f>
        <v>0</v>
      </c>
      <c r="H464" s="40">
        <v>679.60511999999994</v>
      </c>
      <c r="I464" s="36">
        <f>[1]!Table3[[#This Row],[Residential CLM $ Collected]]/'[1]1.) CLM Reference'!$B$4</f>
        <v>6.0292130389540004E-6</v>
      </c>
      <c r="J464" s="41">
        <v>0</v>
      </c>
      <c r="K464" s="36">
        <f>[1]!Table3[[#This Row],[Residential Incentive Disbursements]]/'[1]1.) CLM Reference'!$B$5</f>
        <v>0</v>
      </c>
      <c r="L464" s="37">
        <v>0</v>
      </c>
      <c r="M464" s="36">
        <f>[1]!Table3[[#This Row],[C&amp;I CLM $ Collected]]/'[1]1.) CLM Reference'!$B$4</f>
        <v>0</v>
      </c>
      <c r="N464" s="41">
        <v>0</v>
      </c>
      <c r="O464" s="36">
        <f>[1]!Table3[[#This Row],[C&amp;I Incentive Disbursements]]/'[1]1.) CLM Reference'!$B$5</f>
        <v>0</v>
      </c>
      <c r="Q464">
        <f>VLOOKUP(Table3[[#This Row],[Census Tract]],'Population and Diversity Data'!$B$2:$K$823,10,FALSE)</f>
        <v>4</v>
      </c>
      <c r="R464" t="str">
        <f>VLOOKUP(Table3[[#This Row],[Census Tract]],'ES Energy Burden'!$B$2:$E$914,4,FALSE)</f>
        <v>No</v>
      </c>
    </row>
    <row r="465" spans="1:18" x14ac:dyDescent="0.2">
      <c r="A465" s="100">
        <v>9003400300</v>
      </c>
      <c r="B465" s="38" t="s">
        <v>985</v>
      </c>
      <c r="C465" s="38" t="s">
        <v>944</v>
      </c>
      <c r="D465" s="40">
        <f>[1]!Table3[[#This Row],[Residential CLM $ Collected]]+[1]!Table3[[#This Row],[C&amp;I CLM $ Collected]]</f>
        <v>617.43919679999999</v>
      </c>
      <c r="E465" s="36">
        <f>[1]!Table3[[#This Row],[CLM $ Collected ]]/'[1]1.) CLM Reference'!$B$4</f>
        <v>5.47769924998188E-6</v>
      </c>
      <c r="F465" s="40">
        <f>[1]!Table3[[#This Row],[Residential Incentive Disbursements]]+[1]!Table3[[#This Row],[C&amp;I Incentive Disbursements]]</f>
        <v>436.28</v>
      </c>
      <c r="G465" s="36">
        <f>[1]!Table3[[#This Row],[Incentive Disbursements]]/'[1]1.) CLM Reference'!$B$5</f>
        <v>5.3377340113416223E-6</v>
      </c>
      <c r="H465" s="40">
        <v>617.43919679999999</v>
      </c>
      <c r="I465" s="36">
        <f>[1]!Table3[[#This Row],[Residential CLM $ Collected]]/'[1]1.) CLM Reference'!$B$4</f>
        <v>5.47769924998188E-6</v>
      </c>
      <c r="J465" s="41">
        <v>436.28</v>
      </c>
      <c r="K465" s="36">
        <f>[1]!Table3[[#This Row],[Residential Incentive Disbursements]]/'[1]1.) CLM Reference'!$B$5</f>
        <v>5.3377340113416223E-6</v>
      </c>
      <c r="L465" s="37">
        <v>0</v>
      </c>
      <c r="M465" s="36">
        <f>[1]!Table3[[#This Row],[C&amp;I CLM $ Collected]]/'[1]1.) CLM Reference'!$B$4</f>
        <v>0</v>
      </c>
      <c r="N465" s="41">
        <v>0</v>
      </c>
      <c r="O465" s="36">
        <f>[1]!Table3[[#This Row],[C&amp;I Incentive Disbursements]]/'[1]1.) CLM Reference'!$B$5</f>
        <v>0</v>
      </c>
      <c r="Q465">
        <f>VLOOKUP(Table3[[#This Row],[Census Tract]],'Population and Diversity Data'!$B$2:$K$823,10,FALSE)</f>
        <v>2</v>
      </c>
      <c r="R465" t="str">
        <f>VLOOKUP(Table3[[#This Row],[Census Tract]],'ES Energy Burden'!$B$2:$E$914,4,FALSE)</f>
        <v>No</v>
      </c>
    </row>
    <row r="466" spans="1:18" x14ac:dyDescent="0.2">
      <c r="A466" s="100">
        <v>9003415300</v>
      </c>
      <c r="B466" s="38" t="s">
        <v>985</v>
      </c>
      <c r="C466" s="38" t="s">
        <v>944</v>
      </c>
      <c r="D466" s="40">
        <f>[1]!Table3[[#This Row],[Residential CLM $ Collected]]+[1]!Table3[[#This Row],[C&amp;I CLM $ Collected]]</f>
        <v>61846.119786240008</v>
      </c>
      <c r="E466" s="36">
        <f>[1]!Table3[[#This Row],[CLM $ Collected ]]/'[1]1.) CLM Reference'!$B$4</f>
        <v>5.4867660770994379E-4</v>
      </c>
      <c r="F466" s="40">
        <f>[1]!Table3[[#This Row],[Residential Incentive Disbursements]]+[1]!Table3[[#This Row],[C&amp;I Incentive Disbursements]]</f>
        <v>907.27</v>
      </c>
      <c r="G466" s="36">
        <f>[1]!Table3[[#This Row],[Incentive Disbursements]]/'[1]1.) CLM Reference'!$B$5</f>
        <v>1.1100132796529555E-5</v>
      </c>
      <c r="H466" s="40">
        <v>61846.119786240008</v>
      </c>
      <c r="I466" s="36">
        <f>[1]!Table3[[#This Row],[Residential CLM $ Collected]]/'[1]1.) CLM Reference'!$B$4</f>
        <v>5.4867660770994379E-4</v>
      </c>
      <c r="J466" s="41">
        <v>907.27</v>
      </c>
      <c r="K466" s="36">
        <f>[1]!Table3[[#This Row],[Residential Incentive Disbursements]]/'[1]1.) CLM Reference'!$B$5</f>
        <v>1.1100132796529555E-5</v>
      </c>
      <c r="L466" s="37">
        <v>0</v>
      </c>
      <c r="M466" s="36">
        <f>[1]!Table3[[#This Row],[C&amp;I CLM $ Collected]]/'[1]1.) CLM Reference'!$B$4</f>
        <v>0</v>
      </c>
      <c r="N466" s="41">
        <v>0</v>
      </c>
      <c r="O466" s="36">
        <f>[1]!Table3[[#This Row],[C&amp;I Incentive Disbursements]]/'[1]1.) CLM Reference'!$B$5</f>
        <v>0</v>
      </c>
      <c r="Q466">
        <f>VLOOKUP(Table3[[#This Row],[Census Tract]],'Population and Diversity Data'!$B$2:$K$823,10,FALSE)</f>
        <v>5</v>
      </c>
      <c r="R466" t="str">
        <f>VLOOKUP(Table3[[#This Row],[Census Tract]],'ES Energy Burden'!$B$2:$E$914,4,FALSE)</f>
        <v>Yes</v>
      </c>
    </row>
    <row r="467" spans="1:18" x14ac:dyDescent="0.2">
      <c r="A467" s="100">
        <v>9003415400</v>
      </c>
      <c r="B467" s="38" t="s">
        <v>985</v>
      </c>
      <c r="C467" s="38" t="s">
        <v>944</v>
      </c>
      <c r="D467" s="40">
        <f>[1]!Table3[[#This Row],[Residential CLM $ Collected]]+[1]!Table3[[#This Row],[C&amp;I CLM $ Collected]]</f>
        <v>60029.682335999998</v>
      </c>
      <c r="E467" s="36">
        <f>[1]!Table3[[#This Row],[CLM $ Collected ]]/'[1]1.) CLM Reference'!$B$4</f>
        <v>5.3256182570325227E-4</v>
      </c>
      <c r="F467" s="40">
        <f>[1]!Table3[[#This Row],[Residential Incentive Disbursements]]+[1]!Table3[[#This Row],[C&amp;I Incentive Disbursements]]</f>
        <v>7314.39</v>
      </c>
      <c r="G467" s="36">
        <f>[1]!Table3[[#This Row],[Incentive Disbursements]]/'[1]1.) CLM Reference'!$B$5</f>
        <v>8.948901685893704E-5</v>
      </c>
      <c r="H467" s="40">
        <v>60029.682335999998</v>
      </c>
      <c r="I467" s="36">
        <f>[1]!Table3[[#This Row],[Residential CLM $ Collected]]/'[1]1.) CLM Reference'!$B$4</f>
        <v>5.3256182570325227E-4</v>
      </c>
      <c r="J467" s="41">
        <v>7314.39</v>
      </c>
      <c r="K467" s="36">
        <f>[1]!Table3[[#This Row],[Residential Incentive Disbursements]]/'[1]1.) CLM Reference'!$B$5</f>
        <v>8.948901685893704E-5</v>
      </c>
      <c r="L467" s="37">
        <v>0</v>
      </c>
      <c r="M467" s="36">
        <f>[1]!Table3[[#This Row],[C&amp;I CLM $ Collected]]/'[1]1.) CLM Reference'!$B$4</f>
        <v>0</v>
      </c>
      <c r="N467" s="41">
        <v>0</v>
      </c>
      <c r="O467" s="36">
        <f>[1]!Table3[[#This Row],[C&amp;I Incentive Disbursements]]/'[1]1.) CLM Reference'!$B$5</f>
        <v>0</v>
      </c>
      <c r="Q467">
        <f>VLOOKUP(Table3[[#This Row],[Census Tract]],'Population and Diversity Data'!$B$2:$K$823,10,FALSE)</f>
        <v>3</v>
      </c>
      <c r="R467" t="str">
        <f>VLOOKUP(Table3[[#This Row],[Census Tract]],'ES Energy Burden'!$B$2:$E$914,4,FALSE)</f>
        <v>Yes</v>
      </c>
    </row>
    <row r="468" spans="1:18" x14ac:dyDescent="0.2">
      <c r="A468" s="100">
        <v>9003415500</v>
      </c>
      <c r="B468" s="38" t="s">
        <v>985</v>
      </c>
      <c r="C468" s="38" t="s">
        <v>944</v>
      </c>
      <c r="D468" s="40">
        <f>[1]!Table3[[#This Row],[Residential CLM $ Collected]]+[1]!Table3[[#This Row],[C&amp;I CLM $ Collected]]</f>
        <v>30047.905635839998</v>
      </c>
      <c r="E468" s="36">
        <f>[1]!Table3[[#This Row],[CLM $ Collected ]]/'[1]1.) CLM Reference'!$B$4</f>
        <v>2.6657424895925729E-4</v>
      </c>
      <c r="F468" s="40">
        <f>[1]!Table3[[#This Row],[Residential Incentive Disbursements]]+[1]!Table3[[#This Row],[C&amp;I Incentive Disbursements]]</f>
        <v>2366.27</v>
      </c>
      <c r="G468" s="36">
        <f>[1]!Table3[[#This Row],[Incentive Disbursements]]/'[1]1.) CLM Reference'!$B$5</f>
        <v>2.8950490187534019E-5</v>
      </c>
      <c r="H468" s="40">
        <v>30047.905635839998</v>
      </c>
      <c r="I468" s="36">
        <f>[1]!Table3[[#This Row],[Residential CLM $ Collected]]/'[1]1.) CLM Reference'!$B$4</f>
        <v>2.6657424895925729E-4</v>
      </c>
      <c r="J468" s="41">
        <v>2366.27</v>
      </c>
      <c r="K468" s="36">
        <f>[1]!Table3[[#This Row],[Residential Incentive Disbursements]]/'[1]1.) CLM Reference'!$B$5</f>
        <v>2.8950490187534019E-5</v>
      </c>
      <c r="L468" s="37">
        <v>0</v>
      </c>
      <c r="M468" s="36">
        <f>[1]!Table3[[#This Row],[C&amp;I CLM $ Collected]]/'[1]1.) CLM Reference'!$B$4</f>
        <v>0</v>
      </c>
      <c r="N468" s="41">
        <v>0</v>
      </c>
      <c r="O468" s="36">
        <f>[1]!Table3[[#This Row],[C&amp;I Incentive Disbursements]]/'[1]1.) CLM Reference'!$B$5</f>
        <v>0</v>
      </c>
      <c r="Q468">
        <f>VLOOKUP(Table3[[#This Row],[Census Tract]],'Population and Diversity Data'!$B$2:$K$823,10,FALSE)</f>
        <v>4</v>
      </c>
      <c r="R468" t="str">
        <f>VLOOKUP(Table3[[#This Row],[Census Tract]],'ES Energy Burden'!$B$2:$E$914,4,FALSE)</f>
        <v>Yes</v>
      </c>
    </row>
    <row r="469" spans="1:18" x14ac:dyDescent="0.2">
      <c r="A469" s="100">
        <v>9003415600</v>
      </c>
      <c r="B469" s="38" t="s">
        <v>985</v>
      </c>
      <c r="C469" s="38" t="s">
        <v>944</v>
      </c>
      <c r="D469" s="40">
        <f>[1]!Table3[[#This Row],[Residential CLM $ Collected]]+[1]!Table3[[#This Row],[C&amp;I CLM $ Collected]]</f>
        <v>37752.075993600003</v>
      </c>
      <c r="E469" s="36">
        <f>[1]!Table3[[#This Row],[CLM $ Collected ]]/'[1]1.) CLM Reference'!$B$4</f>
        <v>3.3492288702621233E-4</v>
      </c>
      <c r="F469" s="40">
        <f>[1]!Table3[[#This Row],[Residential Incentive Disbursements]]+[1]!Table3[[#This Row],[C&amp;I Incentive Disbursements]]</f>
        <v>1307.4318000000001</v>
      </c>
      <c r="G469" s="36">
        <f>[1]!Table3[[#This Row],[Incentive Disbursements]]/'[1]1.) CLM Reference'!$B$5</f>
        <v>1.5995973196959748E-5</v>
      </c>
      <c r="H469" s="40">
        <v>37751.387126400004</v>
      </c>
      <c r="I469" s="36">
        <f>[1]!Table3[[#This Row],[Residential CLM $ Collected]]/'[1]1.) CLM Reference'!$B$4</f>
        <v>3.3491677564331937E-4</v>
      </c>
      <c r="J469" s="41">
        <v>1307.4318000000001</v>
      </c>
      <c r="K469" s="36">
        <f>[1]!Table3[[#This Row],[Residential Incentive Disbursements]]/'[1]1.) CLM Reference'!$B$5</f>
        <v>1.5995973196959748E-5</v>
      </c>
      <c r="L469" s="37">
        <v>0.68886720000000001</v>
      </c>
      <c r="M469" s="36">
        <f>[1]!Table3[[#This Row],[C&amp;I CLM $ Collected]]/'[1]1.) CLM Reference'!$B$4</f>
        <v>6.1113828929772247E-9</v>
      </c>
      <c r="N469" s="41">
        <v>0</v>
      </c>
      <c r="O469" s="36">
        <f>[1]!Table3[[#This Row],[C&amp;I Incentive Disbursements]]/'[1]1.) CLM Reference'!$B$5</f>
        <v>0</v>
      </c>
      <c r="Q469">
        <f>VLOOKUP(Table3[[#This Row],[Census Tract]],'Population and Diversity Data'!$B$2:$K$823,10,FALSE)</f>
        <v>5</v>
      </c>
      <c r="R469" t="str">
        <f>VLOOKUP(Table3[[#This Row],[Census Tract]],'ES Energy Burden'!$B$2:$E$914,4,FALSE)</f>
        <v>No</v>
      </c>
    </row>
    <row r="470" spans="1:18" x14ac:dyDescent="0.2">
      <c r="A470" s="100">
        <v>9003415700</v>
      </c>
      <c r="B470" s="38" t="s">
        <v>985</v>
      </c>
      <c r="C470" s="38" t="s">
        <v>944</v>
      </c>
      <c r="D470" s="40">
        <f>[1]!Table3[[#This Row],[Residential CLM $ Collected]]+[1]!Table3[[#This Row],[C&amp;I CLM $ Collected]]</f>
        <v>35649.427536000003</v>
      </c>
      <c r="E470" s="36">
        <f>[1]!Table3[[#This Row],[CLM $ Collected ]]/'[1]1.) CLM Reference'!$B$4</f>
        <v>3.1626894354665403E-4</v>
      </c>
      <c r="F470" s="40">
        <f>[1]!Table3[[#This Row],[Residential Incentive Disbursements]]+[1]!Table3[[#This Row],[C&amp;I Incentive Disbursements]]</f>
        <v>7072.64</v>
      </c>
      <c r="G470" s="36">
        <f>[1]!Table3[[#This Row],[Incentive Disbursements]]/'[1]1.) CLM Reference'!$B$5</f>
        <v>8.6531289717555734E-5</v>
      </c>
      <c r="H470" s="40">
        <v>35649.427536000003</v>
      </c>
      <c r="I470" s="36">
        <f>[1]!Table3[[#This Row],[Residential CLM $ Collected]]/'[1]1.) CLM Reference'!$B$4</f>
        <v>3.1626894354665403E-4</v>
      </c>
      <c r="J470" s="41">
        <v>7072.64</v>
      </c>
      <c r="K470" s="36">
        <f>[1]!Table3[[#This Row],[Residential Incentive Disbursements]]/'[1]1.) CLM Reference'!$B$5</f>
        <v>8.6531289717555734E-5</v>
      </c>
      <c r="L470" s="37">
        <v>0</v>
      </c>
      <c r="M470" s="36">
        <f>[1]!Table3[[#This Row],[C&amp;I CLM $ Collected]]/'[1]1.) CLM Reference'!$B$4</f>
        <v>0</v>
      </c>
      <c r="N470" s="41">
        <v>0</v>
      </c>
      <c r="O470" s="36">
        <f>[1]!Table3[[#This Row],[C&amp;I Incentive Disbursements]]/'[1]1.) CLM Reference'!$B$5</f>
        <v>0</v>
      </c>
      <c r="Q470">
        <f>VLOOKUP(Table3[[#This Row],[Census Tract]],'Population and Diversity Data'!$B$2:$K$823,10,FALSE)</f>
        <v>4</v>
      </c>
      <c r="R470" t="str">
        <f>VLOOKUP(Table3[[#This Row],[Census Tract]],'ES Energy Burden'!$B$2:$E$914,4,FALSE)</f>
        <v>No</v>
      </c>
    </row>
    <row r="471" spans="1:18" x14ac:dyDescent="0.2">
      <c r="A471" s="100">
        <v>9003415800</v>
      </c>
      <c r="B471" s="38" t="s">
        <v>985</v>
      </c>
      <c r="C471" s="38" t="s">
        <v>944</v>
      </c>
      <c r="D471" s="40">
        <f>[1]!Table3[[#This Row],[Residential CLM $ Collected]]+[1]!Table3[[#This Row],[C&amp;I CLM $ Collected]]</f>
        <v>33526.781089920005</v>
      </c>
      <c r="E471" s="36">
        <f>[1]!Table3[[#This Row],[CLM $ Collected ]]/'[1]1.) CLM Reference'!$B$4</f>
        <v>2.9743758508102785E-4</v>
      </c>
      <c r="F471" s="40">
        <f>[1]!Table3[[#This Row],[Residential Incentive Disbursements]]+[1]!Table3[[#This Row],[C&amp;I Incentive Disbursements]]</f>
        <v>4495.78</v>
      </c>
      <c r="G471" s="36">
        <f>[1]!Table3[[#This Row],[Incentive Disbursements]]/'[1]1.) CLM Reference'!$B$5</f>
        <v>5.5004304147587416E-5</v>
      </c>
      <c r="H471" s="40">
        <v>33526.124061120005</v>
      </c>
      <c r="I471" s="36">
        <f>[1]!Table3[[#This Row],[Residential CLM $ Collected]]/'[1]1.) CLM Reference'!$B$4</f>
        <v>2.9743175615700807E-4</v>
      </c>
      <c r="J471" s="41">
        <v>4495.78</v>
      </c>
      <c r="K471" s="36">
        <f>[1]!Table3[[#This Row],[Residential Incentive Disbursements]]/'[1]1.) CLM Reference'!$B$5</f>
        <v>5.5004304147587416E-5</v>
      </c>
      <c r="L471" s="37">
        <v>0.65702879999999997</v>
      </c>
      <c r="M471" s="36">
        <f>[1]!Table3[[#This Row],[C&amp;I CLM $ Collected]]/'[1]1.) CLM Reference'!$B$4</f>
        <v>5.8289240197723945E-9</v>
      </c>
      <c r="N471" s="41">
        <v>0</v>
      </c>
      <c r="O471" s="36">
        <f>[1]!Table3[[#This Row],[C&amp;I Incentive Disbursements]]/'[1]1.) CLM Reference'!$B$5</f>
        <v>0</v>
      </c>
      <c r="Q471">
        <f>VLOOKUP(Table3[[#This Row],[Census Tract]],'Population and Diversity Data'!$B$2:$K$823,10,FALSE)</f>
        <v>3</v>
      </c>
      <c r="R471" t="str">
        <f>VLOOKUP(Table3[[#This Row],[Census Tract]],'ES Energy Burden'!$B$2:$E$914,4,FALSE)</f>
        <v>No</v>
      </c>
    </row>
    <row r="472" spans="1:18" x14ac:dyDescent="0.2">
      <c r="A472" s="100">
        <v>9003417100</v>
      </c>
      <c r="B472" s="38" t="s">
        <v>985</v>
      </c>
      <c r="C472" s="38" t="s">
        <v>936</v>
      </c>
      <c r="D472" s="40">
        <f>[1]!Table3[[#This Row],[Residential CLM $ Collected]]+[1]!Table3[[#This Row],[C&amp;I CLM $ Collected]]</f>
        <v>13994.03441376</v>
      </c>
      <c r="E472" s="36">
        <f>[1]!Table3[[#This Row],[CLM $ Collected ]]/'[1]1.) CLM Reference'!$B$4</f>
        <v>1.2415005754372893E-4</v>
      </c>
      <c r="F472" s="40">
        <f>[1]!Table3[[#This Row],[Residential Incentive Disbursements]]+[1]!Table3[[#This Row],[C&amp;I Incentive Disbursements]]</f>
        <v>1500.57</v>
      </c>
      <c r="G472" s="36">
        <f>[1]!Table3[[#This Row],[Incentive Disbursements]]/'[1]1.) CLM Reference'!$B$5</f>
        <v>1.835895187814912E-5</v>
      </c>
      <c r="H472" s="40">
        <v>13994.03441376</v>
      </c>
      <c r="I472" s="36">
        <f>[1]!Table3[[#This Row],[Residential CLM $ Collected]]/'[1]1.) CLM Reference'!$B$4</f>
        <v>1.2415005754372893E-4</v>
      </c>
      <c r="J472" s="41">
        <v>1500.57</v>
      </c>
      <c r="K472" s="36">
        <f>[1]!Table3[[#This Row],[Residential Incentive Disbursements]]/'[1]1.) CLM Reference'!$B$5</f>
        <v>1.835895187814912E-5</v>
      </c>
      <c r="L472" s="37">
        <v>0</v>
      </c>
      <c r="M472" s="36">
        <f>[1]!Table3[[#This Row],[C&amp;I CLM $ Collected]]/'[1]1.) CLM Reference'!$B$4</f>
        <v>0</v>
      </c>
      <c r="N472" s="41">
        <v>0</v>
      </c>
      <c r="O472" s="36">
        <f>[1]!Table3[[#This Row],[C&amp;I Incentive Disbursements]]/'[1]1.) CLM Reference'!$B$5</f>
        <v>0</v>
      </c>
      <c r="Q472">
        <f>VLOOKUP(Table3[[#This Row],[Census Tract]],'Population and Diversity Data'!$B$2:$K$823,10,FALSE)</f>
        <v>4</v>
      </c>
      <c r="R472" t="e">
        <f>VLOOKUP(Table3[[#This Row],[Census Tract]],'ES Energy Burden'!$B$2:$E$914,4,FALSE)</f>
        <v>#N/A</v>
      </c>
    </row>
    <row r="473" spans="1:18" x14ac:dyDescent="0.2">
      <c r="A473" s="100">
        <v>9003416000</v>
      </c>
      <c r="B473" s="38" t="s">
        <v>985</v>
      </c>
      <c r="C473" s="38" t="s">
        <v>944</v>
      </c>
      <c r="D473" s="40">
        <f>[1]!Table3[[#This Row],[Residential CLM $ Collected]]+[1]!Table3[[#This Row],[C&amp;I CLM $ Collected]]</f>
        <v>53175.932429759996</v>
      </c>
      <c r="E473" s="36">
        <f>[1]!Table3[[#This Row],[CLM $ Collected ]]/'[1]1.) CLM Reference'!$B$4</f>
        <v>4.7175781307245876E-4</v>
      </c>
      <c r="F473" s="40">
        <f>[1]!Table3[[#This Row],[Residential Incentive Disbursements]]+[1]!Table3[[#This Row],[C&amp;I Incentive Disbursements]]</f>
        <v>772.94</v>
      </c>
      <c r="G473" s="36">
        <f>[1]!Table3[[#This Row],[Incentive Disbursements]]/'[1]1.) CLM Reference'!$B$5</f>
        <v>9.4566519820445456E-6</v>
      </c>
      <c r="H473" s="40">
        <v>53175.932429759996</v>
      </c>
      <c r="I473" s="36">
        <f>[1]!Table3[[#This Row],[Residential CLM $ Collected]]/'[1]1.) CLM Reference'!$B$4</f>
        <v>4.7175781307245876E-4</v>
      </c>
      <c r="J473" s="41">
        <v>772.94</v>
      </c>
      <c r="K473" s="36">
        <f>[1]!Table3[[#This Row],[Residential Incentive Disbursements]]/'[1]1.) CLM Reference'!$B$5</f>
        <v>9.4566519820445456E-6</v>
      </c>
      <c r="L473" s="37">
        <v>0</v>
      </c>
      <c r="M473" s="36">
        <f>[1]!Table3[[#This Row],[C&amp;I CLM $ Collected]]/'[1]1.) CLM Reference'!$B$4</f>
        <v>0</v>
      </c>
      <c r="N473" s="41">
        <v>0</v>
      </c>
      <c r="O473" s="36">
        <f>[1]!Table3[[#This Row],[C&amp;I Incentive Disbursements]]/'[1]1.) CLM Reference'!$B$5</f>
        <v>0</v>
      </c>
      <c r="Q473">
        <f>VLOOKUP(Table3[[#This Row],[Census Tract]],'Population and Diversity Data'!$B$2:$K$823,10,FALSE)</f>
        <v>3</v>
      </c>
      <c r="R473" t="str">
        <f>VLOOKUP(Table3[[#This Row],[Census Tract]],'ES Energy Burden'!$B$2:$E$914,4,FALSE)</f>
        <v>Yes</v>
      </c>
    </row>
    <row r="474" spans="1:18" x14ac:dyDescent="0.2">
      <c r="A474" s="100">
        <v>9003416100</v>
      </c>
      <c r="B474" s="38" t="s">
        <v>985</v>
      </c>
      <c r="C474" s="38" t="s">
        <v>944</v>
      </c>
      <c r="D474" s="40">
        <f>[1]!Table3[[#This Row],[Residential CLM $ Collected]]+[1]!Table3[[#This Row],[C&amp;I CLM $ Collected]]</f>
        <v>45937.126019520001</v>
      </c>
      <c r="E474" s="36">
        <f>[1]!Table3[[#This Row],[CLM $ Collected ]]/'[1]1.) CLM Reference'!$B$4</f>
        <v>4.0753771715104663E-4</v>
      </c>
      <c r="F474" s="40">
        <f>[1]!Table3[[#This Row],[Residential Incentive Disbursements]]+[1]!Table3[[#This Row],[C&amp;I Incentive Disbursements]]</f>
        <v>2835.0911999999998</v>
      </c>
      <c r="G474" s="36">
        <f>[1]!Table3[[#This Row],[Incentive Disbursements]]/'[1]1.) CLM Reference'!$B$5</f>
        <v>3.4686354459281499E-5</v>
      </c>
      <c r="H474" s="40">
        <v>45937.126019520001</v>
      </c>
      <c r="I474" s="36">
        <f>[1]!Table3[[#This Row],[Residential CLM $ Collected]]/'[1]1.) CLM Reference'!$B$4</f>
        <v>4.0753771715104663E-4</v>
      </c>
      <c r="J474" s="41">
        <v>2835.0911999999998</v>
      </c>
      <c r="K474" s="36">
        <f>[1]!Table3[[#This Row],[Residential Incentive Disbursements]]/'[1]1.) CLM Reference'!$B$5</f>
        <v>3.4686354459281499E-5</v>
      </c>
      <c r="L474" s="37">
        <v>0</v>
      </c>
      <c r="M474" s="36">
        <f>[1]!Table3[[#This Row],[C&amp;I CLM $ Collected]]/'[1]1.) CLM Reference'!$B$4</f>
        <v>0</v>
      </c>
      <c r="N474" s="41">
        <v>0</v>
      </c>
      <c r="O474" s="36">
        <f>[1]!Table3[[#This Row],[C&amp;I Incentive Disbursements]]/'[1]1.) CLM Reference'!$B$5</f>
        <v>0</v>
      </c>
      <c r="Q474">
        <f>VLOOKUP(Table3[[#This Row],[Census Tract]],'Population and Diversity Data'!$B$2:$K$823,10,FALSE)</f>
        <v>5</v>
      </c>
      <c r="R474" t="str">
        <f>VLOOKUP(Table3[[#This Row],[Census Tract]],'ES Energy Burden'!$B$2:$E$914,4,FALSE)</f>
        <v>Yes</v>
      </c>
    </row>
    <row r="475" spans="1:18" x14ac:dyDescent="0.2">
      <c r="A475" s="100">
        <v>9003416200</v>
      </c>
      <c r="B475" s="38" t="s">
        <v>985</v>
      </c>
      <c r="C475" s="38" t="s">
        <v>944</v>
      </c>
      <c r="D475" s="40">
        <f>[1]!Table3[[#This Row],[Residential CLM $ Collected]]+[1]!Table3[[#This Row],[C&amp;I CLM $ Collected]]</f>
        <v>25037.862480000003</v>
      </c>
      <c r="E475" s="36">
        <f>[1]!Table3[[#This Row],[CLM $ Collected ]]/'[1]1.) CLM Reference'!$B$4</f>
        <v>2.2212694179224722E-4</v>
      </c>
      <c r="F475" s="40">
        <f>[1]!Table3[[#This Row],[Residential Incentive Disbursements]]+[1]!Table3[[#This Row],[C&amp;I Incentive Disbursements]]</f>
        <v>31916.26</v>
      </c>
      <c r="G475" s="36">
        <f>[1]!Table3[[#This Row],[Incentive Disbursements]]/'[1]1.) CLM Reference'!$B$5</f>
        <v>3.9048433693229616E-4</v>
      </c>
      <c r="H475" s="40">
        <v>25037.862480000003</v>
      </c>
      <c r="I475" s="36">
        <f>[1]!Table3[[#This Row],[Residential CLM $ Collected]]/'[1]1.) CLM Reference'!$B$4</f>
        <v>2.2212694179224722E-4</v>
      </c>
      <c r="J475" s="41">
        <v>31916.26</v>
      </c>
      <c r="K475" s="36">
        <f>[1]!Table3[[#This Row],[Residential Incentive Disbursements]]/'[1]1.) CLM Reference'!$B$5</f>
        <v>3.9048433693229616E-4</v>
      </c>
      <c r="L475" s="37">
        <v>0</v>
      </c>
      <c r="M475" s="36">
        <f>[1]!Table3[[#This Row],[C&amp;I CLM $ Collected]]/'[1]1.) CLM Reference'!$B$4</f>
        <v>0</v>
      </c>
      <c r="N475" s="41">
        <v>0</v>
      </c>
      <c r="O475" s="36">
        <f>[1]!Table3[[#This Row],[C&amp;I Incentive Disbursements]]/'[1]1.) CLM Reference'!$B$5</f>
        <v>0</v>
      </c>
      <c r="Q475">
        <f>VLOOKUP(Table3[[#This Row],[Census Tract]],'Population and Diversity Data'!$B$2:$K$823,10,FALSE)</f>
        <v>4</v>
      </c>
      <c r="R475" t="str">
        <f>VLOOKUP(Table3[[#This Row],[Census Tract]],'ES Energy Burden'!$B$2:$E$914,4,FALSE)</f>
        <v>Yes</v>
      </c>
    </row>
    <row r="476" spans="1:18" x14ac:dyDescent="0.2">
      <c r="A476" s="100">
        <v>9003416300</v>
      </c>
      <c r="B476" s="38" t="s">
        <v>985</v>
      </c>
      <c r="C476" s="38" t="s">
        <v>944</v>
      </c>
      <c r="D476" s="40">
        <f>[1]!Table3[[#This Row],[Residential CLM $ Collected]]+[1]!Table3[[#This Row],[C&amp;I CLM $ Collected]]</f>
        <v>46612.013846400005</v>
      </c>
      <c r="E476" s="36">
        <f>[1]!Table3[[#This Row],[CLM $ Collected ]]/'[1]1.) CLM Reference'!$B$4</f>
        <v>4.1352508005622346E-4</v>
      </c>
      <c r="F476" s="40">
        <f>[1]!Table3[[#This Row],[Residential Incentive Disbursements]]+[1]!Table3[[#This Row],[C&amp;I Incentive Disbursements]]</f>
        <v>7464.55</v>
      </c>
      <c r="G476" s="36">
        <f>[1]!Table3[[#This Row],[Incentive Disbursements]]/'[1]1.) CLM Reference'!$B$5</f>
        <v>9.132617221591663E-5</v>
      </c>
      <c r="H476" s="40">
        <v>46612.013846400005</v>
      </c>
      <c r="I476" s="36">
        <f>[1]!Table3[[#This Row],[Residential CLM $ Collected]]/'[1]1.) CLM Reference'!$B$4</f>
        <v>4.1352508005622346E-4</v>
      </c>
      <c r="J476" s="41">
        <v>7464.55</v>
      </c>
      <c r="K476" s="36">
        <f>[1]!Table3[[#This Row],[Residential Incentive Disbursements]]/'[1]1.) CLM Reference'!$B$5</f>
        <v>9.132617221591663E-5</v>
      </c>
      <c r="L476" s="37">
        <v>0</v>
      </c>
      <c r="M476" s="36">
        <f>[1]!Table3[[#This Row],[C&amp;I CLM $ Collected]]/'[1]1.) CLM Reference'!$B$4</f>
        <v>0</v>
      </c>
      <c r="N476" s="41">
        <v>0</v>
      </c>
      <c r="O476" s="36">
        <f>[1]!Table3[[#This Row],[C&amp;I Incentive Disbursements]]/'[1]1.) CLM Reference'!$B$5</f>
        <v>0</v>
      </c>
      <c r="Q476">
        <f>VLOOKUP(Table3[[#This Row],[Census Tract]],'Population and Diversity Data'!$B$2:$K$823,10,FALSE)</f>
        <v>4</v>
      </c>
      <c r="R476" t="str">
        <f>VLOOKUP(Table3[[#This Row],[Census Tract]],'ES Energy Burden'!$B$2:$E$914,4,FALSE)</f>
        <v>Yes</v>
      </c>
    </row>
    <row r="477" spans="1:18" x14ac:dyDescent="0.2">
      <c r="A477" s="100">
        <v>9003416400</v>
      </c>
      <c r="B477" s="38" t="s">
        <v>985</v>
      </c>
      <c r="C477" s="38" t="s">
        <v>944</v>
      </c>
      <c r="D477" s="40">
        <f>[1]!Table3[[#This Row],[Residential CLM $ Collected]]+[1]!Table3[[#This Row],[C&amp;I CLM $ Collected]]</f>
        <v>55528.130845440013</v>
      </c>
      <c r="E477" s="36">
        <f>[1]!Table3[[#This Row],[CLM $ Collected ]]/'[1]1.) CLM Reference'!$B$4</f>
        <v>4.9262567433581257E-4</v>
      </c>
      <c r="F477" s="40">
        <f>[1]!Table3[[#This Row],[Residential Incentive Disbursements]]+[1]!Table3[[#This Row],[C&amp;I Incentive Disbursements]]</f>
        <v>6996.7744000000002</v>
      </c>
      <c r="G477" s="36">
        <f>[1]!Table3[[#This Row],[Incentive Disbursements]]/'[1]1.) CLM Reference'!$B$5</f>
        <v>8.5603100496388501E-5</v>
      </c>
      <c r="H477" s="40">
        <v>55528.130845440013</v>
      </c>
      <c r="I477" s="36">
        <f>[1]!Table3[[#This Row],[Residential CLM $ Collected]]/'[1]1.) CLM Reference'!$B$4</f>
        <v>4.9262567433581257E-4</v>
      </c>
      <c r="J477" s="41">
        <v>6996.7744000000002</v>
      </c>
      <c r="K477" s="36">
        <f>[1]!Table3[[#This Row],[Residential Incentive Disbursements]]/'[1]1.) CLM Reference'!$B$5</f>
        <v>8.5603100496388501E-5</v>
      </c>
      <c r="L477" s="37">
        <v>0</v>
      </c>
      <c r="M477" s="36">
        <f>[1]!Table3[[#This Row],[C&amp;I CLM $ Collected]]/'[1]1.) CLM Reference'!$B$4</f>
        <v>0</v>
      </c>
      <c r="N477" s="41">
        <v>0</v>
      </c>
      <c r="O477" s="36">
        <f>[1]!Table3[[#This Row],[C&amp;I Incentive Disbursements]]/'[1]1.) CLM Reference'!$B$5</f>
        <v>0</v>
      </c>
      <c r="Q477">
        <f>VLOOKUP(Table3[[#This Row],[Census Tract]],'Population and Diversity Data'!$B$2:$K$823,10,FALSE)</f>
        <v>3</v>
      </c>
      <c r="R477" t="str">
        <f>VLOOKUP(Table3[[#This Row],[Census Tract]],'ES Energy Burden'!$B$2:$E$914,4,FALSE)</f>
        <v>No</v>
      </c>
    </row>
    <row r="478" spans="1:18" x14ac:dyDescent="0.2">
      <c r="A478" s="100">
        <v>9003416500</v>
      </c>
      <c r="B478" s="38" t="s">
        <v>985</v>
      </c>
      <c r="C478" s="38" t="s">
        <v>944</v>
      </c>
      <c r="D478" s="40">
        <f>[1]!Table3[[#This Row],[Residential CLM $ Collected]]+[1]!Table3[[#This Row],[C&amp;I CLM $ Collected]]</f>
        <v>58912.03814112</v>
      </c>
      <c r="E478" s="36">
        <f>[1]!Table3[[#This Row],[CLM $ Collected ]]/'[1]1.) CLM Reference'!$B$4</f>
        <v>5.2264648699497168E-4</v>
      </c>
      <c r="F478" s="40">
        <f>[1]!Table3[[#This Row],[Residential Incentive Disbursements]]+[1]!Table3[[#This Row],[C&amp;I Incentive Disbursements]]</f>
        <v>9258.3799999999992</v>
      </c>
      <c r="G478" s="36">
        <f>[1]!Table3[[#This Row],[Incentive Disbursements]]/'[1]1.) CLM Reference'!$B$5</f>
        <v>1.1327305816430972E-4</v>
      </c>
      <c r="H478" s="40">
        <v>58902.579241920001</v>
      </c>
      <c r="I478" s="36">
        <f>[1]!Table3[[#This Row],[Residential CLM $ Collected]]/'[1]1.) CLM Reference'!$B$4</f>
        <v>5.2256257103155046E-4</v>
      </c>
      <c r="J478" s="41">
        <v>9258.3799999999992</v>
      </c>
      <c r="K478" s="36">
        <f>[1]!Table3[[#This Row],[Residential Incentive Disbursements]]/'[1]1.) CLM Reference'!$B$5</f>
        <v>1.1327305816430972E-4</v>
      </c>
      <c r="L478" s="37">
        <v>9.4588992000000012</v>
      </c>
      <c r="M478" s="36">
        <f>[1]!Table3[[#This Row],[C&amp;I CLM $ Collected]]/'[1]1.) CLM Reference'!$B$4</f>
        <v>8.3915963421216693E-8</v>
      </c>
      <c r="N478" s="41">
        <v>0</v>
      </c>
      <c r="O478" s="36">
        <f>[1]!Table3[[#This Row],[C&amp;I Incentive Disbursements]]/'[1]1.) CLM Reference'!$B$5</f>
        <v>0</v>
      </c>
      <c r="Q478">
        <f>VLOOKUP(Table3[[#This Row],[Census Tract]],'Population and Diversity Data'!$B$2:$K$823,10,FALSE)</f>
        <v>3</v>
      </c>
      <c r="R478" t="str">
        <f>VLOOKUP(Table3[[#This Row],[Census Tract]],'ES Energy Burden'!$B$2:$E$914,4,FALSE)</f>
        <v>No</v>
      </c>
    </row>
    <row r="479" spans="1:18" x14ac:dyDescent="0.2">
      <c r="A479" s="100">
        <v>9003416600</v>
      </c>
      <c r="B479" s="38" t="s">
        <v>985</v>
      </c>
      <c r="C479" s="38" t="s">
        <v>944</v>
      </c>
      <c r="D479" s="40">
        <f>[1]!Table3[[#This Row],[Residential CLM $ Collected]]+[1]!Table3[[#This Row],[C&amp;I CLM $ Collected]]</f>
        <v>21919.58064</v>
      </c>
      <c r="E479" s="36">
        <f>[1]!Table3[[#This Row],[CLM $ Collected ]]/'[1]1.) CLM Reference'!$B$4</f>
        <v>1.9446266296977235E-4</v>
      </c>
      <c r="F479" s="40">
        <f>[1]!Table3[[#This Row],[Residential Incentive Disbursements]]+[1]!Table3[[#This Row],[C&amp;I Incentive Disbursements]]</f>
        <v>3646.41</v>
      </c>
      <c r="G479" s="36">
        <f>[1]!Table3[[#This Row],[Incentive Disbursements]]/'[1]1.) CLM Reference'!$B$5</f>
        <v>4.4612557706739262E-5</v>
      </c>
      <c r="H479" s="40">
        <v>21919.58064</v>
      </c>
      <c r="I479" s="36">
        <f>[1]!Table3[[#This Row],[Residential CLM $ Collected]]/'[1]1.) CLM Reference'!$B$4</f>
        <v>1.9446266296977235E-4</v>
      </c>
      <c r="J479" s="41">
        <v>3646.41</v>
      </c>
      <c r="K479" s="36">
        <f>[1]!Table3[[#This Row],[Residential Incentive Disbursements]]/'[1]1.) CLM Reference'!$B$5</f>
        <v>4.4612557706739262E-5</v>
      </c>
      <c r="L479" s="37">
        <v>0</v>
      </c>
      <c r="M479" s="36">
        <f>[1]!Table3[[#This Row],[C&amp;I CLM $ Collected]]/'[1]1.) CLM Reference'!$B$4</f>
        <v>0</v>
      </c>
      <c r="N479" s="41">
        <v>0</v>
      </c>
      <c r="O479" s="36">
        <f>[1]!Table3[[#This Row],[C&amp;I Incentive Disbursements]]/'[1]1.) CLM Reference'!$B$5</f>
        <v>0</v>
      </c>
      <c r="Q479">
        <f>VLOOKUP(Table3[[#This Row],[Census Tract]],'Population and Diversity Data'!$B$2:$K$823,10,FALSE)</f>
        <v>4</v>
      </c>
      <c r="R479" t="str">
        <f>VLOOKUP(Table3[[#This Row],[Census Tract]],'ES Energy Burden'!$B$2:$E$914,4,FALSE)</f>
        <v>Yes</v>
      </c>
    </row>
    <row r="480" spans="1:18" x14ac:dyDescent="0.2">
      <c r="A480" s="100">
        <v>9003416700</v>
      </c>
      <c r="B480" s="38" t="s">
        <v>985</v>
      </c>
      <c r="C480" s="38" t="s">
        <v>944</v>
      </c>
      <c r="D480" s="40">
        <f>[1]!Table3[[#This Row],[Residential CLM $ Collected]]+[1]!Table3[[#This Row],[C&amp;I CLM $ Collected]]</f>
        <v>490335.53576543997</v>
      </c>
      <c r="E480" s="36">
        <f>[1]!Table3[[#This Row],[CLM $ Collected ]]/'[1]1.) CLM Reference'!$B$4</f>
        <v>4.3500811260802257E-3</v>
      </c>
      <c r="F480" s="40">
        <f>[1]!Table3[[#This Row],[Residential Incentive Disbursements]]+[1]!Table3[[#This Row],[C&amp;I Incentive Disbursements]]</f>
        <v>674060.61529999995</v>
      </c>
      <c r="G480" s="36">
        <f>[1]!Table3[[#This Row],[Incentive Disbursements]]/'[1]1.) CLM Reference'!$B$5</f>
        <v>8.2468971119296578E-3</v>
      </c>
      <c r="H480" s="40">
        <v>134497.10365920002</v>
      </c>
      <c r="I480" s="36">
        <f>[1]!Table3[[#This Row],[Residential CLM $ Collected]]/'[1]1.) CLM Reference'!$B$4</f>
        <v>1.1932100968921433E-3</v>
      </c>
      <c r="J480" s="41">
        <v>572786.77769999998</v>
      </c>
      <c r="K480" s="36">
        <f>[1]!Table3[[#This Row],[Residential Incentive Disbursements]]/'[1]1.) CLM Reference'!$B$5</f>
        <v>7.0078469436510114E-3</v>
      </c>
      <c r="L480" s="37">
        <v>355838.43210623995</v>
      </c>
      <c r="M480" s="36">
        <f>[1]!Table3[[#This Row],[C&amp;I CLM $ Collected]]/'[1]1.) CLM Reference'!$B$4</f>
        <v>3.156871029188082E-3</v>
      </c>
      <c r="N480" s="41">
        <v>101273.8376</v>
      </c>
      <c r="O480" s="36">
        <f>[1]!Table3[[#This Row],[C&amp;I Incentive Disbursements]]/'[1]1.) CLM Reference'!$B$5</f>
        <v>1.2390501682786469E-3</v>
      </c>
      <c r="Q480">
        <f>VLOOKUP(Table3[[#This Row],[Census Tract]],'Population and Diversity Data'!$B$2:$K$823,10,FALSE)</f>
        <v>5</v>
      </c>
      <c r="R480" t="str">
        <f>VLOOKUP(Table3[[#This Row],[Census Tract]],'ES Energy Burden'!$B$2:$E$914,4,FALSE)</f>
        <v>No</v>
      </c>
    </row>
    <row r="481" spans="1:18" x14ac:dyDescent="0.2">
      <c r="A481" s="100">
        <v>9003416800</v>
      </c>
      <c r="B481" s="38" t="s">
        <v>985</v>
      </c>
      <c r="C481" s="38" t="s">
        <v>944</v>
      </c>
      <c r="D481" s="40">
        <f>[1]!Table3[[#This Row],[Residential CLM $ Collected]]+[1]!Table3[[#This Row],[C&amp;I CLM $ Collected]]</f>
        <v>37524.223036800002</v>
      </c>
      <c r="E481" s="36">
        <f>[1]!Table3[[#This Row],[CLM $ Collected ]]/'[1]1.) CLM Reference'!$B$4</f>
        <v>3.3290145726108227E-4</v>
      </c>
      <c r="F481" s="40">
        <f>[1]!Table3[[#This Row],[Residential Incentive Disbursements]]+[1]!Table3[[#This Row],[C&amp;I Incentive Disbursements]]</f>
        <v>42090.9902</v>
      </c>
      <c r="G481" s="36">
        <f>[1]!Table3[[#This Row],[Incentive Disbursements]]/'[1]1.) CLM Reference'!$B$5</f>
        <v>5.1496862098099143E-4</v>
      </c>
      <c r="H481" s="40">
        <v>37524.223036800002</v>
      </c>
      <c r="I481" s="36">
        <f>[1]!Table3[[#This Row],[Residential CLM $ Collected]]/'[1]1.) CLM Reference'!$B$4</f>
        <v>3.3290145726108227E-4</v>
      </c>
      <c r="J481" s="41">
        <v>42090.9902</v>
      </c>
      <c r="K481" s="36">
        <f>[1]!Table3[[#This Row],[Residential Incentive Disbursements]]/'[1]1.) CLM Reference'!$B$5</f>
        <v>5.1496862098099143E-4</v>
      </c>
      <c r="L481" s="37">
        <v>0</v>
      </c>
      <c r="M481" s="36">
        <f>[1]!Table3[[#This Row],[C&amp;I CLM $ Collected]]/'[1]1.) CLM Reference'!$B$4</f>
        <v>0</v>
      </c>
      <c r="N481" s="41">
        <v>0</v>
      </c>
      <c r="O481" s="36">
        <f>[1]!Table3[[#This Row],[C&amp;I Incentive Disbursements]]/'[1]1.) CLM Reference'!$B$5</f>
        <v>0</v>
      </c>
      <c r="Q481">
        <f>VLOOKUP(Table3[[#This Row],[Census Tract]],'Population and Diversity Data'!$B$2:$K$823,10,FALSE)</f>
        <v>5</v>
      </c>
      <c r="R481" t="str">
        <f>VLOOKUP(Table3[[#This Row],[Census Tract]],'ES Energy Burden'!$B$2:$E$914,4,FALSE)</f>
        <v>No</v>
      </c>
    </row>
    <row r="482" spans="1:18" x14ac:dyDescent="0.2">
      <c r="A482" s="100">
        <v>9003417100</v>
      </c>
      <c r="B482" s="38" t="s">
        <v>985</v>
      </c>
      <c r="C482" s="38" t="s">
        <v>936</v>
      </c>
      <c r="D482" s="40">
        <f>[1]!Table3[[#This Row],[Residential CLM $ Collected]]+[1]!Table3[[#This Row],[C&amp;I CLM $ Collected]]</f>
        <v>18956.984523840001</v>
      </c>
      <c r="E482" s="36">
        <f>[1]!Table3[[#This Row],[CLM $ Collected ]]/'[1]1.) CLM Reference'!$B$4</f>
        <v>1.68179572087958E-4</v>
      </c>
      <c r="F482" s="40">
        <f>[1]!Table3[[#This Row],[Residential Incentive Disbursements]]+[1]!Table3[[#This Row],[C&amp;I Incentive Disbursements]]</f>
        <v>1649.1361999999999</v>
      </c>
      <c r="G482" s="36">
        <f>[1]!Table3[[#This Row],[Incentive Disbursements]]/'[1]1.) CLM Reference'!$B$5</f>
        <v>2.0176607646636748E-5</v>
      </c>
      <c r="H482" s="40">
        <v>18956.984523840001</v>
      </c>
      <c r="I482" s="36">
        <f>[1]!Table3[[#This Row],[Residential CLM $ Collected]]/'[1]1.) CLM Reference'!$B$4</f>
        <v>1.68179572087958E-4</v>
      </c>
      <c r="J482" s="41">
        <v>1649.1361999999999</v>
      </c>
      <c r="K482" s="36">
        <f>[1]!Table3[[#This Row],[Residential Incentive Disbursements]]/'[1]1.) CLM Reference'!$B$5</f>
        <v>2.0176607646636748E-5</v>
      </c>
      <c r="L482" s="37">
        <v>0</v>
      </c>
      <c r="M482" s="36">
        <f>[1]!Table3[[#This Row],[C&amp;I CLM $ Collected]]/'[1]1.) CLM Reference'!$B$4</f>
        <v>0</v>
      </c>
      <c r="N482" s="41">
        <v>0</v>
      </c>
      <c r="O482" s="36">
        <f>[1]!Table3[[#This Row],[C&amp;I Incentive Disbursements]]/'[1]1.) CLM Reference'!$B$5</f>
        <v>0</v>
      </c>
      <c r="Q482">
        <f>VLOOKUP(Table3[[#This Row],[Census Tract]],'Population and Diversity Data'!$B$2:$K$823,10,FALSE)</f>
        <v>4</v>
      </c>
      <c r="R482" t="e">
        <f>VLOOKUP(Table3[[#This Row],[Census Tract]],'ES Energy Burden'!$B$2:$E$914,4,FALSE)</f>
        <v>#N/A</v>
      </c>
    </row>
    <row r="483" spans="1:18" x14ac:dyDescent="0.2">
      <c r="A483" s="100">
        <v>9001020100</v>
      </c>
      <c r="B483" s="38" t="s">
        <v>985</v>
      </c>
      <c r="C483" s="38" t="s">
        <v>944</v>
      </c>
      <c r="D483" s="40">
        <f>[1]!Table3[[#This Row],[Residential CLM $ Collected]]+[1]!Table3[[#This Row],[C&amp;I CLM $ Collected]]</f>
        <v>25307.12677536</v>
      </c>
      <c r="E483" s="36">
        <f>[1]!Table3[[#This Row],[CLM $ Collected ]]/'[1]1.) CLM Reference'!$B$4</f>
        <v>2.2451575811033094E-4</v>
      </c>
      <c r="F483" s="40">
        <f>[1]!Table3[[#This Row],[Residential Incentive Disbursements]]+[1]!Table3[[#This Row],[C&amp;I Incentive Disbursements]]</f>
        <v>29318.762900000002</v>
      </c>
      <c r="G483" s="36">
        <f>[1]!Table3[[#This Row],[Incentive Disbursements]]/'[1]1.) CLM Reference'!$B$5</f>
        <v>3.5870486362379883E-4</v>
      </c>
      <c r="H483" s="40">
        <v>25307.12677536</v>
      </c>
      <c r="I483" s="36">
        <f>[1]!Table3[[#This Row],[Residential CLM $ Collected]]/'[1]1.) CLM Reference'!$B$4</f>
        <v>2.2451575811033094E-4</v>
      </c>
      <c r="J483" s="41">
        <v>29318.762900000002</v>
      </c>
      <c r="K483" s="36">
        <f>[1]!Table3[[#This Row],[Residential Incentive Disbursements]]/'[1]1.) CLM Reference'!$B$5</f>
        <v>3.5870486362379883E-4</v>
      </c>
      <c r="L483" s="37">
        <v>0</v>
      </c>
      <c r="M483" s="36">
        <f>[1]!Table3[[#This Row],[C&amp;I CLM $ Collected]]/'[1]1.) CLM Reference'!$B$4</f>
        <v>0</v>
      </c>
      <c r="N483" s="41">
        <v>0</v>
      </c>
      <c r="O483" s="36">
        <f>[1]!Table3[[#This Row],[C&amp;I Incentive Disbursements]]/'[1]1.) CLM Reference'!$B$5</f>
        <v>0</v>
      </c>
      <c r="Q483">
        <f>VLOOKUP(Table3[[#This Row],[Census Tract]],'Population and Diversity Data'!$B$2:$K$823,10,FALSE)</f>
        <v>4</v>
      </c>
      <c r="R483" t="str">
        <f>VLOOKUP(Table3[[#This Row],[Census Tract]],'ES Energy Burden'!$B$2:$E$914,4,FALSE)</f>
        <v>No</v>
      </c>
    </row>
    <row r="484" spans="1:18" x14ac:dyDescent="0.2">
      <c r="A484" s="100">
        <v>9003417300</v>
      </c>
      <c r="B484" s="38" t="s">
        <v>985</v>
      </c>
      <c r="C484" s="38" t="s">
        <v>936</v>
      </c>
      <c r="D484" s="40">
        <f>[1]!Table3[[#This Row],[Residential CLM $ Collected]]+[1]!Table3[[#This Row],[C&amp;I CLM $ Collected]]</f>
        <v>1344.3822288000001</v>
      </c>
      <c r="E484" s="36">
        <f>[1]!Table3[[#This Row],[CLM $ Collected ]]/'[1]1.) CLM Reference'!$B$4</f>
        <v>1.1926877277232699E-5</v>
      </c>
      <c r="F484" s="40">
        <f>[1]!Table3[[#This Row],[Residential Incentive Disbursements]]+[1]!Table3[[#This Row],[C&amp;I Incentive Disbursements]]</f>
        <v>0</v>
      </c>
      <c r="G484" s="36">
        <f>[1]!Table3[[#This Row],[Incentive Disbursements]]/'[1]1.) CLM Reference'!$B$5</f>
        <v>0</v>
      </c>
      <c r="H484" s="40">
        <v>1344.3822288000001</v>
      </c>
      <c r="I484" s="36">
        <f>[1]!Table3[[#This Row],[Residential CLM $ Collected]]/'[1]1.) CLM Reference'!$B$4</f>
        <v>1.1926877277232699E-5</v>
      </c>
      <c r="J484" s="41">
        <v>0</v>
      </c>
      <c r="K484" s="36">
        <f>[1]!Table3[[#This Row],[Residential Incentive Disbursements]]/'[1]1.) CLM Reference'!$B$5</f>
        <v>0</v>
      </c>
      <c r="L484" s="37">
        <v>0</v>
      </c>
      <c r="M484" s="36">
        <f>[1]!Table3[[#This Row],[C&amp;I CLM $ Collected]]/'[1]1.) CLM Reference'!$B$4</f>
        <v>0</v>
      </c>
      <c r="N484" s="41">
        <v>0</v>
      </c>
      <c r="O484" s="36">
        <f>[1]!Table3[[#This Row],[C&amp;I Incentive Disbursements]]/'[1]1.) CLM Reference'!$B$5</f>
        <v>0</v>
      </c>
      <c r="Q484" t="e">
        <f>VLOOKUP(Table3[[#This Row],[Census Tract]],'Population and Diversity Data'!$B$2:$K$823,10,FALSE)</f>
        <v>#N/A</v>
      </c>
      <c r="R484" t="e">
        <f>VLOOKUP(Table3[[#This Row],[Census Tract]],'ES Energy Burden'!$B$2:$E$914,4,FALSE)</f>
        <v>#N/A</v>
      </c>
    </row>
    <row r="485" spans="1:18" x14ac:dyDescent="0.2">
      <c r="A485" s="100">
        <v>9003417400</v>
      </c>
      <c r="B485" s="38" t="s">
        <v>985</v>
      </c>
      <c r="C485" s="38" t="s">
        <v>944</v>
      </c>
      <c r="D485" s="40">
        <f>[1]!Table3[[#This Row],[Residential CLM $ Collected]]+[1]!Table3[[#This Row],[C&amp;I CLM $ Collected]]</f>
        <v>42183.385027200005</v>
      </c>
      <c r="E485" s="36">
        <f>[1]!Table3[[#This Row],[CLM $ Collected ]]/'[1]1.) CLM Reference'!$B$4</f>
        <v>3.742358724919719E-4</v>
      </c>
      <c r="F485" s="40">
        <f>[1]!Table3[[#This Row],[Residential Incentive Disbursements]]+[1]!Table3[[#This Row],[C&amp;I Incentive Disbursements]]</f>
        <v>6750.4196000000002</v>
      </c>
      <c r="G485" s="36">
        <f>[1]!Table3[[#This Row],[Incentive Disbursements]]/'[1]1.) CLM Reference'!$B$5</f>
        <v>8.2589035229089372E-5</v>
      </c>
      <c r="H485" s="40">
        <v>42183.385027200005</v>
      </c>
      <c r="I485" s="36">
        <f>[1]!Table3[[#This Row],[Residential CLM $ Collected]]/'[1]1.) CLM Reference'!$B$4</f>
        <v>3.742358724919719E-4</v>
      </c>
      <c r="J485" s="41">
        <v>6750.4196000000002</v>
      </c>
      <c r="K485" s="36">
        <f>[1]!Table3[[#This Row],[Residential Incentive Disbursements]]/'[1]1.) CLM Reference'!$B$5</f>
        <v>8.2589035229089372E-5</v>
      </c>
      <c r="L485" s="37">
        <v>0</v>
      </c>
      <c r="M485" s="36">
        <f>[1]!Table3[[#This Row],[C&amp;I CLM $ Collected]]/'[1]1.) CLM Reference'!$B$4</f>
        <v>0</v>
      </c>
      <c r="N485" s="41">
        <v>0</v>
      </c>
      <c r="O485" s="36">
        <f>[1]!Table3[[#This Row],[C&amp;I Incentive Disbursements]]/'[1]1.) CLM Reference'!$B$5</f>
        <v>0</v>
      </c>
      <c r="Q485">
        <f>VLOOKUP(Table3[[#This Row],[Census Tract]],'Population and Diversity Data'!$B$2:$K$823,10,FALSE)</f>
        <v>4</v>
      </c>
      <c r="R485" t="str">
        <f>VLOOKUP(Table3[[#This Row],[Census Tract]],'ES Energy Burden'!$B$2:$E$914,4,FALSE)</f>
        <v>No</v>
      </c>
    </row>
    <row r="486" spans="1:18" x14ac:dyDescent="0.2">
      <c r="A486" s="100">
        <v>9003417500</v>
      </c>
      <c r="B486" s="38" t="s">
        <v>985</v>
      </c>
      <c r="C486" s="38" t="s">
        <v>944</v>
      </c>
      <c r="D486" s="40">
        <f>[1]!Table3[[#This Row],[Residential CLM $ Collected]]+[1]!Table3[[#This Row],[C&amp;I CLM $ Collected]]</f>
        <v>60109.840428480005</v>
      </c>
      <c r="E486" s="36">
        <f>[1]!Table3[[#This Row],[CLM $ Collected ]]/'[1]1.) CLM Reference'!$B$4</f>
        <v>5.3327295956928048E-4</v>
      </c>
      <c r="F486" s="40">
        <f>[1]!Table3[[#This Row],[Residential Incentive Disbursements]]+[1]!Table3[[#This Row],[C&amp;I Incentive Disbursements]]</f>
        <v>6313.4265999999998</v>
      </c>
      <c r="G486" s="36">
        <f>[1]!Table3[[#This Row],[Incentive Disbursements]]/'[1]1.) CLM Reference'!$B$5</f>
        <v>7.724257791081163E-5</v>
      </c>
      <c r="H486" s="40">
        <v>60109.840428480005</v>
      </c>
      <c r="I486" s="36">
        <f>[1]!Table3[[#This Row],[Residential CLM $ Collected]]/'[1]1.) CLM Reference'!$B$4</f>
        <v>5.3327295956928048E-4</v>
      </c>
      <c r="J486" s="41">
        <v>6313.4265999999998</v>
      </c>
      <c r="K486" s="36">
        <f>[1]!Table3[[#This Row],[Residential Incentive Disbursements]]/'[1]1.) CLM Reference'!$B$5</f>
        <v>7.724257791081163E-5</v>
      </c>
      <c r="L486" s="37">
        <v>0</v>
      </c>
      <c r="M486" s="36">
        <f>[1]!Table3[[#This Row],[C&amp;I CLM $ Collected]]/'[1]1.) CLM Reference'!$B$4</f>
        <v>0</v>
      </c>
      <c r="N486" s="41">
        <v>0</v>
      </c>
      <c r="O486" s="36">
        <f>[1]!Table3[[#This Row],[C&amp;I Incentive Disbursements]]/'[1]1.) CLM Reference'!$B$5</f>
        <v>0</v>
      </c>
      <c r="Q486">
        <f>VLOOKUP(Table3[[#This Row],[Census Tract]],'Population and Diversity Data'!$B$2:$K$823,10,FALSE)</f>
        <v>4</v>
      </c>
      <c r="R486" t="str">
        <f>VLOOKUP(Table3[[#This Row],[Census Tract]],'ES Energy Burden'!$B$2:$E$914,4,FALSE)</f>
        <v>No</v>
      </c>
    </row>
    <row r="487" spans="1:18" x14ac:dyDescent="0.2">
      <c r="A487" s="100">
        <v>9003460100</v>
      </c>
      <c r="B487" s="38" t="s">
        <v>985</v>
      </c>
      <c r="C487" s="38" t="s">
        <v>944</v>
      </c>
      <c r="D487" s="40">
        <f>[1]!Table3[[#This Row],[Residential CLM $ Collected]]+[1]!Table3[[#This Row],[C&amp;I CLM $ Collected]]</f>
        <v>481.512384</v>
      </c>
      <c r="E487" s="36">
        <f>[1]!Table3[[#This Row],[CLM $ Collected ]]/'[1]1.) CLM Reference'!$B$4</f>
        <v>4.2718052860323154E-6</v>
      </c>
      <c r="F487" s="40">
        <f>[1]!Table3[[#This Row],[Residential Incentive Disbursements]]+[1]!Table3[[#This Row],[C&amp;I Incentive Disbursements]]</f>
        <v>0</v>
      </c>
      <c r="G487" s="36">
        <f>[1]!Table3[[#This Row],[Incentive Disbursements]]/'[1]1.) CLM Reference'!$B$5</f>
        <v>0</v>
      </c>
      <c r="H487" s="40">
        <v>481.512384</v>
      </c>
      <c r="I487" s="36">
        <f>[1]!Table3[[#This Row],[Residential CLM $ Collected]]/'[1]1.) CLM Reference'!$B$4</f>
        <v>4.2718052860323154E-6</v>
      </c>
      <c r="J487" s="41">
        <v>0</v>
      </c>
      <c r="K487" s="36">
        <f>[1]!Table3[[#This Row],[Residential Incentive Disbursements]]/'[1]1.) CLM Reference'!$B$5</f>
        <v>0</v>
      </c>
      <c r="L487" s="37">
        <v>0</v>
      </c>
      <c r="M487" s="36">
        <f>[1]!Table3[[#This Row],[C&amp;I CLM $ Collected]]/'[1]1.) CLM Reference'!$B$4</f>
        <v>0</v>
      </c>
      <c r="N487" s="41">
        <v>0</v>
      </c>
      <c r="O487" s="36">
        <f>[1]!Table3[[#This Row],[C&amp;I Incentive Disbursements]]/'[1]1.) CLM Reference'!$B$5</f>
        <v>0</v>
      </c>
      <c r="Q487">
        <f>VLOOKUP(Table3[[#This Row],[Census Tract]],'Population and Diversity Data'!$B$2:$K$823,10,FALSE)</f>
        <v>3</v>
      </c>
      <c r="R487" t="str">
        <f>VLOOKUP(Table3[[#This Row],[Census Tract]],'ES Energy Burden'!$B$2:$E$914,4,FALSE)</f>
        <v>No</v>
      </c>
    </row>
    <row r="488" spans="1:18" x14ac:dyDescent="0.2">
      <c r="A488" s="100">
        <v>9003460202</v>
      </c>
      <c r="B488" s="38" t="s">
        <v>985</v>
      </c>
      <c r="C488" s="38" t="s">
        <v>944</v>
      </c>
      <c r="D488" s="40">
        <f>[1]!Table3[[#This Row],[Residential CLM $ Collected]]+[1]!Table3[[#This Row],[C&amp;I CLM $ Collected]]</f>
        <v>647.01417600000002</v>
      </c>
      <c r="E488" s="36">
        <f>[1]!Table3[[#This Row],[CLM $ Collected ]]/'[1]1.) CLM Reference'!$B$4</f>
        <v>5.7400778651097848E-6</v>
      </c>
      <c r="F488" s="40">
        <f>[1]!Table3[[#This Row],[Residential Incentive Disbursements]]+[1]!Table3[[#This Row],[C&amp;I Incentive Disbursements]]</f>
        <v>5360.46</v>
      </c>
      <c r="G488" s="36">
        <f>[1]!Table3[[#This Row],[Incentive Disbursements]]/'[1]1.) CLM Reference'!$B$5</f>
        <v>6.5583363111846322E-5</v>
      </c>
      <c r="H488" s="40">
        <v>647.01417600000002</v>
      </c>
      <c r="I488" s="36">
        <f>[1]!Table3[[#This Row],[Residential CLM $ Collected]]/'[1]1.) CLM Reference'!$B$4</f>
        <v>5.7400778651097848E-6</v>
      </c>
      <c r="J488" s="41">
        <v>5360.46</v>
      </c>
      <c r="K488" s="36">
        <f>[1]!Table3[[#This Row],[Residential Incentive Disbursements]]/'[1]1.) CLM Reference'!$B$5</f>
        <v>6.5583363111846322E-5</v>
      </c>
      <c r="L488" s="37">
        <v>0</v>
      </c>
      <c r="M488" s="36">
        <f>[1]!Table3[[#This Row],[C&amp;I CLM $ Collected]]/'[1]1.) CLM Reference'!$B$4</f>
        <v>0</v>
      </c>
      <c r="N488" s="41">
        <v>0</v>
      </c>
      <c r="O488" s="36">
        <f>[1]!Table3[[#This Row],[C&amp;I Incentive Disbursements]]/'[1]1.) CLM Reference'!$B$5</f>
        <v>0</v>
      </c>
      <c r="Q488">
        <f>VLOOKUP(Table3[[#This Row],[Census Tract]],'Population and Diversity Data'!$B$2:$K$823,10,FALSE)</f>
        <v>4</v>
      </c>
      <c r="R488" t="str">
        <f>VLOOKUP(Table3[[#This Row],[Census Tract]],'ES Energy Burden'!$B$2:$E$914,4,FALSE)</f>
        <v>No</v>
      </c>
    </row>
    <row r="489" spans="1:18" x14ac:dyDescent="0.2">
      <c r="A489" s="100">
        <v>9003494300</v>
      </c>
      <c r="B489" s="38" t="s">
        <v>985</v>
      </c>
      <c r="C489" s="38" t="s">
        <v>944</v>
      </c>
      <c r="D489" s="40">
        <f>[1]!Table3[[#This Row],[Residential CLM $ Collected]]+[1]!Table3[[#This Row],[C&amp;I CLM $ Collected]]</f>
        <v>144.546336</v>
      </c>
      <c r="E489" s="36">
        <f>[1]!Table3[[#This Row],[CLM $ Collected ]]/'[1]1.) CLM Reference'!$B$4</f>
        <v>1.2823632843499269E-6</v>
      </c>
      <c r="F489" s="40">
        <f>[1]!Table3[[#This Row],[Residential Incentive Disbursements]]+[1]!Table3[[#This Row],[C&amp;I Incentive Disbursements]]</f>
        <v>0</v>
      </c>
      <c r="G489" s="36">
        <f>[1]!Table3[[#This Row],[Incentive Disbursements]]/'[1]1.) CLM Reference'!$B$5</f>
        <v>0</v>
      </c>
      <c r="H489" s="40">
        <v>144.546336</v>
      </c>
      <c r="I489" s="36">
        <f>[1]!Table3[[#This Row],[Residential CLM $ Collected]]/'[1]1.) CLM Reference'!$B$4</f>
        <v>1.2823632843499269E-6</v>
      </c>
      <c r="J489" s="41">
        <v>0</v>
      </c>
      <c r="K489" s="36">
        <f>[1]!Table3[[#This Row],[Residential Incentive Disbursements]]/'[1]1.) CLM Reference'!$B$5</f>
        <v>0</v>
      </c>
      <c r="L489" s="37">
        <v>0</v>
      </c>
      <c r="M489" s="36">
        <f>[1]!Table3[[#This Row],[C&amp;I CLM $ Collected]]/'[1]1.) CLM Reference'!$B$4</f>
        <v>0</v>
      </c>
      <c r="N489" s="41">
        <v>0</v>
      </c>
      <c r="O489" s="36">
        <f>[1]!Table3[[#This Row],[C&amp;I Incentive Disbursements]]/'[1]1.) CLM Reference'!$B$5</f>
        <v>0</v>
      </c>
      <c r="Q489">
        <f>VLOOKUP(Table3[[#This Row],[Census Tract]],'Population and Diversity Data'!$B$2:$K$823,10,FALSE)</f>
        <v>3</v>
      </c>
      <c r="R489" t="str">
        <f>VLOOKUP(Table3[[#This Row],[Census Tract]],'ES Energy Burden'!$B$2:$E$914,4,FALSE)</f>
        <v>No</v>
      </c>
    </row>
    <row r="490" spans="1:18" x14ac:dyDescent="0.2">
      <c r="A490" s="100">
        <v>9001035100</v>
      </c>
      <c r="B490" s="38" t="s">
        <v>2808</v>
      </c>
      <c r="C490" s="38" t="s">
        <v>944</v>
      </c>
      <c r="D490" s="40">
        <f>[1]!Table3[[#This Row],[Residential CLM $ Collected]]+[1]!Table3[[#This Row],[C&amp;I CLM $ Collected]]</f>
        <v>371354.68936800002</v>
      </c>
      <c r="E490" s="36">
        <f>[1]!Table3[[#This Row],[CLM $ Collected ]]/'[1]1.) CLM Reference'!$B$4</f>
        <v>3.2945257022405283E-3</v>
      </c>
      <c r="F490" s="40">
        <f>[1]!Table3[[#This Row],[Residential Incentive Disbursements]]+[1]!Table3[[#This Row],[C&amp;I Incentive Disbursements]]</f>
        <v>173505.5471</v>
      </c>
      <c r="G490" s="36">
        <f>[1]!Table3[[#This Row],[Incentive Disbursements]]/'[1]1.) CLM Reference'!$B$5</f>
        <v>2.1227800034659067E-3</v>
      </c>
      <c r="H490" s="40">
        <v>247121.76777120001</v>
      </c>
      <c r="I490" s="36">
        <f>[1]!Table3[[#This Row],[Residential CLM $ Collected]]/'[1]1.) CLM Reference'!$B$4</f>
        <v>2.1923757496934127E-3</v>
      </c>
      <c r="J490" s="41">
        <v>87927.7071</v>
      </c>
      <c r="K490" s="36">
        <f>[1]!Table3[[#This Row],[Residential Incentive Disbursements]]/'[1]1.) CLM Reference'!$B$5</f>
        <v>1.0757649049393835E-3</v>
      </c>
      <c r="L490" s="37">
        <v>124232.92159680001</v>
      </c>
      <c r="M490" s="36">
        <f>[1]!Table3[[#This Row],[C&amp;I CLM $ Collected]]/'[1]1.) CLM Reference'!$B$4</f>
        <v>1.1021499525471156E-3</v>
      </c>
      <c r="N490" s="41">
        <v>85577.84</v>
      </c>
      <c r="O490" s="36">
        <f>[1]!Table3[[#This Row],[C&amp;I Incentive Disbursements]]/'[1]1.) CLM Reference'!$B$5</f>
        <v>1.0470150985265232E-3</v>
      </c>
      <c r="Q490">
        <f>VLOOKUP(Table3[[#This Row],[Census Tract]],'Population and Diversity Data'!$B$2:$K$823,10,FALSE)</f>
        <v>2</v>
      </c>
      <c r="R490" t="str">
        <f>VLOOKUP(Table3[[#This Row],[Census Tract]],'ES Energy Burden'!$B$2:$E$914,4,FALSE)</f>
        <v>No</v>
      </c>
    </row>
    <row r="491" spans="1:18" x14ac:dyDescent="0.2">
      <c r="A491" s="100">
        <v>9001035200</v>
      </c>
      <c r="B491" s="38" t="s">
        <v>2808</v>
      </c>
      <c r="C491" s="38" t="s">
        <v>944</v>
      </c>
      <c r="D491" s="40">
        <f>[1]!Table3[[#This Row],[Residential CLM $ Collected]]+[1]!Table3[[#This Row],[C&amp;I CLM $ Collected]]</f>
        <v>168416.02037664002</v>
      </c>
      <c r="E491" s="36">
        <f>[1]!Table3[[#This Row],[CLM $ Collected ]]/'[1]1.) CLM Reference'!$B$4</f>
        <v>1.4941265687103428E-3</v>
      </c>
      <c r="F491" s="40">
        <f>[1]!Table3[[#This Row],[Residential Incentive Disbursements]]+[1]!Table3[[#This Row],[C&amp;I Incentive Disbursements]]</f>
        <v>16177.38</v>
      </c>
      <c r="G491" s="36">
        <f>[1]!Table3[[#This Row],[Incentive Disbursements]]/'[1]1.) CLM Reference'!$B$5</f>
        <v>1.9792461593563248E-4</v>
      </c>
      <c r="H491" s="40">
        <v>168416.02037664002</v>
      </c>
      <c r="I491" s="36">
        <f>[1]!Table3[[#This Row],[Residential CLM $ Collected]]/'[1]1.) CLM Reference'!$B$4</f>
        <v>1.4941265687103428E-3</v>
      </c>
      <c r="J491" s="41">
        <v>16177.38</v>
      </c>
      <c r="K491" s="36">
        <f>[1]!Table3[[#This Row],[Residential Incentive Disbursements]]/'[1]1.) CLM Reference'!$B$5</f>
        <v>1.9792461593563248E-4</v>
      </c>
      <c r="L491" s="37">
        <v>0</v>
      </c>
      <c r="M491" s="36">
        <f>[1]!Table3[[#This Row],[C&amp;I CLM $ Collected]]/'[1]1.) CLM Reference'!$B$4</f>
        <v>0</v>
      </c>
      <c r="N491" s="41">
        <v>0</v>
      </c>
      <c r="O491" s="36">
        <f>[1]!Table3[[#This Row],[C&amp;I Incentive Disbursements]]/'[1]1.) CLM Reference'!$B$5</f>
        <v>0</v>
      </c>
      <c r="Q491">
        <f>VLOOKUP(Table3[[#This Row],[Census Tract]],'Population and Diversity Data'!$B$2:$K$823,10,FALSE)</f>
        <v>2</v>
      </c>
      <c r="R491" t="str">
        <f>VLOOKUP(Table3[[#This Row],[Census Tract]],'ES Energy Burden'!$B$2:$E$914,4,FALSE)</f>
        <v>No</v>
      </c>
    </row>
    <row r="492" spans="1:18" x14ac:dyDescent="0.2">
      <c r="A492" s="100">
        <v>9001035300</v>
      </c>
      <c r="B492" s="38" t="s">
        <v>2808</v>
      </c>
      <c r="C492" s="38" t="s">
        <v>944</v>
      </c>
      <c r="D492" s="40">
        <f>[1]!Table3[[#This Row],[Residential CLM $ Collected]]+[1]!Table3[[#This Row],[C&amp;I CLM $ Collected]]</f>
        <v>138509.7232608</v>
      </c>
      <c r="E492" s="36">
        <f>[1]!Table3[[#This Row],[CLM $ Collected ]]/'[1]1.) CLM Reference'!$B$4</f>
        <v>1.2288086197848622E-3</v>
      </c>
      <c r="F492" s="40">
        <f>[1]!Table3[[#This Row],[Residential Incentive Disbursements]]+[1]!Table3[[#This Row],[C&amp;I Incentive Disbursements]]</f>
        <v>18915.32</v>
      </c>
      <c r="G492" s="36">
        <f>[1]!Table3[[#This Row],[Incentive Disbursements]]/'[1]1.) CLM Reference'!$B$5</f>
        <v>2.3142235926334101E-4</v>
      </c>
      <c r="H492" s="40">
        <v>138484.17728639999</v>
      </c>
      <c r="I492" s="36">
        <f>[1]!Table3[[#This Row],[Residential CLM $ Collected]]/'[1]1.) CLM Reference'!$B$4</f>
        <v>1.2285819850562344E-3</v>
      </c>
      <c r="J492" s="41">
        <v>18915.32</v>
      </c>
      <c r="K492" s="36">
        <f>[1]!Table3[[#This Row],[Residential Incentive Disbursements]]/'[1]1.) CLM Reference'!$B$5</f>
        <v>2.3142235926334101E-4</v>
      </c>
      <c r="L492" s="37">
        <v>25.545974400000002</v>
      </c>
      <c r="M492" s="36">
        <f>[1]!Table3[[#This Row],[C&amp;I CLM $ Collected]]/'[1]1.) CLM Reference'!$B$4</f>
        <v>2.2663472862780246E-7</v>
      </c>
      <c r="N492" s="41">
        <v>0</v>
      </c>
      <c r="O492" s="36">
        <f>[1]!Table3[[#This Row],[C&amp;I Incentive Disbursements]]/'[1]1.) CLM Reference'!$B$5</f>
        <v>0</v>
      </c>
      <c r="Q492">
        <f>VLOOKUP(Table3[[#This Row],[Census Tract]],'Population and Diversity Data'!$B$2:$K$823,10,FALSE)</f>
        <v>3</v>
      </c>
      <c r="R492" t="str">
        <f>VLOOKUP(Table3[[#This Row],[Census Tract]],'ES Energy Burden'!$B$2:$E$914,4,FALSE)</f>
        <v>No</v>
      </c>
    </row>
    <row r="493" spans="1:18" x14ac:dyDescent="0.2">
      <c r="A493" s="100">
        <v>9001035400</v>
      </c>
      <c r="B493" s="38" t="s">
        <v>2808</v>
      </c>
      <c r="C493" s="38" t="s">
        <v>944</v>
      </c>
      <c r="D493" s="40">
        <f>[1]!Table3[[#This Row],[Residential CLM $ Collected]]+[1]!Table3[[#This Row],[C&amp;I CLM $ Collected]]</f>
        <v>198378.27666432</v>
      </c>
      <c r="E493" s="36">
        <f>[1]!Table3[[#This Row],[CLM $ Collected ]]/'[1]1.) CLM Reference'!$B$4</f>
        <v>1.7599409673513678E-3</v>
      </c>
      <c r="F493" s="40">
        <f>[1]!Table3[[#This Row],[Residential Incentive Disbursements]]+[1]!Table3[[#This Row],[C&amp;I Incentive Disbursements]]</f>
        <v>65011.672400000003</v>
      </c>
      <c r="G493" s="36">
        <f>[1]!Table3[[#This Row],[Incentive Disbursements]]/'[1]1.) CLM Reference'!$B$5</f>
        <v>7.9539519323296843E-4</v>
      </c>
      <c r="H493" s="40">
        <v>198378.27666432</v>
      </c>
      <c r="I493" s="36">
        <f>[1]!Table3[[#This Row],[Residential CLM $ Collected]]/'[1]1.) CLM Reference'!$B$4</f>
        <v>1.7599409673513678E-3</v>
      </c>
      <c r="J493" s="41">
        <v>65011.672400000003</v>
      </c>
      <c r="K493" s="36">
        <f>[1]!Table3[[#This Row],[Residential Incentive Disbursements]]/'[1]1.) CLM Reference'!$B$5</f>
        <v>7.9539519323296843E-4</v>
      </c>
      <c r="L493" s="37">
        <v>0</v>
      </c>
      <c r="M493" s="36">
        <f>[1]!Table3[[#This Row],[C&amp;I CLM $ Collected]]/'[1]1.) CLM Reference'!$B$4</f>
        <v>0</v>
      </c>
      <c r="N493" s="41">
        <v>0</v>
      </c>
      <c r="O493" s="36">
        <f>[1]!Table3[[#This Row],[C&amp;I Incentive Disbursements]]/'[1]1.) CLM Reference'!$B$5</f>
        <v>0</v>
      </c>
      <c r="Q493">
        <f>VLOOKUP(Table3[[#This Row],[Census Tract]],'Population and Diversity Data'!$B$2:$K$823,10,FALSE)</f>
        <v>2</v>
      </c>
      <c r="R493" t="str">
        <f>VLOOKUP(Table3[[#This Row],[Census Tract]],'ES Energy Burden'!$B$2:$E$914,4,FALSE)</f>
        <v>No</v>
      </c>
    </row>
    <row r="494" spans="1:18" x14ac:dyDescent="0.2">
      <c r="A494" s="100">
        <v>9001210900</v>
      </c>
      <c r="B494" s="38" t="s">
        <v>2809</v>
      </c>
      <c r="C494" s="38" t="s">
        <v>944</v>
      </c>
      <c r="D494" s="40">
        <f>[1]!Table3[[#This Row],[Residential CLM $ Collected]]+[1]!Table3[[#This Row],[C&amp;I CLM $ Collected]]</f>
        <v>1348.85928672</v>
      </c>
      <c r="E494" s="36">
        <f>[1]!Table3[[#This Row],[CLM $ Collected ]]/'[1]1.) CLM Reference'!$B$4</f>
        <v>1.1966596130421174E-5</v>
      </c>
      <c r="F494" s="40">
        <f>[1]!Table3[[#This Row],[Residential Incentive Disbursements]]+[1]!Table3[[#This Row],[C&amp;I Incentive Disbursements]]</f>
        <v>0</v>
      </c>
      <c r="G494" s="36">
        <f>[1]!Table3[[#This Row],[Incentive Disbursements]]/'[1]1.) CLM Reference'!$B$5</f>
        <v>0</v>
      </c>
      <c r="H494" s="40">
        <v>1348.85928672</v>
      </c>
      <c r="I494" s="36">
        <f>[1]!Table3[[#This Row],[Residential CLM $ Collected]]/'[1]1.) CLM Reference'!$B$4</f>
        <v>1.1966596130421174E-5</v>
      </c>
      <c r="J494" s="41">
        <v>0</v>
      </c>
      <c r="K494" s="36">
        <f>[1]!Table3[[#This Row],[Residential Incentive Disbursements]]/'[1]1.) CLM Reference'!$B$5</f>
        <v>0</v>
      </c>
      <c r="L494" s="37">
        <v>0</v>
      </c>
      <c r="M494" s="36">
        <f>[1]!Table3[[#This Row],[C&amp;I CLM $ Collected]]/'[1]1.) CLM Reference'!$B$4</f>
        <v>0</v>
      </c>
      <c r="N494" s="41">
        <v>0</v>
      </c>
      <c r="O494" s="36">
        <f>[1]!Table3[[#This Row],[C&amp;I Incentive Disbursements]]/'[1]1.) CLM Reference'!$B$5</f>
        <v>0</v>
      </c>
      <c r="Q494">
        <f>VLOOKUP(Table3[[#This Row],[Census Tract]],'Population and Diversity Data'!$B$2:$K$823,10,FALSE)</f>
        <v>4</v>
      </c>
      <c r="R494" t="str">
        <f>VLOOKUP(Table3[[#This Row],[Census Tract]],'ES Energy Burden'!$B$2:$E$914,4,FALSE)</f>
        <v>No</v>
      </c>
    </row>
    <row r="495" spans="1:18" x14ac:dyDescent="0.2">
      <c r="A495" s="100">
        <v>9001211000</v>
      </c>
      <c r="B495" s="38" t="s">
        <v>2809</v>
      </c>
      <c r="C495" s="38" t="s">
        <v>944</v>
      </c>
      <c r="D495" s="40">
        <f>[1]!Table3[[#This Row],[Residential CLM $ Collected]]+[1]!Table3[[#This Row],[C&amp;I CLM $ Collected]]</f>
        <v>2135.6677728000004</v>
      </c>
      <c r="E495" s="36">
        <f>[1]!Table3[[#This Row],[CLM $ Collected ]]/'[1]1.) CLM Reference'!$B$4</f>
        <v>1.8946879009151099E-5</v>
      </c>
      <c r="F495" s="40">
        <f>[1]!Table3[[#This Row],[Residential Incentive Disbursements]]+[1]!Table3[[#This Row],[C&amp;I Incentive Disbursements]]</f>
        <v>0</v>
      </c>
      <c r="G495" s="36">
        <f>[1]!Table3[[#This Row],[Incentive Disbursements]]/'[1]1.) CLM Reference'!$B$5</f>
        <v>0</v>
      </c>
      <c r="H495" s="40">
        <v>2135.6677728000004</v>
      </c>
      <c r="I495" s="36">
        <f>[1]!Table3[[#This Row],[Residential CLM $ Collected]]/'[1]1.) CLM Reference'!$B$4</f>
        <v>1.8946879009151099E-5</v>
      </c>
      <c r="J495" s="41">
        <v>0</v>
      </c>
      <c r="K495" s="36">
        <f>[1]!Table3[[#This Row],[Residential Incentive Disbursements]]/'[1]1.) CLM Reference'!$B$5</f>
        <v>0</v>
      </c>
      <c r="L495" s="37">
        <v>0</v>
      </c>
      <c r="M495" s="36">
        <f>[1]!Table3[[#This Row],[C&amp;I CLM $ Collected]]/'[1]1.) CLM Reference'!$B$4</f>
        <v>0</v>
      </c>
      <c r="N495" s="41">
        <v>0</v>
      </c>
      <c r="O495" s="36">
        <f>[1]!Table3[[#This Row],[C&amp;I Incentive Disbursements]]/'[1]1.) CLM Reference'!$B$5</f>
        <v>0</v>
      </c>
      <c r="Q495">
        <f>VLOOKUP(Table3[[#This Row],[Census Tract]],'Population and Diversity Data'!$B$2:$K$823,10,FALSE)</f>
        <v>5</v>
      </c>
      <c r="R495" t="str">
        <f>VLOOKUP(Table3[[#This Row],[Census Tract]],'ES Energy Burden'!$B$2:$E$914,4,FALSE)</f>
        <v>No</v>
      </c>
    </row>
    <row r="496" spans="1:18" x14ac:dyDescent="0.2">
      <c r="A496" s="100">
        <v>9001220100</v>
      </c>
      <c r="B496" s="38" t="s">
        <v>2809</v>
      </c>
      <c r="C496" s="38" t="s">
        <v>944</v>
      </c>
      <c r="D496" s="40">
        <f>[1]!Table3[[#This Row],[Residential CLM $ Collected]]+[1]!Table3[[#This Row],[C&amp;I CLM $ Collected]]</f>
        <v>108677.484</v>
      </c>
      <c r="E496" s="36">
        <f>[1]!Table3[[#This Row],[CLM $ Collected ]]/'[1]1.) CLM Reference'!$B$4</f>
        <v>9.6414768560530392E-4</v>
      </c>
      <c r="F496" s="40">
        <f>[1]!Table3[[#This Row],[Residential Incentive Disbursements]]+[1]!Table3[[#This Row],[C&amp;I Incentive Disbursements]]</f>
        <v>12699.62</v>
      </c>
      <c r="G496" s="36">
        <f>[1]!Table3[[#This Row],[Incentive Disbursements]]/'[1]1.) CLM Reference'!$B$5</f>
        <v>1.5537543230291167E-4</v>
      </c>
      <c r="H496" s="40">
        <v>108677.484</v>
      </c>
      <c r="I496" s="36">
        <f>[1]!Table3[[#This Row],[Residential CLM $ Collected]]/'[1]1.) CLM Reference'!$B$4</f>
        <v>9.6414768560530392E-4</v>
      </c>
      <c r="J496" s="41">
        <v>12699.62</v>
      </c>
      <c r="K496" s="36">
        <f>[1]!Table3[[#This Row],[Residential Incentive Disbursements]]/'[1]1.) CLM Reference'!$B$5</f>
        <v>1.5537543230291167E-4</v>
      </c>
      <c r="L496" s="37">
        <v>0</v>
      </c>
      <c r="M496" s="36">
        <f>[1]!Table3[[#This Row],[C&amp;I CLM $ Collected]]/'[1]1.) CLM Reference'!$B$4</f>
        <v>0</v>
      </c>
      <c r="N496" s="41">
        <v>0</v>
      </c>
      <c r="O496" s="36">
        <f>[1]!Table3[[#This Row],[C&amp;I Incentive Disbursements]]/'[1]1.) CLM Reference'!$B$5</f>
        <v>0</v>
      </c>
      <c r="Q496">
        <f>VLOOKUP(Table3[[#This Row],[Census Tract]],'Population and Diversity Data'!$B$2:$K$823,10,FALSE)</f>
        <v>2</v>
      </c>
      <c r="R496" t="str">
        <f>VLOOKUP(Table3[[#This Row],[Census Tract]],'ES Energy Burden'!$B$2:$E$914,4,FALSE)</f>
        <v>No</v>
      </c>
    </row>
    <row r="497" spans="1:18" x14ac:dyDescent="0.2">
      <c r="A497" s="100">
        <v>9001220200</v>
      </c>
      <c r="B497" s="38" t="s">
        <v>2809</v>
      </c>
      <c r="C497" s="38" t="s">
        <v>944</v>
      </c>
      <c r="D497" s="40">
        <f>[1]!Table3[[#This Row],[Residential CLM $ Collected]]+[1]!Table3[[#This Row],[C&amp;I CLM $ Collected]]</f>
        <v>163374.38195040001</v>
      </c>
      <c r="E497" s="36">
        <f>[1]!Table3[[#This Row],[CLM $ Collected ]]/'[1]1.) CLM Reference'!$B$4</f>
        <v>1.4493989596287959E-3</v>
      </c>
      <c r="F497" s="40">
        <f>[1]!Table3[[#This Row],[Residential Incentive Disbursements]]+[1]!Table3[[#This Row],[C&amp;I Incentive Disbursements]]</f>
        <v>41482.424299999999</v>
      </c>
      <c r="G497" s="36">
        <f>[1]!Table3[[#This Row],[Incentive Disbursements]]/'[1]1.) CLM Reference'!$B$5</f>
        <v>5.0752302892411794E-4</v>
      </c>
      <c r="H497" s="40">
        <v>129933.76020192</v>
      </c>
      <c r="I497" s="36">
        <f>[1]!Table3[[#This Row],[Residential CLM $ Collected]]/'[1]1.) CLM Reference'!$B$4</f>
        <v>1.1527257493435872E-3</v>
      </c>
      <c r="J497" s="41">
        <v>41482.424299999999</v>
      </c>
      <c r="K497" s="36">
        <f>[1]!Table3[[#This Row],[Residential Incentive Disbursements]]/'[1]1.) CLM Reference'!$B$5</f>
        <v>5.0752302892411794E-4</v>
      </c>
      <c r="L497" s="37">
        <v>33440.62174848</v>
      </c>
      <c r="M497" s="36">
        <f>[1]!Table3[[#This Row],[C&amp;I CLM $ Collected]]/'[1]1.) CLM Reference'!$B$4</f>
        <v>2.9667321028520853E-4</v>
      </c>
      <c r="N497" s="41">
        <v>0</v>
      </c>
      <c r="O497" s="36">
        <f>[1]!Table3[[#This Row],[C&amp;I Incentive Disbursements]]/'[1]1.) CLM Reference'!$B$5</f>
        <v>0</v>
      </c>
      <c r="Q497">
        <f>VLOOKUP(Table3[[#This Row],[Census Tract]],'Population and Diversity Data'!$B$2:$K$823,10,FALSE)</f>
        <v>3</v>
      </c>
      <c r="R497" t="str">
        <f>VLOOKUP(Table3[[#This Row],[Census Tract]],'ES Energy Burden'!$B$2:$E$914,4,FALSE)</f>
        <v>No</v>
      </c>
    </row>
    <row r="498" spans="1:18" x14ac:dyDescent="0.2">
      <c r="A498" s="100">
        <v>9001220300</v>
      </c>
      <c r="B498" s="38" t="s">
        <v>2809</v>
      </c>
      <c r="C498" s="38" t="s">
        <v>944</v>
      </c>
      <c r="D498" s="40">
        <f>[1]!Table3[[#This Row],[Residential CLM $ Collected]]+[1]!Table3[[#This Row],[C&amp;I CLM $ Collected]]</f>
        <v>102730.65265440001</v>
      </c>
      <c r="E498" s="36">
        <f>[1]!Table3[[#This Row],[CLM $ Collected ]]/'[1]1.) CLM Reference'!$B$4</f>
        <v>9.1138952938459765E-4</v>
      </c>
      <c r="F498" s="40">
        <f>[1]!Table3[[#This Row],[Residential Incentive Disbursements]]+[1]!Table3[[#This Row],[C&amp;I Incentive Disbursements]]</f>
        <v>5080.6705000000002</v>
      </c>
      <c r="G498" s="36">
        <f>[1]!Table3[[#This Row],[Incentive Disbursements]]/'[1]1.) CLM Reference'!$B$5</f>
        <v>6.2160235922504014E-5</v>
      </c>
      <c r="H498" s="40">
        <v>102730.65265440001</v>
      </c>
      <c r="I498" s="36">
        <f>[1]!Table3[[#This Row],[Residential CLM $ Collected]]/'[1]1.) CLM Reference'!$B$4</f>
        <v>9.1138952938459765E-4</v>
      </c>
      <c r="J498" s="41">
        <v>5080.6705000000002</v>
      </c>
      <c r="K498" s="36">
        <f>[1]!Table3[[#This Row],[Residential Incentive Disbursements]]/'[1]1.) CLM Reference'!$B$5</f>
        <v>6.2160235922504014E-5</v>
      </c>
      <c r="L498" s="37">
        <v>0</v>
      </c>
      <c r="M498" s="36">
        <f>[1]!Table3[[#This Row],[C&amp;I CLM $ Collected]]/'[1]1.) CLM Reference'!$B$4</f>
        <v>0</v>
      </c>
      <c r="N498" s="41">
        <v>0</v>
      </c>
      <c r="O498" s="36">
        <f>[1]!Table3[[#This Row],[C&amp;I Incentive Disbursements]]/'[1]1.) CLM Reference'!$B$5</f>
        <v>0</v>
      </c>
      <c r="Q498">
        <f>VLOOKUP(Table3[[#This Row],[Census Tract]],'Population and Diversity Data'!$B$2:$K$823,10,FALSE)</f>
        <v>2</v>
      </c>
      <c r="R498" t="str">
        <f>VLOOKUP(Table3[[#This Row],[Census Tract]],'ES Energy Burden'!$B$2:$E$914,4,FALSE)</f>
        <v>No</v>
      </c>
    </row>
    <row r="499" spans="1:18" x14ac:dyDescent="0.2">
      <c r="A499" s="100">
        <v>9001257100</v>
      </c>
      <c r="B499" s="38" t="s">
        <v>2809</v>
      </c>
      <c r="C499" s="38" t="s">
        <v>944</v>
      </c>
      <c r="D499" s="40">
        <f>[1]!Table3[[#This Row],[Residential CLM $ Collected]]+[1]!Table3[[#This Row],[C&amp;I CLM $ Collected]]</f>
        <v>2100.1940064</v>
      </c>
      <c r="E499" s="36">
        <f>[1]!Table3[[#This Row],[CLM $ Collected ]]/'[1]1.) CLM Reference'!$B$4</f>
        <v>1.8632168468242151E-5</v>
      </c>
      <c r="F499" s="40">
        <f>[1]!Table3[[#This Row],[Residential Incentive Disbursements]]+[1]!Table3[[#This Row],[C&amp;I Incentive Disbursements]]</f>
        <v>0</v>
      </c>
      <c r="G499" s="36">
        <f>[1]!Table3[[#This Row],[Incentive Disbursements]]/'[1]1.) CLM Reference'!$B$5</f>
        <v>0</v>
      </c>
      <c r="H499" s="40">
        <v>2100.1940064</v>
      </c>
      <c r="I499" s="36">
        <f>[1]!Table3[[#This Row],[Residential CLM $ Collected]]/'[1]1.) CLM Reference'!$B$4</f>
        <v>1.8632168468242151E-5</v>
      </c>
      <c r="J499" s="41">
        <v>0</v>
      </c>
      <c r="K499" s="36">
        <f>[1]!Table3[[#This Row],[Residential Incentive Disbursements]]/'[1]1.) CLM Reference'!$B$5</f>
        <v>0</v>
      </c>
      <c r="L499" s="37">
        <v>0</v>
      </c>
      <c r="M499" s="36">
        <f>[1]!Table3[[#This Row],[C&amp;I CLM $ Collected]]/'[1]1.) CLM Reference'!$B$4</f>
        <v>0</v>
      </c>
      <c r="N499" s="41">
        <v>0</v>
      </c>
      <c r="O499" s="36">
        <f>[1]!Table3[[#This Row],[C&amp;I Incentive Disbursements]]/'[1]1.) CLM Reference'!$B$5</f>
        <v>0</v>
      </c>
      <c r="Q499">
        <f>VLOOKUP(Table3[[#This Row],[Census Tract]],'Population and Diversity Data'!$B$2:$K$823,10,FALSE)</f>
        <v>1</v>
      </c>
      <c r="R499" t="str">
        <f>VLOOKUP(Table3[[#This Row],[Census Tract]],'ES Energy Burden'!$B$2:$E$914,4,FALSE)</f>
        <v>No</v>
      </c>
    </row>
    <row r="500" spans="1:18" x14ac:dyDescent="0.2">
      <c r="A500" s="100">
        <v>9005290100</v>
      </c>
      <c r="B500" s="38" t="s">
        <v>2810</v>
      </c>
      <c r="C500" s="38" t="s">
        <v>944</v>
      </c>
      <c r="D500" s="40">
        <f>[1]!Table3[[#This Row],[Residential CLM $ Collected]]+[1]!Table3[[#This Row],[C&amp;I CLM $ Collected]]</f>
        <v>265.45121280000001</v>
      </c>
      <c r="E500" s="36">
        <f>[1]!Table3[[#This Row],[CLM $ Collected ]]/'[1]1.) CLM Reference'!$B$4</f>
        <v>2.3549880163055765E-6</v>
      </c>
      <c r="F500" s="40">
        <f>[1]!Table3[[#This Row],[Residential Incentive Disbursements]]+[1]!Table3[[#This Row],[C&amp;I Incentive Disbursements]]</f>
        <v>0</v>
      </c>
      <c r="G500" s="36">
        <f>[1]!Table3[[#This Row],[Incentive Disbursements]]/'[1]1.) CLM Reference'!$B$5</f>
        <v>0</v>
      </c>
      <c r="H500" s="40">
        <v>265.45121280000001</v>
      </c>
      <c r="I500" s="36">
        <f>[1]!Table3[[#This Row],[Residential CLM $ Collected]]/'[1]1.) CLM Reference'!$B$4</f>
        <v>2.3549880163055765E-6</v>
      </c>
      <c r="J500" s="41">
        <v>0</v>
      </c>
      <c r="K500" s="36">
        <f>[1]!Table3[[#This Row],[Residential Incentive Disbursements]]/'[1]1.) CLM Reference'!$B$5</f>
        <v>0</v>
      </c>
      <c r="L500" s="37">
        <v>0</v>
      </c>
      <c r="M500" s="36">
        <f>[1]!Table3[[#This Row],[C&amp;I CLM $ Collected]]/'[1]1.) CLM Reference'!$B$4</f>
        <v>0</v>
      </c>
      <c r="N500" s="41">
        <v>0</v>
      </c>
      <c r="O500" s="36">
        <f>[1]!Table3[[#This Row],[C&amp;I Incentive Disbursements]]/'[1]1.) CLM Reference'!$B$5</f>
        <v>0</v>
      </c>
      <c r="Q500">
        <f>VLOOKUP(Table3[[#This Row],[Census Tract]],'Population and Diversity Data'!$B$2:$K$823,10,FALSE)</f>
        <v>2</v>
      </c>
      <c r="R500" t="str">
        <f>VLOOKUP(Table3[[#This Row],[Census Tract]],'ES Energy Burden'!$B$2:$E$914,4,FALSE)</f>
        <v>No</v>
      </c>
    </row>
    <row r="501" spans="1:18" x14ac:dyDescent="0.2">
      <c r="A501" s="100">
        <v>9005306100</v>
      </c>
      <c r="B501" s="38" t="s">
        <v>2810</v>
      </c>
      <c r="C501" s="38" t="s">
        <v>944</v>
      </c>
      <c r="D501" s="40">
        <f>[1]!Table3[[#This Row],[Residential CLM $ Collected]]+[1]!Table3[[#This Row],[C&amp;I CLM $ Collected]]</f>
        <v>173563.23320064001</v>
      </c>
      <c r="E501" s="36">
        <f>[1]!Table3[[#This Row],[CLM $ Collected ]]/'[1]1.) CLM Reference'!$B$4</f>
        <v>1.5397907960085892E-3</v>
      </c>
      <c r="F501" s="40">
        <f>[1]!Table3[[#This Row],[Residential Incentive Disbursements]]+[1]!Table3[[#This Row],[C&amp;I Incentive Disbursements]]</f>
        <v>201562.2647</v>
      </c>
      <c r="G501" s="36">
        <f>[1]!Table3[[#This Row],[Incentive Disbursements]]/'[1]1.) CLM Reference'!$B$5</f>
        <v>2.4660441819295705E-3</v>
      </c>
      <c r="H501" s="40">
        <v>143068.34479392</v>
      </c>
      <c r="I501" s="36">
        <f>[1]!Table3[[#This Row],[Residential CLM $ Collected]]/'[1]1.) CLM Reference'!$B$4</f>
        <v>1.2692510761147138E-3</v>
      </c>
      <c r="J501" s="41">
        <v>178001.4547</v>
      </c>
      <c r="K501" s="36">
        <f>[1]!Table3[[#This Row],[Residential Incentive Disbursements]]/'[1]1.) CLM Reference'!$B$5</f>
        <v>2.1777858687551002E-3</v>
      </c>
      <c r="L501" s="37">
        <v>30494.888406720002</v>
      </c>
      <c r="M501" s="36">
        <f>[1]!Table3[[#This Row],[C&amp;I CLM $ Collected]]/'[1]1.) CLM Reference'!$B$4</f>
        <v>2.7053971989387518E-4</v>
      </c>
      <c r="N501" s="41">
        <v>23560.81</v>
      </c>
      <c r="O501" s="36">
        <f>[1]!Table3[[#This Row],[C&amp;I Incentive Disbursements]]/'[1]1.) CLM Reference'!$B$5</f>
        <v>2.8825831317447014E-4</v>
      </c>
      <c r="Q501">
        <f>VLOOKUP(Table3[[#This Row],[Census Tract]],'Population and Diversity Data'!$B$2:$K$823,10,FALSE)</f>
        <v>1</v>
      </c>
      <c r="R501" t="str">
        <f>VLOOKUP(Table3[[#This Row],[Census Tract]],'ES Energy Burden'!$B$2:$E$914,4,FALSE)</f>
        <v>No</v>
      </c>
    </row>
    <row r="502" spans="1:18" x14ac:dyDescent="0.2">
      <c r="A502" s="100">
        <v>9011690300</v>
      </c>
      <c r="B502" s="38" t="s">
        <v>2811</v>
      </c>
      <c r="C502" s="38" t="s">
        <v>944</v>
      </c>
      <c r="D502" s="40">
        <f>[1]!Table3[[#This Row],[Residential CLM $ Collected]]+[1]!Table3[[#This Row],[C&amp;I CLM $ Collected]]</f>
        <v>79342.157646720007</v>
      </c>
      <c r="E502" s="36">
        <f>[1]!Table3[[#This Row],[CLM $ Collected ]]/'[1]1.) CLM Reference'!$B$4</f>
        <v>7.0389518463655513E-4</v>
      </c>
      <c r="F502" s="40">
        <f>[1]!Table3[[#This Row],[Residential Incentive Disbursements]]+[1]!Table3[[#This Row],[C&amp;I Incentive Disbursements]]</f>
        <v>20285.972600000001</v>
      </c>
      <c r="G502" s="36">
        <f>[1]!Table3[[#This Row],[Incentive Disbursements]]/'[1]1.) CLM Reference'!$B$5</f>
        <v>2.4819181695279234E-4</v>
      </c>
      <c r="H502" s="40">
        <v>79342.157646720007</v>
      </c>
      <c r="I502" s="36">
        <f>[1]!Table3[[#This Row],[Residential CLM $ Collected]]/'[1]1.) CLM Reference'!$B$4</f>
        <v>7.0389518463655513E-4</v>
      </c>
      <c r="J502" s="41">
        <v>20285.972600000001</v>
      </c>
      <c r="K502" s="36">
        <f>[1]!Table3[[#This Row],[Residential Incentive Disbursements]]/'[1]1.) CLM Reference'!$B$5</f>
        <v>2.4819181695279234E-4</v>
      </c>
      <c r="L502" s="37">
        <v>0</v>
      </c>
      <c r="M502" s="36">
        <f>[1]!Table3[[#This Row],[C&amp;I CLM $ Collected]]/'[1]1.) CLM Reference'!$B$4</f>
        <v>0</v>
      </c>
      <c r="N502" s="41">
        <v>0</v>
      </c>
      <c r="O502" s="36">
        <f>[1]!Table3[[#This Row],[C&amp;I Incentive Disbursements]]/'[1]1.) CLM Reference'!$B$5</f>
        <v>0</v>
      </c>
      <c r="Q502">
        <f>VLOOKUP(Table3[[#This Row],[Census Tract]],'Population and Diversity Data'!$B$2:$K$823,10,FALSE)</f>
        <v>5</v>
      </c>
      <c r="R502" t="str">
        <f>VLOOKUP(Table3[[#This Row],[Census Tract]],'ES Energy Burden'!$B$2:$E$914,4,FALSE)</f>
        <v>No</v>
      </c>
    </row>
    <row r="503" spans="1:18" x14ac:dyDescent="0.2">
      <c r="A503" s="100">
        <v>9011690400</v>
      </c>
      <c r="B503" s="38" t="s">
        <v>2811</v>
      </c>
      <c r="C503" s="38" t="s">
        <v>944</v>
      </c>
      <c r="D503" s="40">
        <f>[1]!Table3[[#This Row],[Residential CLM $ Collected]]+[1]!Table3[[#This Row],[C&amp;I CLM $ Collected]]</f>
        <v>39959.697971520007</v>
      </c>
      <c r="E503" s="36">
        <f>[1]!Table3[[#This Row],[CLM $ Collected ]]/'[1]1.) CLM Reference'!$B$4</f>
        <v>3.5450811795319047E-4</v>
      </c>
      <c r="F503" s="40">
        <f>[1]!Table3[[#This Row],[Residential Incentive Disbursements]]+[1]!Table3[[#This Row],[C&amp;I Incentive Disbursements]]</f>
        <v>4461.97</v>
      </c>
      <c r="G503" s="36">
        <f>[1]!Table3[[#This Row],[Incentive Disbursements]]/'[1]1.) CLM Reference'!$B$5</f>
        <v>5.4590650560616992E-5</v>
      </c>
      <c r="H503" s="40">
        <v>39959.697971520007</v>
      </c>
      <c r="I503" s="36">
        <f>[1]!Table3[[#This Row],[Residential CLM $ Collected]]/'[1]1.) CLM Reference'!$B$4</f>
        <v>3.5450811795319047E-4</v>
      </c>
      <c r="J503" s="41">
        <v>4461.97</v>
      </c>
      <c r="K503" s="36">
        <f>[1]!Table3[[#This Row],[Residential Incentive Disbursements]]/'[1]1.) CLM Reference'!$B$5</f>
        <v>5.4590650560616992E-5</v>
      </c>
      <c r="L503" s="37">
        <v>0</v>
      </c>
      <c r="M503" s="36">
        <f>[1]!Table3[[#This Row],[C&amp;I CLM $ Collected]]/'[1]1.) CLM Reference'!$B$4</f>
        <v>0</v>
      </c>
      <c r="N503" s="41">
        <v>0</v>
      </c>
      <c r="O503" s="36">
        <f>[1]!Table3[[#This Row],[C&amp;I Incentive Disbursements]]/'[1]1.) CLM Reference'!$B$5</f>
        <v>0</v>
      </c>
      <c r="Q503">
        <f>VLOOKUP(Table3[[#This Row],[Census Tract]],'Population and Diversity Data'!$B$2:$K$823,10,FALSE)</f>
        <v>5</v>
      </c>
      <c r="R503" t="str">
        <f>VLOOKUP(Table3[[#This Row],[Census Tract]],'ES Energy Burden'!$B$2:$E$914,4,FALSE)</f>
        <v>No</v>
      </c>
    </row>
    <row r="504" spans="1:18" x14ac:dyDescent="0.2">
      <c r="A504" s="100">
        <v>9011690500</v>
      </c>
      <c r="B504" s="38" t="s">
        <v>2811</v>
      </c>
      <c r="C504" s="38" t="s">
        <v>944</v>
      </c>
      <c r="D504" s="40">
        <f>[1]!Table3[[#This Row],[Residential CLM $ Collected]]+[1]!Table3[[#This Row],[C&amp;I CLM $ Collected]]</f>
        <v>41927.549011199997</v>
      </c>
      <c r="E504" s="36">
        <f>[1]!Table3[[#This Row],[CLM $ Collected ]]/'[1]1.) CLM Reference'!$B$4</f>
        <v>3.7196618705537412E-4</v>
      </c>
      <c r="F504" s="40">
        <f>[1]!Table3[[#This Row],[Residential Incentive Disbursements]]+[1]!Table3[[#This Row],[C&amp;I Incentive Disbursements]]</f>
        <v>16842.5</v>
      </c>
      <c r="G504" s="36">
        <f>[1]!Table3[[#This Row],[Incentive Disbursements]]/'[1]1.) CLM Reference'!$B$5</f>
        <v>2.06062127729947E-4</v>
      </c>
      <c r="H504" s="40">
        <v>41927.549011199997</v>
      </c>
      <c r="I504" s="36">
        <f>[1]!Table3[[#This Row],[Residential CLM $ Collected]]/'[1]1.) CLM Reference'!$B$4</f>
        <v>3.7196618705537412E-4</v>
      </c>
      <c r="J504" s="41">
        <v>16842.5</v>
      </c>
      <c r="K504" s="36">
        <f>[1]!Table3[[#This Row],[Residential Incentive Disbursements]]/'[1]1.) CLM Reference'!$B$5</f>
        <v>2.06062127729947E-4</v>
      </c>
      <c r="L504" s="37">
        <v>0</v>
      </c>
      <c r="M504" s="36">
        <f>[1]!Table3[[#This Row],[C&amp;I CLM $ Collected]]/'[1]1.) CLM Reference'!$B$4</f>
        <v>0</v>
      </c>
      <c r="N504" s="41">
        <v>0</v>
      </c>
      <c r="O504" s="36">
        <f>[1]!Table3[[#This Row],[C&amp;I Incentive Disbursements]]/'[1]1.) CLM Reference'!$B$5</f>
        <v>0</v>
      </c>
      <c r="Q504">
        <f>VLOOKUP(Table3[[#This Row],[Census Tract]],'Population and Diversity Data'!$B$2:$K$823,10,FALSE)</f>
        <v>5</v>
      </c>
      <c r="R504" t="str">
        <f>VLOOKUP(Table3[[#This Row],[Census Tract]],'ES Energy Burden'!$B$2:$E$914,4,FALSE)</f>
        <v>No</v>
      </c>
    </row>
    <row r="505" spans="1:18" x14ac:dyDescent="0.2">
      <c r="A505" s="100">
        <v>9011690700</v>
      </c>
      <c r="B505" s="38" t="s">
        <v>2811</v>
      </c>
      <c r="C505" s="38" t="s">
        <v>944</v>
      </c>
      <c r="D505" s="40">
        <f>[1]!Table3[[#This Row],[Residential CLM $ Collected]]+[1]!Table3[[#This Row],[C&amp;I CLM $ Collected]]</f>
        <v>14865.608877119999</v>
      </c>
      <c r="E505" s="36">
        <f>[1]!Table3[[#This Row],[CLM $ Collected ]]/'[1]1.) CLM Reference'!$B$4</f>
        <v>1.3188235379086352E-4</v>
      </c>
      <c r="F505" s="40">
        <f>[1]!Table3[[#This Row],[Residential Incentive Disbursements]]+[1]!Table3[[#This Row],[C&amp;I Incentive Disbursements]]</f>
        <v>4541.3999999999996</v>
      </c>
      <c r="G505" s="36">
        <f>[1]!Table3[[#This Row],[Incentive Disbursements]]/'[1]1.) CLM Reference'!$B$5</f>
        <v>5.5562448975673521E-5</v>
      </c>
      <c r="H505" s="40">
        <v>14847.8146848</v>
      </c>
      <c r="I505" s="36">
        <f>[1]!Table3[[#This Row],[Residential CLM $ Collected]]/'[1]1.) CLM Reference'!$B$4</f>
        <v>1.3172449009443726E-4</v>
      </c>
      <c r="J505" s="41">
        <v>4541.3999999999996</v>
      </c>
      <c r="K505" s="36">
        <f>[1]!Table3[[#This Row],[Residential Incentive Disbursements]]/'[1]1.) CLM Reference'!$B$5</f>
        <v>5.5562448975673521E-5</v>
      </c>
      <c r="L505" s="37">
        <v>17.794192320000001</v>
      </c>
      <c r="M505" s="36">
        <f>[1]!Table3[[#This Row],[C&amp;I CLM $ Collected]]/'[1]1.) CLM Reference'!$B$4</f>
        <v>1.5786369642624109E-7</v>
      </c>
      <c r="N505" s="41">
        <v>0</v>
      </c>
      <c r="O505" s="36">
        <f>[1]!Table3[[#This Row],[C&amp;I Incentive Disbursements]]/'[1]1.) CLM Reference'!$B$5</f>
        <v>0</v>
      </c>
      <c r="Q505">
        <f>VLOOKUP(Table3[[#This Row],[Census Tract]],'Population and Diversity Data'!$B$2:$K$823,10,FALSE)</f>
        <v>5</v>
      </c>
      <c r="R505" t="str">
        <f>VLOOKUP(Table3[[#This Row],[Census Tract]],'ES Energy Burden'!$B$2:$E$914,4,FALSE)</f>
        <v>No</v>
      </c>
    </row>
    <row r="506" spans="1:18" x14ac:dyDescent="0.2">
      <c r="A506" s="100">
        <v>9011690800</v>
      </c>
      <c r="B506" s="38" t="s">
        <v>2811</v>
      </c>
      <c r="C506" s="38" t="s">
        <v>944</v>
      </c>
      <c r="D506" s="40">
        <f>[1]!Table3[[#This Row],[Residential CLM $ Collected]]+[1]!Table3[[#This Row],[C&amp;I CLM $ Collected]]</f>
        <v>43011.512809920001</v>
      </c>
      <c r="E506" s="36">
        <f>[1]!Table3[[#This Row],[CLM $ Collected ]]/'[1]1.) CLM Reference'!$B$4</f>
        <v>3.8158272536073111E-4</v>
      </c>
      <c r="F506" s="40">
        <f>[1]!Table3[[#This Row],[Residential Incentive Disbursements]]+[1]!Table3[[#This Row],[C&amp;I Incentive Disbursements]]</f>
        <v>11641.346100000001</v>
      </c>
      <c r="G506" s="36">
        <f>[1]!Table3[[#This Row],[Incentive Disbursements]]/'[1]1.) CLM Reference'!$B$5</f>
        <v>1.4242781932650856E-4</v>
      </c>
      <c r="H506" s="40">
        <v>43011.512809920001</v>
      </c>
      <c r="I506" s="36">
        <f>[1]!Table3[[#This Row],[Residential CLM $ Collected]]/'[1]1.) CLM Reference'!$B$4</f>
        <v>3.8158272536073111E-4</v>
      </c>
      <c r="J506" s="41">
        <v>11641.346100000001</v>
      </c>
      <c r="K506" s="36">
        <f>[1]!Table3[[#This Row],[Residential Incentive Disbursements]]/'[1]1.) CLM Reference'!$B$5</f>
        <v>1.4242781932650856E-4</v>
      </c>
      <c r="L506" s="37">
        <v>0</v>
      </c>
      <c r="M506" s="36">
        <f>[1]!Table3[[#This Row],[C&amp;I CLM $ Collected]]/'[1]1.) CLM Reference'!$B$4</f>
        <v>0</v>
      </c>
      <c r="N506" s="41">
        <v>0</v>
      </c>
      <c r="O506" s="36">
        <f>[1]!Table3[[#This Row],[C&amp;I Incentive Disbursements]]/'[1]1.) CLM Reference'!$B$5</f>
        <v>0</v>
      </c>
      <c r="Q506">
        <f>VLOOKUP(Table3[[#This Row],[Census Tract]],'Population and Diversity Data'!$B$2:$K$823,10,FALSE)</f>
        <v>5</v>
      </c>
      <c r="R506" t="str">
        <f>VLOOKUP(Table3[[#This Row],[Census Tract]],'ES Energy Burden'!$B$2:$E$914,4,FALSE)</f>
        <v>Yes</v>
      </c>
    </row>
    <row r="507" spans="1:18" x14ac:dyDescent="0.2">
      <c r="A507" s="100">
        <v>9011690900</v>
      </c>
      <c r="B507" s="38" t="s">
        <v>2811</v>
      </c>
      <c r="C507" s="38" t="s">
        <v>944</v>
      </c>
      <c r="D507" s="40">
        <f>[1]!Table3[[#This Row],[Residential CLM $ Collected]]+[1]!Table3[[#This Row],[C&amp;I CLM $ Collected]]</f>
        <v>314079.29086463997</v>
      </c>
      <c r="E507" s="36">
        <f>[1]!Table3[[#This Row],[CLM $ Collected ]]/'[1]1.) CLM Reference'!$B$4</f>
        <v>2.7863988955034854E-3</v>
      </c>
      <c r="F507" s="40">
        <f>[1]!Table3[[#This Row],[Residential Incentive Disbursements]]+[1]!Table3[[#This Row],[C&amp;I Incentive Disbursements]]</f>
        <v>226740.76459999999</v>
      </c>
      <c r="G507" s="36">
        <f>[1]!Table3[[#This Row],[Incentive Disbursements]]/'[1]1.) CLM Reference'!$B$5</f>
        <v>2.7740943682108385E-3</v>
      </c>
      <c r="H507" s="40">
        <v>104774.0469552</v>
      </c>
      <c r="I507" s="36">
        <f>[1]!Table3[[#This Row],[Residential CLM $ Collected]]/'[1]1.) CLM Reference'!$B$4</f>
        <v>9.2951779122304231E-4</v>
      </c>
      <c r="J507" s="41">
        <v>113608.8646</v>
      </c>
      <c r="K507" s="36">
        <f>[1]!Table3[[#This Row],[Residential Incentive Disbursements]]/'[1]1.) CLM Reference'!$B$5</f>
        <v>1.3899649320741846E-3</v>
      </c>
      <c r="L507" s="37">
        <v>209305.24390943997</v>
      </c>
      <c r="M507" s="36">
        <f>[1]!Table3[[#This Row],[C&amp;I CLM $ Collected]]/'[1]1.) CLM Reference'!$B$4</f>
        <v>1.8568811042804431E-3</v>
      </c>
      <c r="N507" s="41">
        <v>113131.9</v>
      </c>
      <c r="O507" s="36">
        <f>[1]!Table3[[#This Row],[C&amp;I Incentive Disbursements]]/'[1]1.) CLM Reference'!$B$5</f>
        <v>1.3841294361366537E-3</v>
      </c>
      <c r="Q507">
        <f>VLOOKUP(Table3[[#This Row],[Census Tract]],'Population and Diversity Data'!$B$2:$K$823,10,FALSE)</f>
        <v>5</v>
      </c>
      <c r="R507" t="str">
        <f>VLOOKUP(Table3[[#This Row],[Census Tract]],'ES Energy Burden'!$B$2:$E$914,4,FALSE)</f>
        <v>No</v>
      </c>
    </row>
    <row r="508" spans="1:18" x14ac:dyDescent="0.2">
      <c r="A508" s="100">
        <v>9011693400</v>
      </c>
      <c r="B508" s="38" t="s">
        <v>2811</v>
      </c>
      <c r="C508" s="38" t="s">
        <v>944</v>
      </c>
      <c r="D508" s="40">
        <f>[1]!Table3[[#This Row],[Residential CLM $ Collected]]+[1]!Table3[[#This Row],[C&amp;I CLM $ Collected]]</f>
        <v>472.06506239999999</v>
      </c>
      <c r="E508" s="36">
        <f>[1]!Table3[[#This Row],[CLM $ Collected ]]/'[1]1.) CLM Reference'!$B$4</f>
        <v>4.1879920349286277E-6</v>
      </c>
      <c r="F508" s="40">
        <f>[1]!Table3[[#This Row],[Residential Incentive Disbursements]]+[1]!Table3[[#This Row],[C&amp;I Incentive Disbursements]]</f>
        <v>0</v>
      </c>
      <c r="G508" s="36">
        <f>[1]!Table3[[#This Row],[Incentive Disbursements]]/'[1]1.) CLM Reference'!$B$5</f>
        <v>0</v>
      </c>
      <c r="H508" s="40">
        <v>472.06506239999999</v>
      </c>
      <c r="I508" s="36">
        <f>[1]!Table3[[#This Row],[Residential CLM $ Collected]]/'[1]1.) CLM Reference'!$B$4</f>
        <v>4.1879920349286277E-6</v>
      </c>
      <c r="J508" s="41">
        <v>0</v>
      </c>
      <c r="K508" s="36">
        <f>[1]!Table3[[#This Row],[Residential Incentive Disbursements]]/'[1]1.) CLM Reference'!$B$5</f>
        <v>0</v>
      </c>
      <c r="L508" s="37">
        <v>0</v>
      </c>
      <c r="M508" s="36">
        <f>[1]!Table3[[#This Row],[C&amp;I CLM $ Collected]]/'[1]1.) CLM Reference'!$B$4</f>
        <v>0</v>
      </c>
      <c r="N508" s="41">
        <v>0</v>
      </c>
      <c r="O508" s="36">
        <f>[1]!Table3[[#This Row],[C&amp;I Incentive Disbursements]]/'[1]1.) CLM Reference'!$B$5</f>
        <v>0</v>
      </c>
      <c r="Q508">
        <f>VLOOKUP(Table3[[#This Row],[Census Tract]],'Population and Diversity Data'!$B$2:$K$823,10,FALSE)</f>
        <v>3</v>
      </c>
      <c r="R508" t="str">
        <f>VLOOKUP(Table3[[#This Row],[Census Tract]],'ES Energy Burden'!$B$2:$E$914,4,FALSE)</f>
        <v>No</v>
      </c>
    </row>
    <row r="509" spans="1:18" x14ac:dyDescent="0.2">
      <c r="A509" s="100">
        <v>9011693600</v>
      </c>
      <c r="B509" s="38" t="s">
        <v>2811</v>
      </c>
      <c r="C509" s="38" t="s">
        <v>944</v>
      </c>
      <c r="D509" s="40">
        <f>[1]!Table3[[#This Row],[Residential CLM $ Collected]]+[1]!Table3[[#This Row],[C&amp;I CLM $ Collected]]</f>
        <v>117.425808</v>
      </c>
      <c r="E509" s="36">
        <f>[1]!Table3[[#This Row],[CLM $ Collected ]]/'[1]1.) CLM Reference'!$B$4</f>
        <v>1.0417596805381766E-6</v>
      </c>
      <c r="F509" s="40">
        <f>[1]!Table3[[#This Row],[Residential Incentive Disbursements]]+[1]!Table3[[#This Row],[C&amp;I Incentive Disbursements]]</f>
        <v>0</v>
      </c>
      <c r="G509" s="36">
        <f>[1]!Table3[[#This Row],[Incentive Disbursements]]/'[1]1.) CLM Reference'!$B$5</f>
        <v>0</v>
      </c>
      <c r="H509" s="40">
        <v>117.425808</v>
      </c>
      <c r="I509" s="36">
        <f>[1]!Table3[[#This Row],[Residential CLM $ Collected]]/'[1]1.) CLM Reference'!$B$4</f>
        <v>1.0417596805381766E-6</v>
      </c>
      <c r="J509" s="41">
        <v>0</v>
      </c>
      <c r="K509" s="36">
        <f>[1]!Table3[[#This Row],[Residential Incentive Disbursements]]/'[1]1.) CLM Reference'!$B$5</f>
        <v>0</v>
      </c>
      <c r="L509" s="37">
        <v>0</v>
      </c>
      <c r="M509" s="36">
        <f>[1]!Table3[[#This Row],[C&amp;I CLM $ Collected]]/'[1]1.) CLM Reference'!$B$4</f>
        <v>0</v>
      </c>
      <c r="N509" s="41">
        <v>0</v>
      </c>
      <c r="O509" s="36">
        <f>[1]!Table3[[#This Row],[C&amp;I Incentive Disbursements]]/'[1]1.) CLM Reference'!$B$5</f>
        <v>0</v>
      </c>
      <c r="Q509">
        <f>VLOOKUP(Table3[[#This Row],[Census Tract]],'Population and Diversity Data'!$B$2:$K$823,10,FALSE)</f>
        <v>2</v>
      </c>
      <c r="R509" t="str">
        <f>VLOOKUP(Table3[[#This Row],[Census Tract]],'ES Energy Burden'!$B$2:$E$914,4,FALSE)</f>
        <v>No</v>
      </c>
    </row>
    <row r="510" spans="1:18" x14ac:dyDescent="0.2">
      <c r="A510" s="100">
        <v>9011870300</v>
      </c>
      <c r="B510" s="38" t="s">
        <v>2811</v>
      </c>
      <c r="C510" s="38" t="s">
        <v>944</v>
      </c>
      <c r="D510" s="40">
        <f>[1]!Table3[[#This Row],[Residential CLM $ Collected]]+[1]!Table3[[#This Row],[C&amp;I CLM $ Collected]]</f>
        <v>41310.163071360003</v>
      </c>
      <c r="E510" s="36">
        <f>[1]!Table3[[#This Row],[CLM $ Collected ]]/'[1]1.) CLM Reference'!$B$4</f>
        <v>3.6648896028205292E-4</v>
      </c>
      <c r="F510" s="40">
        <f>[1]!Table3[[#This Row],[Residential Incentive Disbursements]]+[1]!Table3[[#This Row],[C&amp;I Incentive Disbursements]]</f>
        <v>21513.050299999999</v>
      </c>
      <c r="G510" s="36">
        <f>[1]!Table3[[#This Row],[Incentive Disbursements]]/'[1]1.) CLM Reference'!$B$5</f>
        <v>2.6320468569270445E-4</v>
      </c>
      <c r="H510" s="40">
        <v>41310.163071360003</v>
      </c>
      <c r="I510" s="36">
        <f>[1]!Table3[[#This Row],[Residential CLM $ Collected]]/'[1]1.) CLM Reference'!$B$4</f>
        <v>3.6648896028205292E-4</v>
      </c>
      <c r="J510" s="41">
        <v>21513.050299999999</v>
      </c>
      <c r="K510" s="36">
        <f>[1]!Table3[[#This Row],[Residential Incentive Disbursements]]/'[1]1.) CLM Reference'!$B$5</f>
        <v>2.6320468569270445E-4</v>
      </c>
      <c r="L510" s="37">
        <v>0</v>
      </c>
      <c r="M510" s="36">
        <f>[1]!Table3[[#This Row],[C&amp;I CLM $ Collected]]/'[1]1.) CLM Reference'!$B$4</f>
        <v>0</v>
      </c>
      <c r="N510" s="41">
        <v>0</v>
      </c>
      <c r="O510" s="36">
        <f>[1]!Table3[[#This Row],[C&amp;I Incentive Disbursements]]/'[1]1.) CLM Reference'!$B$5</f>
        <v>0</v>
      </c>
      <c r="Q510">
        <f>VLOOKUP(Table3[[#This Row],[Census Tract]],'Population and Diversity Data'!$B$2:$K$823,10,FALSE)</f>
        <v>5</v>
      </c>
      <c r="R510" t="str">
        <f>VLOOKUP(Table3[[#This Row],[Census Tract]],'ES Energy Burden'!$B$2:$E$914,4,FALSE)</f>
        <v>No</v>
      </c>
    </row>
    <row r="511" spans="1:18" x14ac:dyDescent="0.2">
      <c r="A511" s="100">
        <v>9005253100</v>
      </c>
      <c r="B511" s="38" t="s">
        <v>2812</v>
      </c>
      <c r="C511" s="38" t="s">
        <v>944</v>
      </c>
      <c r="D511" s="40">
        <f>[1]!Table3[[#This Row],[Residential CLM $ Collected]]+[1]!Table3[[#This Row],[C&amp;I CLM $ Collected]]</f>
        <v>96741.50344416</v>
      </c>
      <c r="E511" s="36">
        <f>[1]!Table3[[#This Row],[CLM $ Collected ]]/'[1]1.) CLM Reference'!$B$4</f>
        <v>8.5825594423647497E-4</v>
      </c>
      <c r="F511" s="40">
        <f>[1]!Table3[[#This Row],[Residential Incentive Disbursements]]+[1]!Table3[[#This Row],[C&amp;I Incentive Disbursements]]</f>
        <v>48216.78</v>
      </c>
      <c r="G511" s="36">
        <f>[1]!Table3[[#This Row],[Incentive Disbursements]]/'[1]1.) CLM Reference'!$B$5</f>
        <v>5.8991552792559028E-4</v>
      </c>
      <c r="H511" s="40">
        <v>96741.50344416</v>
      </c>
      <c r="I511" s="36">
        <f>[1]!Table3[[#This Row],[Residential CLM $ Collected]]/'[1]1.) CLM Reference'!$B$4</f>
        <v>8.5825594423647497E-4</v>
      </c>
      <c r="J511" s="41">
        <v>48216.78</v>
      </c>
      <c r="K511" s="36">
        <f>[1]!Table3[[#This Row],[Residential Incentive Disbursements]]/'[1]1.) CLM Reference'!$B$5</f>
        <v>5.8991552792559028E-4</v>
      </c>
      <c r="L511" s="37">
        <v>0</v>
      </c>
      <c r="M511" s="36">
        <f>[1]!Table3[[#This Row],[C&amp;I CLM $ Collected]]/'[1]1.) CLM Reference'!$B$4</f>
        <v>0</v>
      </c>
      <c r="N511" s="41">
        <v>0</v>
      </c>
      <c r="O511" s="36">
        <f>[1]!Table3[[#This Row],[C&amp;I Incentive Disbursements]]/'[1]1.) CLM Reference'!$B$5</f>
        <v>0</v>
      </c>
      <c r="Q511">
        <f>VLOOKUP(Table3[[#This Row],[Census Tract]],'Population and Diversity Data'!$B$2:$K$823,10,FALSE)</f>
        <v>4</v>
      </c>
      <c r="R511" t="str">
        <f>VLOOKUP(Table3[[#This Row],[Census Tract]],'ES Energy Burden'!$B$2:$E$914,4,FALSE)</f>
        <v>No</v>
      </c>
    </row>
    <row r="512" spans="1:18" x14ac:dyDescent="0.2">
      <c r="A512" s="100">
        <v>9005253200</v>
      </c>
      <c r="B512" s="38" t="s">
        <v>2812</v>
      </c>
      <c r="C512" s="38" t="s">
        <v>944</v>
      </c>
      <c r="D512" s="40">
        <f>[1]!Table3[[#This Row],[Residential CLM $ Collected]]+[1]!Table3[[#This Row],[C&amp;I CLM $ Collected]]</f>
        <v>373255.31217888003</v>
      </c>
      <c r="E512" s="36">
        <f>[1]!Table3[[#This Row],[CLM $ Collected ]]/'[1]1.) CLM Reference'!$B$4</f>
        <v>3.3113873465929005E-3</v>
      </c>
      <c r="F512" s="40">
        <f>[1]!Table3[[#This Row],[Residential Incentive Disbursements]]+[1]!Table3[[#This Row],[C&amp;I Incentive Disbursements]]</f>
        <v>435948.83130000002</v>
      </c>
      <c r="G512" s="36">
        <f>[1]!Table3[[#This Row],[Incentive Disbursements]]/'[1]1.) CLM Reference'!$B$5</f>
        <v>5.3336822775159106E-3</v>
      </c>
      <c r="H512" s="40">
        <v>182694.09673440002</v>
      </c>
      <c r="I512" s="36">
        <f>[1]!Table3[[#This Row],[Residential CLM $ Collected]]/'[1]1.) CLM Reference'!$B$4</f>
        <v>1.6207965445742495E-3</v>
      </c>
      <c r="J512" s="41">
        <v>376294.26130000001</v>
      </c>
      <c r="K512" s="36">
        <f>[1]!Table3[[#This Row],[Residential Incentive Disbursements]]/'[1]1.) CLM Reference'!$B$5</f>
        <v>4.6038293683269499E-3</v>
      </c>
      <c r="L512" s="37">
        <v>190561.21544448001</v>
      </c>
      <c r="M512" s="36">
        <f>[1]!Table3[[#This Row],[C&amp;I CLM $ Collected]]/'[1]1.) CLM Reference'!$B$4</f>
        <v>1.6905908020186508E-3</v>
      </c>
      <c r="N512" s="41">
        <v>59654.57</v>
      </c>
      <c r="O512" s="36">
        <f>[1]!Table3[[#This Row],[C&amp;I Incentive Disbursements]]/'[1]1.) CLM Reference'!$B$5</f>
        <v>7.2985290918896036E-4</v>
      </c>
      <c r="Q512">
        <f>VLOOKUP(Table3[[#This Row],[Census Tract]],'Population and Diversity Data'!$B$2:$K$823,10,FALSE)</f>
        <v>4</v>
      </c>
      <c r="R512" t="str">
        <f>VLOOKUP(Table3[[#This Row],[Census Tract]],'ES Energy Burden'!$B$2:$E$914,4,FALSE)</f>
        <v>No</v>
      </c>
    </row>
    <row r="513" spans="1:18" x14ac:dyDescent="0.2">
      <c r="A513" s="100">
        <v>9005253300</v>
      </c>
      <c r="B513" s="38" t="s">
        <v>2812</v>
      </c>
      <c r="C513" s="38" t="s">
        <v>944</v>
      </c>
      <c r="D513" s="40">
        <f>[1]!Table3[[#This Row],[Residential CLM $ Collected]]+[1]!Table3[[#This Row],[C&amp;I CLM $ Collected]]</f>
        <v>51696.375353280004</v>
      </c>
      <c r="E513" s="36">
        <f>[1]!Table3[[#This Row],[CLM $ Collected ]]/'[1]1.) CLM Reference'!$B$4</f>
        <v>4.5863171299630006E-4</v>
      </c>
      <c r="F513" s="40">
        <f>[1]!Table3[[#This Row],[Residential Incentive Disbursements]]+[1]!Table3[[#This Row],[C&amp;I Incentive Disbursements]]</f>
        <v>13320.82</v>
      </c>
      <c r="G513" s="36">
        <f>[1]!Table3[[#This Row],[Incentive Disbursements]]/'[1]1.) CLM Reference'!$B$5</f>
        <v>1.629755981776834E-4</v>
      </c>
      <c r="H513" s="40">
        <v>51696.375353280004</v>
      </c>
      <c r="I513" s="36">
        <f>[1]!Table3[[#This Row],[Residential CLM $ Collected]]/'[1]1.) CLM Reference'!$B$4</f>
        <v>4.5863171299630006E-4</v>
      </c>
      <c r="J513" s="41">
        <v>13320.82</v>
      </c>
      <c r="K513" s="36">
        <f>[1]!Table3[[#This Row],[Residential Incentive Disbursements]]/'[1]1.) CLM Reference'!$B$5</f>
        <v>1.629755981776834E-4</v>
      </c>
      <c r="L513" s="37">
        <v>0</v>
      </c>
      <c r="M513" s="36">
        <f>[1]!Table3[[#This Row],[C&amp;I CLM $ Collected]]/'[1]1.) CLM Reference'!$B$4</f>
        <v>0</v>
      </c>
      <c r="N513" s="41">
        <v>0</v>
      </c>
      <c r="O513" s="36">
        <f>[1]!Table3[[#This Row],[C&amp;I Incentive Disbursements]]/'[1]1.) CLM Reference'!$B$5</f>
        <v>0</v>
      </c>
      <c r="Q513">
        <f>VLOOKUP(Table3[[#This Row],[Census Tract]],'Population and Diversity Data'!$B$2:$K$823,10,FALSE)</f>
        <v>3</v>
      </c>
      <c r="R513" t="str">
        <f>VLOOKUP(Table3[[#This Row],[Census Tract]],'ES Energy Burden'!$B$2:$E$914,4,FALSE)</f>
        <v>No</v>
      </c>
    </row>
    <row r="514" spans="1:18" x14ac:dyDescent="0.2">
      <c r="A514" s="100">
        <v>9005253400</v>
      </c>
      <c r="B514" s="38" t="s">
        <v>2812</v>
      </c>
      <c r="C514" s="38" t="s">
        <v>944</v>
      </c>
      <c r="D514" s="40">
        <f>[1]!Table3[[#This Row],[Residential CLM $ Collected]]+[1]!Table3[[#This Row],[C&amp;I CLM $ Collected]]</f>
        <v>154072.5097392</v>
      </c>
      <c r="E514" s="36">
        <f>[1]!Table3[[#This Row],[CLM $ Collected ]]/'[1]1.) CLM Reference'!$B$4</f>
        <v>1.3668760833702254E-3</v>
      </c>
      <c r="F514" s="40">
        <f>[1]!Table3[[#This Row],[Residential Incentive Disbursements]]+[1]!Table3[[#This Row],[C&amp;I Incentive Disbursements]]</f>
        <v>19810.52</v>
      </c>
      <c r="G514" s="36">
        <f>[1]!Table3[[#This Row],[Incentive Disbursements]]/'[1]1.) CLM Reference'!$B$5</f>
        <v>2.4237481980921298E-4</v>
      </c>
      <c r="H514" s="40">
        <v>154010.8821744</v>
      </c>
      <c r="I514" s="36">
        <f>[1]!Table3[[#This Row],[Residential CLM $ Collected]]/'[1]1.) CLM Reference'!$B$4</f>
        <v>1.3663293457040183E-3</v>
      </c>
      <c r="J514" s="41">
        <v>19810.52</v>
      </c>
      <c r="K514" s="36">
        <f>[1]!Table3[[#This Row],[Residential Incentive Disbursements]]/'[1]1.) CLM Reference'!$B$5</f>
        <v>2.4237481980921298E-4</v>
      </c>
      <c r="L514" s="37">
        <v>61.627564800000002</v>
      </c>
      <c r="M514" s="36">
        <f>[1]!Table3[[#This Row],[C&amp;I CLM $ Collected]]/'[1]1.) CLM Reference'!$B$4</f>
        <v>5.4673766620702125E-7</v>
      </c>
      <c r="N514" s="41">
        <v>0</v>
      </c>
      <c r="O514" s="36">
        <f>[1]!Table3[[#This Row],[C&amp;I Incentive Disbursements]]/'[1]1.) CLM Reference'!$B$5</f>
        <v>0</v>
      </c>
      <c r="Q514">
        <f>VLOOKUP(Table3[[#This Row],[Census Tract]],'Population and Diversity Data'!$B$2:$K$823,10,FALSE)</f>
        <v>2</v>
      </c>
      <c r="R514" t="str">
        <f>VLOOKUP(Table3[[#This Row],[Census Tract]],'ES Energy Burden'!$B$2:$E$914,4,FALSE)</f>
        <v>No</v>
      </c>
    </row>
    <row r="515" spans="1:18" x14ac:dyDescent="0.2">
      <c r="A515" s="100">
        <v>9005253500</v>
      </c>
      <c r="B515" s="38" t="s">
        <v>2812</v>
      </c>
      <c r="C515" s="38" t="s">
        <v>944</v>
      </c>
      <c r="D515" s="40">
        <f>[1]!Table3[[#This Row],[Residential CLM $ Collected]]+[1]!Table3[[#This Row],[C&amp;I CLM $ Collected]]</f>
        <v>147618.1887696</v>
      </c>
      <c r="E515" s="36">
        <f>[1]!Table3[[#This Row],[CLM $ Collected ]]/'[1]1.) CLM Reference'!$B$4</f>
        <v>1.309615661101031E-3</v>
      </c>
      <c r="F515" s="40">
        <f>[1]!Table3[[#This Row],[Residential Incentive Disbursements]]+[1]!Table3[[#This Row],[C&amp;I Incentive Disbursements]]</f>
        <v>29305.079600000001</v>
      </c>
      <c r="G515" s="36">
        <f>[1]!Table3[[#This Row],[Incentive Disbursements]]/'[1]1.) CLM Reference'!$B$5</f>
        <v>3.5853745320893362E-4</v>
      </c>
      <c r="H515" s="40">
        <v>147618.1887696</v>
      </c>
      <c r="I515" s="36">
        <f>[1]!Table3[[#This Row],[Residential CLM $ Collected]]/'[1]1.) CLM Reference'!$B$4</f>
        <v>1.309615661101031E-3</v>
      </c>
      <c r="J515" s="41">
        <v>29305.079600000001</v>
      </c>
      <c r="K515" s="36">
        <f>[1]!Table3[[#This Row],[Residential Incentive Disbursements]]/'[1]1.) CLM Reference'!$B$5</f>
        <v>3.5853745320893362E-4</v>
      </c>
      <c r="L515" s="37">
        <v>0</v>
      </c>
      <c r="M515" s="36">
        <f>[1]!Table3[[#This Row],[C&amp;I CLM $ Collected]]/'[1]1.) CLM Reference'!$B$4</f>
        <v>0</v>
      </c>
      <c r="N515" s="41">
        <v>0</v>
      </c>
      <c r="O515" s="36">
        <f>[1]!Table3[[#This Row],[C&amp;I Incentive Disbursements]]/'[1]1.) CLM Reference'!$B$5</f>
        <v>0</v>
      </c>
      <c r="Q515">
        <f>VLOOKUP(Table3[[#This Row],[Census Tract]],'Population and Diversity Data'!$B$2:$K$823,10,FALSE)</f>
        <v>4</v>
      </c>
      <c r="R515" t="str">
        <f>VLOOKUP(Table3[[#This Row],[Census Tract]],'ES Energy Burden'!$B$2:$E$914,4,FALSE)</f>
        <v>No</v>
      </c>
    </row>
    <row r="516" spans="1:18" x14ac:dyDescent="0.2">
      <c r="A516" s="100">
        <v>9005253600</v>
      </c>
      <c r="B516" s="38" t="s">
        <v>2812</v>
      </c>
      <c r="C516" s="38" t="s">
        <v>944</v>
      </c>
      <c r="D516" s="40">
        <f>[1]!Table3[[#This Row],[Residential CLM $ Collected]]+[1]!Table3[[#This Row],[C&amp;I CLM $ Collected]]</f>
        <v>49566.037328640006</v>
      </c>
      <c r="E516" s="36">
        <f>[1]!Table3[[#This Row],[CLM $ Collected ]]/'[1]1.) CLM Reference'!$B$4</f>
        <v>4.3973211760252345E-4</v>
      </c>
      <c r="F516" s="40">
        <f>[1]!Table3[[#This Row],[Residential Incentive Disbursements]]+[1]!Table3[[#This Row],[C&amp;I Incentive Disbursements]]</f>
        <v>7377.73</v>
      </c>
      <c r="G516" s="36">
        <f>[1]!Table3[[#This Row],[Incentive Disbursements]]/'[1]1.) CLM Reference'!$B$5</f>
        <v>9.0263959721957057E-5</v>
      </c>
      <c r="H516" s="40">
        <v>49566.037328640006</v>
      </c>
      <c r="I516" s="36">
        <f>[1]!Table3[[#This Row],[Residential CLM $ Collected]]/'[1]1.) CLM Reference'!$B$4</f>
        <v>4.3973211760252345E-4</v>
      </c>
      <c r="J516" s="41">
        <v>7377.73</v>
      </c>
      <c r="K516" s="36">
        <f>[1]!Table3[[#This Row],[Residential Incentive Disbursements]]/'[1]1.) CLM Reference'!$B$5</f>
        <v>9.0263959721957057E-5</v>
      </c>
      <c r="L516" s="37">
        <v>0</v>
      </c>
      <c r="M516" s="36">
        <f>[1]!Table3[[#This Row],[C&amp;I CLM $ Collected]]/'[1]1.) CLM Reference'!$B$4</f>
        <v>0</v>
      </c>
      <c r="N516" s="41">
        <v>0</v>
      </c>
      <c r="O516" s="36">
        <f>[1]!Table3[[#This Row],[C&amp;I Incentive Disbursements]]/'[1]1.) CLM Reference'!$B$5</f>
        <v>0</v>
      </c>
      <c r="Q516">
        <f>VLOOKUP(Table3[[#This Row],[Census Tract]],'Population and Diversity Data'!$B$2:$K$823,10,FALSE)</f>
        <v>4</v>
      </c>
      <c r="R516" t="str">
        <f>VLOOKUP(Table3[[#This Row],[Census Tract]],'ES Energy Burden'!$B$2:$E$914,4,FALSE)</f>
        <v>No</v>
      </c>
    </row>
    <row r="517" spans="1:18" x14ac:dyDescent="0.2">
      <c r="A517" s="100">
        <v>9005266100</v>
      </c>
      <c r="B517" s="38" t="s">
        <v>2812</v>
      </c>
      <c r="C517" s="38" t="s">
        <v>944</v>
      </c>
      <c r="D517" s="40">
        <f>[1]!Table3[[#This Row],[Residential CLM $ Collected]]+[1]!Table3[[#This Row],[C&amp;I CLM $ Collected]]</f>
        <v>101.72079360000001</v>
      </c>
      <c r="E517" s="36">
        <f>[1]!Table3[[#This Row],[CLM $ Collected ]]/'[1]1.) CLM Reference'!$B$4</f>
        <v>9.0243042181004869E-7</v>
      </c>
      <c r="F517" s="40">
        <f>[1]!Table3[[#This Row],[Residential Incentive Disbursements]]+[1]!Table3[[#This Row],[C&amp;I Incentive Disbursements]]</f>
        <v>0</v>
      </c>
      <c r="G517" s="36">
        <f>[1]!Table3[[#This Row],[Incentive Disbursements]]/'[1]1.) CLM Reference'!$B$5</f>
        <v>0</v>
      </c>
      <c r="H517" s="40">
        <v>101.72079360000001</v>
      </c>
      <c r="I517" s="36">
        <f>[1]!Table3[[#This Row],[Residential CLM $ Collected]]/'[1]1.) CLM Reference'!$B$4</f>
        <v>9.0243042181004869E-7</v>
      </c>
      <c r="J517" s="41">
        <v>0</v>
      </c>
      <c r="K517" s="36">
        <f>[1]!Table3[[#This Row],[Residential Incentive Disbursements]]/'[1]1.) CLM Reference'!$B$5</f>
        <v>0</v>
      </c>
      <c r="L517" s="37">
        <v>0</v>
      </c>
      <c r="M517" s="36">
        <f>[1]!Table3[[#This Row],[C&amp;I CLM $ Collected]]/'[1]1.) CLM Reference'!$B$4</f>
        <v>0</v>
      </c>
      <c r="N517" s="41">
        <v>0</v>
      </c>
      <c r="O517" s="36">
        <f>[1]!Table3[[#This Row],[C&amp;I Incentive Disbursements]]/'[1]1.) CLM Reference'!$B$5</f>
        <v>0</v>
      </c>
      <c r="Q517">
        <f>VLOOKUP(Table3[[#This Row],[Census Tract]],'Population and Diversity Data'!$B$2:$K$823,10,FALSE)</f>
        <v>2</v>
      </c>
      <c r="R517" t="str">
        <f>VLOOKUP(Table3[[#This Row],[Census Tract]],'ES Energy Burden'!$B$2:$E$914,4,FALSE)</f>
        <v>No</v>
      </c>
    </row>
    <row r="518" spans="1:18" x14ac:dyDescent="0.2">
      <c r="A518" s="100">
        <v>9005267100</v>
      </c>
      <c r="B518" s="38" t="s">
        <v>2812</v>
      </c>
      <c r="C518" s="38" t="s">
        <v>944</v>
      </c>
      <c r="D518" s="40">
        <f>[1]!Table3[[#This Row],[Residential CLM $ Collected]]+[1]!Table3[[#This Row],[C&amp;I CLM $ Collected]]</f>
        <v>644.94757440000012</v>
      </c>
      <c r="E518" s="36">
        <f>[1]!Table3[[#This Row],[CLM $ Collected ]]/'[1]1.) CLM Reference'!$B$4</f>
        <v>5.7217437164308539E-6</v>
      </c>
      <c r="F518" s="40">
        <f>[1]!Table3[[#This Row],[Residential Incentive Disbursements]]+[1]!Table3[[#This Row],[C&amp;I Incentive Disbursements]]</f>
        <v>0</v>
      </c>
      <c r="G518" s="36">
        <f>[1]!Table3[[#This Row],[Incentive Disbursements]]/'[1]1.) CLM Reference'!$B$5</f>
        <v>0</v>
      </c>
      <c r="H518" s="40">
        <v>644.94757440000012</v>
      </c>
      <c r="I518" s="36">
        <f>[1]!Table3[[#This Row],[Residential CLM $ Collected]]/'[1]1.) CLM Reference'!$B$4</f>
        <v>5.7217437164308539E-6</v>
      </c>
      <c r="J518" s="41">
        <v>0</v>
      </c>
      <c r="K518" s="36">
        <f>[1]!Table3[[#This Row],[Residential Incentive Disbursements]]/'[1]1.) CLM Reference'!$B$5</f>
        <v>0</v>
      </c>
      <c r="L518" s="37">
        <v>0</v>
      </c>
      <c r="M518" s="36">
        <f>[1]!Table3[[#This Row],[C&amp;I CLM $ Collected]]/'[1]1.) CLM Reference'!$B$4</f>
        <v>0</v>
      </c>
      <c r="N518" s="41">
        <v>0</v>
      </c>
      <c r="O518" s="36">
        <f>[1]!Table3[[#This Row],[C&amp;I Incentive Disbursements]]/'[1]1.) CLM Reference'!$B$5</f>
        <v>0</v>
      </c>
      <c r="Q518">
        <f>VLOOKUP(Table3[[#This Row],[Census Tract]],'Population and Diversity Data'!$B$2:$K$823,10,FALSE)</f>
        <v>3</v>
      </c>
      <c r="R518" t="str">
        <f>VLOOKUP(Table3[[#This Row],[Census Tract]],'ES Energy Burden'!$B$2:$E$914,4,FALSE)</f>
        <v>No</v>
      </c>
    </row>
    <row r="519" spans="1:18" x14ac:dyDescent="0.2">
      <c r="A519" s="100">
        <v>9005268100</v>
      </c>
      <c r="B519" s="38" t="s">
        <v>2812</v>
      </c>
      <c r="C519" s="38" t="s">
        <v>944</v>
      </c>
      <c r="D519" s="40">
        <f>[1]!Table3[[#This Row],[Residential CLM $ Collected]]+[1]!Table3[[#This Row],[C&amp;I CLM $ Collected]]</f>
        <v>82.426723199999998</v>
      </c>
      <c r="E519" s="36">
        <f>[1]!Table3[[#This Row],[CLM $ Collected ]]/'[1]1.) CLM Reference'!$B$4</f>
        <v>7.3126034464792179E-7</v>
      </c>
      <c r="F519" s="40">
        <f>[1]!Table3[[#This Row],[Residential Incentive Disbursements]]+[1]!Table3[[#This Row],[C&amp;I Incentive Disbursements]]</f>
        <v>0</v>
      </c>
      <c r="G519" s="36">
        <f>[1]!Table3[[#This Row],[Incentive Disbursements]]/'[1]1.) CLM Reference'!$B$5</f>
        <v>0</v>
      </c>
      <c r="H519" s="40">
        <v>82.426723199999998</v>
      </c>
      <c r="I519" s="36">
        <f>[1]!Table3[[#This Row],[Residential CLM $ Collected]]/'[1]1.) CLM Reference'!$B$4</f>
        <v>7.3126034464792179E-7</v>
      </c>
      <c r="J519" s="41">
        <v>0</v>
      </c>
      <c r="K519" s="36">
        <f>[1]!Table3[[#This Row],[Residential Incentive Disbursements]]/'[1]1.) CLM Reference'!$B$5</f>
        <v>0</v>
      </c>
      <c r="L519" s="37">
        <v>0</v>
      </c>
      <c r="M519" s="36">
        <f>[1]!Table3[[#This Row],[C&amp;I CLM $ Collected]]/'[1]1.) CLM Reference'!$B$4</f>
        <v>0</v>
      </c>
      <c r="N519" s="41">
        <v>0</v>
      </c>
      <c r="O519" s="36">
        <f>[1]!Table3[[#This Row],[C&amp;I Incentive Disbursements]]/'[1]1.) CLM Reference'!$B$5</f>
        <v>0</v>
      </c>
      <c r="Q519">
        <f>VLOOKUP(Table3[[#This Row],[Census Tract]],'Population and Diversity Data'!$B$2:$K$823,10,FALSE)</f>
        <v>1</v>
      </c>
      <c r="R519" t="str">
        <f>VLOOKUP(Table3[[#This Row],[Census Tract]],'ES Energy Burden'!$B$2:$E$914,4,FALSE)</f>
        <v>No</v>
      </c>
    </row>
    <row r="520" spans="1:18" x14ac:dyDescent="0.2">
      <c r="A520" s="100">
        <v>9003400100</v>
      </c>
      <c r="B520" s="38" t="s">
        <v>2813</v>
      </c>
      <c r="C520" s="38" t="s">
        <v>944</v>
      </c>
      <c r="D520" s="40">
        <f>[1]!Table3[[#This Row],[Residential CLM $ Collected]]+[1]!Table3[[#This Row],[C&amp;I CLM $ Collected]]</f>
        <v>585.9944352</v>
      </c>
      <c r="E520" s="36">
        <f>[1]!Table3[[#This Row],[CLM $ Collected ]]/'[1]1.) CLM Reference'!$B$4</f>
        <v>5.1987325955730369E-6</v>
      </c>
      <c r="F520" s="40">
        <f>[1]!Table3[[#This Row],[Residential Incentive Disbursements]]+[1]!Table3[[#This Row],[C&amp;I Incentive Disbursements]]</f>
        <v>0</v>
      </c>
      <c r="G520" s="36">
        <f>[1]!Table3[[#This Row],[Incentive Disbursements]]/'[1]1.) CLM Reference'!$B$5</f>
        <v>0</v>
      </c>
      <c r="H520" s="40">
        <v>585.9944352</v>
      </c>
      <c r="I520" s="36">
        <f>[1]!Table3[[#This Row],[Residential CLM $ Collected]]/'[1]1.) CLM Reference'!$B$4</f>
        <v>5.1987325955730369E-6</v>
      </c>
      <c r="J520" s="41">
        <v>0</v>
      </c>
      <c r="K520" s="36">
        <f>[1]!Table3[[#This Row],[Residential Incentive Disbursements]]/'[1]1.) CLM Reference'!$B$5</f>
        <v>0</v>
      </c>
      <c r="L520" s="37">
        <v>0</v>
      </c>
      <c r="M520" s="36">
        <f>[1]!Table3[[#This Row],[C&amp;I CLM $ Collected]]/'[1]1.) CLM Reference'!$B$4</f>
        <v>0</v>
      </c>
      <c r="N520" s="41">
        <v>0</v>
      </c>
      <c r="O520" s="36">
        <f>[1]!Table3[[#This Row],[C&amp;I Incentive Disbursements]]/'[1]1.) CLM Reference'!$B$5</f>
        <v>0</v>
      </c>
      <c r="Q520">
        <f>VLOOKUP(Table3[[#This Row],[Census Tract]],'Population and Diversity Data'!$B$2:$K$823,10,FALSE)</f>
        <v>2</v>
      </c>
      <c r="R520" t="str">
        <f>VLOOKUP(Table3[[#This Row],[Census Tract]],'ES Energy Burden'!$B$2:$E$914,4,FALSE)</f>
        <v>No</v>
      </c>
    </row>
    <row r="521" spans="1:18" x14ac:dyDescent="0.2">
      <c r="A521" s="100">
        <v>9003416300</v>
      </c>
      <c r="B521" s="38" t="s">
        <v>2813</v>
      </c>
      <c r="C521" s="38" t="s">
        <v>944</v>
      </c>
      <c r="D521" s="40">
        <f>[1]!Table3[[#This Row],[Residential CLM $ Collected]]+[1]!Table3[[#This Row],[C&amp;I CLM $ Collected]]</f>
        <v>152.5175136</v>
      </c>
      <c r="E521" s="36">
        <f>[1]!Table3[[#This Row],[CLM $ Collected ]]/'[1]1.) CLM Reference'!$B$4</f>
        <v>1.3530807149686632E-6</v>
      </c>
      <c r="F521" s="40">
        <f>[1]!Table3[[#This Row],[Residential Incentive Disbursements]]+[1]!Table3[[#This Row],[C&amp;I Incentive Disbursements]]</f>
        <v>0</v>
      </c>
      <c r="G521" s="36">
        <f>[1]!Table3[[#This Row],[Incentive Disbursements]]/'[1]1.) CLM Reference'!$B$5</f>
        <v>0</v>
      </c>
      <c r="H521" s="40">
        <v>152.5175136</v>
      </c>
      <c r="I521" s="36">
        <f>[1]!Table3[[#This Row],[Residential CLM $ Collected]]/'[1]1.) CLM Reference'!$B$4</f>
        <v>1.3530807149686632E-6</v>
      </c>
      <c r="J521" s="41">
        <v>0</v>
      </c>
      <c r="K521" s="36">
        <f>[1]!Table3[[#This Row],[Residential Incentive Disbursements]]/'[1]1.) CLM Reference'!$B$5</f>
        <v>0</v>
      </c>
      <c r="L521" s="37">
        <v>0</v>
      </c>
      <c r="M521" s="36">
        <f>[1]!Table3[[#This Row],[C&amp;I CLM $ Collected]]/'[1]1.) CLM Reference'!$B$4</f>
        <v>0</v>
      </c>
      <c r="N521" s="41">
        <v>0</v>
      </c>
      <c r="O521" s="36">
        <f>[1]!Table3[[#This Row],[C&amp;I Incentive Disbursements]]/'[1]1.) CLM Reference'!$B$5</f>
        <v>0</v>
      </c>
      <c r="Q521">
        <f>VLOOKUP(Table3[[#This Row],[Census Tract]],'Population and Diversity Data'!$B$2:$K$823,10,FALSE)</f>
        <v>4</v>
      </c>
      <c r="R521" t="str">
        <f>VLOOKUP(Table3[[#This Row],[Census Tract]],'ES Energy Burden'!$B$2:$E$914,4,FALSE)</f>
        <v>Yes</v>
      </c>
    </row>
    <row r="522" spans="1:18" x14ac:dyDescent="0.2">
      <c r="A522" s="100">
        <v>9003492600</v>
      </c>
      <c r="B522" s="38" t="s">
        <v>2813</v>
      </c>
      <c r="C522" s="38" t="s">
        <v>944</v>
      </c>
      <c r="D522" s="40">
        <f>[1]!Table3[[#This Row],[Residential CLM $ Collected]]+[1]!Table3[[#This Row],[C&amp;I CLM $ Collected]]</f>
        <v>234.1974816</v>
      </c>
      <c r="E522" s="36">
        <f>[1]!Table3[[#This Row],[CLM $ Collected ]]/'[1]1.) CLM Reference'!$B$4</f>
        <v>2.0777161151359629E-6</v>
      </c>
      <c r="F522" s="40">
        <f>[1]!Table3[[#This Row],[Residential Incentive Disbursements]]+[1]!Table3[[#This Row],[C&amp;I Incentive Disbursements]]</f>
        <v>0</v>
      </c>
      <c r="G522" s="36">
        <f>[1]!Table3[[#This Row],[Incentive Disbursements]]/'[1]1.) CLM Reference'!$B$5</f>
        <v>0</v>
      </c>
      <c r="H522" s="40">
        <v>234.1974816</v>
      </c>
      <c r="I522" s="36">
        <f>[1]!Table3[[#This Row],[Residential CLM $ Collected]]/'[1]1.) CLM Reference'!$B$4</f>
        <v>2.0777161151359629E-6</v>
      </c>
      <c r="J522" s="41">
        <v>0</v>
      </c>
      <c r="K522" s="36">
        <f>[1]!Table3[[#This Row],[Residential Incentive Disbursements]]/'[1]1.) CLM Reference'!$B$5</f>
        <v>0</v>
      </c>
      <c r="L522" s="37">
        <v>0</v>
      </c>
      <c r="M522" s="36">
        <f>[1]!Table3[[#This Row],[C&amp;I CLM $ Collected]]/'[1]1.) CLM Reference'!$B$4</f>
        <v>0</v>
      </c>
      <c r="N522" s="41">
        <v>0</v>
      </c>
      <c r="O522" s="36">
        <f>[1]!Table3[[#This Row],[C&amp;I Incentive Disbursements]]/'[1]1.) CLM Reference'!$B$5</f>
        <v>0</v>
      </c>
      <c r="Q522">
        <f>VLOOKUP(Table3[[#This Row],[Census Tract]],'Population and Diversity Data'!$B$2:$K$823,10,FALSE)</f>
        <v>1</v>
      </c>
      <c r="R522" t="str">
        <f>VLOOKUP(Table3[[#This Row],[Census Tract]],'ES Energy Burden'!$B$2:$E$914,4,FALSE)</f>
        <v>No</v>
      </c>
    </row>
    <row r="523" spans="1:18" x14ac:dyDescent="0.2">
      <c r="A523" s="100">
        <v>9003494100</v>
      </c>
      <c r="B523" s="38" t="s">
        <v>2813</v>
      </c>
      <c r="C523" s="38" t="s">
        <v>944</v>
      </c>
      <c r="D523" s="40">
        <f>[1]!Table3[[#This Row],[Residential CLM $ Collected]]+[1]!Table3[[#This Row],[C&amp;I CLM $ Collected]]</f>
        <v>339493.02707520005</v>
      </c>
      <c r="E523" s="36">
        <f>[1]!Table3[[#This Row],[CLM $ Collected ]]/'[1]1.) CLM Reference'!$B$4</f>
        <v>3.0118604543117036E-3</v>
      </c>
      <c r="F523" s="40">
        <f>[1]!Table3[[#This Row],[Residential Incentive Disbursements]]+[1]!Table3[[#This Row],[C&amp;I Incentive Disbursements]]</f>
        <v>315843.81949999998</v>
      </c>
      <c r="G523" s="36">
        <f>[1]!Table3[[#This Row],[Incentive Disbursements]]/'[1]1.) CLM Reference'!$B$5</f>
        <v>3.8642392445612777E-3</v>
      </c>
      <c r="H523" s="40">
        <v>100798.62502464</v>
      </c>
      <c r="I523" s="36">
        <f>[1]!Table3[[#This Row],[Residential CLM $ Collected]]/'[1]1.) CLM Reference'!$B$4</f>
        <v>8.9424927273531215E-4</v>
      </c>
      <c r="J523" s="41">
        <v>230400.13449999999</v>
      </c>
      <c r="K523" s="36">
        <f>[1]!Table3[[#This Row],[Residential Incentive Disbursements]]/'[1]1.) CLM Reference'!$B$5</f>
        <v>2.8188654857851251E-3</v>
      </c>
      <c r="L523" s="37">
        <v>238694.40205056005</v>
      </c>
      <c r="M523" s="36">
        <f>[1]!Table3[[#This Row],[C&amp;I CLM $ Collected]]/'[1]1.) CLM Reference'!$B$4</f>
        <v>2.1176111815763917E-3</v>
      </c>
      <c r="N523" s="41">
        <v>85443.684999999998</v>
      </c>
      <c r="O523" s="36">
        <f>[1]!Table3[[#This Row],[C&amp;I Incentive Disbursements]]/'[1]1.) CLM Reference'!$B$5</f>
        <v>1.0453737587761531E-3</v>
      </c>
      <c r="Q523">
        <f>VLOOKUP(Table3[[#This Row],[Census Tract]],'Population and Diversity Data'!$B$2:$K$823,10,FALSE)</f>
        <v>4</v>
      </c>
      <c r="R523" t="str">
        <f>VLOOKUP(Table3[[#This Row],[Census Tract]],'ES Energy Burden'!$B$2:$E$914,4,FALSE)</f>
        <v>No</v>
      </c>
    </row>
    <row r="524" spans="1:18" x14ac:dyDescent="0.2">
      <c r="A524" s="100">
        <v>9003494201</v>
      </c>
      <c r="B524" s="38" t="s">
        <v>2813</v>
      </c>
      <c r="C524" s="38" t="s">
        <v>944</v>
      </c>
      <c r="D524" s="40">
        <f>[1]!Table3[[#This Row],[Residential CLM $ Collected]]+[1]!Table3[[#This Row],[C&amp;I CLM $ Collected]]</f>
        <v>75521.807827200013</v>
      </c>
      <c r="E524" s="36">
        <f>[1]!Table3[[#This Row],[CLM $ Collected ]]/'[1]1.) CLM Reference'!$B$4</f>
        <v>6.7000241033665653E-4</v>
      </c>
      <c r="F524" s="40">
        <f>[1]!Table3[[#This Row],[Residential Incentive Disbursements]]+[1]!Table3[[#This Row],[C&amp;I Incentive Disbursements]]</f>
        <v>9254.0817000000006</v>
      </c>
      <c r="G524" s="36">
        <f>[1]!Table3[[#This Row],[Incentive Disbursements]]/'[1]1.) CLM Reference'!$B$5</f>
        <v>1.1322046995925577E-4</v>
      </c>
      <c r="H524" s="40">
        <v>75520.036454400019</v>
      </c>
      <c r="I524" s="36">
        <f>[1]!Table3[[#This Row],[Residential CLM $ Collected]]/'[1]1.) CLM Reference'!$B$4</f>
        <v>6.6998669535207455E-4</v>
      </c>
      <c r="J524" s="41">
        <v>9254.0817000000006</v>
      </c>
      <c r="K524" s="36">
        <f>[1]!Table3[[#This Row],[Residential Incentive Disbursements]]/'[1]1.) CLM Reference'!$B$5</f>
        <v>1.1322046995925577E-4</v>
      </c>
      <c r="L524" s="37">
        <v>1.7713728</v>
      </c>
      <c r="M524" s="36">
        <f>[1]!Table3[[#This Row],[C&amp;I CLM $ Collected]]/'[1]1.) CLM Reference'!$B$4</f>
        <v>1.5714984581941433E-8</v>
      </c>
      <c r="N524" s="41">
        <v>0</v>
      </c>
      <c r="O524" s="36">
        <f>[1]!Table3[[#This Row],[C&amp;I Incentive Disbursements]]/'[1]1.) CLM Reference'!$B$5</f>
        <v>0</v>
      </c>
      <c r="Q524">
        <f>VLOOKUP(Table3[[#This Row],[Census Tract]],'Population and Diversity Data'!$B$2:$K$823,10,FALSE)</f>
        <v>4</v>
      </c>
      <c r="R524" t="str">
        <f>VLOOKUP(Table3[[#This Row],[Census Tract]],'ES Energy Burden'!$B$2:$E$914,4,FALSE)</f>
        <v>No</v>
      </c>
    </row>
    <row r="525" spans="1:18" x14ac:dyDescent="0.2">
      <c r="A525" s="100">
        <v>9003494202</v>
      </c>
      <c r="B525" s="38" t="s">
        <v>2813</v>
      </c>
      <c r="C525" s="38" t="s">
        <v>944</v>
      </c>
      <c r="D525" s="40">
        <f>[1]!Table3[[#This Row],[Residential CLM $ Collected]]+[1]!Table3[[#This Row],[C&amp;I CLM $ Collected]]</f>
        <v>49848.942931199999</v>
      </c>
      <c r="E525" s="36">
        <f>[1]!Table3[[#This Row],[CLM $ Collected ]]/'[1]1.) CLM Reference'!$B$4</f>
        <v>4.4224195470873574E-4</v>
      </c>
      <c r="F525" s="40">
        <f>[1]!Table3[[#This Row],[Residential Incentive Disbursements]]+[1]!Table3[[#This Row],[C&amp;I Incentive Disbursements]]</f>
        <v>7119.7650000000003</v>
      </c>
      <c r="G525" s="36">
        <f>[1]!Table3[[#This Row],[Incentive Disbursements]]/'[1]1.) CLM Reference'!$B$5</f>
        <v>8.710784769702872E-5</v>
      </c>
      <c r="H525" s="40">
        <v>49848.942931199999</v>
      </c>
      <c r="I525" s="36">
        <f>[1]!Table3[[#This Row],[Residential CLM $ Collected]]/'[1]1.) CLM Reference'!$B$4</f>
        <v>4.4224195470873574E-4</v>
      </c>
      <c r="J525" s="41">
        <v>7119.7650000000003</v>
      </c>
      <c r="K525" s="36">
        <f>[1]!Table3[[#This Row],[Residential Incentive Disbursements]]/'[1]1.) CLM Reference'!$B$5</f>
        <v>8.710784769702872E-5</v>
      </c>
      <c r="L525" s="37">
        <v>0</v>
      </c>
      <c r="M525" s="36">
        <f>[1]!Table3[[#This Row],[C&amp;I CLM $ Collected]]/'[1]1.) CLM Reference'!$B$4</f>
        <v>0</v>
      </c>
      <c r="N525" s="41">
        <v>0</v>
      </c>
      <c r="O525" s="36">
        <f>[1]!Table3[[#This Row],[C&amp;I Incentive Disbursements]]/'[1]1.) CLM Reference'!$B$5</f>
        <v>0</v>
      </c>
      <c r="Q525">
        <f>VLOOKUP(Table3[[#This Row],[Census Tract]],'Population and Diversity Data'!$B$2:$K$823,10,FALSE)</f>
        <v>4</v>
      </c>
      <c r="R525" t="str">
        <f>VLOOKUP(Table3[[#This Row],[Census Tract]],'ES Energy Burden'!$B$2:$E$914,4,FALSE)</f>
        <v>No</v>
      </c>
    </row>
    <row r="526" spans="1:18" x14ac:dyDescent="0.2">
      <c r="A526" s="100">
        <v>9003494300</v>
      </c>
      <c r="B526" s="38" t="s">
        <v>2813</v>
      </c>
      <c r="C526" s="38" t="s">
        <v>944</v>
      </c>
      <c r="D526" s="40">
        <f>[1]!Table3[[#This Row],[Residential CLM $ Collected]]+[1]!Table3[[#This Row],[C&amp;I CLM $ Collected]]</f>
        <v>64243.089359999998</v>
      </c>
      <c r="E526" s="36">
        <f>[1]!Table3[[#This Row],[CLM $ Collected ]]/'[1]1.) CLM Reference'!$B$4</f>
        <v>5.6994166264079805E-4</v>
      </c>
      <c r="F526" s="40">
        <f>[1]!Table3[[#This Row],[Residential Incentive Disbursements]]+[1]!Table3[[#This Row],[C&amp;I Incentive Disbursements]]</f>
        <v>12201.13</v>
      </c>
      <c r="G526" s="36">
        <f>[1]!Table3[[#This Row],[Incentive Disbursements]]/'[1]1.) CLM Reference'!$B$5</f>
        <v>1.4927658058540527E-4</v>
      </c>
      <c r="H526" s="40">
        <v>64243.089359999998</v>
      </c>
      <c r="I526" s="36">
        <f>[1]!Table3[[#This Row],[Residential CLM $ Collected]]/'[1]1.) CLM Reference'!$B$4</f>
        <v>5.6994166264079805E-4</v>
      </c>
      <c r="J526" s="41">
        <v>12201.13</v>
      </c>
      <c r="K526" s="36">
        <f>[1]!Table3[[#This Row],[Residential Incentive Disbursements]]/'[1]1.) CLM Reference'!$B$5</f>
        <v>1.4927658058540527E-4</v>
      </c>
      <c r="L526" s="37">
        <v>0</v>
      </c>
      <c r="M526" s="36">
        <f>[1]!Table3[[#This Row],[C&amp;I CLM $ Collected]]/'[1]1.) CLM Reference'!$B$4</f>
        <v>0</v>
      </c>
      <c r="N526" s="41">
        <v>0</v>
      </c>
      <c r="O526" s="36">
        <f>[1]!Table3[[#This Row],[C&amp;I Incentive Disbursements]]/'[1]1.) CLM Reference'!$B$5</f>
        <v>0</v>
      </c>
      <c r="Q526">
        <f>VLOOKUP(Table3[[#This Row],[Census Tract]],'Population and Diversity Data'!$B$2:$K$823,10,FALSE)</f>
        <v>3</v>
      </c>
      <c r="R526" t="str">
        <f>VLOOKUP(Table3[[#This Row],[Census Tract]],'ES Energy Burden'!$B$2:$E$914,4,FALSE)</f>
        <v>No</v>
      </c>
    </row>
    <row r="527" spans="1:18" x14ac:dyDescent="0.2">
      <c r="A527" s="100">
        <v>9003494400</v>
      </c>
      <c r="B527" s="38" t="s">
        <v>2813</v>
      </c>
      <c r="C527" s="38" t="s">
        <v>944</v>
      </c>
      <c r="D527" s="40">
        <f>[1]!Table3[[#This Row],[Residential CLM $ Collected]]+[1]!Table3[[#This Row],[C&amp;I CLM $ Collected]]</f>
        <v>83430.791717760003</v>
      </c>
      <c r="E527" s="36">
        <f>[1]!Table3[[#This Row],[CLM $ Collected ]]/'[1]1.) CLM Reference'!$B$4</f>
        <v>7.4016808065685861E-4</v>
      </c>
      <c r="F527" s="40">
        <f>[1]!Table3[[#This Row],[Residential Incentive Disbursements]]+[1]!Table3[[#This Row],[C&amp;I Incentive Disbursements]]</f>
        <v>52850.414900000003</v>
      </c>
      <c r="G527" s="36">
        <f>[1]!Table3[[#This Row],[Incentive Disbursements]]/'[1]1.) CLM Reference'!$B$5</f>
        <v>6.4660643881279468E-4</v>
      </c>
      <c r="H527" s="40">
        <v>83406.999749759998</v>
      </c>
      <c r="I527" s="36">
        <f>[1]!Table3[[#This Row],[Residential CLM $ Collected]]/'[1]1.) CLM Reference'!$B$4</f>
        <v>7.3995700684433648E-4</v>
      </c>
      <c r="J527" s="41">
        <v>52850.414900000003</v>
      </c>
      <c r="K527" s="36">
        <f>[1]!Table3[[#This Row],[Residential Incentive Disbursements]]/'[1]1.) CLM Reference'!$B$5</f>
        <v>6.4660643881279468E-4</v>
      </c>
      <c r="L527" s="37">
        <v>23.791968000000001</v>
      </c>
      <c r="M527" s="36">
        <f>[1]!Table3[[#This Row],[C&amp;I CLM $ Collected]]/'[1]1.) CLM Reference'!$B$4</f>
        <v>2.1107381252215455E-7</v>
      </c>
      <c r="N527" s="41">
        <v>0</v>
      </c>
      <c r="O527" s="36">
        <f>[1]!Table3[[#This Row],[C&amp;I Incentive Disbursements]]/'[1]1.) CLM Reference'!$B$5</f>
        <v>0</v>
      </c>
      <c r="Q527">
        <f>VLOOKUP(Table3[[#This Row],[Census Tract]],'Population and Diversity Data'!$B$2:$K$823,10,FALSE)</f>
        <v>4</v>
      </c>
      <c r="R527" t="str">
        <f>VLOOKUP(Table3[[#This Row],[Census Tract]],'ES Energy Burden'!$B$2:$E$914,4,FALSE)</f>
        <v>No</v>
      </c>
    </row>
    <row r="528" spans="1:18" x14ac:dyDescent="0.2">
      <c r="A528" s="100">
        <v>9003494500</v>
      </c>
      <c r="B528" s="38" t="s">
        <v>2813</v>
      </c>
      <c r="C528" s="38" t="s">
        <v>944</v>
      </c>
      <c r="D528" s="40">
        <f>[1]!Table3[[#This Row],[Residential CLM $ Collected]]+[1]!Table3[[#This Row],[C&amp;I CLM $ Collected]]</f>
        <v>67984.732339200011</v>
      </c>
      <c r="E528" s="36">
        <f>[1]!Table3[[#This Row],[CLM $ Collected ]]/'[1]1.) CLM Reference'!$B$4</f>
        <v>6.031361780636709E-4</v>
      </c>
      <c r="F528" s="40">
        <f>[1]!Table3[[#This Row],[Residential Incentive Disbursements]]+[1]!Table3[[#This Row],[C&amp;I Incentive Disbursements]]</f>
        <v>18676.55</v>
      </c>
      <c r="G528" s="36">
        <f>[1]!Table3[[#This Row],[Incentive Disbursements]]/'[1]1.) CLM Reference'!$B$5</f>
        <v>2.2850109138517093E-4</v>
      </c>
      <c r="H528" s="40">
        <v>67984.732339200011</v>
      </c>
      <c r="I528" s="36">
        <f>[1]!Table3[[#This Row],[Residential CLM $ Collected]]/'[1]1.) CLM Reference'!$B$4</f>
        <v>6.031361780636709E-4</v>
      </c>
      <c r="J528" s="41">
        <v>18676.55</v>
      </c>
      <c r="K528" s="36">
        <f>[1]!Table3[[#This Row],[Residential Incentive Disbursements]]/'[1]1.) CLM Reference'!$B$5</f>
        <v>2.2850109138517093E-4</v>
      </c>
      <c r="L528" s="37">
        <v>0</v>
      </c>
      <c r="M528" s="36">
        <f>[1]!Table3[[#This Row],[C&amp;I CLM $ Collected]]/'[1]1.) CLM Reference'!$B$4</f>
        <v>0</v>
      </c>
      <c r="N528" s="41">
        <v>0</v>
      </c>
      <c r="O528" s="36">
        <f>[1]!Table3[[#This Row],[C&amp;I Incentive Disbursements]]/'[1]1.) CLM Reference'!$B$5</f>
        <v>0</v>
      </c>
      <c r="Q528">
        <f>VLOOKUP(Table3[[#This Row],[Census Tract]],'Population and Diversity Data'!$B$2:$K$823,10,FALSE)</f>
        <v>4</v>
      </c>
      <c r="R528" t="str">
        <f>VLOOKUP(Table3[[#This Row],[Census Tract]],'ES Energy Burden'!$B$2:$E$914,4,FALSE)</f>
        <v>No</v>
      </c>
    </row>
    <row r="529" spans="1:18" x14ac:dyDescent="0.2">
      <c r="A529" s="100">
        <v>9003494600</v>
      </c>
      <c r="B529" s="38" t="s">
        <v>2813</v>
      </c>
      <c r="C529" s="38" t="s">
        <v>944</v>
      </c>
      <c r="D529" s="40">
        <f>[1]!Table3[[#This Row],[Residential CLM $ Collected]]+[1]!Table3[[#This Row],[C&amp;I CLM $ Collected]]</f>
        <v>56666.718339840008</v>
      </c>
      <c r="E529" s="36">
        <f>[1]!Table3[[#This Row],[CLM $ Collected ]]/'[1]1.) CLM Reference'!$B$4</f>
        <v>5.0272681449088728E-4</v>
      </c>
      <c r="F529" s="40">
        <f>[1]!Table3[[#This Row],[Residential Incentive Disbursements]]+[1]!Table3[[#This Row],[C&amp;I Incentive Disbursements]]</f>
        <v>14589.277</v>
      </c>
      <c r="G529" s="36">
        <f>[1]!Table3[[#This Row],[Incentive Disbursements]]/'[1]1.) CLM Reference'!$B$5</f>
        <v>1.7849472825658767E-4</v>
      </c>
      <c r="H529" s="40">
        <v>56666.718339840008</v>
      </c>
      <c r="I529" s="36">
        <f>[1]!Table3[[#This Row],[Residential CLM $ Collected]]/'[1]1.) CLM Reference'!$B$4</f>
        <v>5.0272681449088728E-4</v>
      </c>
      <c r="J529" s="41">
        <v>14589.277</v>
      </c>
      <c r="K529" s="36">
        <f>[1]!Table3[[#This Row],[Residential Incentive Disbursements]]/'[1]1.) CLM Reference'!$B$5</f>
        <v>1.7849472825658767E-4</v>
      </c>
      <c r="L529" s="37">
        <v>0</v>
      </c>
      <c r="M529" s="36">
        <f>[1]!Table3[[#This Row],[C&amp;I CLM $ Collected]]/'[1]1.) CLM Reference'!$B$4</f>
        <v>0</v>
      </c>
      <c r="N529" s="41">
        <v>0</v>
      </c>
      <c r="O529" s="36">
        <f>[1]!Table3[[#This Row],[C&amp;I Incentive Disbursements]]/'[1]1.) CLM Reference'!$B$5</f>
        <v>0</v>
      </c>
      <c r="Q529">
        <f>VLOOKUP(Table3[[#This Row],[Census Tract]],'Population and Diversity Data'!$B$2:$K$823,10,FALSE)</f>
        <v>3</v>
      </c>
      <c r="R529" t="str">
        <f>VLOOKUP(Table3[[#This Row],[Census Tract]],'ES Energy Burden'!$B$2:$E$914,4,FALSE)</f>
        <v>No</v>
      </c>
    </row>
    <row r="530" spans="1:18" x14ac:dyDescent="0.2">
      <c r="A530" s="100">
        <v>9001100100</v>
      </c>
      <c r="B530" s="38" t="s">
        <v>2814</v>
      </c>
      <c r="C530" s="38" t="s">
        <v>944</v>
      </c>
      <c r="D530" s="40">
        <f>[1]!Table3[[#This Row],[Residential CLM $ Collected]]+[1]!Table3[[#This Row],[C&amp;I CLM $ Collected]]</f>
        <v>355.06762559999999</v>
      </c>
      <c r="E530" s="36">
        <f>[1]!Table3[[#This Row],[CLM $ Collected ]]/'[1]1.) CLM Reference'!$B$4</f>
        <v>3.150032710139025E-6</v>
      </c>
      <c r="F530" s="40">
        <f>[1]!Table3[[#This Row],[Residential Incentive Disbursements]]+[1]!Table3[[#This Row],[C&amp;I Incentive Disbursements]]</f>
        <v>0</v>
      </c>
      <c r="G530" s="36">
        <f>[1]!Table3[[#This Row],[Incentive Disbursements]]/'[1]1.) CLM Reference'!$B$5</f>
        <v>0</v>
      </c>
      <c r="H530" s="40">
        <v>355.06762559999999</v>
      </c>
      <c r="I530" s="36">
        <f>[1]!Table3[[#This Row],[Residential CLM $ Collected]]/'[1]1.) CLM Reference'!$B$4</f>
        <v>3.150032710139025E-6</v>
      </c>
      <c r="J530" s="41">
        <v>0</v>
      </c>
      <c r="K530" s="36">
        <f>[1]!Table3[[#This Row],[Residential Incentive Disbursements]]/'[1]1.) CLM Reference'!$B$5</f>
        <v>0</v>
      </c>
      <c r="L530" s="37">
        <v>0</v>
      </c>
      <c r="M530" s="36">
        <f>[1]!Table3[[#This Row],[C&amp;I CLM $ Collected]]/'[1]1.) CLM Reference'!$B$4</f>
        <v>0</v>
      </c>
      <c r="N530" s="41">
        <v>0</v>
      </c>
      <c r="O530" s="36">
        <f>[1]!Table3[[#This Row],[C&amp;I Incentive Disbursements]]/'[1]1.) CLM Reference'!$B$5</f>
        <v>0</v>
      </c>
      <c r="Q530">
        <f>VLOOKUP(Table3[[#This Row],[Census Tract]],'Population and Diversity Data'!$B$2:$K$823,10,FALSE)</f>
        <v>3</v>
      </c>
      <c r="R530" t="str">
        <f>VLOOKUP(Table3[[#This Row],[Census Tract]],'ES Energy Burden'!$B$2:$E$914,4,FALSE)</f>
        <v>No</v>
      </c>
    </row>
    <row r="531" spans="1:18" x14ac:dyDescent="0.2">
      <c r="A531" s="100">
        <v>9001100300</v>
      </c>
      <c r="B531" s="38" t="s">
        <v>2814</v>
      </c>
      <c r="C531" s="38" t="s">
        <v>944</v>
      </c>
      <c r="D531" s="40">
        <f>[1]!Table3[[#This Row],[Residential CLM $ Collected]]+[1]!Table3[[#This Row],[C&amp;I CLM $ Collected]]</f>
        <v>1648.5344640000001</v>
      </c>
      <c r="E531" s="36">
        <f>[1]!Table3[[#This Row],[CLM $ Collected ]]/'[1]1.) CLM Reference'!$B$4</f>
        <v>1.4625206892958437E-5</v>
      </c>
      <c r="F531" s="40">
        <f>[1]!Table3[[#This Row],[Residential Incentive Disbursements]]+[1]!Table3[[#This Row],[C&amp;I Incentive Disbursements]]</f>
        <v>0</v>
      </c>
      <c r="G531" s="36">
        <f>[1]!Table3[[#This Row],[Incentive Disbursements]]/'[1]1.) CLM Reference'!$B$5</f>
        <v>0</v>
      </c>
      <c r="H531" s="40">
        <v>1648.5344640000001</v>
      </c>
      <c r="I531" s="36">
        <f>[1]!Table3[[#This Row],[Residential CLM $ Collected]]/'[1]1.) CLM Reference'!$B$4</f>
        <v>1.4625206892958437E-5</v>
      </c>
      <c r="J531" s="41">
        <v>0</v>
      </c>
      <c r="K531" s="36">
        <f>[1]!Table3[[#This Row],[Residential Incentive Disbursements]]/'[1]1.) CLM Reference'!$B$5</f>
        <v>0</v>
      </c>
      <c r="L531" s="37">
        <v>0</v>
      </c>
      <c r="M531" s="36">
        <f>[1]!Table3[[#This Row],[C&amp;I CLM $ Collected]]/'[1]1.) CLM Reference'!$B$4</f>
        <v>0</v>
      </c>
      <c r="N531" s="41">
        <v>0</v>
      </c>
      <c r="O531" s="36">
        <f>[1]!Table3[[#This Row],[C&amp;I Incentive Disbursements]]/'[1]1.) CLM Reference'!$B$5</f>
        <v>0</v>
      </c>
      <c r="Q531">
        <f>VLOOKUP(Table3[[#This Row],[Census Tract]],'Population and Diversity Data'!$B$2:$K$823,10,FALSE)</f>
        <v>2</v>
      </c>
      <c r="R531" t="str">
        <f>VLOOKUP(Table3[[#This Row],[Census Tract]],'ES Energy Burden'!$B$2:$E$914,4,FALSE)</f>
        <v>No</v>
      </c>
    </row>
    <row r="532" spans="1:18" x14ac:dyDescent="0.2">
      <c r="A532" s="100">
        <v>9001200302</v>
      </c>
      <c r="B532" s="38" t="s">
        <v>2814</v>
      </c>
      <c r="C532" s="38" t="s">
        <v>944</v>
      </c>
      <c r="D532" s="40">
        <f>[1]!Table3[[#This Row],[Residential CLM $ Collected]]+[1]!Table3[[#This Row],[C&amp;I CLM $ Collected]]</f>
        <v>293.72371199999998</v>
      </c>
      <c r="E532" s="36">
        <f>[1]!Table3[[#This Row],[CLM $ Collected ]]/'[1]1.) CLM Reference'!$B$4</f>
        <v>2.6058114957114649E-6</v>
      </c>
      <c r="F532" s="40">
        <f>[1]!Table3[[#This Row],[Residential Incentive Disbursements]]+[1]!Table3[[#This Row],[C&amp;I Incentive Disbursements]]</f>
        <v>0</v>
      </c>
      <c r="G532" s="36">
        <f>[1]!Table3[[#This Row],[Incentive Disbursements]]/'[1]1.) CLM Reference'!$B$5</f>
        <v>0</v>
      </c>
      <c r="H532" s="40">
        <v>293.72371199999998</v>
      </c>
      <c r="I532" s="36">
        <f>[1]!Table3[[#This Row],[Residential CLM $ Collected]]/'[1]1.) CLM Reference'!$B$4</f>
        <v>2.6058114957114649E-6</v>
      </c>
      <c r="J532" s="41">
        <v>0</v>
      </c>
      <c r="K532" s="36">
        <f>[1]!Table3[[#This Row],[Residential Incentive Disbursements]]/'[1]1.) CLM Reference'!$B$5</f>
        <v>0</v>
      </c>
      <c r="L532" s="37">
        <v>0</v>
      </c>
      <c r="M532" s="36">
        <f>[1]!Table3[[#This Row],[C&amp;I CLM $ Collected]]/'[1]1.) CLM Reference'!$B$4</f>
        <v>0</v>
      </c>
      <c r="N532" s="41">
        <v>0</v>
      </c>
      <c r="O532" s="36">
        <f>[1]!Table3[[#This Row],[C&amp;I Incentive Disbursements]]/'[1]1.) CLM Reference'!$B$5</f>
        <v>0</v>
      </c>
      <c r="Q532">
        <f>VLOOKUP(Table3[[#This Row],[Census Tract]],'Population and Diversity Data'!$B$2:$K$823,10,FALSE)</f>
        <v>1</v>
      </c>
      <c r="R532" t="str">
        <f>VLOOKUP(Table3[[#This Row],[Census Tract]],'ES Energy Burden'!$B$2:$E$914,4,FALSE)</f>
        <v>No</v>
      </c>
    </row>
    <row r="533" spans="1:18" x14ac:dyDescent="0.2">
      <c r="A533" s="100">
        <v>9001205200</v>
      </c>
      <c r="B533" s="38" t="s">
        <v>2814</v>
      </c>
      <c r="C533" s="38" t="s">
        <v>944</v>
      </c>
      <c r="D533" s="40">
        <f>[1]!Table3[[#This Row],[Residential CLM $ Collected]]+[1]!Table3[[#This Row],[C&amp;I CLM $ Collected]]</f>
        <v>816.99071040000001</v>
      </c>
      <c r="E533" s="36">
        <f>[1]!Table3[[#This Row],[CLM $ Collected ]]/'[1]1.) CLM Reference'!$B$4</f>
        <v>7.2480487549122235E-6</v>
      </c>
      <c r="F533" s="40">
        <f>[1]!Table3[[#This Row],[Residential Incentive Disbursements]]+[1]!Table3[[#This Row],[C&amp;I Incentive Disbursements]]</f>
        <v>0</v>
      </c>
      <c r="G533" s="36">
        <f>[1]!Table3[[#This Row],[Incentive Disbursements]]/'[1]1.) CLM Reference'!$B$5</f>
        <v>0</v>
      </c>
      <c r="H533" s="40">
        <v>816.99071040000001</v>
      </c>
      <c r="I533" s="36">
        <f>[1]!Table3[[#This Row],[Residential CLM $ Collected]]/'[1]1.) CLM Reference'!$B$4</f>
        <v>7.2480487549122235E-6</v>
      </c>
      <c r="J533" s="41">
        <v>0</v>
      </c>
      <c r="K533" s="36">
        <f>[1]!Table3[[#This Row],[Residential Incentive Disbursements]]/'[1]1.) CLM Reference'!$B$5</f>
        <v>0</v>
      </c>
      <c r="L533" s="37">
        <v>0</v>
      </c>
      <c r="M533" s="36">
        <f>[1]!Table3[[#This Row],[C&amp;I CLM $ Collected]]/'[1]1.) CLM Reference'!$B$4</f>
        <v>0</v>
      </c>
      <c r="N533" s="41">
        <v>0</v>
      </c>
      <c r="O533" s="36">
        <f>[1]!Table3[[#This Row],[C&amp;I Incentive Disbursements]]/'[1]1.) CLM Reference'!$B$5</f>
        <v>0</v>
      </c>
      <c r="Q533">
        <f>VLOOKUP(Table3[[#This Row],[Census Tract]],'Population and Diversity Data'!$B$2:$K$823,10,FALSE)</f>
        <v>1</v>
      </c>
      <c r="R533" t="str">
        <f>VLOOKUP(Table3[[#This Row],[Census Tract]],'ES Energy Burden'!$B$2:$E$914,4,FALSE)</f>
        <v>No</v>
      </c>
    </row>
    <row r="534" spans="1:18" x14ac:dyDescent="0.2">
      <c r="A534" s="100">
        <v>9001205300</v>
      </c>
      <c r="B534" s="38" t="s">
        <v>2814</v>
      </c>
      <c r="C534" s="38" t="s">
        <v>944</v>
      </c>
      <c r="D534" s="40">
        <f>[1]!Table3[[#This Row],[Residential CLM $ Collected]]+[1]!Table3[[#This Row],[C&amp;I CLM $ Collected]]</f>
        <v>755.54259840000009</v>
      </c>
      <c r="E534" s="36">
        <f>[1]!Table3[[#This Row],[CLM $ Collected ]]/'[1]1.) CLM Reference'!$B$4</f>
        <v>6.7029031296269031E-6</v>
      </c>
      <c r="F534" s="40">
        <f>[1]!Table3[[#This Row],[Residential Incentive Disbursements]]+[1]!Table3[[#This Row],[C&amp;I Incentive Disbursements]]</f>
        <v>0</v>
      </c>
      <c r="G534" s="36">
        <f>[1]!Table3[[#This Row],[Incentive Disbursements]]/'[1]1.) CLM Reference'!$B$5</f>
        <v>0</v>
      </c>
      <c r="H534" s="40">
        <v>755.54259840000009</v>
      </c>
      <c r="I534" s="36">
        <f>[1]!Table3[[#This Row],[Residential CLM $ Collected]]/'[1]1.) CLM Reference'!$B$4</f>
        <v>6.7029031296269031E-6</v>
      </c>
      <c r="J534" s="41">
        <v>0</v>
      </c>
      <c r="K534" s="36">
        <f>[1]!Table3[[#This Row],[Residential Incentive Disbursements]]/'[1]1.) CLM Reference'!$B$5</f>
        <v>0</v>
      </c>
      <c r="L534" s="37">
        <v>0</v>
      </c>
      <c r="M534" s="36">
        <f>[1]!Table3[[#This Row],[C&amp;I CLM $ Collected]]/'[1]1.) CLM Reference'!$B$4</f>
        <v>0</v>
      </c>
      <c r="N534" s="41">
        <v>0</v>
      </c>
      <c r="O534" s="36">
        <f>[1]!Table3[[#This Row],[C&amp;I Incentive Disbursements]]/'[1]1.) CLM Reference'!$B$5</f>
        <v>0</v>
      </c>
      <c r="Q534">
        <f>VLOOKUP(Table3[[#This Row],[Census Tract]],'Population and Diversity Data'!$B$2:$K$823,10,FALSE)</f>
        <v>4</v>
      </c>
      <c r="R534" t="str">
        <f>VLOOKUP(Table3[[#This Row],[Census Tract]],'ES Energy Burden'!$B$2:$E$914,4,FALSE)</f>
        <v>No</v>
      </c>
    </row>
    <row r="535" spans="1:18" x14ac:dyDescent="0.2">
      <c r="A535" s="100">
        <v>9001230100</v>
      </c>
      <c r="B535" s="38" t="s">
        <v>2814</v>
      </c>
      <c r="C535" s="38" t="s">
        <v>944</v>
      </c>
      <c r="D535" s="40">
        <f>[1]!Table3[[#This Row],[Residential CLM $ Collected]]+[1]!Table3[[#This Row],[C&amp;I CLM $ Collected]]</f>
        <v>301855.53053664003</v>
      </c>
      <c r="E535" s="36">
        <f>[1]!Table3[[#This Row],[CLM $ Collected ]]/'[1]1.) CLM Reference'!$B$4</f>
        <v>2.677954075142765E-3</v>
      </c>
      <c r="F535" s="40">
        <f>[1]!Table3[[#This Row],[Residential Incentive Disbursements]]+[1]!Table3[[#This Row],[C&amp;I Incentive Disbursements]]</f>
        <v>142597.049</v>
      </c>
      <c r="G535" s="36">
        <f>[1]!Table3[[#This Row],[Incentive Disbursements]]/'[1]1.) CLM Reference'!$B$5</f>
        <v>1.7446252827639313E-3</v>
      </c>
      <c r="H535" s="40">
        <v>176786.60665248003</v>
      </c>
      <c r="I535" s="36">
        <f>[1]!Table3[[#This Row],[Residential CLM $ Collected]]/'[1]1.) CLM Reference'!$B$4</f>
        <v>1.5683874099441228E-3</v>
      </c>
      <c r="J535" s="41">
        <v>93877.471000000005</v>
      </c>
      <c r="K535" s="36">
        <f>[1]!Table3[[#This Row],[Residential Incentive Disbursements]]/'[1]1.) CLM Reference'!$B$5</f>
        <v>1.1485581962396554E-3</v>
      </c>
      <c r="L535" s="37">
        <v>125068.92388416</v>
      </c>
      <c r="M535" s="36">
        <f>[1]!Table3[[#This Row],[C&amp;I CLM $ Collected]]/'[1]1.) CLM Reference'!$B$4</f>
        <v>1.109566665198642E-3</v>
      </c>
      <c r="N535" s="41">
        <v>48719.578000000001</v>
      </c>
      <c r="O535" s="36">
        <f>[1]!Table3[[#This Row],[C&amp;I Incentive Disbursements]]/'[1]1.) CLM Reference'!$B$5</f>
        <v>5.9606708652427585E-4</v>
      </c>
      <c r="Q535">
        <f>VLOOKUP(Table3[[#This Row],[Census Tract]],'Population and Diversity Data'!$B$2:$K$823,10,FALSE)</f>
        <v>2</v>
      </c>
      <c r="R535" t="str">
        <f>VLOOKUP(Table3[[#This Row],[Census Tract]],'ES Energy Burden'!$B$2:$E$914,4,FALSE)</f>
        <v>No</v>
      </c>
    </row>
    <row r="536" spans="1:18" x14ac:dyDescent="0.2">
      <c r="A536" s="100">
        <v>9001230200</v>
      </c>
      <c r="B536" s="38" t="s">
        <v>2814</v>
      </c>
      <c r="C536" s="38" t="s">
        <v>944</v>
      </c>
      <c r="D536" s="40">
        <f>[1]!Table3[[#This Row],[Residential CLM $ Collected]]+[1]!Table3[[#This Row],[C&amp;I CLM $ Collected]]</f>
        <v>46300.658607359997</v>
      </c>
      <c r="E536" s="36">
        <f>[1]!Table3[[#This Row],[CLM $ Collected ]]/'[1]1.) CLM Reference'!$B$4</f>
        <v>4.1076284797214699E-4</v>
      </c>
      <c r="F536" s="40">
        <f>[1]!Table3[[#This Row],[Residential Incentive Disbursements]]+[1]!Table3[[#This Row],[C&amp;I Incentive Disbursements]]</f>
        <v>12190.543</v>
      </c>
      <c r="G536" s="36">
        <f>[1]!Table3[[#This Row],[Incentive Disbursements]]/'[1]1.) CLM Reference'!$B$5</f>
        <v>1.4914705232378869E-4</v>
      </c>
      <c r="H536" s="40">
        <v>46297.806465599999</v>
      </c>
      <c r="I536" s="36">
        <f>[1]!Table3[[#This Row],[Residential CLM $ Collected]]/'[1]1.) CLM Reference'!$B$4</f>
        <v>4.1073754479272373E-4</v>
      </c>
      <c r="J536" s="41">
        <v>12190.543</v>
      </c>
      <c r="K536" s="36">
        <f>[1]!Table3[[#This Row],[Residential Incentive Disbursements]]/'[1]1.) CLM Reference'!$B$5</f>
        <v>1.4914705232378869E-4</v>
      </c>
      <c r="L536" s="37">
        <v>2.8521417599999999</v>
      </c>
      <c r="M536" s="36">
        <f>[1]!Table3[[#This Row],[C&amp;I CLM $ Collected]]/'[1]1.) CLM Reference'!$B$4</f>
        <v>2.5303179423276289E-8</v>
      </c>
      <c r="N536" s="41">
        <v>0</v>
      </c>
      <c r="O536" s="36">
        <f>[1]!Table3[[#This Row],[C&amp;I Incentive Disbursements]]/'[1]1.) CLM Reference'!$B$5</f>
        <v>0</v>
      </c>
      <c r="Q536">
        <f>VLOOKUP(Table3[[#This Row],[Census Tract]],'Population and Diversity Data'!$B$2:$K$823,10,FALSE)</f>
        <v>2</v>
      </c>
      <c r="R536" t="str">
        <f>VLOOKUP(Table3[[#This Row],[Census Tract]],'ES Energy Burden'!$B$2:$E$914,4,FALSE)</f>
        <v>No</v>
      </c>
    </row>
    <row r="537" spans="1:18" x14ac:dyDescent="0.2">
      <c r="A537" s="100">
        <v>9001230300</v>
      </c>
      <c r="B537" s="38" t="s">
        <v>2814</v>
      </c>
      <c r="C537" s="38" t="s">
        <v>944</v>
      </c>
      <c r="D537" s="40">
        <f>[1]!Table3[[#This Row],[Residential CLM $ Collected]]+[1]!Table3[[#This Row],[C&amp;I CLM $ Collected]]</f>
        <v>78817.512913920014</v>
      </c>
      <c r="E537" s="36">
        <f>[1]!Table3[[#This Row],[CLM $ Collected ]]/'[1]1.) CLM Reference'!$B$4</f>
        <v>6.992407246115684E-4</v>
      </c>
      <c r="F537" s="40">
        <f>[1]!Table3[[#This Row],[Residential Incentive Disbursements]]+[1]!Table3[[#This Row],[C&amp;I Incentive Disbursements]]</f>
        <v>22507.883300000001</v>
      </c>
      <c r="G537" s="36">
        <f>[1]!Table3[[#This Row],[Incentive Disbursements]]/'[1]1.) CLM Reference'!$B$5</f>
        <v>2.7537612132969225E-4</v>
      </c>
      <c r="H537" s="40">
        <v>78817.512913920014</v>
      </c>
      <c r="I537" s="36">
        <f>[1]!Table3[[#This Row],[Residential CLM $ Collected]]/'[1]1.) CLM Reference'!$B$4</f>
        <v>6.992407246115684E-4</v>
      </c>
      <c r="J537" s="41">
        <v>22507.883300000001</v>
      </c>
      <c r="K537" s="36">
        <f>[1]!Table3[[#This Row],[Residential Incentive Disbursements]]/'[1]1.) CLM Reference'!$B$5</f>
        <v>2.7537612132969225E-4</v>
      </c>
      <c r="L537" s="37">
        <v>0</v>
      </c>
      <c r="M537" s="36">
        <f>[1]!Table3[[#This Row],[C&amp;I CLM $ Collected]]/'[1]1.) CLM Reference'!$B$4</f>
        <v>0</v>
      </c>
      <c r="N537" s="41">
        <v>0</v>
      </c>
      <c r="O537" s="36">
        <f>[1]!Table3[[#This Row],[C&amp;I Incentive Disbursements]]/'[1]1.) CLM Reference'!$B$5</f>
        <v>0</v>
      </c>
      <c r="Q537">
        <f>VLOOKUP(Table3[[#This Row],[Census Tract]],'Population and Diversity Data'!$B$2:$K$823,10,FALSE)</f>
        <v>1</v>
      </c>
      <c r="R537" t="str">
        <f>VLOOKUP(Table3[[#This Row],[Census Tract]],'ES Energy Burden'!$B$2:$E$914,4,FALSE)</f>
        <v>No</v>
      </c>
    </row>
    <row r="538" spans="1:18" x14ac:dyDescent="0.2">
      <c r="A538" s="100">
        <v>9001230400</v>
      </c>
      <c r="B538" s="38" t="s">
        <v>2814</v>
      </c>
      <c r="C538" s="38" t="s">
        <v>944</v>
      </c>
      <c r="D538" s="40">
        <f>[1]!Table3[[#This Row],[Residential CLM $ Collected]]+[1]!Table3[[#This Row],[C&amp;I CLM $ Collected]]</f>
        <v>125089.12448064002</v>
      </c>
      <c r="E538" s="36">
        <f>[1]!Table3[[#This Row],[CLM $ Collected ]]/'[1]1.) CLM Reference'!$B$4</f>
        <v>1.109745877650267E-3</v>
      </c>
      <c r="F538" s="40">
        <f>[1]!Table3[[#This Row],[Residential Incentive Disbursements]]+[1]!Table3[[#This Row],[C&amp;I Incentive Disbursements]]</f>
        <v>19995.774300000001</v>
      </c>
      <c r="G538" s="36">
        <f>[1]!Table3[[#This Row],[Incentive Disbursements]]/'[1]1.) CLM Reference'!$B$5</f>
        <v>2.4464134171683493E-4</v>
      </c>
      <c r="H538" s="40">
        <v>125089.12448064002</v>
      </c>
      <c r="I538" s="36">
        <f>[1]!Table3[[#This Row],[Residential CLM $ Collected]]/'[1]1.) CLM Reference'!$B$4</f>
        <v>1.109745877650267E-3</v>
      </c>
      <c r="J538" s="41">
        <v>19995.774300000001</v>
      </c>
      <c r="K538" s="36">
        <f>[1]!Table3[[#This Row],[Residential Incentive Disbursements]]/'[1]1.) CLM Reference'!$B$5</f>
        <v>2.4464134171683493E-4</v>
      </c>
      <c r="L538" s="37">
        <v>0</v>
      </c>
      <c r="M538" s="36">
        <f>[1]!Table3[[#This Row],[C&amp;I CLM $ Collected]]/'[1]1.) CLM Reference'!$B$4</f>
        <v>0</v>
      </c>
      <c r="N538" s="41">
        <v>0</v>
      </c>
      <c r="O538" s="36">
        <f>[1]!Table3[[#This Row],[C&amp;I Incentive Disbursements]]/'[1]1.) CLM Reference'!$B$5</f>
        <v>0</v>
      </c>
      <c r="Q538">
        <f>VLOOKUP(Table3[[#This Row],[Census Tract]],'Population and Diversity Data'!$B$2:$K$823,10,FALSE)</f>
        <v>2</v>
      </c>
      <c r="R538" t="str">
        <f>VLOOKUP(Table3[[#This Row],[Census Tract]],'ES Energy Burden'!$B$2:$E$914,4,FALSE)</f>
        <v>No</v>
      </c>
    </row>
    <row r="539" spans="1:18" x14ac:dyDescent="0.2">
      <c r="A539" s="100">
        <v>9001230501</v>
      </c>
      <c r="B539" s="38" t="s">
        <v>2814</v>
      </c>
      <c r="C539" s="38" t="s">
        <v>944</v>
      </c>
      <c r="D539" s="40">
        <f>[1]!Table3[[#This Row],[Residential CLM $ Collected]]+[1]!Table3[[#This Row],[C&amp;I CLM $ Collected]]</f>
        <v>88437.196612800006</v>
      </c>
      <c r="E539" s="36">
        <f>[1]!Table3[[#This Row],[CLM $ Collected ]]/'[1]1.) CLM Reference'!$B$4</f>
        <v>7.8458311047808528E-4</v>
      </c>
      <c r="F539" s="40">
        <f>[1]!Table3[[#This Row],[Residential Incentive Disbursements]]+[1]!Table3[[#This Row],[C&amp;I Incentive Disbursements]]</f>
        <v>18717.475399999999</v>
      </c>
      <c r="G539" s="36">
        <f>[1]!Table3[[#This Row],[Incentive Disbursements]]/'[1]1.) CLM Reference'!$B$5</f>
        <v>2.2900179941558204E-4</v>
      </c>
      <c r="H539" s="40">
        <v>88437.196612800006</v>
      </c>
      <c r="I539" s="36">
        <f>[1]!Table3[[#This Row],[Residential CLM $ Collected]]/'[1]1.) CLM Reference'!$B$4</f>
        <v>7.8458311047808528E-4</v>
      </c>
      <c r="J539" s="41">
        <v>18717.475399999999</v>
      </c>
      <c r="K539" s="36">
        <f>[1]!Table3[[#This Row],[Residential Incentive Disbursements]]/'[1]1.) CLM Reference'!$B$5</f>
        <v>2.2900179941558204E-4</v>
      </c>
      <c r="L539" s="37">
        <v>0</v>
      </c>
      <c r="M539" s="36">
        <f>[1]!Table3[[#This Row],[C&amp;I CLM $ Collected]]/'[1]1.) CLM Reference'!$B$4</f>
        <v>0</v>
      </c>
      <c r="N539" s="41">
        <v>0</v>
      </c>
      <c r="O539" s="36">
        <f>[1]!Table3[[#This Row],[C&amp;I Incentive Disbursements]]/'[1]1.) CLM Reference'!$B$5</f>
        <v>0</v>
      </c>
      <c r="Q539">
        <f>VLOOKUP(Table3[[#This Row],[Census Tract]],'Population and Diversity Data'!$B$2:$K$823,10,FALSE)</f>
        <v>2</v>
      </c>
      <c r="R539" t="str">
        <f>VLOOKUP(Table3[[#This Row],[Census Tract]],'ES Energy Burden'!$B$2:$E$914,4,FALSE)</f>
        <v>No</v>
      </c>
    </row>
    <row r="540" spans="1:18" x14ac:dyDescent="0.2">
      <c r="A540" s="100">
        <v>9001230502</v>
      </c>
      <c r="B540" s="38" t="s">
        <v>2814</v>
      </c>
      <c r="C540" s="38" t="s">
        <v>944</v>
      </c>
      <c r="D540" s="40">
        <f>[1]!Table3[[#This Row],[Residential CLM $ Collected]]+[1]!Table3[[#This Row],[C&amp;I CLM $ Collected]]</f>
        <v>84605.596839359991</v>
      </c>
      <c r="E540" s="36">
        <f>[1]!Table3[[#This Row],[CLM $ Collected ]]/'[1]1.) CLM Reference'!$B$4</f>
        <v>7.5059053061924351E-4</v>
      </c>
      <c r="F540" s="40">
        <f>[1]!Table3[[#This Row],[Residential Incentive Disbursements]]+[1]!Table3[[#This Row],[C&amp;I Incentive Disbursements]]</f>
        <v>9151.4843000000001</v>
      </c>
      <c r="G540" s="36">
        <f>[1]!Table3[[#This Row],[Incentive Disbursements]]/'[1]1.) CLM Reference'!$B$5</f>
        <v>1.1196522646550125E-4</v>
      </c>
      <c r="H540" s="40">
        <v>84605.596839359991</v>
      </c>
      <c r="I540" s="36">
        <f>[1]!Table3[[#This Row],[Residential CLM $ Collected]]/'[1]1.) CLM Reference'!$B$4</f>
        <v>7.5059053061924351E-4</v>
      </c>
      <c r="J540" s="41">
        <v>9151.4843000000001</v>
      </c>
      <c r="K540" s="36">
        <f>[1]!Table3[[#This Row],[Residential Incentive Disbursements]]/'[1]1.) CLM Reference'!$B$5</f>
        <v>1.1196522646550125E-4</v>
      </c>
      <c r="L540" s="37">
        <v>0</v>
      </c>
      <c r="M540" s="36">
        <f>[1]!Table3[[#This Row],[C&amp;I CLM $ Collected]]/'[1]1.) CLM Reference'!$B$4</f>
        <v>0</v>
      </c>
      <c r="N540" s="41">
        <v>0</v>
      </c>
      <c r="O540" s="36">
        <f>[1]!Table3[[#This Row],[C&amp;I Incentive Disbursements]]/'[1]1.) CLM Reference'!$B$5</f>
        <v>0</v>
      </c>
      <c r="Q540">
        <f>VLOOKUP(Table3[[#This Row],[Census Tract]],'Population and Diversity Data'!$B$2:$K$823,10,FALSE)</f>
        <v>2</v>
      </c>
      <c r="R540" t="str">
        <f>VLOOKUP(Table3[[#This Row],[Census Tract]],'ES Energy Burden'!$B$2:$E$914,4,FALSE)</f>
        <v>No</v>
      </c>
    </row>
    <row r="541" spans="1:18" x14ac:dyDescent="0.2">
      <c r="A541" s="100">
        <v>9005296100</v>
      </c>
      <c r="B541" s="38" t="s">
        <v>2815</v>
      </c>
      <c r="C541" s="38" t="s">
        <v>944</v>
      </c>
      <c r="D541" s="40">
        <f>[1]!Table3[[#This Row],[Residential CLM $ Collected]]+[1]!Table3[[#This Row],[C&amp;I CLM $ Collected]]</f>
        <v>153.95313599999997</v>
      </c>
      <c r="E541" s="36">
        <f>[1]!Table3[[#This Row],[CLM $ Collected ]]/'[1]1.) CLM Reference'!$B$4</f>
        <v>1.3658170423422626E-6</v>
      </c>
      <c r="F541" s="40">
        <f>[1]!Table3[[#This Row],[Residential Incentive Disbursements]]+[1]!Table3[[#This Row],[C&amp;I Incentive Disbursements]]</f>
        <v>0</v>
      </c>
      <c r="G541" s="36">
        <f>[1]!Table3[[#This Row],[Incentive Disbursements]]/'[1]1.) CLM Reference'!$B$5</f>
        <v>0</v>
      </c>
      <c r="H541" s="40">
        <v>153.95313599999997</v>
      </c>
      <c r="I541" s="36">
        <f>[1]!Table3[[#This Row],[Residential CLM $ Collected]]/'[1]1.) CLM Reference'!$B$4</f>
        <v>1.3658170423422626E-6</v>
      </c>
      <c r="J541" s="41">
        <v>0</v>
      </c>
      <c r="K541" s="36">
        <f>[1]!Table3[[#This Row],[Residential Incentive Disbursements]]/'[1]1.) CLM Reference'!$B$5</f>
        <v>0</v>
      </c>
      <c r="L541" s="37">
        <v>0</v>
      </c>
      <c r="M541" s="36">
        <f>[1]!Table3[[#This Row],[C&amp;I CLM $ Collected]]/'[1]1.) CLM Reference'!$B$4</f>
        <v>0</v>
      </c>
      <c r="N541" s="41">
        <v>0</v>
      </c>
      <c r="O541" s="36">
        <f>[1]!Table3[[#This Row],[C&amp;I Incentive Disbursements]]/'[1]1.) CLM Reference'!$B$5</f>
        <v>0</v>
      </c>
      <c r="Q541">
        <f>VLOOKUP(Table3[[#This Row],[Census Tract]],'Population and Diversity Data'!$B$2:$K$823,10,FALSE)</f>
        <v>3</v>
      </c>
      <c r="R541" t="str">
        <f>VLOOKUP(Table3[[#This Row],[Census Tract]],'ES Energy Burden'!$B$2:$E$914,4,FALSE)</f>
        <v>No</v>
      </c>
    </row>
    <row r="542" spans="1:18" x14ac:dyDescent="0.2">
      <c r="A542" s="100">
        <v>9005425600</v>
      </c>
      <c r="B542" s="38" t="s">
        <v>2815</v>
      </c>
      <c r="C542" s="38" t="s">
        <v>944</v>
      </c>
      <c r="D542" s="40">
        <f>[1]!Table3[[#This Row],[Residential CLM $ Collected]]+[1]!Table3[[#This Row],[C&amp;I CLM $ Collected]]</f>
        <v>54512.674021440005</v>
      </c>
      <c r="E542" s="36">
        <f>[1]!Table3[[#This Row],[CLM $ Collected ]]/'[1]1.) CLM Reference'!$B$4</f>
        <v>4.8361690535573821E-4</v>
      </c>
      <c r="F542" s="40">
        <f>[1]!Table3[[#This Row],[Residential Incentive Disbursements]]+[1]!Table3[[#This Row],[C&amp;I Incentive Disbursements]]</f>
        <v>13119.833199999999</v>
      </c>
      <c r="G542" s="36">
        <f>[1]!Table3[[#This Row],[Incentive Disbursements]]/'[1]1.) CLM Reference'!$B$5</f>
        <v>1.6051659460614512E-4</v>
      </c>
      <c r="H542" s="40">
        <v>40182.115245120003</v>
      </c>
      <c r="I542" s="36">
        <f>[1]!Table3[[#This Row],[Residential CLM $ Collected]]/'[1]1.) CLM Reference'!$B$4</f>
        <v>3.5648132428524066E-4</v>
      </c>
      <c r="J542" s="41">
        <v>13119.833199999999</v>
      </c>
      <c r="K542" s="36">
        <f>[1]!Table3[[#This Row],[Residential Incentive Disbursements]]/'[1]1.) CLM Reference'!$B$5</f>
        <v>1.6051659460614512E-4</v>
      </c>
      <c r="L542" s="37">
        <v>14330.55877632</v>
      </c>
      <c r="M542" s="36">
        <f>[1]!Table3[[#This Row],[C&amp;I CLM $ Collected]]/'[1]1.) CLM Reference'!$B$4</f>
        <v>1.2713558107049758E-4</v>
      </c>
      <c r="N542" s="41">
        <v>0</v>
      </c>
      <c r="O542" s="36">
        <f>[1]!Table3[[#This Row],[C&amp;I Incentive Disbursements]]/'[1]1.) CLM Reference'!$B$5</f>
        <v>0</v>
      </c>
      <c r="Q542">
        <f>VLOOKUP(Table3[[#This Row],[Census Tract]],'Population and Diversity Data'!$B$2:$K$823,10,FALSE)</f>
        <v>1</v>
      </c>
      <c r="R542" t="str">
        <f>VLOOKUP(Table3[[#This Row],[Census Tract]],'ES Energy Burden'!$B$2:$E$914,4,FALSE)</f>
        <v>No</v>
      </c>
    </row>
    <row r="543" spans="1:18" x14ac:dyDescent="0.2">
      <c r="A543" s="100">
        <v>9005260200</v>
      </c>
      <c r="B543" s="38" t="s">
        <v>2816</v>
      </c>
      <c r="C543" s="38" t="s">
        <v>944</v>
      </c>
      <c r="D543" s="40">
        <f>[1]!Table3[[#This Row],[Residential CLM $ Collected]]+[1]!Table3[[#This Row],[C&amp;I CLM $ Collected]]</f>
        <v>81507.38129568001</v>
      </c>
      <c r="E543" s="36">
        <f>[1]!Table3[[#This Row],[CLM $ Collected ]]/'[1]1.) CLM Reference'!$B$4</f>
        <v>7.2310427278551024E-4</v>
      </c>
      <c r="F543" s="40">
        <f>[1]!Table3[[#This Row],[Residential Incentive Disbursements]]+[1]!Table3[[#This Row],[C&amp;I Incentive Disbursements]]</f>
        <v>21234.362000000001</v>
      </c>
      <c r="G543" s="36">
        <f>[1]!Table3[[#This Row],[Incentive Disbursements]]/'[1]1.) CLM Reference'!$B$5</f>
        <v>2.5979503130223739E-4</v>
      </c>
      <c r="H543" s="40">
        <v>49637.050853759996</v>
      </c>
      <c r="I543" s="36">
        <f>[1]!Table3[[#This Row],[Residential CLM $ Collected]]/'[1]1.) CLM Reference'!$B$4</f>
        <v>4.4036212414455116E-4</v>
      </c>
      <c r="J543" s="41">
        <v>18834.362000000001</v>
      </c>
      <c r="K543" s="36">
        <f>[1]!Table3[[#This Row],[Residential Incentive Disbursements]]/'[1]1.) CLM Reference'!$B$5</f>
        <v>2.3043186629989967E-4</v>
      </c>
      <c r="L543" s="37">
        <v>31870.330441920007</v>
      </c>
      <c r="M543" s="36">
        <f>[1]!Table3[[#This Row],[C&amp;I CLM $ Collected]]/'[1]1.) CLM Reference'!$B$4</f>
        <v>2.8274214864095897E-4</v>
      </c>
      <c r="N543" s="41">
        <v>2400</v>
      </c>
      <c r="O543" s="36">
        <f>[1]!Table3[[#This Row],[C&amp;I Incentive Disbursements]]/'[1]1.) CLM Reference'!$B$5</f>
        <v>2.9363165002337707E-5</v>
      </c>
      <c r="Q543">
        <f>VLOOKUP(Table3[[#This Row],[Census Tract]],'Population and Diversity Data'!$B$2:$K$823,10,FALSE)</f>
        <v>1</v>
      </c>
      <c r="R543" t="str">
        <f>VLOOKUP(Table3[[#This Row],[Census Tract]],'ES Energy Burden'!$B$2:$E$914,4,FALSE)</f>
        <v>No</v>
      </c>
    </row>
    <row r="544" spans="1:18" x14ac:dyDescent="0.2">
      <c r="A544" s="100">
        <v>9011707100</v>
      </c>
      <c r="B544" s="38" t="s">
        <v>2817</v>
      </c>
      <c r="C544" s="38" t="s">
        <v>944</v>
      </c>
      <c r="D544" s="40">
        <f>[1]!Table3[[#This Row],[Residential CLM $ Collected]]+[1]!Table3[[#This Row],[C&amp;I CLM $ Collected]]</f>
        <v>149000.57273376</v>
      </c>
      <c r="E544" s="36">
        <f>[1]!Table3[[#This Row],[CLM $ Collected ]]/'[1]1.) CLM Reference'!$B$4</f>
        <v>1.3218796761537051E-3</v>
      </c>
      <c r="F544" s="40">
        <f>[1]!Table3[[#This Row],[Residential Incentive Disbursements]]+[1]!Table3[[#This Row],[C&amp;I Incentive Disbursements]]</f>
        <v>51278.805999999997</v>
      </c>
      <c r="G544" s="36">
        <f>[1]!Table3[[#This Row],[Incentive Disbursements]]/'[1]1.) CLM Reference'!$B$5</f>
        <v>6.2737835070869358E-4</v>
      </c>
      <c r="H544" s="40">
        <v>113517.05510016001</v>
      </c>
      <c r="I544" s="36">
        <f>[1]!Table3[[#This Row],[Residential CLM $ Collected]]/'[1]1.) CLM Reference'!$B$4</f>
        <v>1.0070826257953215E-3</v>
      </c>
      <c r="J544" s="41">
        <v>51278.805999999997</v>
      </c>
      <c r="K544" s="36">
        <f>[1]!Table3[[#This Row],[Residential Incentive Disbursements]]/'[1]1.) CLM Reference'!$B$5</f>
        <v>6.2737835070869358E-4</v>
      </c>
      <c r="L544" s="37">
        <v>35483.5176336</v>
      </c>
      <c r="M544" s="36">
        <f>[1]!Table3[[#This Row],[C&amp;I CLM $ Collected]]/'[1]1.) CLM Reference'!$B$4</f>
        <v>3.147970503583836E-4</v>
      </c>
      <c r="N544" s="41">
        <v>0</v>
      </c>
      <c r="O544" s="36">
        <f>[1]!Table3[[#This Row],[C&amp;I Incentive Disbursements]]/'[1]1.) CLM Reference'!$B$5</f>
        <v>0</v>
      </c>
      <c r="Q544">
        <f>VLOOKUP(Table3[[#This Row],[Census Tract]],'Population and Diversity Data'!$B$2:$K$823,10,FALSE)</f>
        <v>3</v>
      </c>
      <c r="R544" t="str">
        <f>VLOOKUP(Table3[[#This Row],[Census Tract]],'ES Energy Burden'!$B$2:$E$914,4,FALSE)</f>
        <v>No</v>
      </c>
    </row>
    <row r="545" spans="1:18" x14ac:dyDescent="0.2">
      <c r="A545" s="100">
        <v>9011708100</v>
      </c>
      <c r="B545" s="38" t="s">
        <v>2817</v>
      </c>
      <c r="C545" s="38" t="s">
        <v>944</v>
      </c>
      <c r="D545" s="40">
        <f>[1]!Table3[[#This Row],[Residential CLM $ Collected]]+[1]!Table3[[#This Row],[C&amp;I CLM $ Collected]]</f>
        <v>176.22264960000001</v>
      </c>
      <c r="E545" s="36">
        <f>[1]!Table3[[#This Row],[CLM $ Collected ]]/'[1]1.) CLM Reference'!$B$4</f>
        <v>1.5633841851093503E-6</v>
      </c>
      <c r="F545" s="40">
        <f>[1]!Table3[[#This Row],[Residential Incentive Disbursements]]+[1]!Table3[[#This Row],[C&amp;I Incentive Disbursements]]</f>
        <v>0</v>
      </c>
      <c r="G545" s="36">
        <f>[1]!Table3[[#This Row],[Incentive Disbursements]]/'[1]1.) CLM Reference'!$B$5</f>
        <v>0</v>
      </c>
      <c r="H545" s="40">
        <v>176.22264960000001</v>
      </c>
      <c r="I545" s="36">
        <f>[1]!Table3[[#This Row],[Residential CLM $ Collected]]/'[1]1.) CLM Reference'!$B$4</f>
        <v>1.5633841851093503E-6</v>
      </c>
      <c r="J545" s="41">
        <v>0</v>
      </c>
      <c r="K545" s="36">
        <f>[1]!Table3[[#This Row],[Residential Incentive Disbursements]]/'[1]1.) CLM Reference'!$B$5</f>
        <v>0</v>
      </c>
      <c r="L545" s="37">
        <v>0</v>
      </c>
      <c r="M545" s="36">
        <f>[1]!Table3[[#This Row],[C&amp;I CLM $ Collected]]/'[1]1.) CLM Reference'!$B$4</f>
        <v>0</v>
      </c>
      <c r="N545" s="41">
        <v>0</v>
      </c>
      <c r="O545" s="36">
        <f>[1]!Table3[[#This Row],[C&amp;I Incentive Disbursements]]/'[1]1.) CLM Reference'!$B$5</f>
        <v>0</v>
      </c>
      <c r="Q545">
        <f>VLOOKUP(Table3[[#This Row],[Census Tract]],'Population and Diversity Data'!$B$2:$K$823,10,FALSE)</f>
        <v>2</v>
      </c>
      <c r="R545" t="str">
        <f>VLOOKUP(Table3[[#This Row],[Census Tract]],'ES Energy Burden'!$B$2:$E$914,4,FALSE)</f>
        <v>No</v>
      </c>
    </row>
    <row r="546" spans="1:18" x14ac:dyDescent="0.2">
      <c r="A546" s="100">
        <v>9001035300</v>
      </c>
      <c r="B546" s="38" t="s">
        <v>2818</v>
      </c>
      <c r="C546" s="38" t="s">
        <v>944</v>
      </c>
      <c r="D546" s="40">
        <f>[1]!Table3[[#This Row],[Residential CLM $ Collected]]+[1]!Table3[[#This Row],[C&amp;I CLM $ Collected]]</f>
        <v>1061.2722816</v>
      </c>
      <c r="E546" s="36">
        <f>[1]!Table3[[#This Row],[CLM $ Collected ]]/'[1]1.) CLM Reference'!$B$4</f>
        <v>9.4152272986159715E-6</v>
      </c>
      <c r="F546" s="40">
        <f>[1]!Table3[[#This Row],[Residential Incentive Disbursements]]+[1]!Table3[[#This Row],[C&amp;I Incentive Disbursements]]</f>
        <v>0</v>
      </c>
      <c r="G546" s="36">
        <f>[1]!Table3[[#This Row],[Incentive Disbursements]]/'[1]1.) CLM Reference'!$B$5</f>
        <v>0</v>
      </c>
      <c r="H546" s="40">
        <v>1061.2722816</v>
      </c>
      <c r="I546" s="36">
        <f>[1]!Table3[[#This Row],[Residential CLM $ Collected]]/'[1]1.) CLM Reference'!$B$4</f>
        <v>9.4152272986159715E-6</v>
      </c>
      <c r="J546" s="41">
        <v>0</v>
      </c>
      <c r="K546" s="36">
        <f>[1]!Table3[[#This Row],[Residential Incentive Disbursements]]/'[1]1.) CLM Reference'!$B$5</f>
        <v>0</v>
      </c>
      <c r="L546" s="37">
        <v>0</v>
      </c>
      <c r="M546" s="36">
        <f>[1]!Table3[[#This Row],[C&amp;I CLM $ Collected]]/'[1]1.) CLM Reference'!$B$4</f>
        <v>0</v>
      </c>
      <c r="N546" s="41">
        <v>0</v>
      </c>
      <c r="O546" s="36">
        <f>[1]!Table3[[#This Row],[C&amp;I Incentive Disbursements]]/'[1]1.) CLM Reference'!$B$5</f>
        <v>0</v>
      </c>
      <c r="Q546">
        <f>VLOOKUP(Table3[[#This Row],[Census Tract]],'Population and Diversity Data'!$B$2:$K$823,10,FALSE)</f>
        <v>3</v>
      </c>
      <c r="R546" t="str">
        <f>VLOOKUP(Table3[[#This Row],[Census Tract]],'ES Energy Burden'!$B$2:$E$914,4,FALSE)</f>
        <v>No</v>
      </c>
    </row>
    <row r="547" spans="1:18" x14ac:dyDescent="0.2">
      <c r="A547" s="100">
        <v>9001035400</v>
      </c>
      <c r="B547" s="38" t="s">
        <v>2818</v>
      </c>
      <c r="C547" s="38" t="s">
        <v>944</v>
      </c>
      <c r="D547" s="40">
        <f>[1]!Table3[[#This Row],[Residential CLM $ Collected]]+[1]!Table3[[#This Row],[C&amp;I CLM $ Collected]]</f>
        <v>3028.5282326400002</v>
      </c>
      <c r="E547" s="36">
        <f>[1]!Table3[[#This Row],[CLM $ Collected ]]/'[1]1.) CLM Reference'!$B$4</f>
        <v>2.6868016987678677E-5</v>
      </c>
      <c r="F547" s="40">
        <f>[1]!Table3[[#This Row],[Residential Incentive Disbursements]]+[1]!Table3[[#This Row],[C&amp;I Incentive Disbursements]]</f>
        <v>0</v>
      </c>
      <c r="G547" s="36">
        <f>[1]!Table3[[#This Row],[Incentive Disbursements]]/'[1]1.) CLM Reference'!$B$5</f>
        <v>0</v>
      </c>
      <c r="H547" s="40">
        <v>3028.5282326400002</v>
      </c>
      <c r="I547" s="36">
        <f>[1]!Table3[[#This Row],[Residential CLM $ Collected]]/'[1]1.) CLM Reference'!$B$4</f>
        <v>2.6868016987678677E-5</v>
      </c>
      <c r="J547" s="41">
        <v>0</v>
      </c>
      <c r="K547" s="36">
        <f>[1]!Table3[[#This Row],[Residential Incentive Disbursements]]/'[1]1.) CLM Reference'!$B$5</f>
        <v>0</v>
      </c>
      <c r="L547" s="37">
        <v>0</v>
      </c>
      <c r="M547" s="36">
        <f>[1]!Table3[[#This Row],[C&amp;I CLM $ Collected]]/'[1]1.) CLM Reference'!$B$4</f>
        <v>0</v>
      </c>
      <c r="N547" s="41">
        <v>0</v>
      </c>
      <c r="O547" s="36">
        <f>[1]!Table3[[#This Row],[C&amp;I Incentive Disbursements]]/'[1]1.) CLM Reference'!$B$5</f>
        <v>0</v>
      </c>
      <c r="Q547">
        <f>VLOOKUP(Table3[[#This Row],[Census Tract]],'Population and Diversity Data'!$B$2:$K$823,10,FALSE)</f>
        <v>2</v>
      </c>
      <c r="R547" t="str">
        <f>VLOOKUP(Table3[[#This Row],[Census Tract]],'ES Energy Burden'!$B$2:$E$914,4,FALSE)</f>
        <v>No</v>
      </c>
    </row>
    <row r="548" spans="1:18" x14ac:dyDescent="0.2">
      <c r="A548" s="100">
        <v>9001042500</v>
      </c>
      <c r="B548" s="38" t="s">
        <v>2818</v>
      </c>
      <c r="C548" s="38" t="s">
        <v>944</v>
      </c>
      <c r="D548" s="40">
        <f>[1]!Table3[[#This Row],[Residential CLM $ Collected]]+[1]!Table3[[#This Row],[C&amp;I CLM $ Collected]]</f>
        <v>83103.254467200008</v>
      </c>
      <c r="E548" s="36">
        <f>[1]!Table3[[#This Row],[CLM $ Collected ]]/'[1]1.) CLM Reference'!$B$4</f>
        <v>7.3726228756657193E-4</v>
      </c>
      <c r="F548" s="40">
        <f>[1]!Table3[[#This Row],[Residential Incentive Disbursements]]+[1]!Table3[[#This Row],[C&amp;I Incentive Disbursements]]</f>
        <v>25488.235000000001</v>
      </c>
      <c r="G548" s="36">
        <f>[1]!Table3[[#This Row],[Incentive Disbursements]]/'[1]1.) CLM Reference'!$B$5</f>
        <v>3.1183968746806626E-4</v>
      </c>
      <c r="H548" s="40">
        <v>83103.254467200008</v>
      </c>
      <c r="I548" s="36">
        <f>[1]!Table3[[#This Row],[Residential CLM $ Collected]]/'[1]1.) CLM Reference'!$B$4</f>
        <v>7.3726228756657193E-4</v>
      </c>
      <c r="J548" s="41">
        <v>25488.235000000001</v>
      </c>
      <c r="K548" s="36">
        <f>[1]!Table3[[#This Row],[Residential Incentive Disbursements]]/'[1]1.) CLM Reference'!$B$5</f>
        <v>3.1183968746806626E-4</v>
      </c>
      <c r="L548" s="37">
        <v>0</v>
      </c>
      <c r="M548" s="36">
        <f>[1]!Table3[[#This Row],[C&amp;I CLM $ Collected]]/'[1]1.) CLM Reference'!$B$4</f>
        <v>0</v>
      </c>
      <c r="N548" s="41">
        <v>0</v>
      </c>
      <c r="O548" s="36">
        <f>[1]!Table3[[#This Row],[C&amp;I Incentive Disbursements]]/'[1]1.) CLM Reference'!$B$5</f>
        <v>0</v>
      </c>
      <c r="Q548">
        <f>VLOOKUP(Table3[[#This Row],[Census Tract]],'Population and Diversity Data'!$B$2:$K$823,10,FALSE)</f>
        <v>1</v>
      </c>
      <c r="R548" t="str">
        <f>VLOOKUP(Table3[[#This Row],[Census Tract]],'ES Energy Burden'!$B$2:$E$914,4,FALSE)</f>
        <v>No</v>
      </c>
    </row>
    <row r="549" spans="1:18" x14ac:dyDescent="0.2">
      <c r="A549" s="100">
        <v>9001042600</v>
      </c>
      <c r="B549" s="38" t="s">
        <v>2818</v>
      </c>
      <c r="C549" s="38" t="s">
        <v>944</v>
      </c>
      <c r="D549" s="40">
        <f>[1]!Table3[[#This Row],[Residential CLM $ Collected]]+[1]!Table3[[#This Row],[C&amp;I CLM $ Collected]]</f>
        <v>81284.181955200009</v>
      </c>
      <c r="E549" s="36">
        <f>[1]!Table3[[#This Row],[CLM $ Collected ]]/'[1]1.) CLM Reference'!$B$4</f>
        <v>7.2112412823641093E-4</v>
      </c>
      <c r="F549" s="40">
        <f>[1]!Table3[[#This Row],[Residential Incentive Disbursements]]+[1]!Table3[[#This Row],[C&amp;I Incentive Disbursements]]</f>
        <v>15735.29</v>
      </c>
      <c r="G549" s="36">
        <f>[1]!Table3[[#This Row],[Incentive Disbursements]]/'[1]1.) CLM Reference'!$B$5</f>
        <v>1.9251579859568105E-4</v>
      </c>
      <c r="H549" s="40">
        <v>81284.181955200009</v>
      </c>
      <c r="I549" s="36">
        <f>[1]!Table3[[#This Row],[Residential CLM $ Collected]]/'[1]1.) CLM Reference'!$B$4</f>
        <v>7.2112412823641093E-4</v>
      </c>
      <c r="J549" s="41">
        <v>15735.29</v>
      </c>
      <c r="K549" s="36">
        <f>[1]!Table3[[#This Row],[Residential Incentive Disbursements]]/'[1]1.) CLM Reference'!$B$5</f>
        <v>1.9251579859568105E-4</v>
      </c>
      <c r="L549" s="37">
        <v>0</v>
      </c>
      <c r="M549" s="36">
        <f>[1]!Table3[[#This Row],[C&amp;I CLM $ Collected]]/'[1]1.) CLM Reference'!$B$4</f>
        <v>0</v>
      </c>
      <c r="N549" s="41">
        <v>0</v>
      </c>
      <c r="O549" s="36">
        <f>[1]!Table3[[#This Row],[C&amp;I Incentive Disbursements]]/'[1]1.) CLM Reference'!$B$5</f>
        <v>0</v>
      </c>
      <c r="Q549">
        <f>VLOOKUP(Table3[[#This Row],[Census Tract]],'Population and Diversity Data'!$B$2:$K$823,10,FALSE)</f>
        <v>3</v>
      </c>
      <c r="R549" t="str">
        <f>VLOOKUP(Table3[[#This Row],[Census Tract]],'ES Energy Burden'!$B$2:$E$914,4,FALSE)</f>
        <v>No</v>
      </c>
    </row>
    <row r="550" spans="1:18" x14ac:dyDescent="0.2">
      <c r="A550" s="100">
        <v>9001042700</v>
      </c>
      <c r="B550" s="38" t="s">
        <v>2818</v>
      </c>
      <c r="C550" s="38" t="s">
        <v>944</v>
      </c>
      <c r="D550" s="40">
        <f>[1]!Table3[[#This Row],[Residential CLM $ Collected]]+[1]!Table3[[#This Row],[C&amp;I CLM $ Collected]]</f>
        <v>85645.313366399991</v>
      </c>
      <c r="E550" s="36">
        <f>[1]!Table3[[#This Row],[CLM $ Collected ]]/'[1]1.) CLM Reference'!$B$4</f>
        <v>7.5981452298946807E-4</v>
      </c>
      <c r="F550" s="40">
        <f>[1]!Table3[[#This Row],[Residential Incentive Disbursements]]+[1]!Table3[[#This Row],[C&amp;I Incentive Disbursements]]</f>
        <v>11611.1448</v>
      </c>
      <c r="G550" s="36">
        <f>[1]!Table3[[#This Row],[Incentive Disbursements]]/'[1]1.) CLM Reference'!$B$5</f>
        <v>1.4205831692851476E-4</v>
      </c>
      <c r="H550" s="40">
        <v>85645.313366399991</v>
      </c>
      <c r="I550" s="36">
        <f>[1]!Table3[[#This Row],[Residential CLM $ Collected]]/'[1]1.) CLM Reference'!$B$4</f>
        <v>7.5981452298946807E-4</v>
      </c>
      <c r="J550" s="41">
        <v>11611.1448</v>
      </c>
      <c r="K550" s="36">
        <f>[1]!Table3[[#This Row],[Residential Incentive Disbursements]]/'[1]1.) CLM Reference'!$B$5</f>
        <v>1.4205831692851476E-4</v>
      </c>
      <c r="L550" s="37">
        <v>0</v>
      </c>
      <c r="M550" s="36">
        <f>[1]!Table3[[#This Row],[C&amp;I CLM $ Collected]]/'[1]1.) CLM Reference'!$B$4</f>
        <v>0</v>
      </c>
      <c r="N550" s="41">
        <v>0</v>
      </c>
      <c r="O550" s="36">
        <f>[1]!Table3[[#This Row],[C&amp;I Incentive Disbursements]]/'[1]1.) CLM Reference'!$B$5</f>
        <v>0</v>
      </c>
      <c r="Q550">
        <f>VLOOKUP(Table3[[#This Row],[Census Tract]],'Population and Diversity Data'!$B$2:$K$823,10,FALSE)</f>
        <v>4</v>
      </c>
      <c r="R550" t="str">
        <f>VLOOKUP(Table3[[#This Row],[Census Tract]],'ES Energy Burden'!$B$2:$E$914,4,FALSE)</f>
        <v>No</v>
      </c>
    </row>
    <row r="551" spans="1:18" x14ac:dyDescent="0.2">
      <c r="A551" s="100">
        <v>9001042800</v>
      </c>
      <c r="B551" s="38" t="s">
        <v>2818</v>
      </c>
      <c r="C551" s="38" t="s">
        <v>944</v>
      </c>
      <c r="D551" s="40">
        <f>[1]!Table3[[#This Row],[Residential CLM $ Collected]]+[1]!Table3[[#This Row],[C&amp;I CLM $ Collected]]</f>
        <v>115974.89911584</v>
      </c>
      <c r="E551" s="36">
        <f>[1]!Table3[[#This Row],[CLM $ Collected ]]/'[1]1.) CLM Reference'!$B$4</f>
        <v>1.0288877369561274E-3</v>
      </c>
      <c r="F551" s="40">
        <f>[1]!Table3[[#This Row],[Residential Incentive Disbursements]]+[1]!Table3[[#This Row],[C&amp;I Incentive Disbursements]]</f>
        <v>22248.071899999999</v>
      </c>
      <c r="G551" s="36">
        <f>[1]!Table3[[#This Row],[Incentive Disbursements]]/'[1]1.) CLM Reference'!$B$5</f>
        <v>2.7219741924315539E-4</v>
      </c>
      <c r="H551" s="40">
        <v>115974.89911584</v>
      </c>
      <c r="I551" s="36">
        <f>[1]!Table3[[#This Row],[Residential CLM $ Collected]]/'[1]1.) CLM Reference'!$B$4</f>
        <v>1.0288877369561274E-3</v>
      </c>
      <c r="J551" s="41">
        <v>22248.071899999999</v>
      </c>
      <c r="K551" s="36">
        <f>[1]!Table3[[#This Row],[Residential Incentive Disbursements]]/'[1]1.) CLM Reference'!$B$5</f>
        <v>2.7219741924315539E-4</v>
      </c>
      <c r="L551" s="37">
        <v>0</v>
      </c>
      <c r="M551" s="36">
        <f>[1]!Table3[[#This Row],[C&amp;I CLM $ Collected]]/'[1]1.) CLM Reference'!$B$4</f>
        <v>0</v>
      </c>
      <c r="N551" s="41">
        <v>0</v>
      </c>
      <c r="O551" s="36">
        <f>[1]!Table3[[#This Row],[C&amp;I Incentive Disbursements]]/'[1]1.) CLM Reference'!$B$5</f>
        <v>0</v>
      </c>
      <c r="Q551">
        <f>VLOOKUP(Table3[[#This Row],[Census Tract]],'Population and Diversity Data'!$B$2:$K$823,10,FALSE)</f>
        <v>3</v>
      </c>
      <c r="R551" t="str">
        <f>VLOOKUP(Table3[[#This Row],[Census Tract]],'ES Energy Burden'!$B$2:$E$914,4,FALSE)</f>
        <v>No</v>
      </c>
    </row>
    <row r="552" spans="1:18" x14ac:dyDescent="0.2">
      <c r="A552" s="100">
        <v>9001042900</v>
      </c>
      <c r="B552" s="38" t="s">
        <v>2818</v>
      </c>
      <c r="C552" s="38" t="s">
        <v>944</v>
      </c>
      <c r="D552" s="40">
        <f>[1]!Table3[[#This Row],[Residential CLM $ Collected]]+[1]!Table3[[#This Row],[C&amp;I CLM $ Collected]]</f>
        <v>41161.070211839993</v>
      </c>
      <c r="E552" s="36">
        <f>[1]!Table3[[#This Row],[CLM $ Collected ]]/'[1]1.) CLM Reference'!$B$4</f>
        <v>3.6516626187060923E-4</v>
      </c>
      <c r="F552" s="40">
        <f>[1]!Table3[[#This Row],[Residential Incentive Disbursements]]+[1]!Table3[[#This Row],[C&amp;I Incentive Disbursements]]</f>
        <v>22228.298200000001</v>
      </c>
      <c r="G552" s="36">
        <f>[1]!Table3[[#This Row],[Incentive Disbursements]]/'[1]1.) CLM Reference'!$B$5</f>
        <v>2.7195549490323595E-4</v>
      </c>
      <c r="H552" s="40">
        <v>41161.070211839993</v>
      </c>
      <c r="I552" s="36">
        <f>[1]!Table3[[#This Row],[Residential CLM $ Collected]]/'[1]1.) CLM Reference'!$B$4</f>
        <v>3.6516626187060923E-4</v>
      </c>
      <c r="J552" s="41">
        <v>22228.298200000001</v>
      </c>
      <c r="K552" s="36">
        <f>[1]!Table3[[#This Row],[Residential Incentive Disbursements]]/'[1]1.) CLM Reference'!$B$5</f>
        <v>2.7195549490323595E-4</v>
      </c>
      <c r="L552" s="37">
        <v>0</v>
      </c>
      <c r="M552" s="36">
        <f>[1]!Table3[[#This Row],[C&amp;I CLM $ Collected]]/'[1]1.) CLM Reference'!$B$4</f>
        <v>0</v>
      </c>
      <c r="N552" s="41">
        <v>0</v>
      </c>
      <c r="O552" s="36">
        <f>[1]!Table3[[#This Row],[C&amp;I Incentive Disbursements]]/'[1]1.) CLM Reference'!$B$5</f>
        <v>0</v>
      </c>
      <c r="Q552">
        <f>VLOOKUP(Table3[[#This Row],[Census Tract]],'Population and Diversity Data'!$B$2:$K$823,10,FALSE)</f>
        <v>1</v>
      </c>
      <c r="R552" t="str">
        <f>VLOOKUP(Table3[[#This Row],[Census Tract]],'ES Energy Burden'!$B$2:$E$914,4,FALSE)</f>
        <v>No</v>
      </c>
    </row>
    <row r="553" spans="1:18" x14ac:dyDescent="0.2">
      <c r="A553" s="100">
        <v>9001043000</v>
      </c>
      <c r="B553" s="38" t="s">
        <v>2818</v>
      </c>
      <c r="C553" s="38" t="s">
        <v>944</v>
      </c>
      <c r="D553" s="40">
        <f>[1]!Table3[[#This Row],[Residential CLM $ Collected]]+[1]!Table3[[#This Row],[C&amp;I CLM $ Collected]]</f>
        <v>63115.726927679993</v>
      </c>
      <c r="E553" s="36">
        <f>[1]!Table3[[#This Row],[CLM $ Collected ]]/'[1]1.) CLM Reference'!$B$4</f>
        <v>5.5994010721318341E-4</v>
      </c>
      <c r="F553" s="40">
        <f>[1]!Table3[[#This Row],[Residential Incentive Disbursements]]+[1]!Table3[[#This Row],[C&amp;I Incentive Disbursements]]</f>
        <v>13700.7127</v>
      </c>
      <c r="G553" s="36">
        <f>[1]!Table3[[#This Row],[Incentive Disbursements]]/'[1]1.) CLM Reference'!$B$5</f>
        <v>1.6762345319155155E-4</v>
      </c>
      <c r="H553" s="40">
        <v>63115.726927679993</v>
      </c>
      <c r="I553" s="36">
        <f>[1]!Table3[[#This Row],[Residential CLM $ Collected]]/'[1]1.) CLM Reference'!$B$4</f>
        <v>5.5994010721318341E-4</v>
      </c>
      <c r="J553" s="41">
        <v>13700.7127</v>
      </c>
      <c r="K553" s="36">
        <f>[1]!Table3[[#This Row],[Residential Incentive Disbursements]]/'[1]1.) CLM Reference'!$B$5</f>
        <v>1.6762345319155155E-4</v>
      </c>
      <c r="L553" s="37">
        <v>0</v>
      </c>
      <c r="M553" s="36">
        <f>[1]!Table3[[#This Row],[C&amp;I CLM $ Collected]]/'[1]1.) CLM Reference'!$B$4</f>
        <v>0</v>
      </c>
      <c r="N553" s="41">
        <v>0</v>
      </c>
      <c r="O553" s="36">
        <f>[1]!Table3[[#This Row],[C&amp;I Incentive Disbursements]]/'[1]1.) CLM Reference'!$B$5</f>
        <v>0</v>
      </c>
      <c r="Q553">
        <f>VLOOKUP(Table3[[#This Row],[Census Tract]],'Population and Diversity Data'!$B$2:$K$823,10,FALSE)</f>
        <v>3</v>
      </c>
      <c r="R553" t="str">
        <f>VLOOKUP(Table3[[#This Row],[Census Tract]],'ES Energy Burden'!$B$2:$E$914,4,FALSE)</f>
        <v>No</v>
      </c>
    </row>
    <row r="554" spans="1:18" x14ac:dyDescent="0.2">
      <c r="A554" s="100">
        <v>9001043100</v>
      </c>
      <c r="B554" s="38" t="s">
        <v>2818</v>
      </c>
      <c r="C554" s="38" t="s">
        <v>944</v>
      </c>
      <c r="D554" s="40">
        <f>[1]!Table3[[#This Row],[Residential CLM $ Collected]]+[1]!Table3[[#This Row],[C&amp;I CLM $ Collected]]</f>
        <v>104499.4986432</v>
      </c>
      <c r="E554" s="36">
        <f>[1]!Table3[[#This Row],[CLM $ Collected ]]/'[1]1.) CLM Reference'!$B$4</f>
        <v>9.2708209700323831E-4</v>
      </c>
      <c r="F554" s="40">
        <f>[1]!Table3[[#This Row],[Residential Incentive Disbursements]]+[1]!Table3[[#This Row],[C&amp;I Incentive Disbursements]]</f>
        <v>28444.488799999999</v>
      </c>
      <c r="G554" s="36">
        <f>[1]!Table3[[#This Row],[Incentive Disbursements]]/'[1]1.) CLM Reference'!$B$5</f>
        <v>3.4800842418397784E-4</v>
      </c>
      <c r="H554" s="40">
        <v>104499.4986432</v>
      </c>
      <c r="I554" s="36">
        <f>[1]!Table3[[#This Row],[Residential CLM $ Collected]]/'[1]1.) CLM Reference'!$B$4</f>
        <v>9.2708209700323831E-4</v>
      </c>
      <c r="J554" s="41">
        <v>28444.488799999999</v>
      </c>
      <c r="K554" s="36">
        <f>[1]!Table3[[#This Row],[Residential Incentive Disbursements]]/'[1]1.) CLM Reference'!$B$5</f>
        <v>3.4800842418397784E-4</v>
      </c>
      <c r="L554" s="37">
        <v>0</v>
      </c>
      <c r="M554" s="36">
        <f>[1]!Table3[[#This Row],[C&amp;I CLM $ Collected]]/'[1]1.) CLM Reference'!$B$4</f>
        <v>0</v>
      </c>
      <c r="N554" s="41">
        <v>0</v>
      </c>
      <c r="O554" s="36">
        <f>[1]!Table3[[#This Row],[C&amp;I Incentive Disbursements]]/'[1]1.) CLM Reference'!$B$5</f>
        <v>0</v>
      </c>
      <c r="Q554">
        <f>VLOOKUP(Table3[[#This Row],[Census Tract]],'Population and Diversity Data'!$B$2:$K$823,10,FALSE)</f>
        <v>5</v>
      </c>
      <c r="R554" t="str">
        <f>VLOOKUP(Table3[[#This Row],[Census Tract]],'ES Energy Burden'!$B$2:$E$914,4,FALSE)</f>
        <v>No</v>
      </c>
    </row>
    <row r="555" spans="1:18" x14ac:dyDescent="0.2">
      <c r="A555" s="100">
        <v>9001043200</v>
      </c>
      <c r="B555" s="38" t="s">
        <v>2818</v>
      </c>
      <c r="C555" s="38" t="s">
        <v>944</v>
      </c>
      <c r="D555" s="40">
        <f>[1]!Table3[[#This Row],[Residential CLM $ Collected]]+[1]!Table3[[#This Row],[C&amp;I CLM $ Collected]]</f>
        <v>59452.694694720005</v>
      </c>
      <c r="E555" s="36">
        <f>[1]!Table3[[#This Row],[CLM $ Collected ]]/'[1]1.) CLM Reference'!$B$4</f>
        <v>5.2744299815510104E-4</v>
      </c>
      <c r="F555" s="40">
        <f>[1]!Table3[[#This Row],[Residential Incentive Disbursements]]+[1]!Table3[[#This Row],[C&amp;I Incentive Disbursements]]</f>
        <v>4285.76</v>
      </c>
      <c r="G555" s="36">
        <f>[1]!Table3[[#This Row],[Incentive Disbursements]]/'[1]1.) CLM Reference'!$B$5</f>
        <v>5.2434782516841187E-5</v>
      </c>
      <c r="H555" s="40">
        <v>59452.694694720005</v>
      </c>
      <c r="I555" s="36">
        <f>[1]!Table3[[#This Row],[Residential CLM $ Collected]]/'[1]1.) CLM Reference'!$B$4</f>
        <v>5.2744299815510104E-4</v>
      </c>
      <c r="J555" s="41">
        <v>4285.76</v>
      </c>
      <c r="K555" s="36">
        <f>[1]!Table3[[#This Row],[Residential Incentive Disbursements]]/'[1]1.) CLM Reference'!$B$5</f>
        <v>5.2434782516841187E-5</v>
      </c>
      <c r="L555" s="37">
        <v>0</v>
      </c>
      <c r="M555" s="36">
        <f>[1]!Table3[[#This Row],[C&amp;I CLM $ Collected]]/'[1]1.) CLM Reference'!$B$4</f>
        <v>0</v>
      </c>
      <c r="N555" s="41">
        <v>0</v>
      </c>
      <c r="O555" s="36">
        <f>[1]!Table3[[#This Row],[C&amp;I Incentive Disbursements]]/'[1]1.) CLM Reference'!$B$5</f>
        <v>0</v>
      </c>
      <c r="Q555">
        <f>VLOOKUP(Table3[[#This Row],[Census Tract]],'Population and Diversity Data'!$B$2:$K$823,10,FALSE)</f>
        <v>3</v>
      </c>
      <c r="R555" t="str">
        <f>VLOOKUP(Table3[[#This Row],[Census Tract]],'ES Energy Burden'!$B$2:$E$914,4,FALSE)</f>
        <v>No</v>
      </c>
    </row>
    <row r="556" spans="1:18" x14ac:dyDescent="0.2">
      <c r="A556" s="100">
        <v>9001043300</v>
      </c>
      <c r="B556" s="38" t="s">
        <v>2818</v>
      </c>
      <c r="C556" s="38" t="s">
        <v>944</v>
      </c>
      <c r="D556" s="40">
        <f>[1]!Table3[[#This Row],[Residential CLM $ Collected]]+[1]!Table3[[#This Row],[C&amp;I CLM $ Collected]]</f>
        <v>64142.895072960004</v>
      </c>
      <c r="E556" s="36">
        <f>[1]!Table3[[#This Row],[CLM $ Collected ]]/'[1]1.) CLM Reference'!$B$4</f>
        <v>5.6905277483805419E-4</v>
      </c>
      <c r="F556" s="40">
        <f>[1]!Table3[[#This Row],[Residential Incentive Disbursements]]+[1]!Table3[[#This Row],[C&amp;I Incentive Disbursements]]</f>
        <v>25985.81</v>
      </c>
      <c r="G556" s="36">
        <f>[1]!Table3[[#This Row],[Incentive Disbursements]]/'[1]1.) CLM Reference'!$B$5</f>
        <v>3.1792734447891552E-4</v>
      </c>
      <c r="H556" s="40">
        <v>64142.895072960004</v>
      </c>
      <c r="I556" s="36">
        <f>[1]!Table3[[#This Row],[Residential CLM $ Collected]]/'[1]1.) CLM Reference'!$B$4</f>
        <v>5.6905277483805419E-4</v>
      </c>
      <c r="J556" s="41">
        <v>25985.81</v>
      </c>
      <c r="K556" s="36">
        <f>[1]!Table3[[#This Row],[Residential Incentive Disbursements]]/'[1]1.) CLM Reference'!$B$5</f>
        <v>3.1792734447891552E-4</v>
      </c>
      <c r="L556" s="37">
        <v>0</v>
      </c>
      <c r="M556" s="36">
        <f>[1]!Table3[[#This Row],[C&amp;I CLM $ Collected]]/'[1]1.) CLM Reference'!$B$4</f>
        <v>0</v>
      </c>
      <c r="N556" s="41">
        <v>0</v>
      </c>
      <c r="O556" s="36">
        <f>[1]!Table3[[#This Row],[C&amp;I Incentive Disbursements]]/'[1]1.) CLM Reference'!$B$5</f>
        <v>0</v>
      </c>
      <c r="Q556">
        <f>VLOOKUP(Table3[[#This Row],[Census Tract]],'Population and Diversity Data'!$B$2:$K$823,10,FALSE)</f>
        <v>4</v>
      </c>
      <c r="R556" t="str">
        <f>VLOOKUP(Table3[[#This Row],[Census Tract]],'ES Energy Burden'!$B$2:$E$914,4,FALSE)</f>
        <v>No</v>
      </c>
    </row>
    <row r="557" spans="1:18" x14ac:dyDescent="0.2">
      <c r="A557" s="100">
        <v>9001043400</v>
      </c>
      <c r="B557" s="38" t="s">
        <v>2818</v>
      </c>
      <c r="C557" s="38" t="s">
        <v>944</v>
      </c>
      <c r="D557" s="40">
        <f>[1]!Table3[[#This Row],[Residential CLM $ Collected]]+[1]!Table3[[#This Row],[C&amp;I CLM $ Collected]]</f>
        <v>65534.864711040005</v>
      </c>
      <c r="E557" s="36">
        <f>[1]!Table3[[#This Row],[CLM $ Collected ]]/'[1]1.) CLM Reference'!$B$4</f>
        <v>5.8140183055402654E-4</v>
      </c>
      <c r="F557" s="40">
        <f>[1]!Table3[[#This Row],[Residential Incentive Disbursements]]+[1]!Table3[[#This Row],[C&amp;I Incentive Disbursements]]</f>
        <v>6121.5024000000003</v>
      </c>
      <c r="G557" s="36">
        <f>[1]!Table3[[#This Row],[Incentive Disbursements]]/'[1]1.) CLM Reference'!$B$5</f>
        <v>7.4894452097252611E-5</v>
      </c>
      <c r="H557" s="40">
        <v>65534.864711040005</v>
      </c>
      <c r="I557" s="36">
        <f>[1]!Table3[[#This Row],[Residential CLM $ Collected]]/'[1]1.) CLM Reference'!$B$4</f>
        <v>5.8140183055402654E-4</v>
      </c>
      <c r="J557" s="41">
        <v>6121.5024000000003</v>
      </c>
      <c r="K557" s="36">
        <f>[1]!Table3[[#This Row],[Residential Incentive Disbursements]]/'[1]1.) CLM Reference'!$B$5</f>
        <v>7.4894452097252611E-5</v>
      </c>
      <c r="L557" s="37">
        <v>0</v>
      </c>
      <c r="M557" s="36">
        <f>[1]!Table3[[#This Row],[C&amp;I CLM $ Collected]]/'[1]1.) CLM Reference'!$B$4</f>
        <v>0</v>
      </c>
      <c r="N557" s="41">
        <v>0</v>
      </c>
      <c r="O557" s="36">
        <f>[1]!Table3[[#This Row],[C&amp;I Incentive Disbursements]]/'[1]1.) CLM Reference'!$B$5</f>
        <v>0</v>
      </c>
      <c r="Q557">
        <f>VLOOKUP(Table3[[#This Row],[Census Tract]],'Population and Diversity Data'!$B$2:$K$823,10,FALSE)</f>
        <v>5</v>
      </c>
      <c r="R557" t="str">
        <f>VLOOKUP(Table3[[#This Row],[Census Tract]],'ES Energy Burden'!$B$2:$E$914,4,FALSE)</f>
        <v>No</v>
      </c>
    </row>
    <row r="558" spans="1:18" x14ac:dyDescent="0.2">
      <c r="A558" s="100">
        <v>9001043500</v>
      </c>
      <c r="B558" s="38" t="s">
        <v>2818</v>
      </c>
      <c r="C558" s="38" t="s">
        <v>944</v>
      </c>
      <c r="D558" s="40">
        <f>[1]!Table3[[#This Row],[Residential CLM $ Collected]]+[1]!Table3[[#This Row],[C&amp;I CLM $ Collected]]</f>
        <v>43101.77930496</v>
      </c>
      <c r="E558" s="36">
        <f>[1]!Table3[[#This Row],[CLM $ Collected ]]/'[1]1.) CLM Reference'!$B$4</f>
        <v>3.8238353735119384E-4</v>
      </c>
      <c r="F558" s="40">
        <f>[1]!Table3[[#This Row],[Residential Incentive Disbursements]]+[1]!Table3[[#This Row],[C&amp;I Incentive Disbursements]]</f>
        <v>5348.7452000000003</v>
      </c>
      <c r="G558" s="36">
        <f>[1]!Table3[[#This Row],[Incentive Disbursements]]/'[1]1.) CLM Reference'!$B$5</f>
        <v>6.5440036609609086E-5</v>
      </c>
      <c r="H558" s="40">
        <v>43101.77930496</v>
      </c>
      <c r="I558" s="36">
        <f>[1]!Table3[[#This Row],[Residential CLM $ Collected]]/'[1]1.) CLM Reference'!$B$4</f>
        <v>3.8238353735119384E-4</v>
      </c>
      <c r="J558" s="41">
        <v>5348.7452000000003</v>
      </c>
      <c r="K558" s="36">
        <f>[1]!Table3[[#This Row],[Residential Incentive Disbursements]]/'[1]1.) CLM Reference'!$B$5</f>
        <v>6.5440036609609086E-5</v>
      </c>
      <c r="L558" s="37">
        <v>0</v>
      </c>
      <c r="M558" s="36">
        <f>[1]!Table3[[#This Row],[C&amp;I CLM $ Collected]]/'[1]1.) CLM Reference'!$B$4</f>
        <v>0</v>
      </c>
      <c r="N558" s="41">
        <v>0</v>
      </c>
      <c r="O558" s="36">
        <f>[1]!Table3[[#This Row],[C&amp;I Incentive Disbursements]]/'[1]1.) CLM Reference'!$B$5</f>
        <v>0</v>
      </c>
      <c r="Q558">
        <f>VLOOKUP(Table3[[#This Row],[Census Tract]],'Population and Diversity Data'!$B$2:$K$823,10,FALSE)</f>
        <v>1</v>
      </c>
      <c r="R558" t="str">
        <f>VLOOKUP(Table3[[#This Row],[Census Tract]],'ES Energy Burden'!$B$2:$E$914,4,FALSE)</f>
        <v>No</v>
      </c>
    </row>
    <row r="559" spans="1:18" x14ac:dyDescent="0.2">
      <c r="A559" s="100">
        <v>9001043600</v>
      </c>
      <c r="B559" s="38" t="s">
        <v>2818</v>
      </c>
      <c r="C559" s="38" t="s">
        <v>944</v>
      </c>
      <c r="D559" s="40">
        <f>[1]!Table3[[#This Row],[Residential CLM $ Collected]]+[1]!Table3[[#This Row],[C&amp;I CLM $ Collected]]</f>
        <v>52708.824316800004</v>
      </c>
      <c r="E559" s="36">
        <f>[1]!Table3[[#This Row],[CLM $ Collected ]]/'[1]1.) CLM Reference'!$B$4</f>
        <v>4.6761379731628024E-4</v>
      </c>
      <c r="F559" s="40">
        <f>[1]!Table3[[#This Row],[Residential Incentive Disbursements]]+[1]!Table3[[#This Row],[C&amp;I Incentive Disbursements]]</f>
        <v>17760.28</v>
      </c>
      <c r="G559" s="36">
        <f>[1]!Table3[[#This Row],[Incentive Disbursements]]/'[1]1.) CLM Reference'!$B$5</f>
        <v>2.172908467198826E-4</v>
      </c>
      <c r="H559" s="40">
        <v>52708.824316800004</v>
      </c>
      <c r="I559" s="36">
        <f>[1]!Table3[[#This Row],[Residential CLM $ Collected]]/'[1]1.) CLM Reference'!$B$4</f>
        <v>4.6761379731628024E-4</v>
      </c>
      <c r="J559" s="41">
        <v>17760.28</v>
      </c>
      <c r="K559" s="36">
        <f>[1]!Table3[[#This Row],[Residential Incentive Disbursements]]/'[1]1.) CLM Reference'!$B$5</f>
        <v>2.172908467198826E-4</v>
      </c>
      <c r="L559" s="37">
        <v>0</v>
      </c>
      <c r="M559" s="36">
        <f>[1]!Table3[[#This Row],[C&amp;I CLM $ Collected]]/'[1]1.) CLM Reference'!$B$4</f>
        <v>0</v>
      </c>
      <c r="N559" s="41">
        <v>0</v>
      </c>
      <c r="O559" s="36">
        <f>[1]!Table3[[#This Row],[C&amp;I Incentive Disbursements]]/'[1]1.) CLM Reference'!$B$5</f>
        <v>0</v>
      </c>
      <c r="Q559">
        <f>VLOOKUP(Table3[[#This Row],[Census Tract]],'Population and Diversity Data'!$B$2:$K$823,10,FALSE)</f>
        <v>4</v>
      </c>
      <c r="R559" t="str">
        <f>VLOOKUP(Table3[[#This Row],[Census Tract]],'ES Energy Burden'!$B$2:$E$914,4,FALSE)</f>
        <v>No</v>
      </c>
    </row>
    <row r="560" spans="1:18" x14ac:dyDescent="0.2">
      <c r="A560" s="100">
        <v>9001043700</v>
      </c>
      <c r="B560" s="38" t="s">
        <v>2818</v>
      </c>
      <c r="C560" s="38" t="s">
        <v>944</v>
      </c>
      <c r="D560" s="40">
        <f>[1]!Table3[[#This Row],[Residential CLM $ Collected]]+[1]!Table3[[#This Row],[C&amp;I CLM $ Collected]]</f>
        <v>48043.2251808</v>
      </c>
      <c r="E560" s="36">
        <f>[1]!Table3[[#This Row],[CLM $ Collected ]]/'[1]1.) CLM Reference'!$B$4</f>
        <v>4.2622227403684446E-4</v>
      </c>
      <c r="F560" s="40">
        <f>[1]!Table3[[#This Row],[Residential Incentive Disbursements]]+[1]!Table3[[#This Row],[C&amp;I Incentive Disbursements]]</f>
        <v>204.88</v>
      </c>
      <c r="G560" s="36">
        <f>[1]!Table3[[#This Row],[Incentive Disbursements]]/'[1]1.) CLM Reference'!$B$5</f>
        <v>2.5066355190328954E-6</v>
      </c>
      <c r="H560" s="40">
        <v>48043.2251808</v>
      </c>
      <c r="I560" s="36">
        <f>[1]!Table3[[#This Row],[Residential CLM $ Collected]]/'[1]1.) CLM Reference'!$B$4</f>
        <v>4.2622227403684446E-4</v>
      </c>
      <c r="J560" s="41">
        <v>204.88</v>
      </c>
      <c r="K560" s="36">
        <f>[1]!Table3[[#This Row],[Residential Incentive Disbursements]]/'[1]1.) CLM Reference'!$B$5</f>
        <v>2.5066355190328954E-6</v>
      </c>
      <c r="L560" s="37">
        <v>0</v>
      </c>
      <c r="M560" s="36">
        <f>[1]!Table3[[#This Row],[C&amp;I CLM $ Collected]]/'[1]1.) CLM Reference'!$B$4</f>
        <v>0</v>
      </c>
      <c r="N560" s="41">
        <v>0</v>
      </c>
      <c r="O560" s="36">
        <f>[1]!Table3[[#This Row],[C&amp;I Incentive Disbursements]]/'[1]1.) CLM Reference'!$B$5</f>
        <v>0</v>
      </c>
      <c r="Q560">
        <f>VLOOKUP(Table3[[#This Row],[Census Tract]],'Population and Diversity Data'!$B$2:$K$823,10,FALSE)</f>
        <v>4</v>
      </c>
      <c r="R560" t="str">
        <f>VLOOKUP(Table3[[#This Row],[Census Tract]],'ES Energy Burden'!$B$2:$E$914,4,FALSE)</f>
        <v>No</v>
      </c>
    </row>
    <row r="561" spans="1:18" x14ac:dyDescent="0.2">
      <c r="A561" s="100">
        <v>9001043800</v>
      </c>
      <c r="B561" s="38" t="s">
        <v>2818</v>
      </c>
      <c r="C561" s="38" t="s">
        <v>944</v>
      </c>
      <c r="D561" s="40">
        <f>[1]!Table3[[#This Row],[Residential CLM $ Collected]]+[1]!Table3[[#This Row],[C&amp;I CLM $ Collected]]</f>
        <v>111989.26689984</v>
      </c>
      <c r="E561" s="36">
        <f>[1]!Table3[[#This Row],[CLM $ Collected ]]/'[1]1.) CLM Reference'!$B$4</f>
        <v>9.9352863647556846E-4</v>
      </c>
      <c r="F561" s="40">
        <f>[1]!Table3[[#This Row],[Residential Incentive Disbursements]]+[1]!Table3[[#This Row],[C&amp;I Incentive Disbursements]]</f>
        <v>20916.12</v>
      </c>
      <c r="G561" s="36">
        <f>[1]!Table3[[#This Row],[Incentive Disbursements]]/'[1]1.) CLM Reference'!$B$5</f>
        <v>2.559014511536232E-4</v>
      </c>
      <c r="H561" s="40">
        <v>111989.26689984</v>
      </c>
      <c r="I561" s="36">
        <f>[1]!Table3[[#This Row],[Residential CLM $ Collected]]/'[1]1.) CLM Reference'!$B$4</f>
        <v>9.9352863647556846E-4</v>
      </c>
      <c r="J561" s="41">
        <v>20916.12</v>
      </c>
      <c r="K561" s="36">
        <f>[1]!Table3[[#This Row],[Residential Incentive Disbursements]]/'[1]1.) CLM Reference'!$B$5</f>
        <v>2.559014511536232E-4</v>
      </c>
      <c r="L561" s="37">
        <v>0</v>
      </c>
      <c r="M561" s="36">
        <f>[1]!Table3[[#This Row],[C&amp;I CLM $ Collected]]/'[1]1.) CLM Reference'!$B$4</f>
        <v>0</v>
      </c>
      <c r="N561" s="41">
        <v>0</v>
      </c>
      <c r="O561" s="36">
        <f>[1]!Table3[[#This Row],[C&amp;I Incentive Disbursements]]/'[1]1.) CLM Reference'!$B$5</f>
        <v>0</v>
      </c>
      <c r="Q561">
        <f>VLOOKUP(Table3[[#This Row],[Census Tract]],'Population and Diversity Data'!$B$2:$K$823,10,FALSE)</f>
        <v>4</v>
      </c>
      <c r="R561" t="str">
        <f>VLOOKUP(Table3[[#This Row],[Census Tract]],'ES Energy Burden'!$B$2:$E$914,4,FALSE)</f>
        <v>No</v>
      </c>
    </row>
    <row r="562" spans="1:18" x14ac:dyDescent="0.2">
      <c r="A562" s="100">
        <v>9001043900</v>
      </c>
      <c r="B562" s="38" t="s">
        <v>2818</v>
      </c>
      <c r="C562" s="38" t="s">
        <v>944</v>
      </c>
      <c r="D562" s="40">
        <f>[1]!Table3[[#This Row],[Residential CLM $ Collected]]+[1]!Table3[[#This Row],[C&amp;I CLM $ Collected]]</f>
        <v>84960.330451200018</v>
      </c>
      <c r="E562" s="36">
        <f>[1]!Table3[[#This Row],[CLM $ Collected ]]/'[1]1.) CLM Reference'!$B$4</f>
        <v>7.5373760007902205E-4</v>
      </c>
      <c r="F562" s="40">
        <f>[1]!Table3[[#This Row],[Residential Incentive Disbursements]]+[1]!Table3[[#This Row],[C&amp;I Incentive Disbursements]]</f>
        <v>29575.041700000002</v>
      </c>
      <c r="G562" s="36">
        <f>[1]!Table3[[#This Row],[Incentive Disbursements]]/'[1]1.) CLM Reference'!$B$5</f>
        <v>3.6184034557838263E-4</v>
      </c>
      <c r="H562" s="40">
        <v>84960.330451200018</v>
      </c>
      <c r="I562" s="36">
        <f>[1]!Table3[[#This Row],[Residential CLM $ Collected]]/'[1]1.) CLM Reference'!$B$4</f>
        <v>7.5373760007902205E-4</v>
      </c>
      <c r="J562" s="41">
        <v>29575.041700000002</v>
      </c>
      <c r="K562" s="36">
        <f>[1]!Table3[[#This Row],[Residential Incentive Disbursements]]/'[1]1.) CLM Reference'!$B$5</f>
        <v>3.6184034557838263E-4</v>
      </c>
      <c r="L562" s="37">
        <v>0</v>
      </c>
      <c r="M562" s="36">
        <f>[1]!Table3[[#This Row],[C&amp;I CLM $ Collected]]/'[1]1.) CLM Reference'!$B$4</f>
        <v>0</v>
      </c>
      <c r="N562" s="41">
        <v>0</v>
      </c>
      <c r="O562" s="36">
        <f>[1]!Table3[[#This Row],[C&amp;I Incentive Disbursements]]/'[1]1.) CLM Reference'!$B$5</f>
        <v>0</v>
      </c>
      <c r="Q562">
        <f>VLOOKUP(Table3[[#This Row],[Census Tract]],'Population and Diversity Data'!$B$2:$K$823,10,FALSE)</f>
        <v>5</v>
      </c>
      <c r="R562" t="str">
        <f>VLOOKUP(Table3[[#This Row],[Census Tract]],'ES Energy Burden'!$B$2:$E$914,4,FALSE)</f>
        <v>No</v>
      </c>
    </row>
    <row r="563" spans="1:18" x14ac:dyDescent="0.2">
      <c r="A563" s="100">
        <v>9001044000</v>
      </c>
      <c r="B563" s="38" t="s">
        <v>2818</v>
      </c>
      <c r="C563" s="38" t="s">
        <v>944</v>
      </c>
      <c r="D563" s="40">
        <f>[1]!Table3[[#This Row],[Residential CLM $ Collected]]+[1]!Table3[[#This Row],[C&amp;I CLM $ Collected]]</f>
        <v>9493.4351807999992</v>
      </c>
      <c r="E563" s="36">
        <f>[1]!Table3[[#This Row],[CLM $ Collected ]]/'[1]1.) CLM Reference'!$B$4</f>
        <v>8.4222354264405769E-5</v>
      </c>
      <c r="F563" s="40">
        <f>[1]!Table3[[#This Row],[Residential Incentive Disbursements]]+[1]!Table3[[#This Row],[C&amp;I Incentive Disbursements]]</f>
        <v>1151.32</v>
      </c>
      <c r="G563" s="36">
        <f>[1]!Table3[[#This Row],[Incentive Disbursements]]/'[1]1.) CLM Reference'!$B$5</f>
        <v>1.4085999637704769E-5</v>
      </c>
      <c r="H563" s="40">
        <v>9493.4351807999992</v>
      </c>
      <c r="I563" s="36">
        <f>[1]!Table3[[#This Row],[Residential CLM $ Collected]]/'[1]1.) CLM Reference'!$B$4</f>
        <v>8.4222354264405769E-5</v>
      </c>
      <c r="J563" s="41">
        <v>1151.32</v>
      </c>
      <c r="K563" s="36">
        <f>[1]!Table3[[#This Row],[Residential Incentive Disbursements]]/'[1]1.) CLM Reference'!$B$5</f>
        <v>1.4085999637704769E-5</v>
      </c>
      <c r="L563" s="37">
        <v>0</v>
      </c>
      <c r="M563" s="36">
        <f>[1]!Table3[[#This Row],[C&amp;I CLM $ Collected]]/'[1]1.) CLM Reference'!$B$4</f>
        <v>0</v>
      </c>
      <c r="N563" s="41">
        <v>0</v>
      </c>
      <c r="O563" s="36">
        <f>[1]!Table3[[#This Row],[C&amp;I Incentive Disbursements]]/'[1]1.) CLM Reference'!$B$5</f>
        <v>0</v>
      </c>
      <c r="Q563">
        <f>VLOOKUP(Table3[[#This Row],[Census Tract]],'Population and Diversity Data'!$B$2:$K$823,10,FALSE)</f>
        <v>4</v>
      </c>
      <c r="R563" t="str">
        <f>VLOOKUP(Table3[[#This Row],[Census Tract]],'ES Energy Burden'!$B$2:$E$914,4,FALSE)</f>
        <v>No</v>
      </c>
    </row>
    <row r="564" spans="1:18" x14ac:dyDescent="0.2">
      <c r="A564" s="100">
        <v>9001044200</v>
      </c>
      <c r="B564" s="38" t="s">
        <v>2818</v>
      </c>
      <c r="C564" s="38" t="s">
        <v>944</v>
      </c>
      <c r="D564" s="40">
        <f>[1]!Table3[[#This Row],[Residential CLM $ Collected]]+[1]!Table3[[#This Row],[C&amp;I CLM $ Collected]]</f>
        <v>1613.0028096000001</v>
      </c>
      <c r="E564" s="36">
        <f>[1]!Table3[[#This Row],[CLM $ Collected ]]/'[1]1.) CLM Reference'!$B$4</f>
        <v>1.4309982790461847E-5</v>
      </c>
      <c r="F564" s="40">
        <f>[1]!Table3[[#This Row],[Residential Incentive Disbursements]]+[1]!Table3[[#This Row],[C&amp;I Incentive Disbursements]]</f>
        <v>0</v>
      </c>
      <c r="G564" s="36">
        <f>[1]!Table3[[#This Row],[Incentive Disbursements]]/'[1]1.) CLM Reference'!$B$5</f>
        <v>0</v>
      </c>
      <c r="H564" s="40">
        <v>1613.0028096000001</v>
      </c>
      <c r="I564" s="36">
        <f>[1]!Table3[[#This Row],[Residential CLM $ Collected]]/'[1]1.) CLM Reference'!$B$4</f>
        <v>1.4309982790461847E-5</v>
      </c>
      <c r="J564" s="41">
        <v>0</v>
      </c>
      <c r="K564" s="36">
        <f>[1]!Table3[[#This Row],[Residential Incentive Disbursements]]/'[1]1.) CLM Reference'!$B$5</f>
        <v>0</v>
      </c>
      <c r="L564" s="37">
        <v>0</v>
      </c>
      <c r="M564" s="36">
        <f>[1]!Table3[[#This Row],[C&amp;I CLM $ Collected]]/'[1]1.) CLM Reference'!$B$4</f>
        <v>0</v>
      </c>
      <c r="N564" s="41">
        <v>0</v>
      </c>
      <c r="O564" s="36">
        <f>[1]!Table3[[#This Row],[C&amp;I Incentive Disbursements]]/'[1]1.) CLM Reference'!$B$5</f>
        <v>0</v>
      </c>
      <c r="Q564">
        <f>VLOOKUP(Table3[[#This Row],[Census Tract]],'Population and Diversity Data'!$B$2:$K$823,10,FALSE)</f>
        <v>4</v>
      </c>
      <c r="R564" t="str">
        <f>VLOOKUP(Table3[[#This Row],[Census Tract]],'ES Energy Burden'!$B$2:$E$914,4,FALSE)</f>
        <v>No</v>
      </c>
    </row>
    <row r="565" spans="1:18" x14ac:dyDescent="0.2">
      <c r="A565" s="100">
        <v>9001044300</v>
      </c>
      <c r="B565" s="38" t="s">
        <v>2818</v>
      </c>
      <c r="C565" s="38" t="s">
        <v>944</v>
      </c>
      <c r="D565" s="40">
        <f>[1]!Table3[[#This Row],[Residential CLM $ Collected]]+[1]!Table3[[#This Row],[C&amp;I CLM $ Collected]]</f>
        <v>5216.0098175999992</v>
      </c>
      <c r="E565" s="36">
        <f>[1]!Table3[[#This Row],[CLM $ Collected ]]/'[1]1.) CLM Reference'!$B$4</f>
        <v>4.6274569567083301E-5</v>
      </c>
      <c r="F565" s="40">
        <f>[1]!Table3[[#This Row],[Residential Incentive Disbursements]]+[1]!Table3[[#This Row],[C&amp;I Incentive Disbursements]]</f>
        <v>0</v>
      </c>
      <c r="G565" s="36">
        <f>[1]!Table3[[#This Row],[Incentive Disbursements]]/'[1]1.) CLM Reference'!$B$5</f>
        <v>0</v>
      </c>
      <c r="H565" s="40">
        <v>5216.0098175999992</v>
      </c>
      <c r="I565" s="36">
        <f>[1]!Table3[[#This Row],[Residential CLM $ Collected]]/'[1]1.) CLM Reference'!$B$4</f>
        <v>4.6274569567083301E-5</v>
      </c>
      <c r="J565" s="41">
        <v>0</v>
      </c>
      <c r="K565" s="36">
        <f>[1]!Table3[[#This Row],[Residential Incentive Disbursements]]/'[1]1.) CLM Reference'!$B$5</f>
        <v>0</v>
      </c>
      <c r="L565" s="37">
        <v>0</v>
      </c>
      <c r="M565" s="36">
        <f>[1]!Table3[[#This Row],[C&amp;I CLM $ Collected]]/'[1]1.) CLM Reference'!$B$4</f>
        <v>0</v>
      </c>
      <c r="N565" s="41">
        <v>0</v>
      </c>
      <c r="O565" s="36">
        <f>[1]!Table3[[#This Row],[C&amp;I Incentive Disbursements]]/'[1]1.) CLM Reference'!$B$5</f>
        <v>0</v>
      </c>
      <c r="Q565">
        <f>VLOOKUP(Table3[[#This Row],[Census Tract]],'Population and Diversity Data'!$B$2:$K$823,10,FALSE)</f>
        <v>3</v>
      </c>
      <c r="R565" t="str">
        <f>VLOOKUP(Table3[[#This Row],[Census Tract]],'ES Energy Burden'!$B$2:$E$914,4,FALSE)</f>
        <v>No</v>
      </c>
    </row>
    <row r="566" spans="1:18" x14ac:dyDescent="0.2">
      <c r="A566" s="100">
        <v>9001044400</v>
      </c>
      <c r="B566" s="38" t="s">
        <v>2818</v>
      </c>
      <c r="C566" s="38" t="s">
        <v>944</v>
      </c>
      <c r="D566" s="40">
        <f>[1]!Table3[[#This Row],[Residential CLM $ Collected]]+[1]!Table3[[#This Row],[C&amp;I CLM $ Collected]]</f>
        <v>12491.628364799999</v>
      </c>
      <c r="E566" s="36">
        <f>[1]!Table3[[#This Row],[CLM $ Collected ]]/'[1]1.) CLM Reference'!$B$4</f>
        <v>1.1082124957331075E-4</v>
      </c>
      <c r="F566" s="40">
        <f>[1]!Table3[[#This Row],[Residential Incentive Disbursements]]+[1]!Table3[[#This Row],[C&amp;I Incentive Disbursements]]</f>
        <v>297.27</v>
      </c>
      <c r="G566" s="36">
        <f>[1]!Table3[[#This Row],[Incentive Disbursements]]/'[1]1.) CLM Reference'!$B$5</f>
        <v>3.6369950251020541E-6</v>
      </c>
      <c r="H566" s="40">
        <v>12491.628364799999</v>
      </c>
      <c r="I566" s="36">
        <f>[1]!Table3[[#This Row],[Residential CLM $ Collected]]/'[1]1.) CLM Reference'!$B$4</f>
        <v>1.1082124957331075E-4</v>
      </c>
      <c r="J566" s="41">
        <v>297.27</v>
      </c>
      <c r="K566" s="36">
        <f>[1]!Table3[[#This Row],[Residential Incentive Disbursements]]/'[1]1.) CLM Reference'!$B$5</f>
        <v>3.6369950251020541E-6</v>
      </c>
      <c r="L566" s="37">
        <v>0</v>
      </c>
      <c r="M566" s="36">
        <f>[1]!Table3[[#This Row],[C&amp;I CLM $ Collected]]/'[1]1.) CLM Reference'!$B$4</f>
        <v>0</v>
      </c>
      <c r="N566" s="41">
        <v>0</v>
      </c>
      <c r="O566" s="36">
        <f>[1]!Table3[[#This Row],[C&amp;I Incentive Disbursements]]/'[1]1.) CLM Reference'!$B$5</f>
        <v>0</v>
      </c>
      <c r="Q566">
        <f>VLOOKUP(Table3[[#This Row],[Census Tract]],'Population and Diversity Data'!$B$2:$K$823,10,FALSE)</f>
        <v>2</v>
      </c>
      <c r="R566" t="str">
        <f>VLOOKUP(Table3[[#This Row],[Census Tract]],'ES Energy Burden'!$B$2:$E$914,4,FALSE)</f>
        <v>No</v>
      </c>
    </row>
    <row r="567" spans="1:18" x14ac:dyDescent="0.2">
      <c r="A567" s="100">
        <v>9001044500</v>
      </c>
      <c r="B567" s="38" t="s">
        <v>2818</v>
      </c>
      <c r="C567" s="38" t="s">
        <v>944</v>
      </c>
      <c r="D567" s="40">
        <f>[1]!Table3[[#This Row],[Residential CLM $ Collected]]+[1]!Table3[[#This Row],[C&amp;I CLM $ Collected]]</f>
        <v>22822.7260608</v>
      </c>
      <c r="E567" s="36">
        <f>[1]!Table3[[#This Row],[CLM $ Collected ]]/'[1]1.) CLM Reference'!$B$4</f>
        <v>2.0247504543557683E-4</v>
      </c>
      <c r="F567" s="40">
        <f>[1]!Table3[[#This Row],[Residential Incentive Disbursements]]+[1]!Table3[[#This Row],[C&amp;I Incentive Disbursements]]</f>
        <v>1502.88</v>
      </c>
      <c r="G567" s="36">
        <f>[1]!Table3[[#This Row],[Incentive Disbursements]]/'[1]1.) CLM Reference'!$B$5</f>
        <v>1.8387213924463873E-5</v>
      </c>
      <c r="H567" s="40">
        <v>22822.7260608</v>
      </c>
      <c r="I567" s="36">
        <f>[1]!Table3[[#This Row],[Residential CLM $ Collected]]/'[1]1.) CLM Reference'!$B$4</f>
        <v>2.0247504543557683E-4</v>
      </c>
      <c r="J567" s="41">
        <v>1502.88</v>
      </c>
      <c r="K567" s="36">
        <f>[1]!Table3[[#This Row],[Residential Incentive Disbursements]]/'[1]1.) CLM Reference'!$B$5</f>
        <v>1.8387213924463873E-5</v>
      </c>
      <c r="L567" s="37">
        <v>0</v>
      </c>
      <c r="M567" s="36">
        <f>[1]!Table3[[#This Row],[C&amp;I CLM $ Collected]]/'[1]1.) CLM Reference'!$B$4</f>
        <v>0</v>
      </c>
      <c r="N567" s="41">
        <v>0</v>
      </c>
      <c r="O567" s="36">
        <f>[1]!Table3[[#This Row],[C&amp;I Incentive Disbursements]]/'[1]1.) CLM Reference'!$B$5</f>
        <v>0</v>
      </c>
      <c r="Q567">
        <f>VLOOKUP(Table3[[#This Row],[Census Tract]],'Population and Diversity Data'!$B$2:$K$823,10,FALSE)</f>
        <v>3</v>
      </c>
      <c r="R567" t="str">
        <f>VLOOKUP(Table3[[#This Row],[Census Tract]],'ES Energy Burden'!$B$2:$E$914,4,FALSE)</f>
        <v>No</v>
      </c>
    </row>
    <row r="568" spans="1:18" x14ac:dyDescent="0.2">
      <c r="A568" s="100">
        <v>9001044600</v>
      </c>
      <c r="B568" s="38" t="s">
        <v>2818</v>
      </c>
      <c r="C568" s="38" t="s">
        <v>944</v>
      </c>
      <c r="D568" s="40">
        <f>[1]!Table3[[#This Row],[Residential CLM $ Collected]]+[1]!Table3[[#This Row],[C&amp;I CLM $ Collected]]</f>
        <v>641725.94221919996</v>
      </c>
      <c r="E568" s="36">
        <f>[1]!Table3[[#This Row],[CLM $ Collected ]]/'[1]1.) CLM Reference'!$B$4</f>
        <v>5.6931625504278759E-3</v>
      </c>
      <c r="F568" s="40">
        <f>[1]!Table3[[#This Row],[Residential Incentive Disbursements]]+[1]!Table3[[#This Row],[C&amp;I Incentive Disbursements]]</f>
        <v>1222150.5935999991</v>
      </c>
      <c r="G568" s="36">
        <f>[1]!Table3[[#This Row],[Incentive Disbursements]]/'[1]1.) CLM Reference'!$B$5</f>
        <v>1.4952587307325727E-2</v>
      </c>
      <c r="H568" s="40">
        <v>156777.56966879999</v>
      </c>
      <c r="I568" s="36">
        <f>[1]!Table3[[#This Row],[Residential CLM $ Collected]]/'[1]1.) CLM Reference'!$B$4</f>
        <v>1.3908744055116126E-3</v>
      </c>
      <c r="J568" s="41">
        <v>950399.07779999904</v>
      </c>
      <c r="K568" s="36">
        <f>[1]!Table3[[#This Row],[Residential Incentive Disbursements]]/'[1]1.) CLM Reference'!$B$5</f>
        <v>1.1627802058129568E-2</v>
      </c>
      <c r="L568" s="37">
        <v>484948.37255039997</v>
      </c>
      <c r="M568" s="36">
        <f>[1]!Table3[[#This Row],[C&amp;I CLM $ Collected]]/'[1]1.) CLM Reference'!$B$4</f>
        <v>4.3022881449162626E-3</v>
      </c>
      <c r="N568" s="41">
        <v>271751.51579999999</v>
      </c>
      <c r="O568" s="36">
        <f>[1]!Table3[[#This Row],[C&amp;I Incentive Disbursements]]/'[1]1.) CLM Reference'!$B$5</f>
        <v>3.3247852491961592E-3</v>
      </c>
      <c r="Q568">
        <f>VLOOKUP(Table3[[#This Row],[Census Tract]],'Population and Diversity Data'!$B$2:$K$823,10,FALSE)</f>
        <v>1</v>
      </c>
      <c r="R568" t="str">
        <f>VLOOKUP(Table3[[#This Row],[Census Tract]],'ES Energy Burden'!$B$2:$E$914,4,FALSE)</f>
        <v>No</v>
      </c>
    </row>
    <row r="569" spans="1:18" x14ac:dyDescent="0.2">
      <c r="A569" s="100">
        <v>9001045300</v>
      </c>
      <c r="B569" s="38" t="s">
        <v>2818</v>
      </c>
      <c r="C569" s="38" t="s">
        <v>944</v>
      </c>
      <c r="D569" s="40">
        <f>[1]!Table3[[#This Row],[Residential CLM $ Collected]]+[1]!Table3[[#This Row],[C&amp;I CLM $ Collected]]</f>
        <v>471.47460479999995</v>
      </c>
      <c r="E569" s="36">
        <f>[1]!Table3[[#This Row],[CLM $ Collected ]]/'[1]1.) CLM Reference'!$B$4</f>
        <v>4.1827537067346465E-6</v>
      </c>
      <c r="F569" s="40">
        <f>[1]!Table3[[#This Row],[Residential Incentive Disbursements]]+[1]!Table3[[#This Row],[C&amp;I Incentive Disbursements]]</f>
        <v>0</v>
      </c>
      <c r="G569" s="36">
        <f>[1]!Table3[[#This Row],[Incentive Disbursements]]/'[1]1.) CLM Reference'!$B$5</f>
        <v>0</v>
      </c>
      <c r="H569" s="40">
        <v>471.47460479999995</v>
      </c>
      <c r="I569" s="36">
        <f>[1]!Table3[[#This Row],[Residential CLM $ Collected]]/'[1]1.) CLM Reference'!$B$4</f>
        <v>4.1827537067346465E-6</v>
      </c>
      <c r="J569" s="41">
        <v>0</v>
      </c>
      <c r="K569" s="36">
        <f>[1]!Table3[[#This Row],[Residential Incentive Disbursements]]/'[1]1.) CLM Reference'!$B$5</f>
        <v>0</v>
      </c>
      <c r="L569" s="37">
        <v>0</v>
      </c>
      <c r="M569" s="36">
        <f>[1]!Table3[[#This Row],[C&amp;I CLM $ Collected]]/'[1]1.) CLM Reference'!$B$4</f>
        <v>0</v>
      </c>
      <c r="N569" s="41">
        <v>0</v>
      </c>
      <c r="O569" s="36">
        <f>[1]!Table3[[#This Row],[C&amp;I Incentive Disbursements]]/'[1]1.) CLM Reference'!$B$5</f>
        <v>0</v>
      </c>
      <c r="Q569">
        <f>VLOOKUP(Table3[[#This Row],[Census Tract]],'Population and Diversity Data'!$B$2:$K$823,10,FALSE)</f>
        <v>4</v>
      </c>
      <c r="R569" t="str">
        <f>VLOOKUP(Table3[[#This Row],[Census Tract]],'ES Energy Burden'!$B$2:$E$914,4,FALSE)</f>
        <v>No</v>
      </c>
    </row>
    <row r="570" spans="1:18" x14ac:dyDescent="0.2">
      <c r="A570" s="100">
        <v>9001045400</v>
      </c>
      <c r="B570" s="38" t="s">
        <v>2818</v>
      </c>
      <c r="C570" s="38" t="s">
        <v>944</v>
      </c>
      <c r="D570" s="40">
        <f>[1]!Table3[[#This Row],[Residential CLM $ Collected]]+[1]!Table3[[#This Row],[C&amp;I CLM $ Collected]]</f>
        <v>3578.4509184000003</v>
      </c>
      <c r="E570" s="36">
        <f>[1]!Table3[[#This Row],[CLM $ Collected ]]/'[1]1.) CLM Reference'!$B$4</f>
        <v>3.1746733951142399E-5</v>
      </c>
      <c r="F570" s="40">
        <f>[1]!Table3[[#This Row],[Residential Incentive Disbursements]]+[1]!Table3[[#This Row],[C&amp;I Incentive Disbursements]]</f>
        <v>0</v>
      </c>
      <c r="G570" s="36">
        <f>[1]!Table3[[#This Row],[Incentive Disbursements]]/'[1]1.) CLM Reference'!$B$5</f>
        <v>0</v>
      </c>
      <c r="H570" s="40">
        <v>3578.4509184000003</v>
      </c>
      <c r="I570" s="36">
        <f>[1]!Table3[[#This Row],[Residential CLM $ Collected]]/'[1]1.) CLM Reference'!$B$4</f>
        <v>3.1746733951142399E-5</v>
      </c>
      <c r="J570" s="41">
        <v>0</v>
      </c>
      <c r="K570" s="36">
        <f>[1]!Table3[[#This Row],[Residential Incentive Disbursements]]/'[1]1.) CLM Reference'!$B$5</f>
        <v>0</v>
      </c>
      <c r="L570" s="37">
        <v>0</v>
      </c>
      <c r="M570" s="36">
        <f>[1]!Table3[[#This Row],[C&amp;I CLM $ Collected]]/'[1]1.) CLM Reference'!$B$4</f>
        <v>0</v>
      </c>
      <c r="N570" s="41">
        <v>0</v>
      </c>
      <c r="O570" s="36">
        <f>[1]!Table3[[#This Row],[C&amp;I Incentive Disbursements]]/'[1]1.) CLM Reference'!$B$5</f>
        <v>0</v>
      </c>
      <c r="Q570">
        <f>VLOOKUP(Table3[[#This Row],[Census Tract]],'Population and Diversity Data'!$B$2:$K$823,10,FALSE)</f>
        <v>4</v>
      </c>
      <c r="R570" t="str">
        <f>VLOOKUP(Table3[[#This Row],[Census Tract]],'ES Energy Burden'!$B$2:$E$914,4,FALSE)</f>
        <v>No</v>
      </c>
    </row>
    <row r="571" spans="1:18" x14ac:dyDescent="0.2">
      <c r="A571" s="100">
        <v>9001050400</v>
      </c>
      <c r="B571" s="38" t="s">
        <v>2818</v>
      </c>
      <c r="C571" s="38" t="s">
        <v>944</v>
      </c>
      <c r="D571" s="40">
        <f>[1]!Table3[[#This Row],[Residential CLM $ Collected]]+[1]!Table3[[#This Row],[C&amp;I CLM $ Collected]]</f>
        <v>42.460847999999999</v>
      </c>
      <c r="E571" s="36">
        <f>[1]!Table3[[#This Row],[CLM $ Collected ]]/'[1]1.) CLM Reference'!$B$4</f>
        <v>3.7669742453771378E-7</v>
      </c>
      <c r="F571" s="40">
        <f>[1]!Table3[[#This Row],[Residential Incentive Disbursements]]+[1]!Table3[[#This Row],[C&amp;I Incentive Disbursements]]</f>
        <v>0</v>
      </c>
      <c r="G571" s="36">
        <f>[1]!Table3[[#This Row],[Incentive Disbursements]]/'[1]1.) CLM Reference'!$B$5</f>
        <v>0</v>
      </c>
      <c r="H571" s="40">
        <v>42.460847999999999</v>
      </c>
      <c r="I571" s="36">
        <f>[1]!Table3[[#This Row],[Residential CLM $ Collected]]/'[1]1.) CLM Reference'!$B$4</f>
        <v>3.7669742453771378E-7</v>
      </c>
      <c r="J571" s="41">
        <v>0</v>
      </c>
      <c r="K571" s="36">
        <f>[1]!Table3[[#This Row],[Residential Incentive Disbursements]]/'[1]1.) CLM Reference'!$B$5</f>
        <v>0</v>
      </c>
      <c r="L571" s="37">
        <v>0</v>
      </c>
      <c r="M571" s="36">
        <f>[1]!Table3[[#This Row],[C&amp;I CLM $ Collected]]/'[1]1.) CLM Reference'!$B$4</f>
        <v>0</v>
      </c>
      <c r="N571" s="41">
        <v>0</v>
      </c>
      <c r="O571" s="36">
        <f>[1]!Table3[[#This Row],[C&amp;I Incentive Disbursements]]/'[1]1.) CLM Reference'!$B$5</f>
        <v>0</v>
      </c>
      <c r="Q571">
        <f>VLOOKUP(Table3[[#This Row],[Census Tract]],'Population and Diversity Data'!$B$2:$K$823,10,FALSE)</f>
        <v>3</v>
      </c>
      <c r="R571" t="str">
        <f>VLOOKUP(Table3[[#This Row],[Census Tract]],'ES Energy Burden'!$B$2:$E$914,4,FALSE)</f>
        <v>No</v>
      </c>
    </row>
    <row r="572" spans="1:18" x14ac:dyDescent="0.2">
      <c r="A572" s="100">
        <v>9011650100</v>
      </c>
      <c r="B572" s="38" t="s">
        <v>2819</v>
      </c>
      <c r="C572" s="38" t="s">
        <v>944</v>
      </c>
      <c r="D572" s="40">
        <f>[1]!Table3[[#This Row],[Residential CLM $ Collected]]+[1]!Table3[[#This Row],[C&amp;I CLM $ Collected]]</f>
        <v>4295.9437343999998</v>
      </c>
      <c r="E572" s="36">
        <f>[1]!Table3[[#This Row],[CLM $ Collected ]]/'[1]1.) CLM Reference'!$B$4</f>
        <v>3.8112073049210138E-5</v>
      </c>
      <c r="F572" s="40">
        <f>[1]!Table3[[#This Row],[Residential Incentive Disbursements]]+[1]!Table3[[#This Row],[C&amp;I Incentive Disbursements]]</f>
        <v>4218.2299999999996</v>
      </c>
      <c r="G572" s="36">
        <f>[1]!Table3[[#This Row],[Incentive Disbursements]]/'[1]1.) CLM Reference'!$B$5</f>
        <v>5.1608576461587901E-5</v>
      </c>
      <c r="H572" s="40">
        <v>4295.9437343999998</v>
      </c>
      <c r="I572" s="36">
        <f>[1]!Table3[[#This Row],[Residential CLM $ Collected]]/'[1]1.) CLM Reference'!$B$4</f>
        <v>3.8112073049210138E-5</v>
      </c>
      <c r="J572" s="41">
        <v>4218.2299999999996</v>
      </c>
      <c r="K572" s="36">
        <f>[1]!Table3[[#This Row],[Residential Incentive Disbursements]]/'[1]1.) CLM Reference'!$B$5</f>
        <v>5.1608576461587901E-5</v>
      </c>
      <c r="L572" s="37">
        <v>0</v>
      </c>
      <c r="M572" s="36">
        <f>[1]!Table3[[#This Row],[C&amp;I CLM $ Collected]]/'[1]1.) CLM Reference'!$B$4</f>
        <v>0</v>
      </c>
      <c r="N572" s="41">
        <v>0</v>
      </c>
      <c r="O572" s="36">
        <f>[1]!Table3[[#This Row],[C&amp;I Incentive Disbursements]]/'[1]1.) CLM Reference'!$B$5</f>
        <v>0</v>
      </c>
      <c r="Q572">
        <f>VLOOKUP(Table3[[#This Row],[Census Tract]],'Population and Diversity Data'!$B$2:$K$823,10,FALSE)</f>
        <v>1</v>
      </c>
      <c r="R572" t="str">
        <f>VLOOKUP(Table3[[#This Row],[Census Tract]],'ES Energy Burden'!$B$2:$E$914,4,FALSE)</f>
        <v>No</v>
      </c>
    </row>
    <row r="573" spans="1:18" x14ac:dyDescent="0.2">
      <c r="A573" s="100">
        <v>9011660101</v>
      </c>
      <c r="B573" s="38" t="s">
        <v>2819</v>
      </c>
      <c r="C573" s="38" t="s">
        <v>944</v>
      </c>
      <c r="D573" s="40">
        <f>[1]!Table3[[#This Row],[Residential CLM $ Collected]]+[1]!Table3[[#This Row],[C&amp;I CLM $ Collected]]</f>
        <v>111903.93362015999</v>
      </c>
      <c r="E573" s="36">
        <f>[1]!Table3[[#This Row],[CLM $ Collected ]]/'[1]1.) CLM Reference'!$B$4</f>
        <v>9.9277159020360489E-4</v>
      </c>
      <c r="F573" s="40">
        <f>[1]!Table3[[#This Row],[Residential Incentive Disbursements]]+[1]!Table3[[#This Row],[C&amp;I Incentive Disbursements]]</f>
        <v>24522.071</v>
      </c>
      <c r="G573" s="36">
        <f>[1]!Table3[[#This Row],[Incentive Disbursements]]/'[1]1.) CLM Reference'!$B$5</f>
        <v>3.0001900707168352E-4</v>
      </c>
      <c r="H573" s="40">
        <v>111864.65082335999</v>
      </c>
      <c r="I573" s="36">
        <f>[1]!Table3[[#This Row],[Residential CLM $ Collected]]/'[1]1.) CLM Reference'!$B$4</f>
        <v>9.924230873102288E-4</v>
      </c>
      <c r="J573" s="41">
        <v>24522.071</v>
      </c>
      <c r="K573" s="36">
        <f>[1]!Table3[[#This Row],[Residential Incentive Disbursements]]/'[1]1.) CLM Reference'!$B$5</f>
        <v>3.0001900707168352E-4</v>
      </c>
      <c r="L573" s="37">
        <v>39.2827968</v>
      </c>
      <c r="M573" s="36">
        <f>[1]!Table3[[#This Row],[C&amp;I CLM $ Collected]]/'[1]1.) CLM Reference'!$B$4</f>
        <v>3.4850289337599532E-7</v>
      </c>
      <c r="N573" s="41">
        <v>0</v>
      </c>
      <c r="O573" s="36">
        <f>[1]!Table3[[#This Row],[C&amp;I Incentive Disbursements]]/'[1]1.) CLM Reference'!$B$5</f>
        <v>0</v>
      </c>
      <c r="Q573">
        <f>VLOOKUP(Table3[[#This Row],[Census Tract]],'Population and Diversity Data'!$B$2:$K$823,10,FALSE)</f>
        <v>2</v>
      </c>
      <c r="R573" t="str">
        <f>VLOOKUP(Table3[[#This Row],[Census Tract]],'ES Energy Burden'!$B$2:$E$914,4,FALSE)</f>
        <v>No</v>
      </c>
    </row>
    <row r="574" spans="1:18" x14ac:dyDescent="0.2">
      <c r="A574" s="100">
        <v>9011660102</v>
      </c>
      <c r="B574" s="38" t="s">
        <v>2819</v>
      </c>
      <c r="C574" s="38" t="s">
        <v>944</v>
      </c>
      <c r="D574" s="40">
        <f>[1]!Table3[[#This Row],[Residential CLM $ Collected]]+[1]!Table3[[#This Row],[C&amp;I CLM $ Collected]]</f>
        <v>168222.66808896</v>
      </c>
      <c r="E574" s="36">
        <f>[1]!Table3[[#This Row],[CLM $ Collected ]]/'[1]1.) CLM Reference'!$B$4</f>
        <v>1.4924112165158332E-3</v>
      </c>
      <c r="F574" s="40">
        <f>[1]!Table3[[#This Row],[Residential Incentive Disbursements]]+[1]!Table3[[#This Row],[C&amp;I Incentive Disbursements]]</f>
        <v>132131.85570000001</v>
      </c>
      <c r="G574" s="36">
        <f>[1]!Table3[[#This Row],[Incentive Disbursements]]/'[1]1.) CLM Reference'!$B$5</f>
        <v>1.6165872837434069E-3</v>
      </c>
      <c r="H574" s="40">
        <v>118541.5152624</v>
      </c>
      <c r="I574" s="36">
        <f>[1]!Table3[[#This Row],[Residential CLM $ Collected]]/'[1]1.) CLM Reference'!$B$4</f>
        <v>1.0516578354757345E-3</v>
      </c>
      <c r="J574" s="41">
        <v>90947.921300000002</v>
      </c>
      <c r="K574" s="36">
        <f>[1]!Table3[[#This Row],[Residential Incentive Disbursements]]/'[1]1.) CLM Reference'!$B$5</f>
        <v>1.1127161748964683E-3</v>
      </c>
      <c r="L574" s="37">
        <v>49681.152826559999</v>
      </c>
      <c r="M574" s="36">
        <f>[1]!Table3[[#This Row],[C&amp;I CLM $ Collected]]/'[1]1.) CLM Reference'!$B$4</f>
        <v>4.4075338104009867E-4</v>
      </c>
      <c r="N574" s="41">
        <v>41183.934399999998</v>
      </c>
      <c r="O574" s="36">
        <f>[1]!Table3[[#This Row],[C&amp;I Incentive Disbursements]]/'[1]1.) CLM Reference'!$B$5</f>
        <v>5.0387110884693833E-4</v>
      </c>
      <c r="Q574">
        <f>VLOOKUP(Table3[[#This Row],[Census Tract]],'Population and Diversity Data'!$B$2:$K$823,10,FALSE)</f>
        <v>1</v>
      </c>
      <c r="R574" t="str">
        <f>VLOOKUP(Table3[[#This Row],[Census Tract]],'ES Energy Burden'!$B$2:$E$914,4,FALSE)</f>
        <v>No</v>
      </c>
    </row>
    <row r="575" spans="1:18" x14ac:dyDescent="0.2">
      <c r="A575" s="100">
        <v>9007670100</v>
      </c>
      <c r="B575" s="38" t="s">
        <v>2820</v>
      </c>
      <c r="C575" s="38" t="s">
        <v>944</v>
      </c>
      <c r="D575" s="40">
        <f>[1]!Table3[[#This Row],[Residential CLM $ Collected]]+[1]!Table3[[#This Row],[C&amp;I CLM $ Collected]]</f>
        <v>123009.35741279999</v>
      </c>
      <c r="E575" s="36">
        <f>[1]!Table3[[#This Row],[CLM $ Collected ]]/'[1]1.) CLM Reference'!$B$4</f>
        <v>1.0912949296594569E-3</v>
      </c>
      <c r="F575" s="40">
        <f>[1]!Table3[[#This Row],[Residential Incentive Disbursements]]+[1]!Table3[[#This Row],[C&amp;I Incentive Disbursements]]</f>
        <v>22006.809000000001</v>
      </c>
      <c r="G575" s="36">
        <f>[1]!Table3[[#This Row],[Incentive Disbursements]]/'[1]1.) CLM Reference'!$B$5</f>
        <v>2.6924565160080439E-4</v>
      </c>
      <c r="H575" s="40">
        <v>123009.35741279999</v>
      </c>
      <c r="I575" s="36">
        <f>[1]!Table3[[#This Row],[Residential CLM $ Collected]]/'[1]1.) CLM Reference'!$B$4</f>
        <v>1.0912949296594569E-3</v>
      </c>
      <c r="J575" s="41">
        <v>22006.809000000001</v>
      </c>
      <c r="K575" s="36">
        <f>[1]!Table3[[#This Row],[Residential Incentive Disbursements]]/'[1]1.) CLM Reference'!$B$5</f>
        <v>2.6924565160080439E-4</v>
      </c>
      <c r="L575" s="37">
        <v>0</v>
      </c>
      <c r="M575" s="36">
        <f>[1]!Table3[[#This Row],[C&amp;I CLM $ Collected]]/'[1]1.) CLM Reference'!$B$4</f>
        <v>0</v>
      </c>
      <c r="N575" s="41">
        <v>0</v>
      </c>
      <c r="O575" s="36">
        <f>[1]!Table3[[#This Row],[C&amp;I Incentive Disbursements]]/'[1]1.) CLM Reference'!$B$5</f>
        <v>0</v>
      </c>
      <c r="Q575">
        <f>VLOOKUP(Table3[[#This Row],[Census Tract]],'Population and Diversity Data'!$B$2:$K$823,10,FALSE)</f>
        <v>2</v>
      </c>
      <c r="R575" t="str">
        <f>VLOOKUP(Table3[[#This Row],[Census Tract]],'ES Energy Burden'!$B$2:$E$914,4,FALSE)</f>
        <v>No</v>
      </c>
    </row>
    <row r="576" spans="1:18" x14ac:dyDescent="0.2">
      <c r="A576" s="100">
        <v>9007670200</v>
      </c>
      <c r="B576" s="38" t="s">
        <v>2820</v>
      </c>
      <c r="C576" s="38" t="s">
        <v>944</v>
      </c>
      <c r="D576" s="40">
        <f>[1]!Table3[[#This Row],[Residential CLM $ Collected]]+[1]!Table3[[#This Row],[C&amp;I CLM $ Collected]]</f>
        <v>309636.59236703999</v>
      </c>
      <c r="E576" s="36">
        <f>[1]!Table3[[#This Row],[CLM $ Collected ]]/'[1]1.) CLM Reference'!$B$4</f>
        <v>2.7469848667953569E-3</v>
      </c>
      <c r="F576" s="40">
        <f>[1]!Table3[[#This Row],[Residential Incentive Disbursements]]+[1]!Table3[[#This Row],[C&amp;I Incentive Disbursements]]</f>
        <v>207640.47029999999</v>
      </c>
      <c r="G576" s="36">
        <f>[1]!Table3[[#This Row],[Incentive Disbursements]]/'[1]1.) CLM Reference'!$B$5</f>
        <v>2.5404089127424589E-3</v>
      </c>
      <c r="H576" s="40">
        <v>157721.84856576001</v>
      </c>
      <c r="I576" s="36">
        <f>[1]!Table3[[#This Row],[Residential CLM $ Collected]]/'[1]1.) CLM Reference'!$B$4</f>
        <v>1.3992517094347503E-3</v>
      </c>
      <c r="J576" s="41">
        <v>155264.5803</v>
      </c>
      <c r="K576" s="36">
        <f>[1]!Table3[[#This Row],[Residential Incentive Disbursements]]/'[1]1.) CLM Reference'!$B$5</f>
        <v>1.8996081209865052E-3</v>
      </c>
      <c r="L576" s="37">
        <v>151914.74380128001</v>
      </c>
      <c r="M576" s="36">
        <f>[1]!Table3[[#This Row],[C&amp;I CLM $ Collected]]/'[1]1.) CLM Reference'!$B$4</f>
        <v>1.3477331573606066E-3</v>
      </c>
      <c r="N576" s="41">
        <v>52375.89</v>
      </c>
      <c r="O576" s="36">
        <f>[1]!Table3[[#This Row],[C&amp;I Incentive Disbursements]]/'[1]1.) CLM Reference'!$B$5</f>
        <v>6.4080079175595395E-4</v>
      </c>
      <c r="Q576">
        <f>VLOOKUP(Table3[[#This Row],[Census Tract]],'Population and Diversity Data'!$B$2:$K$823,10,FALSE)</f>
        <v>1</v>
      </c>
      <c r="R576" t="str">
        <f>VLOOKUP(Table3[[#This Row],[Census Tract]],'ES Energy Burden'!$B$2:$E$914,4,FALSE)</f>
        <v>No</v>
      </c>
    </row>
    <row r="577" spans="1:18" x14ac:dyDescent="0.2">
      <c r="A577" s="100">
        <v>9009344200</v>
      </c>
      <c r="B577" s="38" t="s">
        <v>2821</v>
      </c>
      <c r="C577" s="38" t="s">
        <v>944</v>
      </c>
      <c r="D577" s="40">
        <f>[1]!Table3[[#This Row],[Residential CLM $ Collected]]+[1]!Table3[[#This Row],[C&amp;I CLM $ Collected]]</f>
        <v>587.51688960000001</v>
      </c>
      <c r="E577" s="36">
        <f>[1]!Table3[[#This Row],[CLM $ Collected ]]/'[1]1.) CLM Reference'!$B$4</f>
        <v>5.2122392653281044E-6</v>
      </c>
      <c r="F577" s="40">
        <f>[1]!Table3[[#This Row],[Residential Incentive Disbursements]]+[1]!Table3[[#This Row],[C&amp;I Incentive Disbursements]]</f>
        <v>0</v>
      </c>
      <c r="G577" s="36">
        <f>[1]!Table3[[#This Row],[Incentive Disbursements]]/'[1]1.) CLM Reference'!$B$5</f>
        <v>0</v>
      </c>
      <c r="H577" s="40">
        <v>587.51688960000001</v>
      </c>
      <c r="I577" s="36">
        <f>[1]!Table3[[#This Row],[Residential CLM $ Collected]]/'[1]1.) CLM Reference'!$B$4</f>
        <v>5.2122392653281044E-6</v>
      </c>
      <c r="J577" s="41">
        <v>0</v>
      </c>
      <c r="K577" s="36">
        <f>[1]!Table3[[#This Row],[Residential Incentive Disbursements]]/'[1]1.) CLM Reference'!$B$5</f>
        <v>0</v>
      </c>
      <c r="L577" s="37">
        <v>0</v>
      </c>
      <c r="M577" s="36">
        <f>[1]!Table3[[#This Row],[C&amp;I CLM $ Collected]]/'[1]1.) CLM Reference'!$B$4</f>
        <v>0</v>
      </c>
      <c r="N577" s="41">
        <v>0</v>
      </c>
      <c r="O577" s="36">
        <f>[1]!Table3[[#This Row],[C&amp;I Incentive Disbursements]]/'[1]1.) CLM Reference'!$B$5</f>
        <v>0</v>
      </c>
      <c r="Q577">
        <f>VLOOKUP(Table3[[#This Row],[Census Tract]],'Population and Diversity Data'!$B$2:$K$823,10,FALSE)</f>
        <v>3</v>
      </c>
      <c r="R577" t="str">
        <f>VLOOKUP(Table3[[#This Row],[Census Tract]],'ES Energy Burden'!$B$2:$E$914,4,FALSE)</f>
        <v>No</v>
      </c>
    </row>
    <row r="578" spans="1:18" x14ac:dyDescent="0.2">
      <c r="A578" s="100">
        <v>9009345300</v>
      </c>
      <c r="B578" s="38" t="s">
        <v>2821</v>
      </c>
      <c r="C578" s="38" t="s">
        <v>944</v>
      </c>
      <c r="D578" s="40">
        <f>[1]!Table3[[#This Row],[Residential CLM $ Collected]]+[1]!Table3[[#This Row],[C&amp;I CLM $ Collected]]</f>
        <v>114.8034816</v>
      </c>
      <c r="E578" s="36">
        <f>[1]!Table3[[#This Row],[CLM $ Collected ]]/'[1]1.) CLM Reference'!$B$4</f>
        <v>1.0184953406178514E-6</v>
      </c>
      <c r="F578" s="40">
        <f>[1]!Table3[[#This Row],[Residential Incentive Disbursements]]+[1]!Table3[[#This Row],[C&amp;I Incentive Disbursements]]</f>
        <v>0</v>
      </c>
      <c r="G578" s="36">
        <f>[1]!Table3[[#This Row],[Incentive Disbursements]]/'[1]1.) CLM Reference'!$B$5</f>
        <v>0</v>
      </c>
      <c r="H578" s="40">
        <v>114.8034816</v>
      </c>
      <c r="I578" s="36">
        <f>[1]!Table3[[#This Row],[Residential CLM $ Collected]]/'[1]1.) CLM Reference'!$B$4</f>
        <v>1.0184953406178514E-6</v>
      </c>
      <c r="J578" s="41">
        <v>0</v>
      </c>
      <c r="K578" s="36">
        <f>[1]!Table3[[#This Row],[Residential Incentive Disbursements]]/'[1]1.) CLM Reference'!$B$5</f>
        <v>0</v>
      </c>
      <c r="L578" s="37">
        <v>0</v>
      </c>
      <c r="M578" s="36">
        <f>[1]!Table3[[#This Row],[C&amp;I CLM $ Collected]]/'[1]1.) CLM Reference'!$B$4</f>
        <v>0</v>
      </c>
      <c r="N578" s="41">
        <v>0</v>
      </c>
      <c r="O578" s="36">
        <f>[1]!Table3[[#This Row],[C&amp;I Incentive Disbursements]]/'[1]1.) CLM Reference'!$B$5</f>
        <v>0</v>
      </c>
      <c r="Q578">
        <f>VLOOKUP(Table3[[#This Row],[Census Tract]],'Population and Diversity Data'!$B$2:$K$823,10,FALSE)</f>
        <v>4</v>
      </c>
      <c r="R578" t="str">
        <f>VLOOKUP(Table3[[#This Row],[Census Tract]],'ES Energy Burden'!$B$2:$E$914,4,FALSE)</f>
        <v>No</v>
      </c>
    </row>
    <row r="579" spans="1:18" x14ac:dyDescent="0.2">
      <c r="A579" s="100">
        <v>9009346101</v>
      </c>
      <c r="B579" s="38" t="s">
        <v>2821</v>
      </c>
      <c r="C579" s="38" t="s">
        <v>944</v>
      </c>
      <c r="D579" s="40">
        <f>[1]!Table3[[#This Row],[Residential CLM $ Collected]]+[1]!Table3[[#This Row],[C&amp;I CLM $ Collected]]</f>
        <v>219250.79363231998</v>
      </c>
      <c r="E579" s="36">
        <f>[1]!Table3[[#This Row],[CLM $ Collected ]]/'[1]1.) CLM Reference'!$B$4</f>
        <v>1.9451144567142115E-3</v>
      </c>
      <c r="F579" s="40">
        <f>[1]!Table3[[#This Row],[Residential Incentive Disbursements]]+[1]!Table3[[#This Row],[C&amp;I Incentive Disbursements]]</f>
        <v>135049.008</v>
      </c>
      <c r="G579" s="36">
        <f>[1]!Table3[[#This Row],[Incentive Disbursements]]/'[1]1.) CLM Reference'!$B$5</f>
        <v>1.6522776272108438E-3</v>
      </c>
      <c r="H579" s="40">
        <v>140941.94373216</v>
      </c>
      <c r="I579" s="36">
        <f>[1]!Table3[[#This Row],[Residential CLM $ Collected]]/'[1]1.) CLM Reference'!$B$4</f>
        <v>1.2503864080445129E-3</v>
      </c>
      <c r="J579" s="41">
        <v>109352.74800000001</v>
      </c>
      <c r="K579" s="36">
        <f>[1]!Table3[[#This Row],[Residential Incentive Disbursements]]/'[1]1.) CLM Reference'!$B$5</f>
        <v>1.3378928262429395E-3</v>
      </c>
      <c r="L579" s="37">
        <v>78308.849900159985</v>
      </c>
      <c r="M579" s="36">
        <f>[1]!Table3[[#This Row],[C&amp;I CLM $ Collected]]/'[1]1.) CLM Reference'!$B$4</f>
        <v>6.9472804866969851E-4</v>
      </c>
      <c r="N579" s="41">
        <v>25696.26</v>
      </c>
      <c r="O579" s="36">
        <f>[1]!Table3[[#This Row],[C&amp;I Incentive Disbursements]]/'[1]1.) CLM Reference'!$B$5</f>
        <v>3.1438480096790427E-4</v>
      </c>
      <c r="Q579">
        <f>VLOOKUP(Table3[[#This Row],[Census Tract]],'Population and Diversity Data'!$B$2:$K$823,10,FALSE)</f>
        <v>1</v>
      </c>
      <c r="R579" t="str">
        <f>VLOOKUP(Table3[[#This Row],[Census Tract]],'ES Energy Burden'!$B$2:$E$914,4,FALSE)</f>
        <v>No</v>
      </c>
    </row>
    <row r="580" spans="1:18" x14ac:dyDescent="0.2">
      <c r="A580" s="100">
        <v>9009346102</v>
      </c>
      <c r="B580" s="38" t="s">
        <v>2821</v>
      </c>
      <c r="C580" s="38" t="s">
        <v>944</v>
      </c>
      <c r="D580" s="40">
        <f>[1]!Table3[[#This Row],[Residential CLM $ Collected]]+[1]!Table3[[#This Row],[C&amp;I CLM $ Collected]]</f>
        <v>131528.46519360002</v>
      </c>
      <c r="E580" s="36">
        <f>[1]!Table3[[#This Row],[CLM $ Collected ]]/'[1]1.) CLM Reference'!$B$4</f>
        <v>1.1668734004518105E-3</v>
      </c>
      <c r="F580" s="40">
        <f>[1]!Table3[[#This Row],[Residential Incentive Disbursements]]+[1]!Table3[[#This Row],[C&amp;I Incentive Disbursements]]</f>
        <v>33188.762199999997</v>
      </c>
      <c r="G580" s="36">
        <f>[1]!Table3[[#This Row],[Incentive Disbursements]]/'[1]1.) CLM Reference'!$B$5</f>
        <v>4.0605295862581188E-4</v>
      </c>
      <c r="H580" s="40">
        <v>131498.69918400003</v>
      </c>
      <c r="I580" s="36">
        <f>[1]!Table3[[#This Row],[Residential CLM $ Collected]]/'[1]1.) CLM Reference'!$B$4</f>
        <v>1.1666093270834435E-3</v>
      </c>
      <c r="J580" s="41">
        <v>33188.762199999997</v>
      </c>
      <c r="K580" s="36">
        <f>[1]!Table3[[#This Row],[Residential Incentive Disbursements]]/'[1]1.) CLM Reference'!$B$5</f>
        <v>4.0605295862581188E-4</v>
      </c>
      <c r="L580" s="37">
        <v>29.7660096</v>
      </c>
      <c r="M580" s="36">
        <f>[1]!Table3[[#This Row],[C&amp;I CLM $ Collected]]/'[1]1.) CLM Reference'!$B$4</f>
        <v>2.6407336836713351E-7</v>
      </c>
      <c r="N580" s="41">
        <v>0</v>
      </c>
      <c r="O580" s="36">
        <f>[1]!Table3[[#This Row],[C&amp;I Incentive Disbursements]]/'[1]1.) CLM Reference'!$B$5</f>
        <v>0</v>
      </c>
      <c r="Q580">
        <f>VLOOKUP(Table3[[#This Row],[Census Tract]],'Population and Diversity Data'!$B$2:$K$823,10,FALSE)</f>
        <v>2</v>
      </c>
      <c r="R580" t="str">
        <f>VLOOKUP(Table3[[#This Row],[Census Tract]],'ES Energy Burden'!$B$2:$E$914,4,FALSE)</f>
        <v>No</v>
      </c>
    </row>
    <row r="581" spans="1:18" x14ac:dyDescent="0.2">
      <c r="A581" s="100">
        <v>9011709100</v>
      </c>
      <c r="B581" s="38" t="s">
        <v>2822</v>
      </c>
      <c r="C581" s="38" t="s">
        <v>944</v>
      </c>
      <c r="D581" s="40">
        <f>[1]!Table3[[#This Row],[Residential CLM $ Collected]]+[1]!Table3[[#This Row],[C&amp;I CLM $ Collected]]</f>
        <v>651.14737919999993</v>
      </c>
      <c r="E581" s="36">
        <f>[1]!Table3[[#This Row],[CLM $ Collected ]]/'[1]1.) CLM Reference'!$B$4</f>
        <v>5.7767461624676474E-6</v>
      </c>
      <c r="F581" s="40">
        <f>[1]!Table3[[#This Row],[Residential Incentive Disbursements]]+[1]!Table3[[#This Row],[C&amp;I Incentive Disbursements]]</f>
        <v>0</v>
      </c>
      <c r="G581" s="36">
        <f>[1]!Table3[[#This Row],[Incentive Disbursements]]/'[1]1.) CLM Reference'!$B$5</f>
        <v>0</v>
      </c>
      <c r="H581" s="40">
        <v>651.14737919999993</v>
      </c>
      <c r="I581" s="36">
        <f>[1]!Table3[[#This Row],[Residential CLM $ Collected]]/'[1]1.) CLM Reference'!$B$4</f>
        <v>5.7767461624676474E-6</v>
      </c>
      <c r="J581" s="41">
        <v>0</v>
      </c>
      <c r="K581" s="36">
        <f>[1]!Table3[[#This Row],[Residential Incentive Disbursements]]/'[1]1.) CLM Reference'!$B$5</f>
        <v>0</v>
      </c>
      <c r="L581" s="37">
        <v>0</v>
      </c>
      <c r="M581" s="36">
        <f>[1]!Table3[[#This Row],[C&amp;I CLM $ Collected]]/'[1]1.) CLM Reference'!$B$4</f>
        <v>0</v>
      </c>
      <c r="N581" s="41">
        <v>0</v>
      </c>
      <c r="O581" s="36">
        <f>[1]!Table3[[#This Row],[C&amp;I Incentive Disbursements]]/'[1]1.) CLM Reference'!$B$5</f>
        <v>0</v>
      </c>
      <c r="Q581">
        <f>VLOOKUP(Table3[[#This Row],[Census Tract]],'Population and Diversity Data'!$B$2:$K$823,10,FALSE)</f>
        <v>3</v>
      </c>
      <c r="R581" t="str">
        <f>VLOOKUP(Table3[[#This Row],[Census Tract]],'ES Energy Burden'!$B$2:$E$914,4,FALSE)</f>
        <v>No</v>
      </c>
    </row>
    <row r="582" spans="1:18" x14ac:dyDescent="0.2">
      <c r="A582" s="100">
        <v>9015906100</v>
      </c>
      <c r="B582" s="38" t="s">
        <v>2822</v>
      </c>
      <c r="C582" s="38" t="s">
        <v>944</v>
      </c>
      <c r="D582" s="40">
        <f>[1]!Table3[[#This Row],[Residential CLM $ Collected]]+[1]!Table3[[#This Row],[C&amp;I CLM $ Collected]]</f>
        <v>366.52944960000002</v>
      </c>
      <c r="E582" s="36">
        <f>[1]!Table3[[#This Row],[CLM $ Collected ]]/'[1]1.) CLM Reference'!$B$4</f>
        <v>3.2517179044927642E-6</v>
      </c>
      <c r="F582" s="40">
        <f>[1]!Table3[[#This Row],[Residential Incentive Disbursements]]+[1]!Table3[[#This Row],[C&amp;I Incentive Disbursements]]</f>
        <v>0</v>
      </c>
      <c r="G582" s="36">
        <f>[1]!Table3[[#This Row],[Incentive Disbursements]]/'[1]1.) CLM Reference'!$B$5</f>
        <v>0</v>
      </c>
      <c r="H582" s="40">
        <v>366.52944960000002</v>
      </c>
      <c r="I582" s="36">
        <f>[1]!Table3[[#This Row],[Residential CLM $ Collected]]/'[1]1.) CLM Reference'!$B$4</f>
        <v>3.2517179044927642E-6</v>
      </c>
      <c r="J582" s="41">
        <v>0</v>
      </c>
      <c r="K582" s="36">
        <f>[1]!Table3[[#This Row],[Residential Incentive Disbursements]]/'[1]1.) CLM Reference'!$B$5</f>
        <v>0</v>
      </c>
      <c r="L582" s="37">
        <v>0</v>
      </c>
      <c r="M582" s="36">
        <f>[1]!Table3[[#This Row],[C&amp;I CLM $ Collected]]/'[1]1.) CLM Reference'!$B$4</f>
        <v>0</v>
      </c>
      <c r="N582" s="41">
        <v>0</v>
      </c>
      <c r="O582" s="36">
        <f>[1]!Table3[[#This Row],[C&amp;I Incentive Disbursements]]/'[1]1.) CLM Reference'!$B$5</f>
        <v>0</v>
      </c>
      <c r="Q582">
        <f>VLOOKUP(Table3[[#This Row],[Census Tract]],'Population and Diversity Data'!$B$2:$K$823,10,FALSE)</f>
        <v>1</v>
      </c>
      <c r="R582" t="str">
        <f>VLOOKUP(Table3[[#This Row],[Census Tract]],'ES Energy Burden'!$B$2:$E$914,4,FALSE)</f>
        <v>No</v>
      </c>
    </row>
    <row r="583" spans="1:18" x14ac:dyDescent="0.2">
      <c r="A583" s="100">
        <v>9015907100</v>
      </c>
      <c r="B583" s="38" t="s">
        <v>2822</v>
      </c>
      <c r="C583" s="38" t="s">
        <v>944</v>
      </c>
      <c r="D583" s="40">
        <f>[1]!Table3[[#This Row],[Residential CLM $ Collected]]+[1]!Table3[[#This Row],[C&amp;I CLM $ Collected]]</f>
        <v>72711.842685120006</v>
      </c>
      <c r="E583" s="36">
        <f>[1]!Table3[[#This Row],[CLM $ Collected ]]/'[1]1.) CLM Reference'!$B$4</f>
        <v>6.450734067505225E-4</v>
      </c>
      <c r="F583" s="40">
        <f>[1]!Table3[[#This Row],[Residential Incentive Disbursements]]+[1]!Table3[[#This Row],[C&amp;I Incentive Disbursements]]</f>
        <v>10386.07</v>
      </c>
      <c r="G583" s="36">
        <f>[1]!Table3[[#This Row],[Incentive Disbursements]]/'[1]1.) CLM Reference'!$B$5</f>
        <v>1.2706995297326231E-4</v>
      </c>
      <c r="H583" s="40">
        <v>72711.842685120006</v>
      </c>
      <c r="I583" s="36">
        <f>[1]!Table3[[#This Row],[Residential CLM $ Collected]]/'[1]1.) CLM Reference'!$B$4</f>
        <v>6.450734067505225E-4</v>
      </c>
      <c r="J583" s="41">
        <v>10386.07</v>
      </c>
      <c r="K583" s="36">
        <f>[1]!Table3[[#This Row],[Residential Incentive Disbursements]]/'[1]1.) CLM Reference'!$B$5</f>
        <v>1.2706995297326231E-4</v>
      </c>
      <c r="L583" s="37">
        <v>0</v>
      </c>
      <c r="M583" s="36">
        <f>[1]!Table3[[#This Row],[C&amp;I CLM $ Collected]]/'[1]1.) CLM Reference'!$B$4</f>
        <v>0</v>
      </c>
      <c r="N583" s="41">
        <v>0</v>
      </c>
      <c r="O583" s="36">
        <f>[1]!Table3[[#This Row],[C&amp;I Incentive Disbursements]]/'[1]1.) CLM Reference'!$B$5</f>
        <v>0</v>
      </c>
      <c r="Q583">
        <f>VLOOKUP(Table3[[#This Row],[Census Tract]],'Population and Diversity Data'!$B$2:$K$823,10,FALSE)</f>
        <v>4</v>
      </c>
      <c r="R583" t="str">
        <f>VLOOKUP(Table3[[#This Row],[Census Tract]],'ES Energy Burden'!$B$2:$E$914,4,FALSE)</f>
        <v>No</v>
      </c>
    </row>
    <row r="584" spans="1:18" x14ac:dyDescent="0.2">
      <c r="A584" s="100">
        <v>9015907200</v>
      </c>
      <c r="B584" s="38" t="s">
        <v>2822</v>
      </c>
      <c r="C584" s="38" t="s">
        <v>944</v>
      </c>
      <c r="D584" s="40">
        <f>[1]!Table3[[#This Row],[Residential CLM $ Collected]]+[1]!Table3[[#This Row],[C&amp;I CLM $ Collected]]</f>
        <v>94817.697647040011</v>
      </c>
      <c r="E584" s="36">
        <f>[1]!Table3[[#This Row],[CLM $ Collected ]]/'[1]1.) CLM Reference'!$B$4</f>
        <v>8.4118862873948299E-4</v>
      </c>
      <c r="F584" s="40">
        <f>[1]!Table3[[#This Row],[Residential Incentive Disbursements]]+[1]!Table3[[#This Row],[C&amp;I Incentive Disbursements]]</f>
        <v>24022.759900000001</v>
      </c>
      <c r="G584" s="36">
        <f>[1]!Table3[[#This Row],[Incentive Disbursements]]/'[1]1.) CLM Reference'!$B$5</f>
        <v>2.9391010948135067E-4</v>
      </c>
      <c r="H584" s="40">
        <v>94817.697647040011</v>
      </c>
      <c r="I584" s="36">
        <f>[1]!Table3[[#This Row],[Residential CLM $ Collected]]/'[1]1.) CLM Reference'!$B$4</f>
        <v>8.4118862873948299E-4</v>
      </c>
      <c r="J584" s="41">
        <v>24022.759900000001</v>
      </c>
      <c r="K584" s="36">
        <f>[1]!Table3[[#This Row],[Residential Incentive Disbursements]]/'[1]1.) CLM Reference'!$B$5</f>
        <v>2.9391010948135067E-4</v>
      </c>
      <c r="L584" s="37">
        <v>0</v>
      </c>
      <c r="M584" s="36">
        <f>[1]!Table3[[#This Row],[C&amp;I CLM $ Collected]]/'[1]1.) CLM Reference'!$B$4</f>
        <v>0</v>
      </c>
      <c r="N584" s="41">
        <v>0</v>
      </c>
      <c r="O584" s="36">
        <f>[1]!Table3[[#This Row],[C&amp;I Incentive Disbursements]]/'[1]1.) CLM Reference'!$B$5</f>
        <v>0</v>
      </c>
      <c r="Q584">
        <f>VLOOKUP(Table3[[#This Row],[Census Tract]],'Population and Diversity Data'!$B$2:$K$823,10,FALSE)</f>
        <v>3</v>
      </c>
      <c r="R584" t="str">
        <f>VLOOKUP(Table3[[#This Row],[Census Tract]],'ES Energy Burden'!$B$2:$E$914,4,FALSE)</f>
        <v>No</v>
      </c>
    </row>
    <row r="585" spans="1:18" x14ac:dyDescent="0.2">
      <c r="A585" s="100">
        <v>9015907300</v>
      </c>
      <c r="B585" s="38" t="s">
        <v>2822</v>
      </c>
      <c r="C585" s="38" t="s">
        <v>944</v>
      </c>
      <c r="D585" s="40">
        <f>[1]!Table3[[#This Row],[Residential CLM $ Collected]]+[1]!Table3[[#This Row],[C&amp;I CLM $ Collected]]</f>
        <v>207982.41048864002</v>
      </c>
      <c r="E585" s="36">
        <f>[1]!Table3[[#This Row],[CLM $ Collected ]]/'[1]1.) CLM Reference'!$B$4</f>
        <v>1.8451454003042117E-3</v>
      </c>
      <c r="F585" s="40">
        <f>[1]!Table3[[#This Row],[Residential Incentive Disbursements]]+[1]!Table3[[#This Row],[C&amp;I Incentive Disbursements]]</f>
        <v>197372.1023</v>
      </c>
      <c r="G585" s="36">
        <f>[1]!Table3[[#This Row],[Incentive Disbursements]]/'[1]1.) CLM Reference'!$B$5</f>
        <v>2.414779002788824E-3</v>
      </c>
      <c r="H585" s="40">
        <v>111292.48756800001</v>
      </c>
      <c r="I585" s="36">
        <f>[1]!Table3[[#This Row],[Residential CLM $ Collected]]/'[1]1.) CLM Reference'!$B$4</f>
        <v>9.8734705998479205E-4</v>
      </c>
      <c r="J585" s="41">
        <v>140557.81229999999</v>
      </c>
      <c r="K585" s="36">
        <f>[1]!Table3[[#This Row],[Residential Incentive Disbursements]]/'[1]1.) CLM Reference'!$B$5</f>
        <v>1.7196759312218799E-3</v>
      </c>
      <c r="L585" s="37">
        <v>96689.922920640005</v>
      </c>
      <c r="M585" s="36">
        <f>[1]!Table3[[#This Row],[C&amp;I CLM $ Collected]]/'[1]1.) CLM Reference'!$B$4</f>
        <v>8.5779834031941967E-4</v>
      </c>
      <c r="N585" s="41">
        <v>56814.29</v>
      </c>
      <c r="O585" s="36">
        <f>[1]!Table3[[#This Row],[C&amp;I Incentive Disbursements]]/'[1]1.) CLM Reference'!$B$5</f>
        <v>6.9510307156694375E-4</v>
      </c>
      <c r="Q585">
        <f>VLOOKUP(Table3[[#This Row],[Census Tract]],'Population and Diversity Data'!$B$2:$K$823,10,FALSE)</f>
        <v>5</v>
      </c>
      <c r="R585" t="str">
        <f>VLOOKUP(Table3[[#This Row],[Census Tract]],'ES Energy Burden'!$B$2:$E$914,4,FALSE)</f>
        <v>No</v>
      </c>
    </row>
    <row r="586" spans="1:18" x14ac:dyDescent="0.2">
      <c r="A586" s="100">
        <v>9015908100</v>
      </c>
      <c r="B586" s="38" t="s">
        <v>2822</v>
      </c>
      <c r="C586" s="38" t="s">
        <v>944</v>
      </c>
      <c r="D586" s="40">
        <f>[1]!Table3[[#This Row],[Residential CLM $ Collected]]+[1]!Table3[[#This Row],[C&amp;I CLM $ Collected]]</f>
        <v>115.2897408</v>
      </c>
      <c r="E586" s="36">
        <f>[1]!Table3[[#This Row],[CLM $ Collected ]]/'[1]1.) CLM Reference'!$B$4</f>
        <v>1.0228092579540706E-6</v>
      </c>
      <c r="F586" s="40">
        <f>[1]!Table3[[#This Row],[Residential Incentive Disbursements]]+[1]!Table3[[#This Row],[C&amp;I Incentive Disbursements]]</f>
        <v>0</v>
      </c>
      <c r="G586" s="36">
        <f>[1]!Table3[[#This Row],[Incentive Disbursements]]/'[1]1.) CLM Reference'!$B$5</f>
        <v>0</v>
      </c>
      <c r="H586" s="40">
        <v>115.2897408</v>
      </c>
      <c r="I586" s="36">
        <f>[1]!Table3[[#This Row],[Residential CLM $ Collected]]/'[1]1.) CLM Reference'!$B$4</f>
        <v>1.0228092579540706E-6</v>
      </c>
      <c r="J586" s="41">
        <v>0</v>
      </c>
      <c r="K586" s="36">
        <f>[1]!Table3[[#This Row],[Residential Incentive Disbursements]]/'[1]1.) CLM Reference'!$B$5</f>
        <v>0</v>
      </c>
      <c r="L586" s="37">
        <v>0</v>
      </c>
      <c r="M586" s="36">
        <f>[1]!Table3[[#This Row],[C&amp;I CLM $ Collected]]/'[1]1.) CLM Reference'!$B$4</f>
        <v>0</v>
      </c>
      <c r="N586" s="41">
        <v>0</v>
      </c>
      <c r="O586" s="36">
        <f>[1]!Table3[[#This Row],[C&amp;I Incentive Disbursements]]/'[1]1.) CLM Reference'!$B$5</f>
        <v>0</v>
      </c>
      <c r="Q586" t="e">
        <f>VLOOKUP(Table3[[#This Row],[Census Tract]],'Population and Diversity Data'!$B$2:$K$823,10,FALSE)</f>
        <v>#N/A</v>
      </c>
      <c r="R586" t="e">
        <f>VLOOKUP(Table3[[#This Row],[Census Tract]],'ES Energy Burden'!$B$2:$E$914,4,FALSE)</f>
        <v>#N/A</v>
      </c>
    </row>
    <row r="587" spans="1:18" x14ac:dyDescent="0.2">
      <c r="A587" s="100">
        <v>9003405401</v>
      </c>
      <c r="B587" s="38" t="s">
        <v>2823</v>
      </c>
      <c r="C587" s="38" t="s">
        <v>944</v>
      </c>
      <c r="D587" s="40">
        <f>[1]!Table3[[#This Row],[Residential CLM $ Collected]]+[1]!Table3[[#This Row],[C&amp;I CLM $ Collected]]</f>
        <v>1739.9048831999999</v>
      </c>
      <c r="E587" s="36">
        <f>[1]!Table3[[#This Row],[CLM $ Collected ]]/'[1]1.) CLM Reference'!$B$4</f>
        <v>1.5435812502897533E-5</v>
      </c>
      <c r="F587" s="40">
        <f>[1]!Table3[[#This Row],[Residential Incentive Disbursements]]+[1]!Table3[[#This Row],[C&amp;I Incentive Disbursements]]</f>
        <v>0</v>
      </c>
      <c r="G587" s="36">
        <f>[1]!Table3[[#This Row],[Incentive Disbursements]]/'[1]1.) CLM Reference'!$B$5</f>
        <v>0</v>
      </c>
      <c r="H587" s="40">
        <v>1739.9048831999999</v>
      </c>
      <c r="I587" s="36">
        <f>[1]!Table3[[#This Row],[Residential CLM $ Collected]]/'[1]1.) CLM Reference'!$B$4</f>
        <v>1.5435812502897533E-5</v>
      </c>
      <c r="J587" s="41">
        <v>0</v>
      </c>
      <c r="K587" s="36">
        <f>[1]!Table3[[#This Row],[Residential Incentive Disbursements]]/'[1]1.) CLM Reference'!$B$5</f>
        <v>0</v>
      </c>
      <c r="L587" s="37">
        <v>0</v>
      </c>
      <c r="M587" s="36">
        <f>[1]!Table3[[#This Row],[C&amp;I CLM $ Collected]]/'[1]1.) CLM Reference'!$B$4</f>
        <v>0</v>
      </c>
      <c r="N587" s="41">
        <v>0</v>
      </c>
      <c r="O587" s="36">
        <f>[1]!Table3[[#This Row],[C&amp;I Incentive Disbursements]]/'[1]1.) CLM Reference'!$B$5</f>
        <v>0</v>
      </c>
      <c r="Q587">
        <f>VLOOKUP(Table3[[#This Row],[Census Tract]],'Population and Diversity Data'!$B$2:$K$823,10,FALSE)</f>
        <v>4</v>
      </c>
      <c r="R587" t="str">
        <f>VLOOKUP(Table3[[#This Row],[Census Tract]],'ES Energy Burden'!$B$2:$E$914,4,FALSE)</f>
        <v>No</v>
      </c>
    </row>
    <row r="588" spans="1:18" x14ac:dyDescent="0.2">
      <c r="A588" s="100">
        <v>9003420400</v>
      </c>
      <c r="B588" s="38" t="s">
        <v>2823</v>
      </c>
      <c r="C588" s="38" t="s">
        <v>944</v>
      </c>
      <c r="D588" s="40">
        <f>[1]!Table3[[#This Row],[Residential CLM $ Collected]]+[1]!Table3[[#This Row],[C&amp;I CLM $ Collected]]</f>
        <v>59279.313767040003</v>
      </c>
      <c r="E588" s="36">
        <f>[1]!Table3[[#This Row],[CLM $ Collected ]]/'[1]1.) CLM Reference'!$B$4</f>
        <v>5.2590482470832919E-4</v>
      </c>
      <c r="F588" s="40">
        <f>[1]!Table3[[#This Row],[Residential Incentive Disbursements]]+[1]!Table3[[#This Row],[C&amp;I Incentive Disbursements]]</f>
        <v>16805.87</v>
      </c>
      <c r="G588" s="36">
        <f>[1]!Table3[[#This Row],[Incentive Disbursements]]/'[1]1.) CLM Reference'!$B$5</f>
        <v>2.0561397242409882E-4</v>
      </c>
      <c r="H588" s="40">
        <v>59279.313767040003</v>
      </c>
      <c r="I588" s="36">
        <f>[1]!Table3[[#This Row],[Residential CLM $ Collected]]/'[1]1.) CLM Reference'!$B$4</f>
        <v>5.2590482470832919E-4</v>
      </c>
      <c r="J588" s="41">
        <v>16805.87</v>
      </c>
      <c r="K588" s="36">
        <f>[1]!Table3[[#This Row],[Residential Incentive Disbursements]]/'[1]1.) CLM Reference'!$B$5</f>
        <v>2.0561397242409882E-4</v>
      </c>
      <c r="L588" s="37">
        <v>0</v>
      </c>
      <c r="M588" s="36">
        <f>[1]!Table3[[#This Row],[C&amp;I CLM $ Collected]]/'[1]1.) CLM Reference'!$B$4</f>
        <v>0</v>
      </c>
      <c r="N588" s="41">
        <v>0</v>
      </c>
      <c r="O588" s="36">
        <f>[1]!Table3[[#This Row],[C&amp;I Incentive Disbursements]]/'[1]1.) CLM Reference'!$B$5</f>
        <v>0</v>
      </c>
      <c r="Q588">
        <f>VLOOKUP(Table3[[#This Row],[Census Tract]],'Population and Diversity Data'!$B$2:$K$823,10,FALSE)</f>
        <v>4</v>
      </c>
      <c r="R588" t="str">
        <f>VLOOKUP(Table3[[#This Row],[Census Tract]],'ES Energy Burden'!$B$2:$E$914,4,FALSE)</f>
        <v>No</v>
      </c>
    </row>
    <row r="589" spans="1:18" x14ac:dyDescent="0.2">
      <c r="A589" s="100">
        <v>9003420500</v>
      </c>
      <c r="B589" s="38" t="s">
        <v>2823</v>
      </c>
      <c r="C589" s="38" t="s">
        <v>944</v>
      </c>
      <c r="D589" s="40">
        <f>[1]!Table3[[#This Row],[Residential CLM $ Collected]]+[1]!Table3[[#This Row],[C&amp;I CLM $ Collected]]</f>
        <v>98484.200844479987</v>
      </c>
      <c r="E589" s="36">
        <f>[1]!Table3[[#This Row],[CLM $ Collected ]]/'[1]1.) CLM Reference'!$B$4</f>
        <v>8.7371653095036036E-4</v>
      </c>
      <c r="F589" s="40">
        <f>[1]!Table3[[#This Row],[Residential Incentive Disbursements]]+[1]!Table3[[#This Row],[C&amp;I Incentive Disbursements]]</f>
        <v>15583.0162</v>
      </c>
      <c r="G589" s="36">
        <f>[1]!Table3[[#This Row],[Incentive Disbursements]]/'[1]1.) CLM Reference'!$B$5</f>
        <v>1.9065278163112563E-4</v>
      </c>
      <c r="H589" s="40">
        <v>98461.290510719991</v>
      </c>
      <c r="I589" s="36">
        <f>[1]!Table3[[#This Row],[Residential CLM $ Collected]]/'[1]1.) CLM Reference'!$B$4</f>
        <v>8.7351327868081814E-4</v>
      </c>
      <c r="J589" s="41">
        <v>15583.0162</v>
      </c>
      <c r="K589" s="36">
        <f>[1]!Table3[[#This Row],[Residential Incentive Disbursements]]/'[1]1.) CLM Reference'!$B$5</f>
        <v>1.9065278163112563E-4</v>
      </c>
      <c r="L589" s="37">
        <v>22.91033376</v>
      </c>
      <c r="M589" s="36">
        <f>[1]!Table3[[#This Row],[C&amp;I CLM $ Collected]]/'[1]1.) CLM Reference'!$B$4</f>
        <v>2.0325226954231901E-7</v>
      </c>
      <c r="N589" s="41">
        <v>0</v>
      </c>
      <c r="O589" s="36">
        <f>[1]!Table3[[#This Row],[C&amp;I Incentive Disbursements]]/'[1]1.) CLM Reference'!$B$5</f>
        <v>0</v>
      </c>
      <c r="Q589">
        <f>VLOOKUP(Table3[[#This Row],[Census Tract]],'Population and Diversity Data'!$B$2:$K$823,10,FALSE)</f>
        <v>4</v>
      </c>
      <c r="R589" t="str">
        <f>VLOOKUP(Table3[[#This Row],[Census Tract]],'ES Energy Burden'!$B$2:$E$914,4,FALSE)</f>
        <v>No</v>
      </c>
    </row>
    <row r="590" spans="1:18" x14ac:dyDescent="0.2">
      <c r="A590" s="100">
        <v>9003420600</v>
      </c>
      <c r="B590" s="38" t="s">
        <v>2823</v>
      </c>
      <c r="C590" s="38" t="s">
        <v>944</v>
      </c>
      <c r="D590" s="40">
        <f>[1]!Table3[[#This Row],[Residential CLM $ Collected]]+[1]!Table3[[#This Row],[C&amp;I CLM $ Collected]]</f>
        <v>270313.44936768</v>
      </c>
      <c r="E590" s="36">
        <f>[1]!Table3[[#This Row],[CLM $ Collected ]]/'[1]1.) CLM Reference'!$B$4</f>
        <v>2.3981240363996205E-3</v>
      </c>
      <c r="F590" s="40">
        <f>[1]!Table3[[#This Row],[Residential Incentive Disbursements]]+[1]!Table3[[#This Row],[C&amp;I Incentive Disbursements]]</f>
        <v>190483.17229999998</v>
      </c>
      <c r="G590" s="36">
        <f>[1]!Table3[[#This Row],[Incentive Disbursements]]/'[1]1.) CLM Reference'!$B$5</f>
        <v>2.3304953410056761E-3</v>
      </c>
      <c r="H590" s="40">
        <v>112485.94246655999</v>
      </c>
      <c r="I590" s="36">
        <f>[1]!Table3[[#This Row],[Residential CLM $ Collected]]/'[1]1.) CLM Reference'!$B$4</f>
        <v>9.9793496408386853E-4</v>
      </c>
      <c r="J590" s="41">
        <v>169878.43229999999</v>
      </c>
      <c r="K590" s="36">
        <f>[1]!Table3[[#This Row],[Residential Incentive Disbursements]]/'[1]1.) CLM Reference'!$B$5</f>
        <v>2.0784035158180644E-3</v>
      </c>
      <c r="L590" s="37">
        <v>157827.50690112001</v>
      </c>
      <c r="M590" s="36">
        <f>[1]!Table3[[#This Row],[C&amp;I CLM $ Collected]]/'[1]1.) CLM Reference'!$B$4</f>
        <v>1.4001890723157522E-3</v>
      </c>
      <c r="N590" s="41">
        <v>20604.740000000002</v>
      </c>
      <c r="O590" s="36">
        <f>[1]!Table3[[#This Row],[C&amp;I Incentive Disbursements]]/'[1]1.) CLM Reference'!$B$5</f>
        <v>2.5209182518761162E-4</v>
      </c>
      <c r="Q590">
        <f>VLOOKUP(Table3[[#This Row],[Census Tract]],'Population and Diversity Data'!$B$2:$K$823,10,FALSE)</f>
        <v>3</v>
      </c>
      <c r="R590" t="str">
        <f>VLOOKUP(Table3[[#This Row],[Census Tract]],'ES Energy Burden'!$B$2:$E$914,4,FALSE)</f>
        <v>No</v>
      </c>
    </row>
    <row r="591" spans="1:18" x14ac:dyDescent="0.2">
      <c r="A591" s="100">
        <v>9003420700</v>
      </c>
      <c r="B591" s="38" t="s">
        <v>2823</v>
      </c>
      <c r="C591" s="38" t="s">
        <v>944</v>
      </c>
      <c r="D591" s="40">
        <f>[1]!Table3[[#This Row],[Residential CLM $ Collected]]+[1]!Table3[[#This Row],[C&amp;I CLM $ Collected]]</f>
        <v>69727.892843520007</v>
      </c>
      <c r="E591" s="36">
        <f>[1]!Table3[[#This Row],[CLM $ Collected ]]/'[1]1.) CLM Reference'!$B$4</f>
        <v>6.1860087327025761E-4</v>
      </c>
      <c r="F591" s="40">
        <f>[1]!Table3[[#This Row],[Residential Incentive Disbursements]]+[1]!Table3[[#This Row],[C&amp;I Incentive Disbursements]]</f>
        <v>8228.0300000000007</v>
      </c>
      <c r="G591" s="36">
        <f>[1]!Table3[[#This Row],[Incentive Disbursements]]/'[1]1.) CLM Reference'!$B$5</f>
        <v>1.0066708438924364E-4</v>
      </c>
      <c r="H591" s="40">
        <v>69727.892843520007</v>
      </c>
      <c r="I591" s="36">
        <f>[1]!Table3[[#This Row],[Residential CLM $ Collected]]/'[1]1.) CLM Reference'!$B$4</f>
        <v>6.1860087327025761E-4</v>
      </c>
      <c r="J591" s="41">
        <v>8228.0300000000007</v>
      </c>
      <c r="K591" s="36">
        <f>[1]!Table3[[#This Row],[Residential Incentive Disbursements]]/'[1]1.) CLM Reference'!$B$5</f>
        <v>1.0066708438924364E-4</v>
      </c>
      <c r="L591" s="37">
        <v>0</v>
      </c>
      <c r="M591" s="36">
        <f>[1]!Table3[[#This Row],[C&amp;I CLM $ Collected]]/'[1]1.) CLM Reference'!$B$4</f>
        <v>0</v>
      </c>
      <c r="N591" s="41">
        <v>0</v>
      </c>
      <c r="O591" s="36">
        <f>[1]!Table3[[#This Row],[C&amp;I Incentive Disbursements]]/'[1]1.) CLM Reference'!$B$5</f>
        <v>0</v>
      </c>
      <c r="Q591">
        <f>VLOOKUP(Table3[[#This Row],[Census Tract]],'Population and Diversity Data'!$B$2:$K$823,10,FALSE)</f>
        <v>1</v>
      </c>
      <c r="R591" t="str">
        <f>VLOOKUP(Table3[[#This Row],[Census Tract]],'ES Energy Burden'!$B$2:$E$914,4,FALSE)</f>
        <v>No</v>
      </c>
    </row>
    <row r="592" spans="1:18" x14ac:dyDescent="0.2">
      <c r="A592" s="100">
        <v>9005349100</v>
      </c>
      <c r="B592" s="38" t="s">
        <v>2824</v>
      </c>
      <c r="C592" s="38" t="s">
        <v>944</v>
      </c>
      <c r="D592" s="40">
        <f>[1]!Table3[[#This Row],[Residential CLM $ Collected]]+[1]!Table3[[#This Row],[C&amp;I CLM $ Collected]]</f>
        <v>116.615376</v>
      </c>
      <c r="E592" s="36">
        <f>[1]!Table3[[#This Row],[CLM $ Collected ]]/'[1]1.) CLM Reference'!$B$4</f>
        <v>1.0345698183111444E-6</v>
      </c>
      <c r="F592" s="40">
        <f>[1]!Table3[[#This Row],[Residential Incentive Disbursements]]+[1]!Table3[[#This Row],[C&amp;I Incentive Disbursements]]</f>
        <v>0</v>
      </c>
      <c r="G592" s="36">
        <f>[1]!Table3[[#This Row],[Incentive Disbursements]]/'[1]1.) CLM Reference'!$B$5</f>
        <v>0</v>
      </c>
      <c r="H592" s="40">
        <v>116.615376</v>
      </c>
      <c r="I592" s="36">
        <f>[1]!Table3[[#This Row],[Residential CLM $ Collected]]/'[1]1.) CLM Reference'!$B$4</f>
        <v>1.0345698183111444E-6</v>
      </c>
      <c r="J592" s="41">
        <v>0</v>
      </c>
      <c r="K592" s="36">
        <f>[1]!Table3[[#This Row],[Residential Incentive Disbursements]]/'[1]1.) CLM Reference'!$B$5</f>
        <v>0</v>
      </c>
      <c r="L592" s="37">
        <v>0</v>
      </c>
      <c r="M592" s="36">
        <f>[1]!Table3[[#This Row],[C&amp;I CLM $ Collected]]/'[1]1.) CLM Reference'!$B$4</f>
        <v>0</v>
      </c>
      <c r="N592" s="41">
        <v>0</v>
      </c>
      <c r="O592" s="36">
        <f>[1]!Table3[[#This Row],[C&amp;I Incentive Disbursements]]/'[1]1.) CLM Reference'!$B$5</f>
        <v>0</v>
      </c>
      <c r="Q592">
        <f>VLOOKUP(Table3[[#This Row],[Census Tract]],'Population and Diversity Data'!$B$2:$K$823,10,FALSE)</f>
        <v>1</v>
      </c>
      <c r="R592" t="str">
        <f>VLOOKUP(Table3[[#This Row],[Census Tract]],'ES Energy Burden'!$B$2:$E$914,4,FALSE)</f>
        <v>No</v>
      </c>
    </row>
    <row r="593" spans="1:18" x14ac:dyDescent="0.2">
      <c r="A593" s="100">
        <v>9005349200</v>
      </c>
      <c r="B593" s="38" t="s">
        <v>2824</v>
      </c>
      <c r="C593" s="38" t="s">
        <v>944</v>
      </c>
      <c r="D593" s="40">
        <f>[1]!Table3[[#This Row],[Residential CLM $ Collected]]+[1]!Table3[[#This Row],[C&amp;I CLM $ Collected]]</f>
        <v>69.610320000000002</v>
      </c>
      <c r="E593" s="36">
        <f>[1]!Table3[[#This Row],[CLM $ Collected ]]/'[1]1.) CLM Reference'!$B$4</f>
        <v>6.1755780914328671E-7</v>
      </c>
      <c r="F593" s="40">
        <f>[1]!Table3[[#This Row],[Residential Incentive Disbursements]]+[1]!Table3[[#This Row],[C&amp;I Incentive Disbursements]]</f>
        <v>0</v>
      </c>
      <c r="G593" s="36">
        <f>[1]!Table3[[#This Row],[Incentive Disbursements]]/'[1]1.) CLM Reference'!$B$5</f>
        <v>0</v>
      </c>
      <c r="H593" s="40">
        <v>69.610320000000002</v>
      </c>
      <c r="I593" s="36">
        <f>[1]!Table3[[#This Row],[Residential CLM $ Collected]]/'[1]1.) CLM Reference'!$B$4</f>
        <v>6.1755780914328671E-7</v>
      </c>
      <c r="J593" s="41">
        <v>0</v>
      </c>
      <c r="K593" s="36">
        <f>[1]!Table3[[#This Row],[Residential Incentive Disbursements]]/'[1]1.) CLM Reference'!$B$5</f>
        <v>0</v>
      </c>
      <c r="L593" s="37">
        <v>0</v>
      </c>
      <c r="M593" s="36">
        <f>[1]!Table3[[#This Row],[C&amp;I CLM $ Collected]]/'[1]1.) CLM Reference'!$B$4</f>
        <v>0</v>
      </c>
      <c r="N593" s="41">
        <v>0</v>
      </c>
      <c r="O593" s="36">
        <f>[1]!Table3[[#This Row],[C&amp;I Incentive Disbursements]]/'[1]1.) CLM Reference'!$B$5</f>
        <v>0</v>
      </c>
      <c r="Q593">
        <f>VLOOKUP(Table3[[#This Row],[Census Tract]],'Population and Diversity Data'!$B$2:$K$823,10,FALSE)</f>
        <v>1</v>
      </c>
      <c r="R593" t="str">
        <f>VLOOKUP(Table3[[#This Row],[Census Tract]],'ES Energy Burden'!$B$2:$E$914,4,FALSE)</f>
        <v>No</v>
      </c>
    </row>
    <row r="594" spans="1:18" x14ac:dyDescent="0.2">
      <c r="A594" s="100">
        <v>9005425300</v>
      </c>
      <c r="B594" s="38" t="s">
        <v>2824</v>
      </c>
      <c r="C594" s="38" t="s">
        <v>944</v>
      </c>
      <c r="D594" s="40">
        <f>[1]!Table3[[#This Row],[Residential CLM $ Collected]]+[1]!Table3[[#This Row],[C&amp;I CLM $ Collected]]</f>
        <v>75679.634828159993</v>
      </c>
      <c r="E594" s="36">
        <f>[1]!Table3[[#This Row],[CLM $ Collected ]]/'[1]1.) CLM Reference'!$B$4</f>
        <v>6.7140259492044373E-4</v>
      </c>
      <c r="F594" s="40">
        <f>[1]!Table3[[#This Row],[Residential Incentive Disbursements]]+[1]!Table3[[#This Row],[C&amp;I Incentive Disbursements]]</f>
        <v>12089.58</v>
      </c>
      <c r="G594" s="36">
        <f>[1]!Table3[[#This Row],[Incentive Disbursements]]/'[1]1.) CLM Reference'!$B$5</f>
        <v>1.4791180514540079E-4</v>
      </c>
      <c r="H594" s="40">
        <v>75679.634828159993</v>
      </c>
      <c r="I594" s="36">
        <f>[1]!Table3[[#This Row],[Residential CLM $ Collected]]/'[1]1.) CLM Reference'!$B$4</f>
        <v>6.7140259492044373E-4</v>
      </c>
      <c r="J594" s="41">
        <v>12089.58</v>
      </c>
      <c r="K594" s="36">
        <f>[1]!Table3[[#This Row],[Residential Incentive Disbursements]]/'[1]1.) CLM Reference'!$B$5</f>
        <v>1.4791180514540079E-4</v>
      </c>
      <c r="L594" s="37">
        <v>0</v>
      </c>
      <c r="M594" s="36">
        <f>[1]!Table3[[#This Row],[C&amp;I CLM $ Collected]]/'[1]1.) CLM Reference'!$B$4</f>
        <v>0</v>
      </c>
      <c r="N594" s="41">
        <v>0</v>
      </c>
      <c r="O594" s="36">
        <f>[1]!Table3[[#This Row],[C&amp;I Incentive Disbursements]]/'[1]1.) CLM Reference'!$B$5</f>
        <v>0</v>
      </c>
      <c r="Q594">
        <f>VLOOKUP(Table3[[#This Row],[Census Tract]],'Population and Diversity Data'!$B$2:$K$823,10,FALSE)</f>
        <v>1</v>
      </c>
      <c r="R594" t="str">
        <f>VLOOKUP(Table3[[#This Row],[Census Tract]],'ES Energy Burden'!$B$2:$E$914,4,FALSE)</f>
        <v>No</v>
      </c>
    </row>
    <row r="595" spans="1:18" x14ac:dyDescent="0.2">
      <c r="A595" s="100">
        <v>9005425400</v>
      </c>
      <c r="B595" s="38" t="s">
        <v>2824</v>
      </c>
      <c r="C595" s="38" t="s">
        <v>944</v>
      </c>
      <c r="D595" s="40">
        <f>[1]!Table3[[#This Row],[Residential CLM $ Collected]]+[1]!Table3[[#This Row],[C&amp;I CLM $ Collected]]</f>
        <v>172710.58232448</v>
      </c>
      <c r="E595" s="36">
        <f>[1]!Table3[[#This Row],[CLM $ Collected ]]/'[1]1.) CLM Reference'!$B$4</f>
        <v>1.5322263830444556E-3</v>
      </c>
      <c r="F595" s="40">
        <f>[1]!Table3[[#This Row],[Residential Incentive Disbursements]]+[1]!Table3[[#This Row],[C&amp;I Incentive Disbursements]]</f>
        <v>239097.30319999999</v>
      </c>
      <c r="G595" s="36">
        <f>[1]!Table3[[#This Row],[Incentive Disbursements]]/'[1]1.) CLM Reference'!$B$5</f>
        <v>2.9252723189481531E-3</v>
      </c>
      <c r="H595" s="40">
        <v>109175.17723776001</v>
      </c>
      <c r="I595" s="36">
        <f>[1]!Table3[[#This Row],[Residential CLM $ Collected]]/'[1]1.) CLM Reference'!$B$4</f>
        <v>9.6856304162631489E-4</v>
      </c>
      <c r="J595" s="41">
        <v>88599.410600000003</v>
      </c>
      <c r="K595" s="36">
        <f>[1]!Table3[[#This Row],[Residential Incentive Disbursements]]/'[1]1.) CLM Reference'!$B$5</f>
        <v>1.0839829635656952E-3</v>
      </c>
      <c r="L595" s="37">
        <v>63535.405086719999</v>
      </c>
      <c r="M595" s="36">
        <f>[1]!Table3[[#This Row],[C&amp;I CLM $ Collected]]/'[1]1.) CLM Reference'!$B$4</f>
        <v>5.6366334141814088E-4</v>
      </c>
      <c r="N595" s="41">
        <v>150497.89259999999</v>
      </c>
      <c r="O595" s="36">
        <f>[1]!Table3[[#This Row],[C&amp;I Incentive Disbursements]]/'[1]1.) CLM Reference'!$B$5</f>
        <v>1.8412893553824577E-3</v>
      </c>
      <c r="Q595">
        <f>VLOOKUP(Table3[[#This Row],[Census Tract]],'Population and Diversity Data'!$B$2:$K$823,10,FALSE)</f>
        <v>2</v>
      </c>
      <c r="R595" t="str">
        <f>VLOOKUP(Table3[[#This Row],[Census Tract]],'ES Energy Burden'!$B$2:$E$914,4,FALSE)</f>
        <v>No</v>
      </c>
    </row>
    <row r="596" spans="1:18" x14ac:dyDescent="0.2">
      <c r="A596" s="100">
        <v>9005425500</v>
      </c>
      <c r="B596" s="38" t="s">
        <v>2824</v>
      </c>
      <c r="C596" s="38" t="s">
        <v>944</v>
      </c>
      <c r="D596" s="40">
        <f>[1]!Table3[[#This Row],[Residential CLM $ Collected]]+[1]!Table3[[#This Row],[C&amp;I CLM $ Collected]]</f>
        <v>59404.700332799999</v>
      </c>
      <c r="E596" s="36">
        <f>[1]!Table3[[#This Row],[CLM $ Collected ]]/'[1]1.) CLM Reference'!$B$4</f>
        <v>5.2701720937840032E-4</v>
      </c>
      <c r="F596" s="40">
        <f>[1]!Table3[[#This Row],[Residential Incentive Disbursements]]+[1]!Table3[[#This Row],[C&amp;I Incentive Disbursements]]</f>
        <v>14947.95</v>
      </c>
      <c r="G596" s="36">
        <f>[1]!Table3[[#This Row],[Incentive Disbursements]]/'[1]1.) CLM Reference'!$B$5</f>
        <v>1.8288296762362246E-4</v>
      </c>
      <c r="H596" s="40">
        <v>59404.700332799999</v>
      </c>
      <c r="I596" s="36">
        <f>[1]!Table3[[#This Row],[Residential CLM $ Collected]]/'[1]1.) CLM Reference'!$B$4</f>
        <v>5.2701720937840032E-4</v>
      </c>
      <c r="J596" s="41">
        <v>14947.95</v>
      </c>
      <c r="K596" s="36">
        <f>[1]!Table3[[#This Row],[Residential Incentive Disbursements]]/'[1]1.) CLM Reference'!$B$5</f>
        <v>1.8288296762362246E-4</v>
      </c>
      <c r="L596" s="37">
        <v>0</v>
      </c>
      <c r="M596" s="36">
        <f>[1]!Table3[[#This Row],[C&amp;I CLM $ Collected]]/'[1]1.) CLM Reference'!$B$4</f>
        <v>0</v>
      </c>
      <c r="N596" s="41">
        <v>0</v>
      </c>
      <c r="O596" s="36">
        <f>[1]!Table3[[#This Row],[C&amp;I Incentive Disbursements]]/'[1]1.) CLM Reference'!$B$5</f>
        <v>0</v>
      </c>
      <c r="Q596">
        <f>VLOOKUP(Table3[[#This Row],[Census Tract]],'Population and Diversity Data'!$B$2:$K$823,10,FALSE)</f>
        <v>3</v>
      </c>
      <c r="R596" t="str">
        <f>VLOOKUP(Table3[[#This Row],[Census Tract]],'ES Energy Burden'!$B$2:$E$914,4,FALSE)</f>
        <v>No</v>
      </c>
    </row>
    <row r="597" spans="1:18" x14ac:dyDescent="0.2">
      <c r="A597" s="100">
        <v>9015901100</v>
      </c>
      <c r="B597" s="38" t="s">
        <v>2825</v>
      </c>
      <c r="C597" s="38" t="s">
        <v>944</v>
      </c>
      <c r="D597" s="40">
        <f>[1]!Table3[[#This Row],[Residential CLM $ Collected]]+[1]!Table3[[#This Row],[C&amp;I CLM $ Collected]]</f>
        <v>83.202422399999989</v>
      </c>
      <c r="E597" s="36">
        <f>[1]!Table3[[#This Row],[CLM $ Collected ]]/'[1]1.) CLM Reference'!$B$4</f>
        <v>7.3814206992236669E-7</v>
      </c>
      <c r="F597" s="40">
        <f>[1]!Table3[[#This Row],[Residential Incentive Disbursements]]+[1]!Table3[[#This Row],[C&amp;I Incentive Disbursements]]</f>
        <v>0</v>
      </c>
      <c r="G597" s="36">
        <f>[1]!Table3[[#This Row],[Incentive Disbursements]]/'[1]1.) CLM Reference'!$B$5</f>
        <v>0</v>
      </c>
      <c r="H597" s="40">
        <v>83.202422399999989</v>
      </c>
      <c r="I597" s="36">
        <f>[1]!Table3[[#This Row],[Residential CLM $ Collected]]/'[1]1.) CLM Reference'!$B$4</f>
        <v>7.3814206992236669E-7</v>
      </c>
      <c r="J597" s="41">
        <v>0</v>
      </c>
      <c r="K597" s="36">
        <f>[1]!Table3[[#This Row],[Residential Incentive Disbursements]]/'[1]1.) CLM Reference'!$B$5</f>
        <v>0</v>
      </c>
      <c r="L597" s="37">
        <v>0</v>
      </c>
      <c r="M597" s="36">
        <f>[1]!Table3[[#This Row],[C&amp;I CLM $ Collected]]/'[1]1.) CLM Reference'!$B$4</f>
        <v>0</v>
      </c>
      <c r="N597" s="41">
        <v>0</v>
      </c>
      <c r="O597" s="36">
        <f>[1]!Table3[[#This Row],[C&amp;I Incentive Disbursements]]/'[1]1.) CLM Reference'!$B$5</f>
        <v>0</v>
      </c>
      <c r="Q597">
        <f>VLOOKUP(Table3[[#This Row],[Census Tract]],'Population and Diversity Data'!$B$2:$K$823,10,FALSE)</f>
        <v>1</v>
      </c>
      <c r="R597" t="str">
        <f>VLOOKUP(Table3[[#This Row],[Census Tract]],'ES Energy Burden'!$B$2:$E$914,4,FALSE)</f>
        <v>No</v>
      </c>
    </row>
    <row r="598" spans="1:18" x14ac:dyDescent="0.2">
      <c r="A598" s="100">
        <v>9015902200</v>
      </c>
      <c r="B598" s="38" t="s">
        <v>2825</v>
      </c>
      <c r="C598" s="38" t="s">
        <v>944</v>
      </c>
      <c r="D598" s="40">
        <f>[1]!Table3[[#This Row],[Residential CLM $ Collected]]+[1]!Table3[[#This Row],[C&amp;I CLM $ Collected]]</f>
        <v>150.11516160000002</v>
      </c>
      <c r="E598" s="36">
        <f>[1]!Table3[[#This Row],[CLM $ Collected ]]/'[1]1.) CLM Reference'!$B$4</f>
        <v>1.33176790908139E-6</v>
      </c>
      <c r="F598" s="40">
        <f>[1]!Table3[[#This Row],[Residential Incentive Disbursements]]+[1]!Table3[[#This Row],[C&amp;I Incentive Disbursements]]</f>
        <v>0</v>
      </c>
      <c r="G598" s="36">
        <f>[1]!Table3[[#This Row],[Incentive Disbursements]]/'[1]1.) CLM Reference'!$B$5</f>
        <v>0</v>
      </c>
      <c r="H598" s="40">
        <v>150.11516160000002</v>
      </c>
      <c r="I598" s="36">
        <f>[1]!Table3[[#This Row],[Residential CLM $ Collected]]/'[1]1.) CLM Reference'!$B$4</f>
        <v>1.33176790908139E-6</v>
      </c>
      <c r="J598" s="41">
        <v>0</v>
      </c>
      <c r="K598" s="36">
        <f>[1]!Table3[[#This Row],[Residential Incentive Disbursements]]/'[1]1.) CLM Reference'!$B$5</f>
        <v>0</v>
      </c>
      <c r="L598" s="37">
        <v>0</v>
      </c>
      <c r="M598" s="36">
        <f>[1]!Table3[[#This Row],[C&amp;I CLM $ Collected]]/'[1]1.) CLM Reference'!$B$4</f>
        <v>0</v>
      </c>
      <c r="N598" s="41">
        <v>0</v>
      </c>
      <c r="O598" s="36">
        <f>[1]!Table3[[#This Row],[C&amp;I Incentive Disbursements]]/'[1]1.) CLM Reference'!$B$5</f>
        <v>0</v>
      </c>
      <c r="Q598">
        <f>VLOOKUP(Table3[[#This Row],[Census Tract]],'Population and Diversity Data'!$B$2:$K$823,10,FALSE)</f>
        <v>2</v>
      </c>
      <c r="R598" t="str">
        <f>VLOOKUP(Table3[[#This Row],[Census Tract]],'ES Energy Burden'!$B$2:$E$914,4,FALSE)</f>
        <v>No</v>
      </c>
    </row>
    <row r="599" spans="1:18" x14ac:dyDescent="0.2">
      <c r="A599" s="100">
        <v>9015902500</v>
      </c>
      <c r="B599" s="38" t="s">
        <v>2825</v>
      </c>
      <c r="C599" s="38" t="s">
        <v>944</v>
      </c>
      <c r="D599" s="40">
        <f>[1]!Table3[[#This Row],[Residential CLM $ Collected]]+[1]!Table3[[#This Row],[C&amp;I CLM $ Collected]]</f>
        <v>102560.03529984</v>
      </c>
      <c r="E599" s="36">
        <f>[1]!Table3[[#This Row],[CLM $ Collected ]]/'[1]1.) CLM Reference'!$B$4</f>
        <v>9.0987587336801993E-4</v>
      </c>
      <c r="F599" s="40">
        <f>[1]!Table3[[#This Row],[Residential Incentive Disbursements]]+[1]!Table3[[#This Row],[C&amp;I Incentive Disbursements]]</f>
        <v>64726.646700000005</v>
      </c>
      <c r="G599" s="36">
        <f>[1]!Table3[[#This Row],[Incentive Disbursements]]/'[1]1.) CLM Reference'!$B$5</f>
        <v>7.9190800295838226E-4</v>
      </c>
      <c r="H599" s="40">
        <v>79728.11720352</v>
      </c>
      <c r="I599" s="36">
        <f>[1]!Table3[[#This Row],[Residential CLM $ Collected]]/'[1]1.) CLM Reference'!$B$4</f>
        <v>7.0731927948794091E-4</v>
      </c>
      <c r="J599" s="41">
        <v>49916.504200000003</v>
      </c>
      <c r="K599" s="36">
        <f>[1]!Table3[[#This Row],[Residential Incentive Disbursements]]/'[1]1.) CLM Reference'!$B$5</f>
        <v>6.1071106215186796E-4</v>
      </c>
      <c r="L599" s="37">
        <v>22831.918096319998</v>
      </c>
      <c r="M599" s="36">
        <f>[1]!Table3[[#This Row],[C&amp;I CLM $ Collected]]/'[1]1.) CLM Reference'!$B$4</f>
        <v>2.0255659388007899E-4</v>
      </c>
      <c r="N599" s="41">
        <v>14810.1425</v>
      </c>
      <c r="O599" s="36">
        <f>[1]!Table3[[#This Row],[C&amp;I Incentive Disbursements]]/'[1]1.) CLM Reference'!$B$5</f>
        <v>1.8119694080651427E-4</v>
      </c>
      <c r="Q599">
        <f>VLOOKUP(Table3[[#This Row],[Census Tract]],'Population and Diversity Data'!$B$2:$K$823,10,FALSE)</f>
        <v>2</v>
      </c>
      <c r="R599" t="str">
        <f>VLOOKUP(Table3[[#This Row],[Census Tract]],'ES Energy Burden'!$B$2:$E$914,4,FALSE)</f>
        <v>No</v>
      </c>
    </row>
    <row r="600" spans="1:18" x14ac:dyDescent="0.2">
      <c r="A600" s="100">
        <v>9015905100</v>
      </c>
      <c r="B600" s="38" t="s">
        <v>2825</v>
      </c>
      <c r="C600" s="38" t="s">
        <v>944</v>
      </c>
      <c r="D600" s="40">
        <f>[1]!Table3[[#This Row],[Residential CLM $ Collected]]+[1]!Table3[[#This Row],[C&amp;I CLM $ Collected]]</f>
        <v>917.38586880000003</v>
      </c>
      <c r="E600" s="36">
        <f>[1]!Table3[[#This Row],[CLM $ Collected ]]/'[1]1.) CLM Reference'!$B$4</f>
        <v>8.1387186163651994E-6</v>
      </c>
      <c r="F600" s="40">
        <f>[1]!Table3[[#This Row],[Residential Incentive Disbursements]]+[1]!Table3[[#This Row],[C&amp;I Incentive Disbursements]]</f>
        <v>0</v>
      </c>
      <c r="G600" s="36">
        <f>[1]!Table3[[#This Row],[Incentive Disbursements]]/'[1]1.) CLM Reference'!$B$5</f>
        <v>0</v>
      </c>
      <c r="H600" s="40">
        <v>917.38586880000003</v>
      </c>
      <c r="I600" s="36">
        <f>[1]!Table3[[#This Row],[Residential CLM $ Collected]]/'[1]1.) CLM Reference'!$B$4</f>
        <v>8.1387186163651994E-6</v>
      </c>
      <c r="J600" s="41">
        <v>0</v>
      </c>
      <c r="K600" s="36">
        <f>[1]!Table3[[#This Row],[Residential Incentive Disbursements]]/'[1]1.) CLM Reference'!$B$5</f>
        <v>0</v>
      </c>
      <c r="L600" s="37">
        <v>0</v>
      </c>
      <c r="M600" s="36">
        <f>[1]!Table3[[#This Row],[C&amp;I CLM $ Collected]]/'[1]1.) CLM Reference'!$B$4</f>
        <v>0</v>
      </c>
      <c r="N600" s="41">
        <v>0</v>
      </c>
      <c r="O600" s="36">
        <f>[1]!Table3[[#This Row],[C&amp;I Incentive Disbursements]]/'[1]1.) CLM Reference'!$B$5</f>
        <v>0</v>
      </c>
      <c r="Q600">
        <f>VLOOKUP(Table3[[#This Row],[Census Tract]],'Population and Diversity Data'!$B$2:$K$823,10,FALSE)</f>
        <v>4</v>
      </c>
      <c r="R600" t="str">
        <f>VLOOKUP(Table3[[#This Row],[Census Tract]],'ES Energy Burden'!$B$2:$E$914,4,FALSE)</f>
        <v>No</v>
      </c>
    </row>
    <row r="601" spans="1:18" x14ac:dyDescent="0.2">
      <c r="A601" s="100">
        <v>9007560100</v>
      </c>
      <c r="B601" s="38" t="s">
        <v>2826</v>
      </c>
      <c r="C601" s="38" t="s">
        <v>944</v>
      </c>
      <c r="D601" s="40">
        <f>[1]!Table3[[#This Row],[Residential CLM $ Collected]]+[1]!Table3[[#This Row],[C&amp;I CLM $ Collected]]</f>
        <v>192776.68356191998</v>
      </c>
      <c r="E601" s="36">
        <f>[1]!Table3[[#This Row],[CLM $ Collected ]]/'[1]1.) CLM Reference'!$B$4</f>
        <v>1.7102456410832182E-3</v>
      </c>
      <c r="F601" s="40">
        <f>[1]!Table3[[#This Row],[Residential Incentive Disbursements]]+[1]!Table3[[#This Row],[C&amp;I Incentive Disbursements]]</f>
        <v>93783.939599999998</v>
      </c>
      <c r="G601" s="36">
        <f>[1]!Table3[[#This Row],[Incentive Disbursements]]/'[1]1.) CLM Reference'!$B$5</f>
        <v>1.1474138721016972E-3</v>
      </c>
      <c r="H601" s="40">
        <v>125121.51976319999</v>
      </c>
      <c r="I601" s="36">
        <f>[1]!Table3[[#This Row],[Residential CLM $ Collected]]/'[1]1.) CLM Reference'!$B$4</f>
        <v>1.1100332769859447E-3</v>
      </c>
      <c r="J601" s="41">
        <v>80210.659599999999</v>
      </c>
      <c r="K601" s="36">
        <f>[1]!Table3[[#This Row],[Residential Incentive Disbursements]]/'[1]1.) CLM Reference'!$B$5</f>
        <v>9.8134951365880956E-4</v>
      </c>
      <c r="L601" s="37">
        <v>67655.163798719994</v>
      </c>
      <c r="M601" s="36">
        <f>[1]!Table3[[#This Row],[C&amp;I CLM $ Collected]]/'[1]1.) CLM Reference'!$B$4</f>
        <v>6.0021236409727352E-4</v>
      </c>
      <c r="N601" s="41">
        <v>13573.28</v>
      </c>
      <c r="O601" s="36">
        <f>[1]!Table3[[#This Row],[C&amp;I Incentive Disbursements]]/'[1]1.) CLM Reference'!$B$5</f>
        <v>1.6606435844288765E-4</v>
      </c>
      <c r="Q601">
        <f>VLOOKUP(Table3[[#This Row],[Census Tract]],'Population and Diversity Data'!$B$2:$K$823,10,FALSE)</f>
        <v>1</v>
      </c>
      <c r="R601" t="str">
        <f>VLOOKUP(Table3[[#This Row],[Census Tract]],'ES Energy Burden'!$B$2:$E$914,4,FALSE)</f>
        <v>No</v>
      </c>
    </row>
    <row r="602" spans="1:18" x14ac:dyDescent="0.2">
      <c r="A602" s="100">
        <v>9007560200</v>
      </c>
      <c r="B602" s="38" t="s">
        <v>2826</v>
      </c>
      <c r="C602" s="38" t="s">
        <v>944</v>
      </c>
      <c r="D602" s="40">
        <f>[1]!Table3[[#This Row],[Residential CLM $ Collected]]+[1]!Table3[[#This Row],[C&amp;I CLM $ Collected]]</f>
        <v>60508.24069536</v>
      </c>
      <c r="E602" s="36">
        <f>[1]!Table3[[#This Row],[CLM $ Collected ]]/'[1]1.) CLM Reference'!$B$4</f>
        <v>5.3680742394146715E-4</v>
      </c>
      <c r="F602" s="40">
        <f>[1]!Table3[[#This Row],[Residential Incentive Disbursements]]+[1]!Table3[[#This Row],[C&amp;I Incentive Disbursements]]</f>
        <v>31057.98</v>
      </c>
      <c r="G602" s="36">
        <f>[1]!Table3[[#This Row],[Incentive Disbursements]]/'[1]1.) CLM Reference'!$B$5</f>
        <v>3.7998357974137684E-4</v>
      </c>
      <c r="H602" s="40">
        <v>60508.24069536</v>
      </c>
      <c r="I602" s="36">
        <f>[1]!Table3[[#This Row],[Residential CLM $ Collected]]/'[1]1.) CLM Reference'!$B$4</f>
        <v>5.3680742394146715E-4</v>
      </c>
      <c r="J602" s="41">
        <v>31057.98</v>
      </c>
      <c r="K602" s="36">
        <f>[1]!Table3[[#This Row],[Residential Incentive Disbursements]]/'[1]1.) CLM Reference'!$B$5</f>
        <v>3.7998357974137684E-4</v>
      </c>
      <c r="L602" s="37">
        <v>0</v>
      </c>
      <c r="M602" s="36">
        <f>[1]!Table3[[#This Row],[C&amp;I CLM $ Collected]]/'[1]1.) CLM Reference'!$B$4</f>
        <v>0</v>
      </c>
      <c r="N602" s="41">
        <v>0</v>
      </c>
      <c r="O602" s="36">
        <f>[1]!Table3[[#This Row],[C&amp;I Incentive Disbursements]]/'[1]1.) CLM Reference'!$B$5</f>
        <v>0</v>
      </c>
      <c r="Q602">
        <f>VLOOKUP(Table3[[#This Row],[Census Tract]],'Population and Diversity Data'!$B$2:$K$823,10,FALSE)</f>
        <v>1</v>
      </c>
      <c r="R602" t="str">
        <f>VLOOKUP(Table3[[#This Row],[Census Tract]],'ES Energy Burden'!$B$2:$E$914,4,FALSE)</f>
        <v>No</v>
      </c>
    </row>
    <row r="603" spans="1:18" x14ac:dyDescent="0.2">
      <c r="A603" s="100">
        <v>9011697000</v>
      </c>
      <c r="B603" s="38" t="s">
        <v>2827</v>
      </c>
      <c r="C603" s="38" t="s">
        <v>944</v>
      </c>
      <c r="D603" s="40">
        <f>[1]!Table3[[#This Row],[Residential CLM $ Collected]]+[1]!Table3[[#This Row],[C&amp;I CLM $ Collected]]</f>
        <v>68.452560000000005</v>
      </c>
      <c r="E603" s="36">
        <f>[1]!Table3[[#This Row],[CLM $ Collected ]]/'[1]1.) CLM Reference'!$B$4</f>
        <v>6.0728657739038394E-7</v>
      </c>
      <c r="F603" s="40">
        <f>[1]!Table3[[#This Row],[Residential Incentive Disbursements]]+[1]!Table3[[#This Row],[C&amp;I Incentive Disbursements]]</f>
        <v>0</v>
      </c>
      <c r="G603" s="36">
        <f>[1]!Table3[[#This Row],[Incentive Disbursements]]/'[1]1.) CLM Reference'!$B$5</f>
        <v>0</v>
      </c>
      <c r="H603" s="40">
        <v>68.452560000000005</v>
      </c>
      <c r="I603" s="36">
        <f>[1]!Table3[[#This Row],[Residential CLM $ Collected]]/'[1]1.) CLM Reference'!$B$4</f>
        <v>6.0728657739038394E-7</v>
      </c>
      <c r="J603" s="41">
        <v>0</v>
      </c>
      <c r="K603" s="36">
        <f>[1]!Table3[[#This Row],[Residential Incentive Disbursements]]/'[1]1.) CLM Reference'!$B$5</f>
        <v>0</v>
      </c>
      <c r="L603" s="37">
        <v>0</v>
      </c>
      <c r="M603" s="36">
        <f>[1]!Table3[[#This Row],[C&amp;I CLM $ Collected]]/'[1]1.) CLM Reference'!$B$4</f>
        <v>0</v>
      </c>
      <c r="N603" s="41">
        <v>0</v>
      </c>
      <c r="O603" s="36">
        <f>[1]!Table3[[#This Row],[C&amp;I Incentive Disbursements]]/'[1]1.) CLM Reference'!$B$5</f>
        <v>0</v>
      </c>
      <c r="Q603">
        <f>VLOOKUP(Table3[[#This Row],[Census Tract]],'Population and Diversity Data'!$B$2:$K$823,10,FALSE)</f>
        <v>5</v>
      </c>
      <c r="R603" t="str">
        <f>VLOOKUP(Table3[[#This Row],[Census Tract]],'ES Energy Burden'!$B$2:$E$914,4,FALSE)</f>
        <v>Yes</v>
      </c>
    </row>
    <row r="604" spans="1:18" x14ac:dyDescent="0.2">
      <c r="A604" s="100">
        <v>9011700100</v>
      </c>
      <c r="B604" s="38" t="s">
        <v>2827</v>
      </c>
      <c r="C604" s="38" t="s">
        <v>944</v>
      </c>
      <c r="D604" s="40">
        <f>[1]!Table3[[#This Row],[Residential CLM $ Collected]]+[1]!Table3[[#This Row],[C&amp;I CLM $ Collected]]</f>
        <v>130427.25598079999</v>
      </c>
      <c r="E604" s="36">
        <f>[1]!Table3[[#This Row],[CLM $ Collected ]]/'[1]1.) CLM Reference'!$B$4</f>
        <v>1.1571038670138778E-3</v>
      </c>
      <c r="F604" s="40">
        <f>[1]!Table3[[#This Row],[Residential Incentive Disbursements]]+[1]!Table3[[#This Row],[C&amp;I Incentive Disbursements]]</f>
        <v>75747.447100000005</v>
      </c>
      <c r="G604" s="36">
        <f>[1]!Table3[[#This Row],[Incentive Disbursements]]/'[1]1.) CLM Reference'!$B$5</f>
        <v>9.267436615429779E-4</v>
      </c>
      <c r="H604" s="40">
        <v>106676.39367071999</v>
      </c>
      <c r="I604" s="36">
        <f>[1]!Table3[[#This Row],[Residential CLM $ Collected]]/'[1]1.) CLM Reference'!$B$4</f>
        <v>9.463947294394943E-4</v>
      </c>
      <c r="J604" s="41">
        <v>57765.007100000003</v>
      </c>
      <c r="K604" s="36">
        <f>[1]!Table3[[#This Row],[Residential Incentive Disbursements]]/'[1]1.) CLM Reference'!$B$5</f>
        <v>7.0673476451604551E-4</v>
      </c>
      <c r="L604" s="37">
        <v>23750.86231008</v>
      </c>
      <c r="M604" s="36">
        <f>[1]!Table3[[#This Row],[C&amp;I CLM $ Collected]]/'[1]1.) CLM Reference'!$B$4</f>
        <v>2.1070913757438361E-4</v>
      </c>
      <c r="N604" s="41">
        <v>17982.439999999999</v>
      </c>
      <c r="O604" s="36">
        <f>[1]!Table3[[#This Row],[C&amp;I Incentive Disbursements]]/'[1]1.) CLM Reference'!$B$5</f>
        <v>2.2000889702693233E-4</v>
      </c>
      <c r="Q604">
        <f>VLOOKUP(Table3[[#This Row],[Census Tract]],'Population and Diversity Data'!$B$2:$K$823,10,FALSE)</f>
        <v>4</v>
      </c>
      <c r="R604" t="str">
        <f>VLOOKUP(Table3[[#This Row],[Census Tract]],'ES Energy Burden'!$B$2:$E$914,4,FALSE)</f>
        <v>No</v>
      </c>
    </row>
    <row r="605" spans="1:18" x14ac:dyDescent="0.2">
      <c r="A605" s="100">
        <v>9011707100</v>
      </c>
      <c r="B605" s="38" t="s">
        <v>2827</v>
      </c>
      <c r="C605" s="38" t="s">
        <v>944</v>
      </c>
      <c r="D605" s="40">
        <f>[1]!Table3[[#This Row],[Residential CLM $ Collected]]+[1]!Table3[[#This Row],[C&amp;I CLM $ Collected]]</f>
        <v>751.86671039999999</v>
      </c>
      <c r="E605" s="36">
        <f>[1]!Table3[[#This Row],[CLM $ Collected ]]/'[1]1.) CLM Reference'!$B$4</f>
        <v>6.6702919688114355E-6</v>
      </c>
      <c r="F605" s="40">
        <f>[1]!Table3[[#This Row],[Residential Incentive Disbursements]]+[1]!Table3[[#This Row],[C&amp;I Incentive Disbursements]]</f>
        <v>0</v>
      </c>
      <c r="G605" s="36">
        <f>[1]!Table3[[#This Row],[Incentive Disbursements]]/'[1]1.) CLM Reference'!$B$5</f>
        <v>0</v>
      </c>
      <c r="H605" s="40">
        <v>751.86671039999999</v>
      </c>
      <c r="I605" s="36">
        <f>[1]!Table3[[#This Row],[Residential CLM $ Collected]]/'[1]1.) CLM Reference'!$B$4</f>
        <v>6.6702919688114355E-6</v>
      </c>
      <c r="J605" s="41">
        <v>0</v>
      </c>
      <c r="K605" s="36">
        <f>[1]!Table3[[#This Row],[Residential Incentive Disbursements]]/'[1]1.) CLM Reference'!$B$5</f>
        <v>0</v>
      </c>
      <c r="L605" s="37">
        <v>0</v>
      </c>
      <c r="M605" s="36">
        <f>[1]!Table3[[#This Row],[C&amp;I CLM $ Collected]]/'[1]1.) CLM Reference'!$B$4</f>
        <v>0</v>
      </c>
      <c r="N605" s="41">
        <v>0</v>
      </c>
      <c r="O605" s="36">
        <f>[1]!Table3[[#This Row],[C&amp;I Incentive Disbursements]]/'[1]1.) CLM Reference'!$B$5</f>
        <v>0</v>
      </c>
      <c r="Q605">
        <f>VLOOKUP(Table3[[#This Row],[Census Tract]],'Population and Diversity Data'!$B$2:$K$823,10,FALSE)</f>
        <v>3</v>
      </c>
      <c r="R605" t="str">
        <f>VLOOKUP(Table3[[#This Row],[Census Tract]],'ES Energy Burden'!$B$2:$E$914,4,FALSE)</f>
        <v>No</v>
      </c>
    </row>
    <row r="606" spans="1:18" x14ac:dyDescent="0.2">
      <c r="A606" s="100">
        <v>9009347100</v>
      </c>
      <c r="B606" s="38" t="s">
        <v>2828</v>
      </c>
      <c r="C606" s="38" t="s">
        <v>944</v>
      </c>
      <c r="D606" s="40">
        <f>[1]!Table3[[#This Row],[Residential CLM $ Collected]]+[1]!Table3[[#This Row],[C&amp;I CLM $ Collected]]</f>
        <v>166091.78765376</v>
      </c>
      <c r="E606" s="36">
        <f>[1]!Table3[[#This Row],[CLM $ Collected ]]/'[1]1.) CLM Reference'!$B$4</f>
        <v>1.4735068090499803E-3</v>
      </c>
      <c r="F606" s="40">
        <f>[1]!Table3[[#This Row],[Residential Incentive Disbursements]]+[1]!Table3[[#This Row],[C&amp;I Incentive Disbursements]]</f>
        <v>114759.0438</v>
      </c>
      <c r="G606" s="36">
        <f>[1]!Table3[[#This Row],[Incentive Disbursements]]/'[1]1.) CLM Reference'!$B$5</f>
        <v>1.4040369744207917E-3</v>
      </c>
      <c r="H606" s="40">
        <v>122291.37139104001</v>
      </c>
      <c r="I606" s="36">
        <f>[1]!Table3[[#This Row],[Residential CLM $ Collected]]/'[1]1.) CLM Reference'!$B$4</f>
        <v>1.0849252150166625E-3</v>
      </c>
      <c r="J606" s="41">
        <v>100895.8768</v>
      </c>
      <c r="K606" s="36">
        <f>[1]!Table3[[#This Row],[Residential Incentive Disbursements]]/'[1]1.) CLM Reference'!$B$5</f>
        <v>1.2344259493891404E-3</v>
      </c>
      <c r="L606" s="37">
        <v>43800.416262719998</v>
      </c>
      <c r="M606" s="36">
        <f>[1]!Table3[[#This Row],[C&amp;I CLM $ Collected]]/'[1]1.) CLM Reference'!$B$4</f>
        <v>3.8858159403331791E-4</v>
      </c>
      <c r="N606" s="41">
        <v>13863.166999999999</v>
      </c>
      <c r="O606" s="36">
        <f>[1]!Table3[[#This Row],[C&amp;I Incentive Disbursements]]/'[1]1.) CLM Reference'!$B$5</f>
        <v>1.6961102503165124E-4</v>
      </c>
      <c r="Q606">
        <f>VLOOKUP(Table3[[#This Row],[Census Tract]],'Population and Diversity Data'!$B$2:$K$823,10,FALSE)</f>
        <v>1</v>
      </c>
      <c r="R606" t="str">
        <f>VLOOKUP(Table3[[#This Row],[Census Tract]],'ES Energy Burden'!$B$2:$E$914,4,FALSE)</f>
        <v>No</v>
      </c>
    </row>
    <row r="607" spans="1:18" x14ac:dyDescent="0.2">
      <c r="A607" s="100">
        <v>9009347200</v>
      </c>
      <c r="B607" s="38" t="s">
        <v>2828</v>
      </c>
      <c r="C607" s="38" t="s">
        <v>944</v>
      </c>
      <c r="D607" s="40">
        <f>[1]!Table3[[#This Row],[Residential CLM $ Collected]]+[1]!Table3[[#This Row],[C&amp;I CLM $ Collected]]</f>
        <v>69831.277917119995</v>
      </c>
      <c r="E607" s="36">
        <f>[1]!Table3[[#This Row],[CLM $ Collected ]]/'[1]1.) CLM Reference'!$B$4</f>
        <v>6.1951806858771233E-4</v>
      </c>
      <c r="F607" s="40">
        <f>[1]!Table3[[#This Row],[Residential Incentive Disbursements]]+[1]!Table3[[#This Row],[C&amp;I Incentive Disbursements]]</f>
        <v>19924.240000000002</v>
      </c>
      <c r="G607" s="36">
        <f>[1]!Table3[[#This Row],[Incentive Disbursements]]/'[1]1.) CLM Reference'!$B$5</f>
        <v>2.4376614444424045E-4</v>
      </c>
      <c r="H607" s="40">
        <v>69819.393510719994</v>
      </c>
      <c r="I607" s="36">
        <f>[1]!Table3[[#This Row],[Residential CLM $ Collected]]/'[1]1.) CLM Reference'!$B$4</f>
        <v>6.1941263439376881E-4</v>
      </c>
      <c r="J607" s="41">
        <v>19924.240000000002</v>
      </c>
      <c r="K607" s="36">
        <f>[1]!Table3[[#This Row],[Residential Incentive Disbursements]]/'[1]1.) CLM Reference'!$B$5</f>
        <v>2.4376614444424045E-4</v>
      </c>
      <c r="L607" s="37">
        <v>11.8844064</v>
      </c>
      <c r="M607" s="36">
        <f>[1]!Table3[[#This Row],[C&amp;I CLM $ Collected]]/'[1]1.) CLM Reference'!$B$4</f>
        <v>1.0543419394354825E-7</v>
      </c>
      <c r="N607" s="41">
        <v>0</v>
      </c>
      <c r="O607" s="36">
        <f>[1]!Table3[[#This Row],[C&amp;I Incentive Disbursements]]/'[1]1.) CLM Reference'!$B$5</f>
        <v>0</v>
      </c>
      <c r="Q607">
        <f>VLOOKUP(Table3[[#This Row],[Census Tract]],'Population and Diversity Data'!$B$2:$K$823,10,FALSE)</f>
        <v>2</v>
      </c>
      <c r="R607" t="str">
        <f>VLOOKUP(Table3[[#This Row],[Census Tract]],'ES Energy Burden'!$B$2:$E$914,4,FALSE)</f>
        <v>No</v>
      </c>
    </row>
    <row r="608" spans="1:18" x14ac:dyDescent="0.2">
      <c r="A608" s="100">
        <v>9009352800</v>
      </c>
      <c r="B608" s="38" t="s">
        <v>2828</v>
      </c>
      <c r="C608" s="38" t="s">
        <v>944</v>
      </c>
      <c r="D608" s="40">
        <f>[1]!Table3[[#This Row],[Residential CLM $ Collected]]+[1]!Table3[[#This Row],[C&amp;I CLM $ Collected]]</f>
        <v>1536.5559168</v>
      </c>
      <c r="E608" s="36">
        <f>[1]!Table3[[#This Row],[CLM $ Collected ]]/'[1]1.) CLM Reference'!$B$4</f>
        <v>1.3631773357817667E-5</v>
      </c>
      <c r="F608" s="40">
        <f>[1]!Table3[[#This Row],[Residential Incentive Disbursements]]+[1]!Table3[[#This Row],[C&amp;I Incentive Disbursements]]</f>
        <v>0</v>
      </c>
      <c r="G608" s="36">
        <f>[1]!Table3[[#This Row],[Incentive Disbursements]]/'[1]1.) CLM Reference'!$B$5</f>
        <v>0</v>
      </c>
      <c r="H608" s="40">
        <v>1536.5559168</v>
      </c>
      <c r="I608" s="36">
        <f>[1]!Table3[[#This Row],[Residential CLM $ Collected]]/'[1]1.) CLM Reference'!$B$4</f>
        <v>1.3631773357817667E-5</v>
      </c>
      <c r="J608" s="41">
        <v>0</v>
      </c>
      <c r="K608" s="36">
        <f>[1]!Table3[[#This Row],[Residential Incentive Disbursements]]/'[1]1.) CLM Reference'!$B$5</f>
        <v>0</v>
      </c>
      <c r="L608" s="37">
        <v>0</v>
      </c>
      <c r="M608" s="36">
        <f>[1]!Table3[[#This Row],[C&amp;I CLM $ Collected]]/'[1]1.) CLM Reference'!$B$4</f>
        <v>0</v>
      </c>
      <c r="N608" s="41">
        <v>0</v>
      </c>
      <c r="O608" s="36">
        <f>[1]!Table3[[#This Row],[C&amp;I Incentive Disbursements]]/'[1]1.) CLM Reference'!$B$5</f>
        <v>0</v>
      </c>
      <c r="Q608">
        <f>VLOOKUP(Table3[[#This Row],[Census Tract]],'Population and Diversity Data'!$B$2:$K$823,10,FALSE)</f>
        <v>5</v>
      </c>
      <c r="R608" t="str">
        <f>VLOOKUP(Table3[[#This Row],[Census Tract]],'ES Energy Burden'!$B$2:$E$914,4,FALSE)</f>
        <v>No</v>
      </c>
    </row>
    <row r="609" spans="1:18" x14ac:dyDescent="0.2">
      <c r="A609" s="100">
        <v>9015901100</v>
      </c>
      <c r="B609" s="38" t="s">
        <v>2829</v>
      </c>
      <c r="C609" s="38" t="s">
        <v>944</v>
      </c>
      <c r="D609" s="40">
        <f>[1]!Table3[[#This Row],[Residential CLM $ Collected]]+[1]!Table3[[#This Row],[C&amp;I CLM $ Collected]]</f>
        <v>253.86203520000004</v>
      </c>
      <c r="E609" s="36">
        <f>[1]!Table3[[#This Row],[CLM $ Collected ]]/'[1]1.) CLM Reference'!$B$4</f>
        <v>2.2521729864590189E-6</v>
      </c>
      <c r="F609" s="40">
        <f>[1]!Table3[[#This Row],[Residential Incentive Disbursements]]+[1]!Table3[[#This Row],[C&amp;I Incentive Disbursements]]</f>
        <v>0</v>
      </c>
      <c r="G609" s="36">
        <f>[1]!Table3[[#This Row],[Incentive Disbursements]]/'[1]1.) CLM Reference'!$B$5</f>
        <v>0</v>
      </c>
      <c r="H609" s="40">
        <v>253.86203520000004</v>
      </c>
      <c r="I609" s="36">
        <f>[1]!Table3[[#This Row],[Residential CLM $ Collected]]/'[1]1.) CLM Reference'!$B$4</f>
        <v>2.2521729864590189E-6</v>
      </c>
      <c r="J609" s="41">
        <v>0</v>
      </c>
      <c r="K609" s="36">
        <f>[1]!Table3[[#This Row],[Residential Incentive Disbursements]]/'[1]1.) CLM Reference'!$B$5</f>
        <v>0</v>
      </c>
      <c r="L609" s="37">
        <v>0</v>
      </c>
      <c r="M609" s="36">
        <f>[1]!Table3[[#This Row],[C&amp;I CLM $ Collected]]/'[1]1.) CLM Reference'!$B$4</f>
        <v>0</v>
      </c>
      <c r="N609" s="41">
        <v>0</v>
      </c>
      <c r="O609" s="36">
        <f>[1]!Table3[[#This Row],[C&amp;I Incentive Disbursements]]/'[1]1.) CLM Reference'!$B$5</f>
        <v>0</v>
      </c>
      <c r="Q609">
        <f>VLOOKUP(Table3[[#This Row],[Census Tract]],'Population and Diversity Data'!$B$2:$K$823,10,FALSE)</f>
        <v>1</v>
      </c>
      <c r="R609" t="str">
        <f>VLOOKUP(Table3[[#This Row],[Census Tract]],'ES Energy Burden'!$B$2:$E$914,4,FALSE)</f>
        <v>No</v>
      </c>
    </row>
    <row r="610" spans="1:18" x14ac:dyDescent="0.2">
      <c r="A610" s="100">
        <v>9015902500</v>
      </c>
      <c r="B610" s="38" t="s">
        <v>2829</v>
      </c>
      <c r="C610" s="38" t="s">
        <v>944</v>
      </c>
      <c r="D610" s="40">
        <f>[1]!Table3[[#This Row],[Residential CLM $ Collected]]+[1]!Table3[[#This Row],[C&amp;I CLM $ Collected]]</f>
        <v>328.95955872000002</v>
      </c>
      <c r="E610" s="36">
        <f>[1]!Table3[[#This Row],[CLM $ Collected ]]/'[1]1.) CLM Reference'!$B$4</f>
        <v>2.9184112984951886E-6</v>
      </c>
      <c r="F610" s="40">
        <f>[1]!Table3[[#This Row],[Residential Incentive Disbursements]]+[1]!Table3[[#This Row],[C&amp;I Incentive Disbursements]]</f>
        <v>0</v>
      </c>
      <c r="G610" s="36">
        <f>[1]!Table3[[#This Row],[Incentive Disbursements]]/'[1]1.) CLM Reference'!$B$5</f>
        <v>0</v>
      </c>
      <c r="H610" s="40">
        <v>328.95955872000002</v>
      </c>
      <c r="I610" s="36">
        <f>[1]!Table3[[#This Row],[Residential CLM $ Collected]]/'[1]1.) CLM Reference'!$B$4</f>
        <v>2.9184112984951886E-6</v>
      </c>
      <c r="J610" s="41">
        <v>0</v>
      </c>
      <c r="K610" s="36">
        <f>[1]!Table3[[#This Row],[Residential Incentive Disbursements]]/'[1]1.) CLM Reference'!$B$5</f>
        <v>0</v>
      </c>
      <c r="L610" s="37">
        <v>0</v>
      </c>
      <c r="M610" s="36">
        <f>[1]!Table3[[#This Row],[C&amp;I CLM $ Collected]]/'[1]1.) CLM Reference'!$B$4</f>
        <v>0</v>
      </c>
      <c r="N610" s="41">
        <v>0</v>
      </c>
      <c r="O610" s="36">
        <f>[1]!Table3[[#This Row],[C&amp;I Incentive Disbursements]]/'[1]1.) CLM Reference'!$B$5</f>
        <v>0</v>
      </c>
      <c r="Q610">
        <f>VLOOKUP(Table3[[#This Row],[Census Tract]],'Population and Diversity Data'!$B$2:$K$823,10,FALSE)</f>
        <v>2</v>
      </c>
      <c r="R610" t="str">
        <f>VLOOKUP(Table3[[#This Row],[Census Tract]],'ES Energy Burden'!$B$2:$E$914,4,FALSE)</f>
        <v>No</v>
      </c>
    </row>
    <row r="611" spans="1:18" x14ac:dyDescent="0.2">
      <c r="A611" s="100">
        <v>9015903100</v>
      </c>
      <c r="B611" s="38" t="s">
        <v>2829</v>
      </c>
      <c r="C611" s="38" t="s">
        <v>944</v>
      </c>
      <c r="D611" s="40">
        <f>[1]!Table3[[#This Row],[Residential CLM $ Collected]]+[1]!Table3[[#This Row],[C&amp;I CLM $ Collected]]</f>
        <v>224139.23609759999</v>
      </c>
      <c r="E611" s="36">
        <f>[1]!Table3[[#This Row],[CLM $ Collected ]]/'[1]1.) CLM Reference'!$B$4</f>
        <v>1.9884829661389828E-3</v>
      </c>
      <c r="F611" s="40">
        <f>[1]!Table3[[#This Row],[Residential Incentive Disbursements]]+[1]!Table3[[#This Row],[C&amp;I Incentive Disbursements]]</f>
        <v>277851.3052</v>
      </c>
      <c r="G611" s="36">
        <f>[1]!Table3[[#This Row],[Incentive Disbursements]]/'[1]1.) CLM Reference'!$B$5</f>
        <v>3.3994140502927052E-3</v>
      </c>
      <c r="H611" s="40">
        <v>126091.598184</v>
      </c>
      <c r="I611" s="36">
        <f>[1]!Table3[[#This Row],[Residential CLM $ Collected]]/'[1]1.) CLM Reference'!$B$4</f>
        <v>1.1186394650374639E-3</v>
      </c>
      <c r="J611" s="41">
        <v>270102.65519999998</v>
      </c>
      <c r="K611" s="36">
        <f>[1]!Table3[[#This Row],[Residential Incentive Disbursements]]/'[1]1.) CLM Reference'!$B$5</f>
        <v>3.3046120134196367E-3</v>
      </c>
      <c r="L611" s="37">
        <v>98047.637913599989</v>
      </c>
      <c r="M611" s="36">
        <f>[1]!Table3[[#This Row],[C&amp;I CLM $ Collected]]/'[1]1.) CLM Reference'!$B$4</f>
        <v>8.698435011015187E-4</v>
      </c>
      <c r="N611" s="41">
        <v>7748.65</v>
      </c>
      <c r="O611" s="36">
        <f>[1]!Table3[[#This Row],[C&amp;I Incentive Disbursements]]/'[1]1.) CLM Reference'!$B$5</f>
        <v>9.4802036873068351E-5</v>
      </c>
      <c r="Q611">
        <f>VLOOKUP(Table3[[#This Row],[Census Tract]],'Population and Diversity Data'!$B$2:$K$823,10,FALSE)</f>
        <v>2</v>
      </c>
      <c r="R611" t="str">
        <f>VLOOKUP(Table3[[#This Row],[Census Tract]],'ES Energy Burden'!$B$2:$E$914,4,FALSE)</f>
        <v>No</v>
      </c>
    </row>
    <row r="612" spans="1:18" x14ac:dyDescent="0.2">
      <c r="A612" s="100">
        <v>9015903200</v>
      </c>
      <c r="B612" s="38" t="s">
        <v>2829</v>
      </c>
      <c r="C612" s="38" t="s">
        <v>944</v>
      </c>
      <c r="D612" s="40">
        <f>[1]!Table3[[#This Row],[Residential CLM $ Collected]]+[1]!Table3[[#This Row],[C&amp;I CLM $ Collected]]</f>
        <v>45609.665760000004</v>
      </c>
      <c r="E612" s="36">
        <f>[1]!Table3[[#This Row],[CLM $ Collected ]]/'[1]1.) CLM Reference'!$B$4</f>
        <v>4.0463260709767149E-4</v>
      </c>
      <c r="F612" s="40">
        <f>[1]!Table3[[#This Row],[Residential Incentive Disbursements]]+[1]!Table3[[#This Row],[C&amp;I Incentive Disbursements]]</f>
        <v>4946.6899999999996</v>
      </c>
      <c r="G612" s="36">
        <f>[1]!Table3[[#This Row],[Incentive Disbursements]]/'[1]1.) CLM Reference'!$B$5</f>
        <v>6.0521031118922454E-5</v>
      </c>
      <c r="H612" s="40">
        <v>45609.665760000004</v>
      </c>
      <c r="I612" s="36">
        <f>[1]!Table3[[#This Row],[Residential CLM $ Collected]]/'[1]1.) CLM Reference'!$B$4</f>
        <v>4.0463260709767149E-4</v>
      </c>
      <c r="J612" s="41">
        <v>4946.6899999999996</v>
      </c>
      <c r="K612" s="36">
        <f>[1]!Table3[[#This Row],[Residential Incentive Disbursements]]/'[1]1.) CLM Reference'!$B$5</f>
        <v>6.0521031118922454E-5</v>
      </c>
      <c r="L612" s="37">
        <v>0</v>
      </c>
      <c r="M612" s="36">
        <f>[1]!Table3[[#This Row],[C&amp;I CLM $ Collected]]/'[1]1.) CLM Reference'!$B$4</f>
        <v>0</v>
      </c>
      <c r="N612" s="41">
        <v>0</v>
      </c>
      <c r="O612" s="36">
        <f>[1]!Table3[[#This Row],[C&amp;I Incentive Disbursements]]/'[1]1.) CLM Reference'!$B$5</f>
        <v>0</v>
      </c>
      <c r="Q612">
        <f>VLOOKUP(Table3[[#This Row],[Census Tract]],'Population and Diversity Data'!$B$2:$K$823,10,FALSE)</f>
        <v>3</v>
      </c>
      <c r="R612" t="str">
        <f>VLOOKUP(Table3[[#This Row],[Census Tract]],'ES Energy Burden'!$B$2:$E$914,4,FALSE)</f>
        <v>No</v>
      </c>
    </row>
    <row r="613" spans="1:18" x14ac:dyDescent="0.2">
      <c r="A613" s="100">
        <v>9015904100</v>
      </c>
      <c r="B613" s="38" t="s">
        <v>2829</v>
      </c>
      <c r="C613" s="38" t="s">
        <v>944</v>
      </c>
      <c r="D613" s="40">
        <f>[1]!Table3[[#This Row],[Residential CLM $ Collected]]+[1]!Table3[[#This Row],[C&amp;I CLM $ Collected]]</f>
        <v>306.71377919999998</v>
      </c>
      <c r="E613" s="36">
        <f>[1]!Table3[[#This Row],[CLM $ Collected ]]/'[1]1.) CLM Reference'!$B$4</f>
        <v>2.7210547159790357E-6</v>
      </c>
      <c r="F613" s="40">
        <f>[1]!Table3[[#This Row],[Residential Incentive Disbursements]]+[1]!Table3[[#This Row],[C&amp;I Incentive Disbursements]]</f>
        <v>0</v>
      </c>
      <c r="G613" s="36">
        <f>[1]!Table3[[#This Row],[Incentive Disbursements]]/'[1]1.) CLM Reference'!$B$5</f>
        <v>0</v>
      </c>
      <c r="H613" s="40">
        <v>306.71377919999998</v>
      </c>
      <c r="I613" s="36">
        <f>[1]!Table3[[#This Row],[Residential CLM $ Collected]]/'[1]1.) CLM Reference'!$B$4</f>
        <v>2.7210547159790357E-6</v>
      </c>
      <c r="J613" s="41">
        <v>0</v>
      </c>
      <c r="K613" s="36">
        <f>[1]!Table3[[#This Row],[Residential Incentive Disbursements]]/'[1]1.) CLM Reference'!$B$5</f>
        <v>0</v>
      </c>
      <c r="L613" s="37">
        <v>0</v>
      </c>
      <c r="M613" s="36">
        <f>[1]!Table3[[#This Row],[C&amp;I CLM $ Collected]]/'[1]1.) CLM Reference'!$B$4</f>
        <v>0</v>
      </c>
      <c r="N613" s="41">
        <v>0</v>
      </c>
      <c r="O613" s="36">
        <f>[1]!Table3[[#This Row],[C&amp;I Incentive Disbursements]]/'[1]1.) CLM Reference'!$B$5</f>
        <v>0</v>
      </c>
      <c r="Q613">
        <f>VLOOKUP(Table3[[#This Row],[Census Tract]],'Population and Diversity Data'!$B$2:$K$823,10,FALSE)</f>
        <v>2</v>
      </c>
      <c r="R613" t="str">
        <f>VLOOKUP(Table3[[#This Row],[Census Tract]],'ES Energy Burden'!$B$2:$E$914,4,FALSE)</f>
        <v>No</v>
      </c>
    </row>
    <row r="614" spans="1:18" x14ac:dyDescent="0.2">
      <c r="A614" s="100">
        <v>9001055100</v>
      </c>
      <c r="B614" s="38" t="s">
        <v>2830</v>
      </c>
      <c r="C614" s="38" t="s">
        <v>944</v>
      </c>
      <c r="D614" s="40">
        <f>[1]!Table3[[#This Row],[Residential CLM $ Collected]]+[1]!Table3[[#This Row],[C&amp;I CLM $ Collected]]</f>
        <v>6580.5052319999995</v>
      </c>
      <c r="E614" s="36">
        <f>[1]!Table3[[#This Row],[CLM $ Collected ]]/'[1]1.) CLM Reference'!$B$4</f>
        <v>5.8379883817943308E-5</v>
      </c>
      <c r="F614" s="40">
        <f>[1]!Table3[[#This Row],[Residential Incentive Disbursements]]+[1]!Table3[[#This Row],[C&amp;I Incentive Disbursements]]</f>
        <v>3388.5</v>
      </c>
      <c r="G614" s="36">
        <f>[1]!Table3[[#This Row],[Incentive Disbursements]]/'[1]1.) CLM Reference'!$B$5</f>
        <v>4.1457118587675547E-5</v>
      </c>
      <c r="H614" s="40">
        <v>6580.5052319999995</v>
      </c>
      <c r="I614" s="36">
        <f>[1]!Table3[[#This Row],[Residential CLM $ Collected]]/'[1]1.) CLM Reference'!$B$4</f>
        <v>5.8379883817943308E-5</v>
      </c>
      <c r="J614" s="41">
        <v>3388.5</v>
      </c>
      <c r="K614" s="36">
        <f>[1]!Table3[[#This Row],[Residential Incentive Disbursements]]/'[1]1.) CLM Reference'!$B$5</f>
        <v>4.1457118587675547E-5</v>
      </c>
      <c r="L614" s="37">
        <v>0</v>
      </c>
      <c r="M614" s="36">
        <f>[1]!Table3[[#This Row],[C&amp;I CLM $ Collected]]/'[1]1.) CLM Reference'!$B$4</f>
        <v>0</v>
      </c>
      <c r="N614" s="41">
        <v>0</v>
      </c>
      <c r="O614" s="36">
        <f>[1]!Table3[[#This Row],[C&amp;I Incentive Disbursements]]/'[1]1.) CLM Reference'!$B$5</f>
        <v>0</v>
      </c>
      <c r="Q614">
        <f>VLOOKUP(Table3[[#This Row],[Census Tract]],'Population and Diversity Data'!$B$2:$K$823,10,FALSE)</f>
        <v>4</v>
      </c>
      <c r="R614" t="str">
        <f>VLOOKUP(Table3[[#This Row],[Census Tract]],'ES Energy Burden'!$B$2:$E$914,4,FALSE)</f>
        <v>No</v>
      </c>
    </row>
    <row r="615" spans="1:18" x14ac:dyDescent="0.2">
      <c r="A615" s="100">
        <v>9001240100</v>
      </c>
      <c r="B615" s="38" t="s">
        <v>2830</v>
      </c>
      <c r="C615" s="38" t="s">
        <v>944</v>
      </c>
      <c r="D615" s="40">
        <f>[1]!Table3[[#This Row],[Residential CLM $ Collected]]+[1]!Table3[[#This Row],[C&amp;I CLM $ Collected]]</f>
        <v>105997.58451071999</v>
      </c>
      <c r="E615" s="36">
        <f>[1]!Table3[[#This Row],[CLM $ Collected ]]/'[1]1.) CLM Reference'!$B$4</f>
        <v>9.4037257787237037E-4</v>
      </c>
      <c r="F615" s="40">
        <f>[1]!Table3[[#This Row],[Residential Incentive Disbursements]]+[1]!Table3[[#This Row],[C&amp;I Incentive Disbursements]]</f>
        <v>23180.573899999999</v>
      </c>
      <c r="G615" s="36">
        <f>[1]!Table3[[#This Row],[Incentive Disbursements]]/'[1]1.) CLM Reference'!$B$5</f>
        <v>2.8360625678107616E-4</v>
      </c>
      <c r="H615" s="40">
        <v>105989.61333311998</v>
      </c>
      <c r="I615" s="36">
        <f>[1]!Table3[[#This Row],[Residential CLM $ Collected]]/'[1]1.) CLM Reference'!$B$4</f>
        <v>9.4030186044175164E-4</v>
      </c>
      <c r="J615" s="41">
        <v>23180.573899999999</v>
      </c>
      <c r="K615" s="36">
        <f>[1]!Table3[[#This Row],[Residential Incentive Disbursements]]/'[1]1.) CLM Reference'!$B$5</f>
        <v>2.8360625678107616E-4</v>
      </c>
      <c r="L615" s="37">
        <v>7.9711776000000008</v>
      </c>
      <c r="M615" s="36">
        <f>[1]!Table3[[#This Row],[C&amp;I CLM $ Collected]]/'[1]1.) CLM Reference'!$B$4</f>
        <v>7.0717430618736454E-8</v>
      </c>
      <c r="N615" s="41">
        <v>0</v>
      </c>
      <c r="O615" s="36">
        <f>[1]!Table3[[#This Row],[C&amp;I Incentive Disbursements]]/'[1]1.) CLM Reference'!$B$5</f>
        <v>0</v>
      </c>
      <c r="Q615">
        <f>VLOOKUP(Table3[[#This Row],[Census Tract]],'Population and Diversity Data'!$B$2:$K$823,10,FALSE)</f>
        <v>1</v>
      </c>
      <c r="R615" t="str">
        <f>VLOOKUP(Table3[[#This Row],[Census Tract]],'ES Energy Burden'!$B$2:$E$914,4,FALSE)</f>
        <v>No</v>
      </c>
    </row>
    <row r="616" spans="1:18" x14ac:dyDescent="0.2">
      <c r="A616" s="100">
        <v>9001240200</v>
      </c>
      <c r="B616" s="38" t="s">
        <v>2830</v>
      </c>
      <c r="C616" s="38" t="s">
        <v>944</v>
      </c>
      <c r="D616" s="40">
        <f>[1]!Table3[[#This Row],[Residential CLM $ Collected]]+[1]!Table3[[#This Row],[C&amp;I CLM $ Collected]]</f>
        <v>169993.67156351998</v>
      </c>
      <c r="E616" s="36">
        <f>[1]!Table3[[#This Row],[CLM $ Collected ]]/'[1]1.) CLM Reference'!$B$4</f>
        <v>1.5081229245748453E-3</v>
      </c>
      <c r="F616" s="40">
        <f>[1]!Table3[[#This Row],[Residential Incentive Disbursements]]+[1]!Table3[[#This Row],[C&amp;I Incentive Disbursements]]</f>
        <v>66021.557700000005</v>
      </c>
      <c r="G616" s="36">
        <f>[1]!Table3[[#This Row],[Incentive Disbursements]]/'[1]1.) CLM Reference'!$B$5</f>
        <v>8.0775078852352489E-4</v>
      </c>
      <c r="H616" s="40">
        <v>135659.58847776</v>
      </c>
      <c r="I616" s="36">
        <f>[1]!Table3[[#This Row],[Residential CLM $ Collected]]/'[1]1.) CLM Reference'!$B$4</f>
        <v>1.2035232455418297E-3</v>
      </c>
      <c r="J616" s="41">
        <v>62433.157700000003</v>
      </c>
      <c r="K616" s="36">
        <f>[1]!Table3[[#This Row],[Residential Incentive Disbursements]]/'[1]1.) CLM Reference'!$B$5</f>
        <v>7.6384796298419619E-4</v>
      </c>
      <c r="L616" s="37">
        <v>34334.083085759994</v>
      </c>
      <c r="M616" s="36">
        <f>[1]!Table3[[#This Row],[C&amp;I CLM $ Collected]]/'[1]1.) CLM Reference'!$B$4</f>
        <v>3.0459967903301581E-4</v>
      </c>
      <c r="N616" s="41">
        <v>3588.4</v>
      </c>
      <c r="O616" s="36">
        <f>[1]!Table3[[#This Row],[C&amp;I Incentive Disbursements]]/'[1]1.) CLM Reference'!$B$5</f>
        <v>4.3902825539328596E-5</v>
      </c>
      <c r="Q616">
        <f>VLOOKUP(Table3[[#This Row],[Census Tract]],'Population and Diversity Data'!$B$2:$K$823,10,FALSE)</f>
        <v>2</v>
      </c>
      <c r="R616" t="str">
        <f>VLOOKUP(Table3[[#This Row],[Census Tract]],'ES Energy Burden'!$B$2:$E$914,4,FALSE)</f>
        <v>No</v>
      </c>
    </row>
    <row r="617" spans="1:18" x14ac:dyDescent="0.2">
      <c r="A617" s="100">
        <v>9001245200</v>
      </c>
      <c r="B617" s="38" t="s">
        <v>2830</v>
      </c>
      <c r="C617" s="38" t="s">
        <v>944</v>
      </c>
      <c r="D617" s="40">
        <f>[1]!Table3[[#This Row],[Residential CLM $ Collected]]+[1]!Table3[[#This Row],[C&amp;I CLM $ Collected]]</f>
        <v>324.96586560000003</v>
      </c>
      <c r="E617" s="36">
        <f>[1]!Table3[[#This Row],[CLM $ Collected ]]/'[1]1.) CLM Reference'!$B$4</f>
        <v>2.8829806845635501E-6</v>
      </c>
      <c r="F617" s="40">
        <f>[1]!Table3[[#This Row],[Residential Incentive Disbursements]]+[1]!Table3[[#This Row],[C&amp;I Incentive Disbursements]]</f>
        <v>0</v>
      </c>
      <c r="G617" s="36">
        <f>[1]!Table3[[#This Row],[Incentive Disbursements]]/'[1]1.) CLM Reference'!$B$5</f>
        <v>0</v>
      </c>
      <c r="H617" s="40">
        <v>324.96586560000003</v>
      </c>
      <c r="I617" s="36">
        <f>[1]!Table3[[#This Row],[Residential CLM $ Collected]]/'[1]1.) CLM Reference'!$B$4</f>
        <v>2.8829806845635501E-6</v>
      </c>
      <c r="J617" s="41">
        <v>0</v>
      </c>
      <c r="K617" s="36">
        <f>[1]!Table3[[#This Row],[Residential Incentive Disbursements]]/'[1]1.) CLM Reference'!$B$5</f>
        <v>0</v>
      </c>
      <c r="L617" s="37">
        <v>0</v>
      </c>
      <c r="M617" s="36">
        <f>[1]!Table3[[#This Row],[C&amp;I CLM $ Collected]]/'[1]1.) CLM Reference'!$B$4</f>
        <v>0</v>
      </c>
      <c r="N617" s="41">
        <v>0</v>
      </c>
      <c r="O617" s="36">
        <f>[1]!Table3[[#This Row],[C&amp;I Incentive Disbursements]]/'[1]1.) CLM Reference'!$B$5</f>
        <v>0</v>
      </c>
      <c r="Q617">
        <f>VLOOKUP(Table3[[#This Row],[Census Tract]],'Population and Diversity Data'!$B$2:$K$823,10,FALSE)</f>
        <v>3</v>
      </c>
      <c r="R617" t="str">
        <f>VLOOKUP(Table3[[#This Row],[Census Tract]],'ES Energy Burden'!$B$2:$E$914,4,FALSE)</f>
        <v>No</v>
      </c>
    </row>
    <row r="618" spans="1:18" x14ac:dyDescent="0.2">
      <c r="A618" s="100">
        <v>9001045102</v>
      </c>
      <c r="B618" s="38" t="s">
        <v>2831</v>
      </c>
      <c r="C618" s="38" t="s">
        <v>944</v>
      </c>
      <c r="D618" s="40">
        <f>[1]!Table3[[#This Row],[Residential CLM $ Collected]]+[1]!Table3[[#This Row],[C&amp;I CLM $ Collected]]</f>
        <v>226.29576959999997</v>
      </c>
      <c r="E618" s="36">
        <f>[1]!Table3[[#This Row],[CLM $ Collected ]]/'[1]1.) CLM Reference'!$B$4</f>
        <v>2.0076149584224004E-6</v>
      </c>
      <c r="F618" s="40">
        <f>[1]!Table3[[#This Row],[Residential Incentive Disbursements]]+[1]!Table3[[#This Row],[C&amp;I Incentive Disbursements]]</f>
        <v>0</v>
      </c>
      <c r="G618" s="36">
        <f>[1]!Table3[[#This Row],[Incentive Disbursements]]/'[1]1.) CLM Reference'!$B$5</f>
        <v>0</v>
      </c>
      <c r="H618" s="40">
        <v>226.29576959999997</v>
      </c>
      <c r="I618" s="36">
        <f>[1]!Table3[[#This Row],[Residential CLM $ Collected]]/'[1]1.) CLM Reference'!$B$4</f>
        <v>2.0076149584224004E-6</v>
      </c>
      <c r="J618" s="41">
        <v>0</v>
      </c>
      <c r="K618" s="36">
        <f>[1]!Table3[[#This Row],[Residential Incentive Disbursements]]/'[1]1.) CLM Reference'!$B$5</f>
        <v>0</v>
      </c>
      <c r="L618" s="37">
        <v>0</v>
      </c>
      <c r="M618" s="36">
        <f>[1]!Table3[[#This Row],[C&amp;I CLM $ Collected]]/'[1]1.) CLM Reference'!$B$4</f>
        <v>0</v>
      </c>
      <c r="N618" s="41">
        <v>0</v>
      </c>
      <c r="O618" s="36">
        <f>[1]!Table3[[#This Row],[C&amp;I Incentive Disbursements]]/'[1]1.) CLM Reference'!$B$5</f>
        <v>0</v>
      </c>
      <c r="Q618">
        <f>VLOOKUP(Table3[[#This Row],[Census Tract]],'Population and Diversity Data'!$B$2:$K$823,10,FALSE)</f>
        <v>3</v>
      </c>
      <c r="R618" t="str">
        <f>VLOOKUP(Table3[[#This Row],[Census Tract]],'ES Energy Burden'!$B$2:$E$914,4,FALSE)</f>
        <v>No</v>
      </c>
    </row>
    <row r="619" spans="1:18" x14ac:dyDescent="0.2">
      <c r="A619" s="100">
        <v>9001210500</v>
      </c>
      <c r="B619" s="38" t="s">
        <v>2831</v>
      </c>
      <c r="C619" s="38" t="s">
        <v>944</v>
      </c>
      <c r="D619" s="40">
        <f>[1]!Table3[[#This Row],[Residential CLM $ Collected]]+[1]!Table3[[#This Row],[C&amp;I CLM $ Collected]]</f>
        <v>1074.8122848</v>
      </c>
      <c r="E619" s="36">
        <f>[1]!Table3[[#This Row],[CLM $ Collected ]]/'[1]1.) CLM Reference'!$B$4</f>
        <v>9.5353493539661704E-6</v>
      </c>
      <c r="F619" s="40">
        <f>[1]!Table3[[#This Row],[Residential Incentive Disbursements]]+[1]!Table3[[#This Row],[C&amp;I Incentive Disbursements]]</f>
        <v>0</v>
      </c>
      <c r="G619" s="36">
        <f>[1]!Table3[[#This Row],[Incentive Disbursements]]/'[1]1.) CLM Reference'!$B$5</f>
        <v>0</v>
      </c>
      <c r="H619" s="40">
        <v>1074.8122848</v>
      </c>
      <c r="I619" s="36">
        <f>[1]!Table3[[#This Row],[Residential CLM $ Collected]]/'[1]1.) CLM Reference'!$B$4</f>
        <v>9.5353493539661704E-6</v>
      </c>
      <c r="J619" s="41">
        <v>0</v>
      </c>
      <c r="K619" s="36">
        <f>[1]!Table3[[#This Row],[Residential Incentive Disbursements]]/'[1]1.) CLM Reference'!$B$5</f>
        <v>0</v>
      </c>
      <c r="L619" s="37">
        <v>0</v>
      </c>
      <c r="M619" s="36">
        <f>[1]!Table3[[#This Row],[C&amp;I CLM $ Collected]]/'[1]1.) CLM Reference'!$B$4</f>
        <v>0</v>
      </c>
      <c r="N619" s="41">
        <v>0</v>
      </c>
      <c r="O619" s="36">
        <f>[1]!Table3[[#This Row],[C&amp;I Incentive Disbursements]]/'[1]1.) CLM Reference'!$B$5</f>
        <v>0</v>
      </c>
      <c r="Q619">
        <f>VLOOKUP(Table3[[#This Row],[Census Tract]],'Population and Diversity Data'!$B$2:$K$823,10,FALSE)</f>
        <v>4</v>
      </c>
      <c r="R619" t="str">
        <f>VLOOKUP(Table3[[#This Row],[Census Tract]],'ES Energy Burden'!$B$2:$E$914,4,FALSE)</f>
        <v>No</v>
      </c>
    </row>
    <row r="620" spans="1:18" x14ac:dyDescent="0.2">
      <c r="A620" s="100">
        <v>9001240100</v>
      </c>
      <c r="B620" s="38" t="s">
        <v>2831</v>
      </c>
      <c r="C620" s="38" t="s">
        <v>944</v>
      </c>
      <c r="D620" s="40">
        <f>[1]!Table3[[#This Row],[Residential CLM $ Collected]]+[1]!Table3[[#This Row],[C&amp;I CLM $ Collected]]</f>
        <v>1081.2262751999999</v>
      </c>
      <c r="E620" s="36">
        <f>[1]!Table3[[#This Row],[CLM $ Collected ]]/'[1]1.) CLM Reference'!$B$4</f>
        <v>9.5922519778772511E-6</v>
      </c>
      <c r="F620" s="40">
        <f>[1]!Table3[[#This Row],[Residential Incentive Disbursements]]+[1]!Table3[[#This Row],[C&amp;I Incentive Disbursements]]</f>
        <v>0</v>
      </c>
      <c r="G620" s="36">
        <f>[1]!Table3[[#This Row],[Incentive Disbursements]]/'[1]1.) CLM Reference'!$B$5</f>
        <v>0</v>
      </c>
      <c r="H620" s="40">
        <v>1081.2262751999999</v>
      </c>
      <c r="I620" s="36">
        <f>[1]!Table3[[#This Row],[Residential CLM $ Collected]]/'[1]1.) CLM Reference'!$B$4</f>
        <v>9.5922519778772511E-6</v>
      </c>
      <c r="J620" s="41">
        <v>0</v>
      </c>
      <c r="K620" s="36">
        <f>[1]!Table3[[#This Row],[Residential Incentive Disbursements]]/'[1]1.) CLM Reference'!$B$5</f>
        <v>0</v>
      </c>
      <c r="L620" s="37">
        <v>0</v>
      </c>
      <c r="M620" s="36">
        <f>[1]!Table3[[#This Row],[C&amp;I CLM $ Collected]]/'[1]1.) CLM Reference'!$B$4</f>
        <v>0</v>
      </c>
      <c r="N620" s="41">
        <v>0</v>
      </c>
      <c r="O620" s="36">
        <f>[1]!Table3[[#This Row],[C&amp;I Incentive Disbursements]]/'[1]1.) CLM Reference'!$B$5</f>
        <v>0</v>
      </c>
      <c r="Q620">
        <f>VLOOKUP(Table3[[#This Row],[Census Tract]],'Population and Diversity Data'!$B$2:$K$823,10,FALSE)</f>
        <v>1</v>
      </c>
      <c r="R620" t="str">
        <f>VLOOKUP(Table3[[#This Row],[Census Tract]],'ES Energy Burden'!$B$2:$E$914,4,FALSE)</f>
        <v>No</v>
      </c>
    </row>
    <row r="621" spans="1:18" x14ac:dyDescent="0.2">
      <c r="A621" s="100">
        <v>9001245100</v>
      </c>
      <c r="B621" s="38" t="s">
        <v>2831</v>
      </c>
      <c r="C621" s="38" t="s">
        <v>944</v>
      </c>
      <c r="D621" s="40">
        <f>[1]!Table3[[#This Row],[Residential CLM $ Collected]]+[1]!Table3[[#This Row],[C&amp;I CLM $ Collected]]</f>
        <v>57530.246371200003</v>
      </c>
      <c r="E621" s="36">
        <f>[1]!Table3[[#This Row],[CLM $ Collected ]]/'[1]1.) CLM Reference'!$B$4</f>
        <v>5.1038772567733913E-4</v>
      </c>
      <c r="F621" s="40">
        <f>[1]!Table3[[#This Row],[Residential Incentive Disbursements]]+[1]!Table3[[#This Row],[C&amp;I Incentive Disbursements]]</f>
        <v>11748.259099999999</v>
      </c>
      <c r="G621" s="36">
        <f>[1]!Table3[[#This Row],[Incentive Disbursements]]/'[1]1.) CLM Reference'!$B$5</f>
        <v>1.4373586268479811E-4</v>
      </c>
      <c r="H621" s="40">
        <v>57530.246371200003</v>
      </c>
      <c r="I621" s="36">
        <f>[1]!Table3[[#This Row],[Residential CLM $ Collected]]/'[1]1.) CLM Reference'!$B$4</f>
        <v>5.1038772567733913E-4</v>
      </c>
      <c r="J621" s="41">
        <v>11748.259099999999</v>
      </c>
      <c r="K621" s="36">
        <f>[1]!Table3[[#This Row],[Residential Incentive Disbursements]]/'[1]1.) CLM Reference'!$B$5</f>
        <v>1.4373586268479811E-4</v>
      </c>
      <c r="L621" s="37">
        <v>0</v>
      </c>
      <c r="M621" s="36">
        <f>[1]!Table3[[#This Row],[C&amp;I CLM $ Collected]]/'[1]1.) CLM Reference'!$B$4</f>
        <v>0</v>
      </c>
      <c r="N621" s="41">
        <v>0</v>
      </c>
      <c r="O621" s="36">
        <f>[1]!Table3[[#This Row],[C&amp;I Incentive Disbursements]]/'[1]1.) CLM Reference'!$B$5</f>
        <v>0</v>
      </c>
      <c r="Q621">
        <f>VLOOKUP(Table3[[#This Row],[Census Tract]],'Population and Diversity Data'!$B$2:$K$823,10,FALSE)</f>
        <v>1</v>
      </c>
      <c r="R621" t="str">
        <f>VLOOKUP(Table3[[#This Row],[Census Tract]],'ES Energy Burden'!$B$2:$E$914,4,FALSE)</f>
        <v>No</v>
      </c>
    </row>
    <row r="622" spans="1:18" x14ac:dyDescent="0.2">
      <c r="A622" s="100">
        <v>9001245200</v>
      </c>
      <c r="B622" s="38" t="s">
        <v>2831</v>
      </c>
      <c r="C622" s="38" t="s">
        <v>944</v>
      </c>
      <c r="D622" s="40">
        <f>[1]!Table3[[#This Row],[Residential CLM $ Collected]]+[1]!Table3[[#This Row],[C&amp;I CLM $ Collected]]</f>
        <v>98395.787923199998</v>
      </c>
      <c r="E622" s="36">
        <f>[1]!Table3[[#This Row],[CLM $ Collected ]]/'[1]1.) CLM Reference'!$B$4</f>
        <v>8.7293216320193415E-4</v>
      </c>
      <c r="F622" s="40">
        <f>[1]!Table3[[#This Row],[Residential Incentive Disbursements]]+[1]!Table3[[#This Row],[C&amp;I Incentive Disbursements]]</f>
        <v>10773.143099999999</v>
      </c>
      <c r="G622" s="36">
        <f>[1]!Table3[[#This Row],[Incentive Disbursements]]/'[1]1.) CLM Reference'!$B$5</f>
        <v>1.3180565768295663E-4</v>
      </c>
      <c r="H622" s="40">
        <v>98395.787923199998</v>
      </c>
      <c r="I622" s="36">
        <f>[1]!Table3[[#This Row],[Residential CLM $ Collected]]/'[1]1.) CLM Reference'!$B$4</f>
        <v>8.7293216320193415E-4</v>
      </c>
      <c r="J622" s="41">
        <v>10773.143099999999</v>
      </c>
      <c r="K622" s="36">
        <f>[1]!Table3[[#This Row],[Residential Incentive Disbursements]]/'[1]1.) CLM Reference'!$B$5</f>
        <v>1.3180565768295663E-4</v>
      </c>
      <c r="L622" s="37">
        <v>0</v>
      </c>
      <c r="M622" s="36">
        <f>[1]!Table3[[#This Row],[C&amp;I CLM $ Collected]]/'[1]1.) CLM Reference'!$B$4</f>
        <v>0</v>
      </c>
      <c r="N622" s="41">
        <v>0</v>
      </c>
      <c r="O622" s="36">
        <f>[1]!Table3[[#This Row],[C&amp;I Incentive Disbursements]]/'[1]1.) CLM Reference'!$B$5</f>
        <v>0</v>
      </c>
      <c r="Q622">
        <f>VLOOKUP(Table3[[#This Row],[Census Tract]],'Population and Diversity Data'!$B$2:$K$823,10,FALSE)</f>
        <v>3</v>
      </c>
      <c r="R622" t="str">
        <f>VLOOKUP(Table3[[#This Row],[Census Tract]],'ES Energy Burden'!$B$2:$E$914,4,FALSE)</f>
        <v>No</v>
      </c>
    </row>
    <row r="623" spans="1:18" x14ac:dyDescent="0.2">
      <c r="A623" s="100">
        <v>9001245300</v>
      </c>
      <c r="B623" s="38" t="s">
        <v>2831</v>
      </c>
      <c r="C623" s="38" t="s">
        <v>944</v>
      </c>
      <c r="D623" s="40">
        <f>[1]!Table3[[#This Row],[Residential CLM $ Collected]]+[1]!Table3[[#This Row],[C&amp;I CLM $ Collected]]</f>
        <v>134335.73796479998</v>
      </c>
      <c r="E623" s="36">
        <f>[1]!Table3[[#This Row],[CLM $ Collected ]]/'[1]1.) CLM Reference'!$B$4</f>
        <v>1.1917785182885027E-3</v>
      </c>
      <c r="F623" s="40">
        <f>[1]!Table3[[#This Row],[Residential Incentive Disbursements]]+[1]!Table3[[#This Row],[C&amp;I Incentive Disbursements]]</f>
        <v>64446.402699999999</v>
      </c>
      <c r="G623" s="36">
        <f>[1]!Table3[[#This Row],[Incentive Disbursements]]/'[1]1.) CLM Reference'!$B$5</f>
        <v>7.8847931511966758E-4</v>
      </c>
      <c r="H623" s="40">
        <v>134043.68142719998</v>
      </c>
      <c r="I623" s="36">
        <f>[1]!Table3[[#This Row],[Residential CLM $ Collected]]/'[1]1.) CLM Reference'!$B$4</f>
        <v>1.1891874973665153E-3</v>
      </c>
      <c r="J623" s="41">
        <v>64446.402699999999</v>
      </c>
      <c r="K623" s="36">
        <f>[1]!Table3[[#This Row],[Residential Incentive Disbursements]]/'[1]1.) CLM Reference'!$B$5</f>
        <v>7.8847931511966758E-4</v>
      </c>
      <c r="L623" s="37">
        <v>292.05653759999996</v>
      </c>
      <c r="M623" s="36">
        <f>[1]!Table3[[#This Row],[C&amp;I CLM $ Collected]]/'[1]1.) CLM Reference'!$B$4</f>
        <v>2.5910209219872845E-6</v>
      </c>
      <c r="N623" s="41">
        <v>0</v>
      </c>
      <c r="O623" s="36">
        <f>[1]!Table3[[#This Row],[C&amp;I Incentive Disbursements]]/'[1]1.) CLM Reference'!$B$5</f>
        <v>0</v>
      </c>
      <c r="Q623">
        <f>VLOOKUP(Table3[[#This Row],[Census Tract]],'Population and Diversity Data'!$B$2:$K$823,10,FALSE)</f>
        <v>2</v>
      </c>
      <c r="R623" t="str">
        <f>VLOOKUP(Table3[[#This Row],[Census Tract]],'ES Energy Burden'!$B$2:$E$914,4,FALSE)</f>
        <v>No</v>
      </c>
    </row>
    <row r="624" spans="1:18" x14ac:dyDescent="0.2">
      <c r="A624" s="100">
        <v>9001245400</v>
      </c>
      <c r="B624" s="38" t="s">
        <v>2831</v>
      </c>
      <c r="C624" s="38" t="s">
        <v>944</v>
      </c>
      <c r="D624" s="40">
        <f>[1]!Table3[[#This Row],[Residential CLM $ Collected]]+[1]!Table3[[#This Row],[C&amp;I CLM $ Collected]]</f>
        <v>92011.664257919998</v>
      </c>
      <c r="E624" s="36">
        <f>[1]!Table3[[#This Row],[CLM $ Collected ]]/'[1]1.) CLM Reference'!$B$4</f>
        <v>8.1629450625638172E-4</v>
      </c>
      <c r="F624" s="40">
        <f>[1]!Table3[[#This Row],[Residential Incentive Disbursements]]+[1]!Table3[[#This Row],[C&amp;I Incentive Disbursements]]</f>
        <v>15050.615299999999</v>
      </c>
      <c r="G624" s="36">
        <f>[1]!Table3[[#This Row],[Incentive Disbursements]]/'[1]1.) CLM Reference'!$B$5</f>
        <v>1.8413904185025351E-4</v>
      </c>
      <c r="H624" s="40">
        <v>92011.664257919998</v>
      </c>
      <c r="I624" s="36">
        <f>[1]!Table3[[#This Row],[Residential CLM $ Collected]]/'[1]1.) CLM Reference'!$B$4</f>
        <v>8.1629450625638172E-4</v>
      </c>
      <c r="J624" s="41">
        <v>15050.615299999999</v>
      </c>
      <c r="K624" s="36">
        <f>[1]!Table3[[#This Row],[Residential Incentive Disbursements]]/'[1]1.) CLM Reference'!$B$5</f>
        <v>1.8413904185025351E-4</v>
      </c>
      <c r="L624" s="37">
        <v>0</v>
      </c>
      <c r="M624" s="36">
        <f>[1]!Table3[[#This Row],[C&amp;I CLM $ Collected]]/'[1]1.) CLM Reference'!$B$4</f>
        <v>0</v>
      </c>
      <c r="N624" s="41">
        <v>0</v>
      </c>
      <c r="O624" s="36">
        <f>[1]!Table3[[#This Row],[C&amp;I Incentive Disbursements]]/'[1]1.) CLM Reference'!$B$5</f>
        <v>0</v>
      </c>
      <c r="Q624">
        <f>VLOOKUP(Table3[[#This Row],[Census Tract]],'Population and Diversity Data'!$B$2:$K$823,10,FALSE)</f>
        <v>1</v>
      </c>
      <c r="R624" t="str">
        <f>VLOOKUP(Table3[[#This Row],[Census Tract]],'ES Energy Burden'!$B$2:$E$914,4,FALSE)</f>
        <v>No</v>
      </c>
    </row>
    <row r="625" spans="1:18" x14ac:dyDescent="0.2">
      <c r="A625" s="100">
        <v>9001245500</v>
      </c>
      <c r="B625" s="38" t="s">
        <v>2831</v>
      </c>
      <c r="C625" s="38" t="s">
        <v>944</v>
      </c>
      <c r="D625" s="40">
        <f>[1]!Table3[[#This Row],[Residential CLM $ Collected]]+[1]!Table3[[#This Row],[C&amp;I CLM $ Collected]]</f>
        <v>81971.845084799992</v>
      </c>
      <c r="E625" s="36">
        <f>[1]!Table3[[#This Row],[CLM $ Collected ]]/'[1]1.) CLM Reference'!$B$4</f>
        <v>7.2722482904836495E-4</v>
      </c>
      <c r="F625" s="40">
        <f>[1]!Table3[[#This Row],[Residential Incentive Disbursements]]+[1]!Table3[[#This Row],[C&amp;I Incentive Disbursements]]</f>
        <v>16745.104599999999</v>
      </c>
      <c r="G625" s="36">
        <f>[1]!Table3[[#This Row],[Incentive Disbursements]]/'[1]1.) CLM Reference'!$B$5</f>
        <v>2.0487052889633505E-4</v>
      </c>
      <c r="H625" s="40">
        <v>81970.654328639997</v>
      </c>
      <c r="I625" s="36">
        <f>[1]!Table3[[#This Row],[Residential CLM $ Collected]]/'[1]1.) CLM Reference'!$B$4</f>
        <v>7.2721426508650711E-4</v>
      </c>
      <c r="J625" s="41">
        <v>16745.104599999999</v>
      </c>
      <c r="K625" s="36">
        <f>[1]!Table3[[#This Row],[Residential Incentive Disbursements]]/'[1]1.) CLM Reference'!$B$5</f>
        <v>2.0487052889633505E-4</v>
      </c>
      <c r="L625" s="37">
        <v>1.1907561599999998</v>
      </c>
      <c r="M625" s="36">
        <f>[1]!Table3[[#This Row],[C&amp;I CLM $ Collected]]/'[1]1.) CLM Reference'!$B$4</f>
        <v>1.0563961857860629E-8</v>
      </c>
      <c r="N625" s="41">
        <v>0</v>
      </c>
      <c r="O625" s="36">
        <f>[1]!Table3[[#This Row],[C&amp;I Incentive Disbursements]]/'[1]1.) CLM Reference'!$B$5</f>
        <v>0</v>
      </c>
      <c r="Q625">
        <f>VLOOKUP(Table3[[#This Row],[Census Tract]],'Population and Diversity Data'!$B$2:$K$823,10,FALSE)</f>
        <v>3</v>
      </c>
      <c r="R625" t="str">
        <f>VLOOKUP(Table3[[#This Row],[Census Tract]],'ES Energy Burden'!$B$2:$E$914,4,FALSE)</f>
        <v>No</v>
      </c>
    </row>
    <row r="626" spans="1:18" x14ac:dyDescent="0.2">
      <c r="A626" s="100">
        <v>9001245600</v>
      </c>
      <c r="B626" s="38" t="s">
        <v>2831</v>
      </c>
      <c r="C626" s="38" t="s">
        <v>944</v>
      </c>
      <c r="D626" s="40">
        <f>[1]!Table3[[#This Row],[Residential CLM $ Collected]]+[1]!Table3[[#This Row],[C&amp;I CLM $ Collected]]</f>
        <v>325127.62261727999</v>
      </c>
      <c r="E626" s="36">
        <f>[1]!Table3[[#This Row],[CLM $ Collected ]]/'[1]1.) CLM Reference'!$B$4</f>
        <v>2.8844157348435224E-3</v>
      </c>
      <c r="F626" s="40">
        <f>[1]!Table3[[#This Row],[Residential Incentive Disbursements]]+[1]!Table3[[#This Row],[C&amp;I Incentive Disbursements]]</f>
        <v>244622.0661</v>
      </c>
      <c r="G626" s="36">
        <f>[1]!Table3[[#This Row],[Incentive Disbursements]]/'[1]1.) CLM Reference'!$B$5</f>
        <v>2.9928658708779422E-3</v>
      </c>
      <c r="H626" s="40">
        <v>166942.71057311998</v>
      </c>
      <c r="I626" s="36">
        <f>[1]!Table3[[#This Row],[Residential CLM $ Collected]]/'[1]1.) CLM Reference'!$B$4</f>
        <v>1.4810558922007224E-3</v>
      </c>
      <c r="J626" s="41">
        <v>112930.68610000001</v>
      </c>
      <c r="K626" s="36">
        <f>[1]!Table3[[#This Row],[Residential Incentive Disbursements]]/'[1]1.) CLM Reference'!$B$5</f>
        <v>1.3816676540756273E-3</v>
      </c>
      <c r="L626" s="37">
        <v>158184.91204416001</v>
      </c>
      <c r="M626" s="36">
        <f>[1]!Table3[[#This Row],[C&amp;I CLM $ Collected]]/'[1]1.) CLM Reference'!$B$4</f>
        <v>1.4033598426428002E-3</v>
      </c>
      <c r="N626" s="41">
        <v>131691.38</v>
      </c>
      <c r="O626" s="36">
        <f>[1]!Table3[[#This Row],[C&amp;I Incentive Disbursements]]/'[1]1.) CLM Reference'!$B$5</f>
        <v>1.6111982168023149E-3</v>
      </c>
      <c r="Q626">
        <f>VLOOKUP(Table3[[#This Row],[Census Tract]],'Population and Diversity Data'!$B$2:$K$823,10,FALSE)</f>
        <v>3</v>
      </c>
      <c r="R626" t="str">
        <f>VLOOKUP(Table3[[#This Row],[Census Tract]],'ES Energy Burden'!$B$2:$E$914,4,FALSE)</f>
        <v>No</v>
      </c>
    </row>
    <row r="627" spans="1:18" x14ac:dyDescent="0.2">
      <c r="A627" s="100">
        <v>9003490100</v>
      </c>
      <c r="B627" s="38" t="s">
        <v>2832</v>
      </c>
      <c r="C627" s="38" t="s">
        <v>944</v>
      </c>
      <c r="D627" s="40">
        <f>[1]!Table3[[#This Row],[Residential CLM $ Collected]]+[1]!Table3[[#This Row],[C&amp;I CLM $ Collected]]</f>
        <v>76843.239779519994</v>
      </c>
      <c r="E627" s="36">
        <f>[1]!Table3[[#This Row],[CLM $ Collected ]]/'[1]1.) CLM Reference'!$B$4</f>
        <v>6.8172568098685122E-4</v>
      </c>
      <c r="F627" s="40">
        <f>[1]!Table3[[#This Row],[Residential Incentive Disbursements]]+[1]!Table3[[#This Row],[C&amp;I Incentive Disbursements]]</f>
        <v>22526.2637</v>
      </c>
      <c r="G627" s="36">
        <f>[1]!Table3[[#This Row],[Incentive Disbursements]]/'[1]1.) CLM Reference'!$B$5</f>
        <v>2.7560099912886263E-4</v>
      </c>
      <c r="H627" s="40">
        <v>76843.239779519994</v>
      </c>
      <c r="I627" s="36">
        <f>[1]!Table3[[#This Row],[Residential CLM $ Collected]]/'[1]1.) CLM Reference'!$B$4</f>
        <v>6.8172568098685122E-4</v>
      </c>
      <c r="J627" s="41">
        <v>22526.2637</v>
      </c>
      <c r="K627" s="36">
        <f>[1]!Table3[[#This Row],[Residential Incentive Disbursements]]/'[1]1.) CLM Reference'!$B$5</f>
        <v>2.7560099912886263E-4</v>
      </c>
      <c r="L627" s="37">
        <v>0</v>
      </c>
      <c r="M627" s="36">
        <f>[1]!Table3[[#This Row],[C&amp;I CLM $ Collected]]/'[1]1.) CLM Reference'!$B$4</f>
        <v>0</v>
      </c>
      <c r="N627" s="41">
        <v>0</v>
      </c>
      <c r="O627" s="36">
        <f>[1]!Table3[[#This Row],[C&amp;I Incentive Disbursements]]/'[1]1.) CLM Reference'!$B$5</f>
        <v>0</v>
      </c>
      <c r="Q627">
        <f>VLOOKUP(Table3[[#This Row],[Census Tract]],'Population and Diversity Data'!$B$2:$K$823,10,FALSE)</f>
        <v>4</v>
      </c>
      <c r="R627" t="str">
        <f>VLOOKUP(Table3[[#This Row],[Census Tract]],'ES Energy Burden'!$B$2:$E$914,4,FALSE)</f>
        <v>No</v>
      </c>
    </row>
    <row r="628" spans="1:18" x14ac:dyDescent="0.2">
      <c r="A628" s="100">
        <v>9003490302</v>
      </c>
      <c r="B628" s="38" t="s">
        <v>2832</v>
      </c>
      <c r="C628" s="38" t="s">
        <v>944</v>
      </c>
      <c r="D628" s="40">
        <f>[1]!Table3[[#This Row],[Residential CLM $ Collected]]+[1]!Table3[[#This Row],[C&amp;I CLM $ Collected]]</f>
        <v>320308.27468992001</v>
      </c>
      <c r="E628" s="36">
        <f>[1]!Table3[[#This Row],[CLM $ Collected ]]/'[1]1.) CLM Reference'!$B$4</f>
        <v>2.8416602073941494E-3</v>
      </c>
      <c r="F628" s="40">
        <f>[1]!Table3[[#This Row],[Residential Incentive Disbursements]]+[1]!Table3[[#This Row],[C&amp;I Incentive Disbursements]]</f>
        <v>161859.7885</v>
      </c>
      <c r="G628" s="36">
        <f>[1]!Table3[[#This Row],[Incentive Disbursements]]/'[1]1.) CLM Reference'!$B$5</f>
        <v>1.9802981987370764E-3</v>
      </c>
      <c r="H628" s="40">
        <v>159160.72948128002</v>
      </c>
      <c r="I628" s="36">
        <f>[1]!Table3[[#This Row],[Residential CLM $ Collected]]/'[1]1.) CLM Reference'!$B$4</f>
        <v>1.4120169451901188E-3</v>
      </c>
      <c r="J628" s="41">
        <v>98905.718500000003</v>
      </c>
      <c r="K628" s="36">
        <f>[1]!Table3[[#This Row],[Residential Incentive Disbursements]]/'[1]1.) CLM Reference'!$B$5</f>
        <v>1.2100770549959437E-3</v>
      </c>
      <c r="L628" s="37">
        <v>161147.54520863999</v>
      </c>
      <c r="M628" s="36">
        <f>[1]!Table3[[#This Row],[C&amp;I CLM $ Collected]]/'[1]1.) CLM Reference'!$B$4</f>
        <v>1.4296432622040304E-3</v>
      </c>
      <c r="N628" s="41">
        <v>62954.07</v>
      </c>
      <c r="O628" s="36">
        <f>[1]!Table3[[#This Row],[C&amp;I Incentive Disbursements]]/'[1]1.) CLM Reference'!$B$5</f>
        <v>7.7022114374113257E-4</v>
      </c>
      <c r="Q628">
        <f>VLOOKUP(Table3[[#This Row],[Census Tract]],'Population and Diversity Data'!$B$2:$K$823,10,FALSE)</f>
        <v>5</v>
      </c>
      <c r="R628" t="str">
        <f>VLOOKUP(Table3[[#This Row],[Census Tract]],'ES Energy Burden'!$B$2:$E$914,4,FALSE)</f>
        <v>No</v>
      </c>
    </row>
    <row r="629" spans="1:18" x14ac:dyDescent="0.2">
      <c r="A629" s="100">
        <v>9003492600</v>
      </c>
      <c r="B629" s="38" t="s">
        <v>2832</v>
      </c>
      <c r="C629" s="38" t="s">
        <v>944</v>
      </c>
      <c r="D629" s="40">
        <f>[1]!Table3[[#This Row],[Residential CLM $ Collected]]+[1]!Table3[[#This Row],[C&amp;I CLM $ Collected]]</f>
        <v>64.359878399999999</v>
      </c>
      <c r="E629" s="36">
        <f>[1]!Table3[[#This Row],[CLM $ Collected ]]/'[1]1.) CLM Reference'!$B$4</f>
        <v>5.7097777314387211E-7</v>
      </c>
      <c r="F629" s="40">
        <f>[1]!Table3[[#This Row],[Residential Incentive Disbursements]]+[1]!Table3[[#This Row],[C&amp;I Incentive Disbursements]]</f>
        <v>0</v>
      </c>
      <c r="G629" s="36">
        <f>[1]!Table3[[#This Row],[Incentive Disbursements]]/'[1]1.) CLM Reference'!$B$5</f>
        <v>0</v>
      </c>
      <c r="H629" s="40">
        <v>64.359878399999999</v>
      </c>
      <c r="I629" s="36">
        <f>[1]!Table3[[#This Row],[Residential CLM $ Collected]]/'[1]1.) CLM Reference'!$B$4</f>
        <v>5.7097777314387211E-7</v>
      </c>
      <c r="J629" s="41">
        <v>0</v>
      </c>
      <c r="K629" s="36">
        <f>[1]!Table3[[#This Row],[Residential Incentive Disbursements]]/'[1]1.) CLM Reference'!$B$5</f>
        <v>0</v>
      </c>
      <c r="L629" s="37">
        <v>0</v>
      </c>
      <c r="M629" s="36">
        <f>[1]!Table3[[#This Row],[C&amp;I CLM $ Collected]]/'[1]1.) CLM Reference'!$B$4</f>
        <v>0</v>
      </c>
      <c r="N629" s="41">
        <v>0</v>
      </c>
      <c r="O629" s="36">
        <f>[1]!Table3[[#This Row],[C&amp;I Incentive Disbursements]]/'[1]1.) CLM Reference'!$B$5</f>
        <v>0</v>
      </c>
      <c r="Q629">
        <f>VLOOKUP(Table3[[#This Row],[Census Tract]],'Population and Diversity Data'!$B$2:$K$823,10,FALSE)</f>
        <v>1</v>
      </c>
      <c r="R629" t="str">
        <f>VLOOKUP(Table3[[#This Row],[Census Tract]],'ES Energy Burden'!$B$2:$E$914,4,FALSE)</f>
        <v>No</v>
      </c>
    </row>
    <row r="630" spans="1:18" x14ac:dyDescent="0.2">
      <c r="A630" s="100">
        <v>9003524200</v>
      </c>
      <c r="B630" s="38" t="s">
        <v>2832</v>
      </c>
      <c r="C630" s="38" t="s">
        <v>944</v>
      </c>
      <c r="D630" s="40">
        <f>[1]!Table3[[#This Row],[Residential CLM $ Collected]]+[1]!Table3[[#This Row],[C&amp;I CLM $ Collected]]</f>
        <v>97311.370861440024</v>
      </c>
      <c r="E630" s="36">
        <f>[1]!Table3[[#This Row],[CLM $ Collected ]]/'[1]1.) CLM Reference'!$B$4</f>
        <v>8.6331160370934615E-4</v>
      </c>
      <c r="F630" s="40">
        <f>[1]!Table3[[#This Row],[Residential Incentive Disbursements]]+[1]!Table3[[#This Row],[C&amp;I Incentive Disbursements]]</f>
        <v>24959.3027</v>
      </c>
      <c r="G630" s="36">
        <f>[1]!Table3[[#This Row],[Incentive Disbursements]]/'[1]1.) CLM Reference'!$B$5</f>
        <v>3.0536838480141375E-4</v>
      </c>
      <c r="H630" s="40">
        <v>97311.370861440024</v>
      </c>
      <c r="I630" s="36">
        <f>[1]!Table3[[#This Row],[Residential CLM $ Collected]]/'[1]1.) CLM Reference'!$B$4</f>
        <v>8.6331160370934615E-4</v>
      </c>
      <c r="J630" s="41">
        <v>24959.3027</v>
      </c>
      <c r="K630" s="36">
        <f>[1]!Table3[[#This Row],[Residential Incentive Disbursements]]/'[1]1.) CLM Reference'!$B$5</f>
        <v>3.0536838480141375E-4</v>
      </c>
      <c r="L630" s="37">
        <v>0</v>
      </c>
      <c r="M630" s="36">
        <f>[1]!Table3[[#This Row],[C&amp;I CLM $ Collected]]/'[1]1.) CLM Reference'!$B$4</f>
        <v>0</v>
      </c>
      <c r="N630" s="41">
        <v>0</v>
      </c>
      <c r="O630" s="36">
        <f>[1]!Table3[[#This Row],[C&amp;I Incentive Disbursements]]/'[1]1.) CLM Reference'!$B$5</f>
        <v>0</v>
      </c>
      <c r="Q630">
        <f>VLOOKUP(Table3[[#This Row],[Census Tract]],'Population and Diversity Data'!$B$2:$K$823,10,FALSE)</f>
        <v>4</v>
      </c>
      <c r="R630" t="str">
        <f>VLOOKUP(Table3[[#This Row],[Census Tract]],'ES Energy Burden'!$B$2:$E$914,4,FALSE)</f>
        <v>No</v>
      </c>
    </row>
    <row r="631" spans="1:18" x14ac:dyDescent="0.2">
      <c r="A631" s="100">
        <v>9005268100</v>
      </c>
      <c r="B631" s="38" t="s">
        <v>2833</v>
      </c>
      <c r="C631" s="38" t="s">
        <v>944</v>
      </c>
      <c r="D631" s="40">
        <f>[1]!Table3[[#This Row],[Residential CLM $ Collected]]+[1]!Table3[[#This Row],[C&amp;I CLM $ Collected]]</f>
        <v>95294.749181760009</v>
      </c>
      <c r="E631" s="36">
        <f>[1]!Table3[[#This Row],[CLM $ Collected ]]/'[1]1.) CLM Reference'!$B$4</f>
        <v>8.454208589695713E-4</v>
      </c>
      <c r="F631" s="40">
        <f>[1]!Table3[[#This Row],[Residential Incentive Disbursements]]+[1]!Table3[[#This Row],[C&amp;I Incentive Disbursements]]</f>
        <v>17705.96</v>
      </c>
      <c r="G631" s="36">
        <f>[1]!Table3[[#This Row],[Incentive Disbursements]]/'[1]1.) CLM Reference'!$B$5</f>
        <v>2.1662626041866304E-4</v>
      </c>
      <c r="H631" s="40">
        <v>89712.105716160004</v>
      </c>
      <c r="I631" s="36">
        <f>[1]!Table3[[#This Row],[Residential CLM $ Collected]]/'[1]1.) CLM Reference'!$B$4</f>
        <v>7.9589364708713744E-4</v>
      </c>
      <c r="J631" s="41">
        <v>17705.96</v>
      </c>
      <c r="K631" s="36">
        <f>[1]!Table3[[#This Row],[Residential Incentive Disbursements]]/'[1]1.) CLM Reference'!$B$5</f>
        <v>2.1662626041866304E-4</v>
      </c>
      <c r="L631" s="37">
        <v>5582.6434656000001</v>
      </c>
      <c r="M631" s="36">
        <f>[1]!Table3[[#This Row],[C&amp;I CLM $ Collected]]/'[1]1.) CLM Reference'!$B$4</f>
        <v>4.9527211882433835E-5</v>
      </c>
      <c r="N631" s="41">
        <v>0</v>
      </c>
      <c r="O631" s="36">
        <f>[1]!Table3[[#This Row],[C&amp;I Incentive Disbursements]]/'[1]1.) CLM Reference'!$B$5</f>
        <v>0</v>
      </c>
      <c r="Q631">
        <f>VLOOKUP(Table3[[#This Row],[Census Tract]],'Population and Diversity Data'!$B$2:$K$823,10,FALSE)</f>
        <v>1</v>
      </c>
      <c r="R631" t="str">
        <f>VLOOKUP(Table3[[#This Row],[Census Tract]],'ES Energy Burden'!$B$2:$E$914,4,FALSE)</f>
        <v>No</v>
      </c>
    </row>
    <row r="632" spans="1:18" x14ac:dyDescent="0.2">
      <c r="A632" s="100">
        <v>9007595101</v>
      </c>
      <c r="B632" s="38" t="s">
        <v>2834</v>
      </c>
      <c r="C632" s="38" t="s">
        <v>944</v>
      </c>
      <c r="D632" s="40">
        <f>[1]!Table3[[#This Row],[Residential CLM $ Collected]]+[1]!Table3[[#This Row],[C&amp;I CLM $ Collected]]</f>
        <v>784.89181440000004</v>
      </c>
      <c r="E632" s="36">
        <f>[1]!Table3[[#This Row],[CLM $ Collected ]]/'[1]1.) CLM Reference'!$B$4</f>
        <v>6.9632788545629911E-6</v>
      </c>
      <c r="F632" s="40">
        <f>[1]!Table3[[#This Row],[Residential Incentive Disbursements]]+[1]!Table3[[#This Row],[C&amp;I Incentive Disbursements]]</f>
        <v>0</v>
      </c>
      <c r="G632" s="36">
        <f>[1]!Table3[[#This Row],[Incentive Disbursements]]/'[1]1.) CLM Reference'!$B$5</f>
        <v>0</v>
      </c>
      <c r="H632" s="40">
        <v>784.89181440000004</v>
      </c>
      <c r="I632" s="36">
        <f>[1]!Table3[[#This Row],[Residential CLM $ Collected]]/'[1]1.) CLM Reference'!$B$4</f>
        <v>6.9632788545629911E-6</v>
      </c>
      <c r="J632" s="41">
        <v>0</v>
      </c>
      <c r="K632" s="36">
        <f>[1]!Table3[[#This Row],[Residential Incentive Disbursements]]/'[1]1.) CLM Reference'!$B$5</f>
        <v>0</v>
      </c>
      <c r="L632" s="37">
        <v>0</v>
      </c>
      <c r="M632" s="36">
        <f>[1]!Table3[[#This Row],[C&amp;I CLM $ Collected]]/'[1]1.) CLM Reference'!$B$4</f>
        <v>0</v>
      </c>
      <c r="N632" s="41">
        <v>0</v>
      </c>
      <c r="O632" s="36">
        <f>[1]!Table3[[#This Row],[C&amp;I Incentive Disbursements]]/'[1]1.) CLM Reference'!$B$5</f>
        <v>0</v>
      </c>
      <c r="Q632">
        <f>VLOOKUP(Table3[[#This Row],[Census Tract]],'Population and Diversity Data'!$B$2:$K$823,10,FALSE)</f>
        <v>1</v>
      </c>
      <c r="R632" t="str">
        <f>VLOOKUP(Table3[[#This Row],[Census Tract]],'ES Energy Burden'!$B$2:$E$914,4,FALSE)</f>
        <v>No</v>
      </c>
    </row>
    <row r="633" spans="1:18" x14ac:dyDescent="0.2">
      <c r="A633" s="100">
        <v>9011715100</v>
      </c>
      <c r="B633" s="38" t="s">
        <v>2834</v>
      </c>
      <c r="C633" s="38" t="s">
        <v>944</v>
      </c>
      <c r="D633" s="40">
        <f>[1]!Table3[[#This Row],[Residential CLM $ Collected]]+[1]!Table3[[#This Row],[C&amp;I CLM $ Collected]]</f>
        <v>113690.19405600001</v>
      </c>
      <c r="E633" s="36">
        <f>[1]!Table3[[#This Row],[CLM $ Collected ]]/'[1]1.) CLM Reference'!$B$4</f>
        <v>1.008618652554657E-3</v>
      </c>
      <c r="F633" s="40">
        <f>[1]!Table3[[#This Row],[Residential Incentive Disbursements]]+[1]!Table3[[#This Row],[C&amp;I Incentive Disbursements]]</f>
        <v>55249.99</v>
      </c>
      <c r="G633" s="36">
        <f>[1]!Table3[[#This Row],[Incentive Disbursements]]/'[1]1.) CLM Reference'!$B$5</f>
        <v>6.7596440531146173E-4</v>
      </c>
      <c r="H633" s="40">
        <v>97402.728545280013</v>
      </c>
      <c r="I633" s="36">
        <f>[1]!Table3[[#This Row],[Residential CLM $ Collected]]/'[1]1.) CLM Reference'!$B$4</f>
        <v>8.6412209633573587E-4</v>
      </c>
      <c r="J633" s="41">
        <v>47537.07</v>
      </c>
      <c r="K633" s="36">
        <f>[1]!Table3[[#This Row],[Residential Incentive Disbursements]]/'[1]1.) CLM Reference'!$B$5</f>
        <v>5.8159951255736572E-4</v>
      </c>
      <c r="L633" s="37">
        <v>16287.465510719998</v>
      </c>
      <c r="M633" s="36">
        <f>[1]!Table3[[#This Row],[C&amp;I CLM $ Collected]]/'[1]1.) CLM Reference'!$B$4</f>
        <v>1.4449655621892108E-4</v>
      </c>
      <c r="N633" s="41">
        <v>7712.92</v>
      </c>
      <c r="O633" s="36">
        <f>[1]!Table3[[#This Row],[C&amp;I Incentive Disbursements]]/'[1]1.) CLM Reference'!$B$5</f>
        <v>9.4364892754096052E-5</v>
      </c>
      <c r="Q633">
        <f>VLOOKUP(Table3[[#This Row],[Census Tract]],'Population and Diversity Data'!$B$2:$K$823,10,FALSE)</f>
        <v>3</v>
      </c>
      <c r="R633" t="str">
        <f>VLOOKUP(Table3[[#This Row],[Census Tract]],'ES Energy Burden'!$B$2:$E$914,4,FALSE)</f>
        <v>No</v>
      </c>
    </row>
    <row r="634" spans="1:18" x14ac:dyDescent="0.2">
      <c r="A634" s="100">
        <v>9005261100</v>
      </c>
      <c r="B634" s="38" t="s">
        <v>2835</v>
      </c>
      <c r="C634" s="38" t="s">
        <v>944</v>
      </c>
      <c r="D634" s="40">
        <f>[1]!Table3[[#This Row],[Residential CLM $ Collected]]+[1]!Table3[[#This Row],[C&amp;I CLM $ Collected]]</f>
        <v>173975.28172128001</v>
      </c>
      <c r="E634" s="36">
        <f>[1]!Table3[[#This Row],[CLM $ Collected ]]/'[1]1.) CLM Reference'!$B$4</f>
        <v>1.543446342796295E-3</v>
      </c>
      <c r="F634" s="40">
        <f>[1]!Table3[[#This Row],[Residential Incentive Disbursements]]+[1]!Table3[[#This Row],[C&amp;I Incentive Disbursements]]</f>
        <v>274061.99890000001</v>
      </c>
      <c r="G634" s="36">
        <f>[1]!Table3[[#This Row],[Incentive Disbursements]]/'[1]1.) CLM Reference'!$B$5</f>
        <v>3.3530532060713314E-3</v>
      </c>
      <c r="H634" s="40">
        <v>133901.08475904001</v>
      </c>
      <c r="I634" s="36">
        <f>[1]!Table3[[#This Row],[Residential CLM $ Collected]]/'[1]1.) CLM Reference'!$B$4</f>
        <v>1.1879224308364376E-3</v>
      </c>
      <c r="J634" s="41">
        <v>71965.126900000003</v>
      </c>
      <c r="K634" s="36">
        <f>[1]!Table3[[#This Row],[Residential Incentive Disbursements]]/'[1]1.) CLM Reference'!$B$5</f>
        <v>8.8046828982452996E-4</v>
      </c>
      <c r="L634" s="37">
        <v>40074.196962240007</v>
      </c>
      <c r="M634" s="36">
        <f>[1]!Table3[[#This Row],[C&amp;I CLM $ Collected]]/'[1]1.) CLM Reference'!$B$4</f>
        <v>3.555239119598573E-4</v>
      </c>
      <c r="N634" s="41">
        <v>202096.872</v>
      </c>
      <c r="O634" s="36">
        <f>[1]!Table3[[#This Row],[C&amp;I Incentive Disbursements]]/'[1]1.) CLM Reference'!$B$5</f>
        <v>2.4725849162468014E-3</v>
      </c>
      <c r="Q634">
        <f>VLOOKUP(Table3[[#This Row],[Census Tract]],'Population and Diversity Data'!$B$2:$K$823,10,FALSE)</f>
        <v>1</v>
      </c>
      <c r="R634" t="str">
        <f>VLOOKUP(Table3[[#This Row],[Census Tract]],'ES Energy Burden'!$B$2:$E$914,4,FALSE)</f>
        <v>No</v>
      </c>
    </row>
    <row r="635" spans="1:18" x14ac:dyDescent="0.2">
      <c r="A635" s="100">
        <v>9005262100</v>
      </c>
      <c r="B635" s="38" t="s">
        <v>2835</v>
      </c>
      <c r="C635" s="38" t="s">
        <v>944</v>
      </c>
      <c r="D635" s="40">
        <f>[1]!Table3[[#This Row],[Residential CLM $ Collected]]+[1]!Table3[[#This Row],[C&amp;I CLM $ Collected]]</f>
        <v>870.51974399999995</v>
      </c>
      <c r="E635" s="36">
        <f>[1]!Table3[[#This Row],[CLM $ Collected ]]/'[1]1.) CLM Reference'!$B$4</f>
        <v>7.7229391550076886E-6</v>
      </c>
      <c r="F635" s="40">
        <f>[1]!Table3[[#This Row],[Residential Incentive Disbursements]]+[1]!Table3[[#This Row],[C&amp;I Incentive Disbursements]]</f>
        <v>254.5</v>
      </c>
      <c r="G635" s="36">
        <f>[1]!Table3[[#This Row],[Incentive Disbursements]]/'[1]1.) CLM Reference'!$B$5</f>
        <v>3.1137189554562274E-6</v>
      </c>
      <c r="H635" s="40">
        <v>870.51974399999995</v>
      </c>
      <c r="I635" s="36">
        <f>[1]!Table3[[#This Row],[Residential CLM $ Collected]]/'[1]1.) CLM Reference'!$B$4</f>
        <v>7.7229391550076886E-6</v>
      </c>
      <c r="J635" s="41">
        <v>254.5</v>
      </c>
      <c r="K635" s="36">
        <f>[1]!Table3[[#This Row],[Residential Incentive Disbursements]]/'[1]1.) CLM Reference'!$B$5</f>
        <v>3.1137189554562274E-6</v>
      </c>
      <c r="L635" s="37">
        <v>0</v>
      </c>
      <c r="M635" s="36">
        <f>[1]!Table3[[#This Row],[C&amp;I CLM $ Collected]]/'[1]1.) CLM Reference'!$B$4</f>
        <v>0</v>
      </c>
      <c r="N635" s="41">
        <v>0</v>
      </c>
      <c r="O635" s="36">
        <f>[1]!Table3[[#This Row],[C&amp;I Incentive Disbursements]]/'[1]1.) CLM Reference'!$B$5</f>
        <v>0</v>
      </c>
      <c r="Q635">
        <f>VLOOKUP(Table3[[#This Row],[Census Tract]],'Population and Diversity Data'!$B$2:$K$823,10,FALSE)</f>
        <v>1</v>
      </c>
      <c r="R635" t="str">
        <f>VLOOKUP(Table3[[#This Row],[Census Tract]],'ES Energy Burden'!$B$2:$E$914,4,FALSE)</f>
        <v>No</v>
      </c>
    </row>
    <row r="636" spans="1:18" x14ac:dyDescent="0.2">
      <c r="A636" s="100">
        <v>9015825000</v>
      </c>
      <c r="B636" s="38" t="s">
        <v>2836</v>
      </c>
      <c r="C636" s="38" t="s">
        <v>944</v>
      </c>
      <c r="D636" s="40">
        <f>[1]!Table3[[#This Row],[Residential CLM $ Collected]]+[1]!Table3[[#This Row],[C&amp;I CLM $ Collected]]</f>
        <v>33417.828348479998</v>
      </c>
      <c r="E636" s="36">
        <f>[1]!Table3[[#This Row],[CLM $ Collected ]]/'[1]1.) CLM Reference'!$B$4</f>
        <v>2.9647099541007323E-4</v>
      </c>
      <c r="F636" s="40">
        <f>[1]!Table3[[#This Row],[Residential Incentive Disbursements]]+[1]!Table3[[#This Row],[C&amp;I Incentive Disbursements]]</f>
        <v>14083.63</v>
      </c>
      <c r="G636" s="36">
        <f>[1]!Table3[[#This Row],[Incentive Disbursements]]/'[1]1.) CLM Reference'!$B$5</f>
        <v>1.7230831313411391E-4</v>
      </c>
      <c r="H636" s="40">
        <v>30727.571538239998</v>
      </c>
      <c r="I636" s="36">
        <f>[1]!Table3[[#This Row],[Residential CLM $ Collected]]/'[1]1.) CLM Reference'!$B$4</f>
        <v>2.7260400123787831E-4</v>
      </c>
      <c r="J636" s="41">
        <v>14083.63</v>
      </c>
      <c r="K636" s="36">
        <f>[1]!Table3[[#This Row],[Residential Incentive Disbursements]]/'[1]1.) CLM Reference'!$B$5</f>
        <v>1.7230831313411391E-4</v>
      </c>
      <c r="L636" s="37">
        <v>2690.25681024</v>
      </c>
      <c r="M636" s="36">
        <f>[1]!Table3[[#This Row],[C&amp;I CLM $ Collected]]/'[1]1.) CLM Reference'!$B$4</f>
        <v>2.386699417219489E-5</v>
      </c>
      <c r="N636" s="41">
        <v>0</v>
      </c>
      <c r="O636" s="36">
        <f>[1]!Table3[[#This Row],[C&amp;I Incentive Disbursements]]/'[1]1.) CLM Reference'!$B$5</f>
        <v>0</v>
      </c>
      <c r="Q636">
        <f>VLOOKUP(Table3[[#This Row],[Census Tract]],'Population and Diversity Data'!$B$2:$K$823,10,FALSE)</f>
        <v>2</v>
      </c>
      <c r="R636" t="str">
        <f>VLOOKUP(Table3[[#This Row],[Census Tract]],'ES Energy Burden'!$B$2:$E$914,4,FALSE)</f>
        <v>No</v>
      </c>
    </row>
    <row r="637" spans="1:18" x14ac:dyDescent="0.2">
      <c r="A637" s="100">
        <v>9009120200</v>
      </c>
      <c r="B637" s="38" t="s">
        <v>2837</v>
      </c>
      <c r="C637" s="38" t="s">
        <v>944</v>
      </c>
      <c r="D637" s="40">
        <f>[1]!Table3[[#This Row],[Residential CLM $ Collected]]+[1]!Table3[[#This Row],[C&amp;I CLM $ Collected]]</f>
        <v>167.08792319999998</v>
      </c>
      <c r="E637" s="36">
        <f>[1]!Table3[[#This Row],[CLM $ Collected ]]/'[1]1.) CLM Reference'!$B$4</f>
        <v>1.4823441665789461E-6</v>
      </c>
      <c r="F637" s="40">
        <f>[1]!Table3[[#This Row],[Residential Incentive Disbursements]]+[1]!Table3[[#This Row],[C&amp;I Incentive Disbursements]]</f>
        <v>0</v>
      </c>
      <c r="G637" s="36">
        <f>[1]!Table3[[#This Row],[Incentive Disbursements]]/'[1]1.) CLM Reference'!$B$5</f>
        <v>0</v>
      </c>
      <c r="H637" s="40">
        <v>167.08792319999998</v>
      </c>
      <c r="I637" s="36">
        <f>[1]!Table3[[#This Row],[Residential CLM $ Collected]]/'[1]1.) CLM Reference'!$B$4</f>
        <v>1.4823441665789461E-6</v>
      </c>
      <c r="J637" s="41">
        <v>0</v>
      </c>
      <c r="K637" s="36">
        <f>[1]!Table3[[#This Row],[Residential Incentive Disbursements]]/'[1]1.) CLM Reference'!$B$5</f>
        <v>0</v>
      </c>
      <c r="L637" s="37">
        <v>0</v>
      </c>
      <c r="M637" s="36">
        <f>[1]!Table3[[#This Row],[C&amp;I CLM $ Collected]]/'[1]1.) CLM Reference'!$B$4</f>
        <v>0</v>
      </c>
      <c r="N637" s="41">
        <v>0</v>
      </c>
      <c r="O637" s="36">
        <f>[1]!Table3[[#This Row],[C&amp;I Incentive Disbursements]]/'[1]1.) CLM Reference'!$B$5</f>
        <v>0</v>
      </c>
      <c r="Q637">
        <f>VLOOKUP(Table3[[#This Row],[Census Tract]],'Population and Diversity Data'!$B$2:$K$823,10,FALSE)</f>
        <v>4</v>
      </c>
      <c r="R637" t="str">
        <f>VLOOKUP(Table3[[#This Row],[Census Tract]],'ES Energy Burden'!$B$2:$E$914,4,FALSE)</f>
        <v>Yes</v>
      </c>
    </row>
    <row r="638" spans="1:18" x14ac:dyDescent="0.2">
      <c r="A638" s="100">
        <v>9009125300</v>
      </c>
      <c r="B638" s="38" t="s">
        <v>2837</v>
      </c>
      <c r="C638" s="38" t="s">
        <v>944</v>
      </c>
      <c r="D638" s="40">
        <f>[1]!Table3[[#This Row],[Residential CLM $ Collected]]+[1]!Table3[[#This Row],[C&amp;I CLM $ Collected]]</f>
        <v>41.106268800000002</v>
      </c>
      <c r="E638" s="36">
        <f>[1]!Table3[[#This Row],[CLM $ Collected ]]/'[1]1.) CLM Reference'!$B$4</f>
        <v>3.6468008338681744E-7</v>
      </c>
      <c r="F638" s="40">
        <f>[1]!Table3[[#This Row],[Residential Incentive Disbursements]]+[1]!Table3[[#This Row],[C&amp;I Incentive Disbursements]]</f>
        <v>0</v>
      </c>
      <c r="G638" s="36">
        <f>[1]!Table3[[#This Row],[Incentive Disbursements]]/'[1]1.) CLM Reference'!$B$5</f>
        <v>0</v>
      </c>
      <c r="H638" s="40">
        <v>41.106268800000002</v>
      </c>
      <c r="I638" s="36">
        <f>[1]!Table3[[#This Row],[Residential CLM $ Collected]]/'[1]1.) CLM Reference'!$B$4</f>
        <v>3.6468008338681744E-7</v>
      </c>
      <c r="J638" s="41">
        <v>0</v>
      </c>
      <c r="K638" s="36">
        <f>[1]!Table3[[#This Row],[Residential Incentive Disbursements]]/'[1]1.) CLM Reference'!$B$5</f>
        <v>0</v>
      </c>
      <c r="L638" s="37">
        <v>0</v>
      </c>
      <c r="M638" s="36">
        <f>[1]!Table3[[#This Row],[C&amp;I CLM $ Collected]]/'[1]1.) CLM Reference'!$B$4</f>
        <v>0</v>
      </c>
      <c r="N638" s="41">
        <v>0</v>
      </c>
      <c r="O638" s="36">
        <f>[1]!Table3[[#This Row],[C&amp;I Incentive Disbursements]]/'[1]1.) CLM Reference'!$B$5</f>
        <v>0</v>
      </c>
      <c r="Q638">
        <f>VLOOKUP(Table3[[#This Row],[Census Tract]],'Population and Diversity Data'!$B$2:$K$823,10,FALSE)</f>
        <v>5</v>
      </c>
      <c r="R638" t="str">
        <f>VLOOKUP(Table3[[#This Row],[Census Tract]],'ES Energy Burden'!$B$2:$E$914,4,FALSE)</f>
        <v>No</v>
      </c>
    </row>
    <row r="639" spans="1:18" x14ac:dyDescent="0.2">
      <c r="A639" s="100">
        <v>9009125400</v>
      </c>
      <c r="B639" s="38" t="s">
        <v>2837</v>
      </c>
      <c r="C639" s="38" t="s">
        <v>944</v>
      </c>
      <c r="D639" s="40">
        <f>[1]!Table3[[#This Row],[Residential CLM $ Collected]]+[1]!Table3[[#This Row],[C&amp;I CLM $ Collected]]</f>
        <v>876.93952319999994</v>
      </c>
      <c r="E639" s="36">
        <f>[1]!Table3[[#This Row],[CLM $ Collected ]]/'[1]1.) CLM Reference'!$B$4</f>
        <v>7.7798931350775357E-6</v>
      </c>
      <c r="F639" s="40">
        <f>[1]!Table3[[#This Row],[Residential Incentive Disbursements]]+[1]!Table3[[#This Row],[C&amp;I Incentive Disbursements]]</f>
        <v>0</v>
      </c>
      <c r="G639" s="36">
        <f>[1]!Table3[[#This Row],[Incentive Disbursements]]/'[1]1.) CLM Reference'!$B$5</f>
        <v>0</v>
      </c>
      <c r="H639" s="40">
        <v>876.93952319999994</v>
      </c>
      <c r="I639" s="36">
        <f>[1]!Table3[[#This Row],[Residential CLM $ Collected]]/'[1]1.) CLM Reference'!$B$4</f>
        <v>7.7798931350775357E-6</v>
      </c>
      <c r="J639" s="41">
        <v>0</v>
      </c>
      <c r="K639" s="36">
        <f>[1]!Table3[[#This Row],[Residential Incentive Disbursements]]/'[1]1.) CLM Reference'!$B$5</f>
        <v>0</v>
      </c>
      <c r="L639" s="37">
        <v>0</v>
      </c>
      <c r="M639" s="36">
        <f>[1]!Table3[[#This Row],[C&amp;I CLM $ Collected]]/'[1]1.) CLM Reference'!$B$4</f>
        <v>0</v>
      </c>
      <c r="N639" s="41">
        <v>0</v>
      </c>
      <c r="O639" s="36">
        <f>[1]!Table3[[#This Row],[C&amp;I Incentive Disbursements]]/'[1]1.) CLM Reference'!$B$5</f>
        <v>0</v>
      </c>
      <c r="Q639">
        <f>VLOOKUP(Table3[[#This Row],[Census Tract]],'Population and Diversity Data'!$B$2:$K$823,10,FALSE)</f>
        <v>3</v>
      </c>
      <c r="R639" t="str">
        <f>VLOOKUP(Table3[[#This Row],[Census Tract]],'ES Energy Burden'!$B$2:$E$914,4,FALSE)</f>
        <v>No</v>
      </c>
    </row>
    <row r="640" spans="1:18" x14ac:dyDescent="0.2">
      <c r="A640" s="100">
        <v>9009130101</v>
      </c>
      <c r="B640" s="38" t="s">
        <v>2837</v>
      </c>
      <c r="C640" s="38" t="s">
        <v>944</v>
      </c>
      <c r="D640" s="40">
        <f>[1]!Table3[[#This Row],[Residential CLM $ Collected]]+[1]!Table3[[#This Row],[C&amp;I CLM $ Collected]]</f>
        <v>89614.184112000003</v>
      </c>
      <c r="E640" s="36">
        <f>[1]!Table3[[#This Row],[CLM $ Collected ]]/'[1]1.) CLM Reference'!$B$4</f>
        <v>7.9502492171232449E-4</v>
      </c>
      <c r="F640" s="40">
        <f>[1]!Table3[[#This Row],[Residential Incentive Disbursements]]+[1]!Table3[[#This Row],[C&amp;I Incentive Disbursements]]</f>
        <v>38284.129999999997</v>
      </c>
      <c r="G640" s="36">
        <f>[1]!Table3[[#This Row],[Incentive Disbursements]]/'[1]1.) CLM Reference'!$B$5</f>
        <v>4.6839301090039457E-4</v>
      </c>
      <c r="H640" s="40">
        <v>89614.184112000003</v>
      </c>
      <c r="I640" s="36">
        <f>[1]!Table3[[#This Row],[Residential CLM $ Collected]]/'[1]1.) CLM Reference'!$B$4</f>
        <v>7.9502492171232449E-4</v>
      </c>
      <c r="J640" s="41">
        <v>38284.129999999997</v>
      </c>
      <c r="K640" s="36">
        <f>[1]!Table3[[#This Row],[Residential Incentive Disbursements]]/'[1]1.) CLM Reference'!$B$5</f>
        <v>4.6839301090039457E-4</v>
      </c>
      <c r="L640" s="37">
        <v>0</v>
      </c>
      <c r="M640" s="36">
        <f>[1]!Table3[[#This Row],[C&amp;I CLM $ Collected]]/'[1]1.) CLM Reference'!$B$4</f>
        <v>0</v>
      </c>
      <c r="N640" s="41">
        <v>0</v>
      </c>
      <c r="O640" s="36">
        <f>[1]!Table3[[#This Row],[C&amp;I Incentive Disbursements]]/'[1]1.) CLM Reference'!$B$5</f>
        <v>0</v>
      </c>
      <c r="Q640">
        <f>VLOOKUP(Table3[[#This Row],[Census Tract]],'Population and Diversity Data'!$B$2:$K$823,10,FALSE)</f>
        <v>2</v>
      </c>
      <c r="R640" t="str">
        <f>VLOOKUP(Table3[[#This Row],[Census Tract]],'ES Energy Burden'!$B$2:$E$914,4,FALSE)</f>
        <v>No</v>
      </c>
    </row>
    <row r="641" spans="1:18" x14ac:dyDescent="0.2">
      <c r="A641" s="100">
        <v>9009130102</v>
      </c>
      <c r="B641" s="38" t="s">
        <v>2837</v>
      </c>
      <c r="C641" s="38" t="s">
        <v>944</v>
      </c>
      <c r="D641" s="40">
        <f>[1]!Table3[[#This Row],[Residential CLM $ Collected]]+[1]!Table3[[#This Row],[C&amp;I CLM $ Collected]]</f>
        <v>53976.907267200004</v>
      </c>
      <c r="E641" s="36">
        <f>[1]!Table3[[#This Row],[CLM $ Collected ]]/'[1]1.) CLM Reference'!$B$4</f>
        <v>4.7886377474291723E-4</v>
      </c>
      <c r="F641" s="40">
        <f>[1]!Table3[[#This Row],[Residential Incentive Disbursements]]+[1]!Table3[[#This Row],[C&amp;I Incentive Disbursements]]</f>
        <v>13351.72</v>
      </c>
      <c r="G641" s="36">
        <f>[1]!Table3[[#This Row],[Incentive Disbursements]]/'[1]1.) CLM Reference'!$B$5</f>
        <v>1.6335364892708848E-4</v>
      </c>
      <c r="H641" s="40">
        <v>53976.907267200004</v>
      </c>
      <c r="I641" s="36">
        <f>[1]!Table3[[#This Row],[Residential CLM $ Collected]]/'[1]1.) CLM Reference'!$B$4</f>
        <v>4.7886377474291723E-4</v>
      </c>
      <c r="J641" s="41">
        <v>13351.72</v>
      </c>
      <c r="K641" s="36">
        <f>[1]!Table3[[#This Row],[Residential Incentive Disbursements]]/'[1]1.) CLM Reference'!$B$5</f>
        <v>1.6335364892708848E-4</v>
      </c>
      <c r="L641" s="37">
        <v>0</v>
      </c>
      <c r="M641" s="36">
        <f>[1]!Table3[[#This Row],[C&amp;I CLM $ Collected]]/'[1]1.) CLM Reference'!$B$4</f>
        <v>0</v>
      </c>
      <c r="N641" s="41">
        <v>0</v>
      </c>
      <c r="O641" s="36">
        <f>[1]!Table3[[#This Row],[C&amp;I Incentive Disbursements]]/'[1]1.) CLM Reference'!$B$5</f>
        <v>0</v>
      </c>
      <c r="Q641">
        <f>VLOOKUP(Table3[[#This Row],[Census Tract]],'Population and Diversity Data'!$B$2:$K$823,10,FALSE)</f>
        <v>2</v>
      </c>
      <c r="R641" t="str">
        <f>VLOOKUP(Table3[[#This Row],[Census Tract]],'ES Energy Burden'!$B$2:$E$914,4,FALSE)</f>
        <v>No</v>
      </c>
    </row>
    <row r="642" spans="1:18" x14ac:dyDescent="0.2">
      <c r="A642" s="100">
        <v>9009130200</v>
      </c>
      <c r="B642" s="38" t="s">
        <v>2837</v>
      </c>
      <c r="C642" s="38" t="s">
        <v>944</v>
      </c>
      <c r="D642" s="40">
        <f>[1]!Table3[[#This Row],[Residential CLM $ Collected]]+[1]!Table3[[#This Row],[C&amp;I CLM $ Collected]]</f>
        <v>243716.62715712</v>
      </c>
      <c r="E642" s="36">
        <f>[1]!Table3[[#This Row],[CLM $ Collected ]]/'[1]1.) CLM Reference'!$B$4</f>
        <v>2.1621665626439051E-3</v>
      </c>
      <c r="F642" s="40">
        <f>[1]!Table3[[#This Row],[Residential Incentive Disbursements]]+[1]!Table3[[#This Row],[C&amp;I Incentive Disbursements]]</f>
        <v>300973.51299999998</v>
      </c>
      <c r="G642" s="36">
        <f>[1]!Table3[[#This Row],[Incentive Disbursements]]/'[1]1.) CLM Reference'!$B$5</f>
        <v>3.6823062181467634E-3</v>
      </c>
      <c r="H642" s="40">
        <v>167933.75602751999</v>
      </c>
      <c r="I642" s="36">
        <f>[1]!Table3[[#This Row],[Residential CLM $ Collected]]/'[1]1.) CLM Reference'!$B$4</f>
        <v>1.4898480922592868E-3</v>
      </c>
      <c r="J642" s="41">
        <v>113997.1498</v>
      </c>
      <c r="K642" s="36">
        <f>[1]!Table3[[#This Row],[Residential Incentive Disbursements]]/'[1]1.) CLM Reference'!$B$5</f>
        <v>1.3947154664056703E-3</v>
      </c>
      <c r="L642" s="37">
        <v>75782.871129600011</v>
      </c>
      <c r="M642" s="36">
        <f>[1]!Table3[[#This Row],[C&amp;I CLM $ Collected]]/'[1]1.) CLM Reference'!$B$4</f>
        <v>6.723184703846185E-4</v>
      </c>
      <c r="N642" s="41">
        <v>186976.36319999999</v>
      </c>
      <c r="O642" s="36">
        <f>[1]!Table3[[#This Row],[C&amp;I Incentive Disbursements]]/'[1]1.) CLM Reference'!$B$5</f>
        <v>2.2875907517410929E-3</v>
      </c>
      <c r="Q642">
        <f>VLOOKUP(Table3[[#This Row],[Census Tract]],'Population and Diversity Data'!$B$2:$K$823,10,FALSE)</f>
        <v>3</v>
      </c>
      <c r="R642" t="str">
        <f>VLOOKUP(Table3[[#This Row],[Census Tract]],'ES Energy Burden'!$B$2:$E$914,4,FALSE)</f>
        <v>No</v>
      </c>
    </row>
    <row r="643" spans="1:18" x14ac:dyDescent="0.2">
      <c r="A643" s="100">
        <v>9005262100</v>
      </c>
      <c r="B643" s="38" t="s">
        <v>2838</v>
      </c>
      <c r="C643" s="38" t="s">
        <v>944</v>
      </c>
      <c r="D643" s="40">
        <f>[1]!Table3[[#This Row],[Residential CLM $ Collected]]+[1]!Table3[[#This Row],[C&amp;I CLM $ Collected]]</f>
        <v>113265.31408128</v>
      </c>
      <c r="E643" s="36">
        <f>[1]!Table3[[#This Row],[CLM $ Collected ]]/'[1]1.) CLM Reference'!$B$4</f>
        <v>1.0048492697054337E-3</v>
      </c>
      <c r="F643" s="40">
        <f>[1]!Table3[[#This Row],[Residential Incentive Disbursements]]+[1]!Table3[[#This Row],[C&amp;I Incentive Disbursements]]</f>
        <v>25351.057799999999</v>
      </c>
      <c r="G643" s="36">
        <f>[1]!Table3[[#This Row],[Incentive Disbursements]]/'[1]1.) CLM Reference'!$B$5</f>
        <v>3.1016137215216676E-4</v>
      </c>
      <c r="H643" s="40">
        <v>96003.921755520001</v>
      </c>
      <c r="I643" s="36">
        <f>[1]!Table3[[#This Row],[Residential CLM $ Collected]]/'[1]1.) CLM Reference'!$B$4</f>
        <v>8.5171238386064674E-4</v>
      </c>
      <c r="J643" s="41">
        <v>24987.0278</v>
      </c>
      <c r="K643" s="36">
        <f>[1]!Table3[[#This Row],[Residential Incentive Disbursements]]/'[1]1.) CLM Reference'!$B$5</f>
        <v>3.0570759175391638E-4</v>
      </c>
      <c r="L643" s="37">
        <v>17261.392325760004</v>
      </c>
      <c r="M643" s="36">
        <f>[1]!Table3[[#This Row],[C&amp;I CLM $ Collected]]/'[1]1.) CLM Reference'!$B$4</f>
        <v>1.5313688584478696E-4</v>
      </c>
      <c r="N643" s="41">
        <v>364.03</v>
      </c>
      <c r="O643" s="36">
        <f>[1]!Table3[[#This Row],[C&amp;I Incentive Disbursements]]/'[1]1.) CLM Reference'!$B$5</f>
        <v>4.4537803982504141E-6</v>
      </c>
      <c r="Q643">
        <f>VLOOKUP(Table3[[#This Row],[Census Tract]],'Population and Diversity Data'!$B$2:$K$823,10,FALSE)</f>
        <v>1</v>
      </c>
      <c r="R643" t="str">
        <f>VLOOKUP(Table3[[#This Row],[Census Tract]],'ES Energy Burden'!$B$2:$E$914,4,FALSE)</f>
        <v>No</v>
      </c>
    </row>
    <row r="644" spans="1:18" x14ac:dyDescent="0.2">
      <c r="A644" s="100">
        <v>9005266100</v>
      </c>
      <c r="B644" s="38" t="s">
        <v>2838</v>
      </c>
      <c r="C644" s="38" t="s">
        <v>944</v>
      </c>
      <c r="D644" s="40">
        <f>[1]!Table3[[#This Row],[Residential CLM $ Collected]]+[1]!Table3[[#This Row],[C&amp;I CLM $ Collected]]</f>
        <v>572.91174720000004</v>
      </c>
      <c r="E644" s="36">
        <f>[1]!Table3[[#This Row],[CLM $ Collected ]]/'[1]1.) CLM Reference'!$B$4</f>
        <v>5.0826676767652347E-6</v>
      </c>
      <c r="F644" s="40">
        <f>[1]!Table3[[#This Row],[Residential Incentive Disbursements]]+[1]!Table3[[#This Row],[C&amp;I Incentive Disbursements]]</f>
        <v>0</v>
      </c>
      <c r="G644" s="36">
        <f>[1]!Table3[[#This Row],[Incentive Disbursements]]/'[1]1.) CLM Reference'!$B$5</f>
        <v>0</v>
      </c>
      <c r="H644" s="40">
        <v>572.91174720000004</v>
      </c>
      <c r="I644" s="36">
        <f>[1]!Table3[[#This Row],[Residential CLM $ Collected]]/'[1]1.) CLM Reference'!$B$4</f>
        <v>5.0826676767652347E-6</v>
      </c>
      <c r="J644" s="41">
        <v>0</v>
      </c>
      <c r="K644" s="36">
        <f>[1]!Table3[[#This Row],[Residential Incentive Disbursements]]/'[1]1.) CLM Reference'!$B$5</f>
        <v>0</v>
      </c>
      <c r="L644" s="37">
        <v>0</v>
      </c>
      <c r="M644" s="36">
        <f>[1]!Table3[[#This Row],[C&amp;I CLM $ Collected]]/'[1]1.) CLM Reference'!$B$4</f>
        <v>0</v>
      </c>
      <c r="N644" s="41">
        <v>0</v>
      </c>
      <c r="O644" s="36">
        <f>[1]!Table3[[#This Row],[C&amp;I Incentive Disbursements]]/'[1]1.) CLM Reference'!$B$5</f>
        <v>0</v>
      </c>
      <c r="Q644">
        <f>VLOOKUP(Table3[[#This Row],[Census Tract]],'Population and Diversity Data'!$B$2:$K$823,10,FALSE)</f>
        <v>2</v>
      </c>
      <c r="R644" t="str">
        <f>VLOOKUP(Table3[[#This Row],[Census Tract]],'ES Energy Burden'!$B$2:$E$914,4,FALSE)</f>
        <v>No</v>
      </c>
    </row>
    <row r="645" spans="1:18" x14ac:dyDescent="0.2">
      <c r="A645" s="100">
        <v>9001220200</v>
      </c>
      <c r="B645" s="38" t="s">
        <v>2839</v>
      </c>
      <c r="C645" s="38" t="s">
        <v>944</v>
      </c>
      <c r="D645" s="40">
        <f>[1]!Table3[[#This Row],[Residential CLM $ Collected]]+[1]!Table3[[#This Row],[C&amp;I CLM $ Collected]]</f>
        <v>419.00492159999999</v>
      </c>
      <c r="E645" s="36">
        <f>[1]!Table3[[#This Row],[CLM $ Collected ]]/'[1]1.) CLM Reference'!$B$4</f>
        <v>3.7172614836930878E-6</v>
      </c>
      <c r="F645" s="40">
        <f>[1]!Table3[[#This Row],[Residential Incentive Disbursements]]+[1]!Table3[[#This Row],[C&amp;I Incentive Disbursements]]</f>
        <v>0</v>
      </c>
      <c r="G645" s="36">
        <f>[1]!Table3[[#This Row],[Incentive Disbursements]]/'[1]1.) CLM Reference'!$B$5</f>
        <v>0</v>
      </c>
      <c r="H645" s="40">
        <v>419.00492159999999</v>
      </c>
      <c r="I645" s="36">
        <f>[1]!Table3[[#This Row],[Residential CLM $ Collected]]/'[1]1.) CLM Reference'!$B$4</f>
        <v>3.7172614836930878E-6</v>
      </c>
      <c r="J645" s="41">
        <v>0</v>
      </c>
      <c r="K645" s="36">
        <f>[1]!Table3[[#This Row],[Residential Incentive Disbursements]]/'[1]1.) CLM Reference'!$B$5</f>
        <v>0</v>
      </c>
      <c r="L645" s="37">
        <v>0</v>
      </c>
      <c r="M645" s="36">
        <f>[1]!Table3[[#This Row],[C&amp;I CLM $ Collected]]/'[1]1.) CLM Reference'!$B$4</f>
        <v>0</v>
      </c>
      <c r="N645" s="41">
        <v>0</v>
      </c>
      <c r="O645" s="36">
        <f>[1]!Table3[[#This Row],[C&amp;I Incentive Disbursements]]/'[1]1.) CLM Reference'!$B$5</f>
        <v>0</v>
      </c>
      <c r="Q645">
        <f>VLOOKUP(Table3[[#This Row],[Census Tract]],'Population and Diversity Data'!$B$2:$K$823,10,FALSE)</f>
        <v>3</v>
      </c>
      <c r="R645" t="str">
        <f>VLOOKUP(Table3[[#This Row],[Census Tract]],'ES Energy Burden'!$B$2:$E$914,4,FALSE)</f>
        <v>No</v>
      </c>
    </row>
    <row r="646" spans="1:18" x14ac:dyDescent="0.2">
      <c r="A646" s="100">
        <v>9001220300</v>
      </c>
      <c r="B646" s="38" t="s">
        <v>2839</v>
      </c>
      <c r="C646" s="38" t="s">
        <v>944</v>
      </c>
      <c r="D646" s="40">
        <f>[1]!Table3[[#This Row],[Residential CLM $ Collected]]+[1]!Table3[[#This Row],[C&amp;I CLM $ Collected]]</f>
        <v>1016.0791200000001</v>
      </c>
      <c r="E646" s="36">
        <f>[1]!Table3[[#This Row],[CLM $ Collected ]]/'[1]1.) CLM Reference'!$B$4</f>
        <v>9.0142897671414071E-6</v>
      </c>
      <c r="F646" s="40">
        <f>[1]!Table3[[#This Row],[Residential Incentive Disbursements]]+[1]!Table3[[#This Row],[C&amp;I Incentive Disbursements]]</f>
        <v>0</v>
      </c>
      <c r="G646" s="36">
        <f>[1]!Table3[[#This Row],[Incentive Disbursements]]/'[1]1.) CLM Reference'!$B$5</f>
        <v>0</v>
      </c>
      <c r="H646" s="40">
        <v>1016.0791200000001</v>
      </c>
      <c r="I646" s="36">
        <f>[1]!Table3[[#This Row],[Residential CLM $ Collected]]/'[1]1.) CLM Reference'!$B$4</f>
        <v>9.0142897671414071E-6</v>
      </c>
      <c r="J646" s="41">
        <v>0</v>
      </c>
      <c r="K646" s="36">
        <f>[1]!Table3[[#This Row],[Residential Incentive Disbursements]]/'[1]1.) CLM Reference'!$B$5</f>
        <v>0</v>
      </c>
      <c r="L646" s="37">
        <v>0</v>
      </c>
      <c r="M646" s="36">
        <f>[1]!Table3[[#This Row],[C&amp;I CLM $ Collected]]/'[1]1.) CLM Reference'!$B$4</f>
        <v>0</v>
      </c>
      <c r="N646" s="41">
        <v>0</v>
      </c>
      <c r="O646" s="36">
        <f>[1]!Table3[[#This Row],[C&amp;I Incentive Disbursements]]/'[1]1.) CLM Reference'!$B$5</f>
        <v>0</v>
      </c>
      <c r="Q646">
        <f>VLOOKUP(Table3[[#This Row],[Census Tract]],'Population and Diversity Data'!$B$2:$K$823,10,FALSE)</f>
        <v>2</v>
      </c>
      <c r="R646" t="str">
        <f>VLOOKUP(Table3[[#This Row],[Census Tract]],'ES Energy Burden'!$B$2:$E$914,4,FALSE)</f>
        <v>No</v>
      </c>
    </row>
    <row r="647" spans="1:18" x14ac:dyDescent="0.2">
      <c r="A647" s="100">
        <v>9001257100</v>
      </c>
      <c r="B647" s="38" t="s">
        <v>2839</v>
      </c>
      <c r="C647" s="38" t="s">
        <v>944</v>
      </c>
      <c r="D647" s="40">
        <f>[1]!Table3[[#This Row],[Residential CLM $ Collected]]+[1]!Table3[[#This Row],[C&amp;I CLM $ Collected]]</f>
        <v>123593.69393568001</v>
      </c>
      <c r="E647" s="36">
        <f>[1]!Table3[[#This Row],[CLM $ Collected ]]/'[1]1.) CLM Reference'!$B$4</f>
        <v>1.0964789538511599E-3</v>
      </c>
      <c r="F647" s="40">
        <f>[1]!Table3[[#This Row],[Residential Incentive Disbursements]]+[1]!Table3[[#This Row],[C&amp;I Incentive Disbursements]]</f>
        <v>34462.43</v>
      </c>
      <c r="G647" s="36">
        <f>[1]!Table3[[#This Row],[Incentive Disbursements]]/'[1]1.) CLM Reference'!$B$5</f>
        <v>4.2163584102979709E-4</v>
      </c>
      <c r="H647" s="40">
        <v>114117.20257248002</v>
      </c>
      <c r="I647" s="36">
        <f>[1]!Table3[[#This Row],[Residential CLM $ Collected]]/'[1]1.) CLM Reference'!$B$4</f>
        <v>1.0124069190634579E-3</v>
      </c>
      <c r="J647" s="41">
        <v>34462.43</v>
      </c>
      <c r="K647" s="36">
        <f>[1]!Table3[[#This Row],[Residential Incentive Disbursements]]/'[1]1.) CLM Reference'!$B$5</f>
        <v>4.2163584102979709E-4</v>
      </c>
      <c r="L647" s="37">
        <v>9476.4913632000007</v>
      </c>
      <c r="M647" s="36">
        <f>[1]!Table3[[#This Row],[C&amp;I CLM $ Collected]]/'[1]1.) CLM Reference'!$B$4</f>
        <v>8.4072034787702047E-5</v>
      </c>
      <c r="N647" s="41">
        <v>0</v>
      </c>
      <c r="O647" s="36">
        <f>[1]!Table3[[#This Row],[C&amp;I Incentive Disbursements]]/'[1]1.) CLM Reference'!$B$5</f>
        <v>0</v>
      </c>
      <c r="Q647">
        <f>VLOOKUP(Table3[[#This Row],[Census Tract]],'Population and Diversity Data'!$B$2:$K$823,10,FALSE)</f>
        <v>1</v>
      </c>
      <c r="R647" t="str">
        <f>VLOOKUP(Table3[[#This Row],[Census Tract]],'ES Energy Burden'!$B$2:$E$914,4,FALSE)</f>
        <v>No</v>
      </c>
    </row>
    <row r="648" spans="1:18" x14ac:dyDescent="0.2">
      <c r="A648" s="100">
        <v>9005253400</v>
      </c>
      <c r="B648" s="38" t="s">
        <v>2839</v>
      </c>
      <c r="C648" s="38" t="s">
        <v>944</v>
      </c>
      <c r="D648" s="40">
        <f>[1]!Table3[[#This Row],[Residential CLM $ Collected]]+[1]!Table3[[#This Row],[C&amp;I CLM $ Collected]]</f>
        <v>1058.5747007999998</v>
      </c>
      <c r="E648" s="36">
        <f>[1]!Table3[[#This Row],[CLM $ Collected ]]/'[1]1.) CLM Reference'!$B$4</f>
        <v>9.3912953286317047E-6</v>
      </c>
      <c r="F648" s="40">
        <f>[1]!Table3[[#This Row],[Residential Incentive Disbursements]]+[1]!Table3[[#This Row],[C&amp;I Incentive Disbursements]]</f>
        <v>0</v>
      </c>
      <c r="G648" s="36">
        <f>[1]!Table3[[#This Row],[Incentive Disbursements]]/'[1]1.) CLM Reference'!$B$5</f>
        <v>0</v>
      </c>
      <c r="H648" s="40">
        <v>1058.5747007999998</v>
      </c>
      <c r="I648" s="36">
        <f>[1]!Table3[[#This Row],[Residential CLM $ Collected]]/'[1]1.) CLM Reference'!$B$4</f>
        <v>9.3912953286317047E-6</v>
      </c>
      <c r="J648" s="41">
        <v>0</v>
      </c>
      <c r="K648" s="36">
        <f>[1]!Table3[[#This Row],[Residential Incentive Disbursements]]/'[1]1.) CLM Reference'!$B$5</f>
        <v>0</v>
      </c>
      <c r="L648" s="37">
        <v>0</v>
      </c>
      <c r="M648" s="36">
        <f>[1]!Table3[[#This Row],[C&amp;I CLM $ Collected]]/'[1]1.) CLM Reference'!$B$4</f>
        <v>0</v>
      </c>
      <c r="N648" s="41">
        <v>0</v>
      </c>
      <c r="O648" s="36">
        <f>[1]!Table3[[#This Row],[C&amp;I Incentive Disbursements]]/'[1]1.) CLM Reference'!$B$5</f>
        <v>0</v>
      </c>
      <c r="Q648">
        <f>VLOOKUP(Table3[[#This Row],[Census Tract]],'Population and Diversity Data'!$B$2:$K$823,10,FALSE)</f>
        <v>2</v>
      </c>
      <c r="R648" t="str">
        <f>VLOOKUP(Table3[[#This Row],[Census Tract]],'ES Energy Burden'!$B$2:$E$914,4,FALSE)</f>
        <v>No</v>
      </c>
    </row>
    <row r="649" spans="1:18" x14ac:dyDescent="0.2">
      <c r="A649" s="100">
        <v>9003464101</v>
      </c>
      <c r="B649" s="38" t="s">
        <v>2840</v>
      </c>
      <c r="C649" s="38" t="s">
        <v>944</v>
      </c>
      <c r="D649" s="40">
        <f>[1]!Table3[[#This Row],[Residential CLM $ Collected]]+[1]!Table3[[#This Row],[C&amp;I CLM $ Collected]]</f>
        <v>1219.9722336</v>
      </c>
      <c r="E649" s="36">
        <f>[1]!Table3[[#This Row],[CLM $ Collected ]]/'[1]1.) CLM Reference'!$B$4</f>
        <v>1.0823156391145136E-5</v>
      </c>
      <c r="F649" s="40">
        <f>[1]!Table3[[#This Row],[Residential Incentive Disbursements]]+[1]!Table3[[#This Row],[C&amp;I Incentive Disbursements]]</f>
        <v>0</v>
      </c>
      <c r="G649" s="36">
        <f>[1]!Table3[[#This Row],[Incentive Disbursements]]/'[1]1.) CLM Reference'!$B$5</f>
        <v>0</v>
      </c>
      <c r="H649" s="40">
        <v>1219.9722336</v>
      </c>
      <c r="I649" s="36">
        <f>[1]!Table3[[#This Row],[Residential CLM $ Collected]]/'[1]1.) CLM Reference'!$B$4</f>
        <v>1.0823156391145136E-5</v>
      </c>
      <c r="J649" s="41">
        <v>0</v>
      </c>
      <c r="K649" s="36">
        <f>[1]!Table3[[#This Row],[Residential Incentive Disbursements]]/'[1]1.) CLM Reference'!$B$5</f>
        <v>0</v>
      </c>
      <c r="L649" s="37">
        <v>0</v>
      </c>
      <c r="M649" s="36">
        <f>[1]!Table3[[#This Row],[C&amp;I CLM $ Collected]]/'[1]1.) CLM Reference'!$B$4</f>
        <v>0</v>
      </c>
      <c r="N649" s="41">
        <v>0</v>
      </c>
      <c r="O649" s="36">
        <f>[1]!Table3[[#This Row],[C&amp;I Incentive Disbursements]]/'[1]1.) CLM Reference'!$B$5</f>
        <v>0</v>
      </c>
      <c r="Q649">
        <f>VLOOKUP(Table3[[#This Row],[Census Tract]],'Population and Diversity Data'!$B$2:$K$823,10,FALSE)</f>
        <v>1</v>
      </c>
      <c r="R649" t="str">
        <f>VLOOKUP(Table3[[#This Row],[Census Tract]],'ES Energy Burden'!$B$2:$E$914,4,FALSE)</f>
        <v>No</v>
      </c>
    </row>
    <row r="650" spans="1:18" x14ac:dyDescent="0.2">
      <c r="A650" s="100">
        <v>9003466101</v>
      </c>
      <c r="B650" s="38" t="s">
        <v>2840</v>
      </c>
      <c r="C650" s="38" t="s">
        <v>944</v>
      </c>
      <c r="D650" s="40">
        <f>[1]!Table3[[#This Row],[Residential CLM $ Collected]]+[1]!Table3[[#This Row],[C&amp;I CLM $ Collected]]</f>
        <v>89359.129584000009</v>
      </c>
      <c r="E650" s="36">
        <f>[1]!Table3[[#This Row],[CLM $ Collected ]]/'[1]1.) CLM Reference'!$B$4</f>
        <v>7.9276216935716005E-4</v>
      </c>
      <c r="F650" s="40">
        <f>[1]!Table3[[#This Row],[Residential Incentive Disbursements]]+[1]!Table3[[#This Row],[C&amp;I Incentive Disbursements]]</f>
        <v>9945.31</v>
      </c>
      <c r="G650" s="36">
        <f>[1]!Table3[[#This Row],[Incentive Disbursements]]/'[1]1.) CLM Reference'!$B$5</f>
        <v>1.21677407720583E-4</v>
      </c>
      <c r="H650" s="40">
        <v>89359.129584000009</v>
      </c>
      <c r="I650" s="36">
        <f>[1]!Table3[[#This Row],[Residential CLM $ Collected]]/'[1]1.) CLM Reference'!$B$4</f>
        <v>7.9276216935716005E-4</v>
      </c>
      <c r="J650" s="41">
        <v>9945.31</v>
      </c>
      <c r="K650" s="36">
        <f>[1]!Table3[[#This Row],[Residential Incentive Disbursements]]/'[1]1.) CLM Reference'!$B$5</f>
        <v>1.21677407720583E-4</v>
      </c>
      <c r="L650" s="37">
        <v>0</v>
      </c>
      <c r="M650" s="36">
        <f>[1]!Table3[[#This Row],[C&amp;I CLM $ Collected]]/'[1]1.) CLM Reference'!$B$4</f>
        <v>0</v>
      </c>
      <c r="N650" s="41">
        <v>0</v>
      </c>
      <c r="O650" s="36">
        <f>[1]!Table3[[#This Row],[C&amp;I Incentive Disbursements]]/'[1]1.) CLM Reference'!$B$5</f>
        <v>0</v>
      </c>
      <c r="Q650">
        <f>VLOOKUP(Table3[[#This Row],[Census Tract]],'Population and Diversity Data'!$B$2:$K$823,10,FALSE)</f>
        <v>1</v>
      </c>
      <c r="R650" t="str">
        <f>VLOOKUP(Table3[[#This Row],[Census Tract]],'ES Energy Burden'!$B$2:$E$914,4,FALSE)</f>
        <v>No</v>
      </c>
    </row>
    <row r="651" spans="1:18" x14ac:dyDescent="0.2">
      <c r="A651" s="100">
        <v>9003466102</v>
      </c>
      <c r="B651" s="38" t="s">
        <v>2840</v>
      </c>
      <c r="C651" s="38" t="s">
        <v>944</v>
      </c>
      <c r="D651" s="40">
        <f>[1]!Table3[[#This Row],[Residential CLM $ Collected]]+[1]!Table3[[#This Row],[C&amp;I CLM $ Collected]]</f>
        <v>260268.55631136001</v>
      </c>
      <c r="E651" s="36">
        <f>[1]!Table3[[#This Row],[CLM $ Collected ]]/'[1]1.) CLM Reference'!$B$4</f>
        <v>2.3090093455184466E-3</v>
      </c>
      <c r="F651" s="40">
        <f>[1]!Table3[[#This Row],[Residential Incentive Disbursements]]+[1]!Table3[[#This Row],[C&amp;I Incentive Disbursements]]</f>
        <v>314302.68479999999</v>
      </c>
      <c r="G651" s="36">
        <f>[1]!Table3[[#This Row],[Incentive Disbursements]]/'[1]1.) CLM Reference'!$B$5</f>
        <v>3.8453839976917243E-3</v>
      </c>
      <c r="H651" s="40">
        <v>115211.62615391999</v>
      </c>
      <c r="I651" s="36">
        <f>[1]!Table3[[#This Row],[Residential CLM $ Collected]]/'[1]1.) CLM Reference'!$B$4</f>
        <v>1.0221162528120864E-3</v>
      </c>
      <c r="J651" s="41">
        <v>225976.02679999999</v>
      </c>
      <c r="K651" s="36">
        <f>[1]!Table3[[#This Row],[Residential Incentive Disbursements]]/'[1]1.) CLM Reference'!$B$5</f>
        <v>2.7647380672921199E-3</v>
      </c>
      <c r="L651" s="37">
        <v>145056.93015744002</v>
      </c>
      <c r="M651" s="36">
        <f>[1]!Table3[[#This Row],[C&amp;I CLM $ Collected]]/'[1]1.) CLM Reference'!$B$4</f>
        <v>1.2868930927063605E-3</v>
      </c>
      <c r="N651" s="41">
        <v>88326.657999999996</v>
      </c>
      <c r="O651" s="36">
        <f>[1]!Table3[[#This Row],[C&amp;I Incentive Disbursements]]/'[1]1.) CLM Reference'!$B$5</f>
        <v>1.0806459303996049E-3</v>
      </c>
      <c r="Q651">
        <f>VLOOKUP(Table3[[#This Row],[Census Tract]],'Population and Diversity Data'!$B$2:$K$823,10,FALSE)</f>
        <v>2</v>
      </c>
      <c r="R651" t="str">
        <f>VLOOKUP(Table3[[#This Row],[Census Tract]],'ES Energy Burden'!$B$2:$E$914,4,FALSE)</f>
        <v>No</v>
      </c>
    </row>
    <row r="652" spans="1:18" x14ac:dyDescent="0.2">
      <c r="A652" s="100">
        <v>9003466201</v>
      </c>
      <c r="B652" s="38" t="s">
        <v>2840</v>
      </c>
      <c r="C652" s="38" t="s">
        <v>944</v>
      </c>
      <c r="D652" s="40">
        <f>[1]!Table3[[#This Row],[Residential CLM $ Collected]]+[1]!Table3[[#This Row],[C&amp;I CLM $ Collected]]</f>
        <v>49398.020303040008</v>
      </c>
      <c r="E652" s="36">
        <f>[1]!Table3[[#This Row],[CLM $ Collected ]]/'[1]1.) CLM Reference'!$B$4</f>
        <v>4.3824153077246284E-4</v>
      </c>
      <c r="F652" s="40">
        <f>[1]!Table3[[#This Row],[Residential Incentive Disbursements]]+[1]!Table3[[#This Row],[C&amp;I Incentive Disbursements]]</f>
        <v>14239.196</v>
      </c>
      <c r="G652" s="36">
        <f>[1]!Table3[[#This Row],[Incentive Disbursements]]/'[1]1.) CLM Reference'!$B$5</f>
        <v>1.7421160902026127E-4</v>
      </c>
      <c r="H652" s="40">
        <v>49398.020303040008</v>
      </c>
      <c r="I652" s="36">
        <f>[1]!Table3[[#This Row],[Residential CLM $ Collected]]/'[1]1.) CLM Reference'!$B$4</f>
        <v>4.3824153077246284E-4</v>
      </c>
      <c r="J652" s="41">
        <v>14239.196</v>
      </c>
      <c r="K652" s="36">
        <f>[1]!Table3[[#This Row],[Residential Incentive Disbursements]]/'[1]1.) CLM Reference'!$B$5</f>
        <v>1.7421160902026127E-4</v>
      </c>
      <c r="L652" s="37">
        <v>0</v>
      </c>
      <c r="M652" s="36">
        <f>[1]!Table3[[#This Row],[C&amp;I CLM $ Collected]]/'[1]1.) CLM Reference'!$B$4</f>
        <v>0</v>
      </c>
      <c r="N652" s="41">
        <v>0</v>
      </c>
      <c r="O652" s="36">
        <f>[1]!Table3[[#This Row],[C&amp;I Incentive Disbursements]]/'[1]1.) CLM Reference'!$B$5</f>
        <v>0</v>
      </c>
      <c r="Q652">
        <f>VLOOKUP(Table3[[#This Row],[Census Tract]],'Population and Diversity Data'!$B$2:$K$823,10,FALSE)</f>
        <v>3</v>
      </c>
      <c r="R652" t="str">
        <f>VLOOKUP(Table3[[#This Row],[Census Tract]],'ES Energy Burden'!$B$2:$E$914,4,FALSE)</f>
        <v>No</v>
      </c>
    </row>
    <row r="653" spans="1:18" x14ac:dyDescent="0.2">
      <c r="A653" s="100">
        <v>9003466202</v>
      </c>
      <c r="B653" s="38" t="s">
        <v>2840</v>
      </c>
      <c r="C653" s="38" t="s">
        <v>944</v>
      </c>
      <c r="D653" s="40">
        <f>[1]!Table3[[#This Row],[Residential CLM $ Collected]]+[1]!Table3[[#This Row],[C&amp;I CLM $ Collected]]</f>
        <v>99425.036563200003</v>
      </c>
      <c r="E653" s="36">
        <f>[1]!Table3[[#This Row],[CLM $ Collected ]]/'[1]1.) CLM Reference'!$B$4</f>
        <v>8.8206328823026495E-4</v>
      </c>
      <c r="F653" s="40">
        <f>[1]!Table3[[#This Row],[Residential Incentive Disbursements]]+[1]!Table3[[#This Row],[C&amp;I Incentive Disbursements]]</f>
        <v>14061.6337</v>
      </c>
      <c r="G653" s="36">
        <f>[1]!Table3[[#This Row],[Incentive Disbursements]]/'[1]1.) CLM Reference'!$B$5</f>
        <v>1.7203919605647186E-4</v>
      </c>
      <c r="H653" s="40">
        <v>99425.036563200003</v>
      </c>
      <c r="I653" s="36">
        <f>[1]!Table3[[#This Row],[Residential CLM $ Collected]]/'[1]1.) CLM Reference'!$B$4</f>
        <v>8.8206328823026495E-4</v>
      </c>
      <c r="J653" s="41">
        <v>14061.6337</v>
      </c>
      <c r="K653" s="36">
        <f>[1]!Table3[[#This Row],[Residential Incentive Disbursements]]/'[1]1.) CLM Reference'!$B$5</f>
        <v>1.7203919605647186E-4</v>
      </c>
      <c r="L653" s="37">
        <v>0</v>
      </c>
      <c r="M653" s="36">
        <f>[1]!Table3[[#This Row],[C&amp;I CLM $ Collected]]/'[1]1.) CLM Reference'!$B$4</f>
        <v>0</v>
      </c>
      <c r="N653" s="41">
        <v>0</v>
      </c>
      <c r="O653" s="36">
        <f>[1]!Table3[[#This Row],[C&amp;I Incentive Disbursements]]/'[1]1.) CLM Reference'!$B$5</f>
        <v>0</v>
      </c>
      <c r="Q653">
        <f>VLOOKUP(Table3[[#This Row],[Census Tract]],'Population and Diversity Data'!$B$2:$K$823,10,FALSE)</f>
        <v>2</v>
      </c>
      <c r="R653" t="str">
        <f>VLOOKUP(Table3[[#This Row],[Census Tract]],'ES Energy Burden'!$B$2:$E$914,4,FALSE)</f>
        <v>No</v>
      </c>
    </row>
    <row r="654" spans="1:18" x14ac:dyDescent="0.2">
      <c r="A654" s="100">
        <v>9003466300</v>
      </c>
      <c r="B654" s="38" t="s">
        <v>2840</v>
      </c>
      <c r="C654" s="38" t="s">
        <v>944</v>
      </c>
      <c r="D654" s="40">
        <f>[1]!Table3[[#This Row],[Residential CLM $ Collected]]+[1]!Table3[[#This Row],[C&amp;I CLM $ Collected]]</f>
        <v>101449.18831391999</v>
      </c>
      <c r="E654" s="36">
        <f>[1]!Table3[[#This Row],[CLM $ Collected ]]/'[1]1.) CLM Reference'!$B$4</f>
        <v>9.000208370613604E-4</v>
      </c>
      <c r="F654" s="40">
        <f>[1]!Table3[[#This Row],[Residential Incentive Disbursements]]+[1]!Table3[[#This Row],[C&amp;I Incentive Disbursements]]</f>
        <v>41323.4208</v>
      </c>
      <c r="G654" s="36">
        <f>[1]!Table3[[#This Row],[Incentive Disbursements]]/'[1]1.) CLM Reference'!$B$5</f>
        <v>5.055776764214308E-4</v>
      </c>
      <c r="H654" s="40">
        <v>101449.18831391999</v>
      </c>
      <c r="I654" s="36">
        <f>[1]!Table3[[#This Row],[Residential CLM $ Collected]]/'[1]1.) CLM Reference'!$B$4</f>
        <v>9.000208370613604E-4</v>
      </c>
      <c r="J654" s="41">
        <v>41323.4208</v>
      </c>
      <c r="K654" s="36">
        <f>[1]!Table3[[#This Row],[Residential Incentive Disbursements]]/'[1]1.) CLM Reference'!$B$5</f>
        <v>5.055776764214308E-4</v>
      </c>
      <c r="L654" s="37">
        <v>0</v>
      </c>
      <c r="M654" s="36">
        <f>[1]!Table3[[#This Row],[C&amp;I CLM $ Collected]]/'[1]1.) CLM Reference'!$B$4</f>
        <v>0</v>
      </c>
      <c r="N654" s="41">
        <v>0</v>
      </c>
      <c r="O654" s="36">
        <f>[1]!Table3[[#This Row],[C&amp;I Incentive Disbursements]]/'[1]1.) CLM Reference'!$B$5</f>
        <v>0</v>
      </c>
      <c r="Q654">
        <f>VLOOKUP(Table3[[#This Row],[Census Tract]],'Population and Diversity Data'!$B$2:$K$823,10,FALSE)</f>
        <v>2</v>
      </c>
      <c r="R654" t="str">
        <f>VLOOKUP(Table3[[#This Row],[Census Tract]],'ES Energy Burden'!$B$2:$E$914,4,FALSE)</f>
        <v>No</v>
      </c>
    </row>
    <row r="655" spans="1:18" x14ac:dyDescent="0.2">
      <c r="A655" s="100">
        <v>9003466400</v>
      </c>
      <c r="B655" s="38" t="s">
        <v>2840</v>
      </c>
      <c r="C655" s="38" t="s">
        <v>944</v>
      </c>
      <c r="D655" s="40">
        <f>[1]!Table3[[#This Row],[Residential CLM $ Collected]]+[1]!Table3[[#This Row],[C&amp;I CLM $ Collected]]</f>
        <v>58695.277104000008</v>
      </c>
      <c r="E655" s="36">
        <f>[1]!Table3[[#This Row],[CLM $ Collected ]]/'[1]1.) CLM Reference'!$B$4</f>
        <v>5.2072346076565031E-4</v>
      </c>
      <c r="F655" s="40">
        <f>[1]!Table3[[#This Row],[Residential Incentive Disbursements]]+[1]!Table3[[#This Row],[C&amp;I Incentive Disbursements]]</f>
        <v>6847.7622000000001</v>
      </c>
      <c r="G655" s="36">
        <f>[1]!Table3[[#This Row],[Incentive Disbursements]]/'[1]1.) CLM Reference'!$B$5</f>
        <v>8.3779988073071277E-5</v>
      </c>
      <c r="H655" s="40">
        <v>58695.277104000008</v>
      </c>
      <c r="I655" s="36">
        <f>[1]!Table3[[#This Row],[Residential CLM $ Collected]]/'[1]1.) CLM Reference'!$B$4</f>
        <v>5.2072346076565031E-4</v>
      </c>
      <c r="J655" s="41">
        <v>6847.7622000000001</v>
      </c>
      <c r="K655" s="36">
        <f>[1]!Table3[[#This Row],[Residential Incentive Disbursements]]/'[1]1.) CLM Reference'!$B$5</f>
        <v>8.3779988073071277E-5</v>
      </c>
      <c r="L655" s="37">
        <v>0</v>
      </c>
      <c r="M655" s="36">
        <f>[1]!Table3[[#This Row],[C&amp;I CLM $ Collected]]/'[1]1.) CLM Reference'!$B$4</f>
        <v>0</v>
      </c>
      <c r="N655" s="41">
        <v>0</v>
      </c>
      <c r="O655" s="36">
        <f>[1]!Table3[[#This Row],[C&amp;I Incentive Disbursements]]/'[1]1.) CLM Reference'!$B$5</f>
        <v>0</v>
      </c>
      <c r="Q655">
        <f>VLOOKUP(Table3[[#This Row],[Census Tract]],'Population and Diversity Data'!$B$2:$K$823,10,FALSE)</f>
        <v>3</v>
      </c>
      <c r="R655" t="str">
        <f>VLOOKUP(Table3[[#This Row],[Census Tract]],'ES Energy Burden'!$B$2:$E$914,4,FALSE)</f>
        <v>No</v>
      </c>
    </row>
    <row r="656" spans="1:18" x14ac:dyDescent="0.2">
      <c r="A656" s="100">
        <v>9013538201</v>
      </c>
      <c r="B656" s="38" t="s">
        <v>2841</v>
      </c>
      <c r="C656" s="38" t="s">
        <v>944</v>
      </c>
      <c r="D656" s="40">
        <f>[1]!Table3[[#This Row],[Residential CLM $ Collected]]+[1]!Table3[[#This Row],[C&amp;I CLM $ Collected]]</f>
        <v>148145.13802368002</v>
      </c>
      <c r="E656" s="36">
        <f>[1]!Table3[[#This Row],[CLM $ Collected ]]/'[1]1.) CLM Reference'!$B$4</f>
        <v>1.314290566012822E-3</v>
      </c>
      <c r="F656" s="40">
        <f>[1]!Table3[[#This Row],[Residential Incentive Disbursements]]+[1]!Table3[[#This Row],[C&amp;I Incentive Disbursements]]</f>
        <v>83172.125400000004</v>
      </c>
      <c r="G656" s="36">
        <f>[1]!Table3[[#This Row],[Incentive Disbursements]]/'[1]1.) CLM Reference'!$B$5</f>
        <v>1.0175820173813847E-3</v>
      </c>
      <c r="H656" s="40">
        <v>114821.10560160001</v>
      </c>
      <c r="I656" s="36">
        <f>[1]!Table3[[#This Row],[Residential CLM $ Collected]]/'[1]1.) CLM Reference'!$B$4</f>
        <v>1.0186516944432099E-3</v>
      </c>
      <c r="J656" s="41">
        <v>69334.025399999999</v>
      </c>
      <c r="K656" s="36">
        <f>[1]!Table3[[#This Row],[Residential Incentive Disbursements]]/'[1]1.) CLM Reference'!$B$5</f>
        <v>8.4827767837353067E-4</v>
      </c>
      <c r="L656" s="37">
        <v>33324.032422080003</v>
      </c>
      <c r="M656" s="36">
        <f>[1]!Table3[[#This Row],[C&amp;I CLM $ Collected]]/'[1]1.) CLM Reference'!$B$4</f>
        <v>2.9563887156961182E-4</v>
      </c>
      <c r="N656" s="41">
        <v>13838.1</v>
      </c>
      <c r="O656" s="36">
        <f>[1]!Table3[[#This Row],[C&amp;I Incentive Disbursements]]/'[1]1.) CLM Reference'!$B$5</f>
        <v>1.6930433900785391E-4</v>
      </c>
      <c r="Q656">
        <f>VLOOKUP(Table3[[#This Row],[Census Tract]],'Population and Diversity Data'!$B$2:$K$823,10,FALSE)</f>
        <v>3</v>
      </c>
      <c r="R656" t="str">
        <f>VLOOKUP(Table3[[#This Row],[Census Tract]],'ES Energy Burden'!$B$2:$E$914,4,FALSE)</f>
        <v>No</v>
      </c>
    </row>
    <row r="657" spans="1:18" x14ac:dyDescent="0.2">
      <c r="A657" s="100">
        <v>9013538202</v>
      </c>
      <c r="B657" s="38" t="s">
        <v>2841</v>
      </c>
      <c r="C657" s="38" t="s">
        <v>944</v>
      </c>
      <c r="D657" s="40">
        <f>[1]!Table3[[#This Row],[Residential CLM $ Collected]]+[1]!Table3[[#This Row],[C&amp;I CLM $ Collected]]</f>
        <v>88279.68047040001</v>
      </c>
      <c r="E657" s="36">
        <f>[1]!Table3[[#This Row],[CLM $ Collected ]]/'[1]1.) CLM Reference'!$B$4</f>
        <v>7.8318568372002357E-4</v>
      </c>
      <c r="F657" s="40">
        <f>[1]!Table3[[#This Row],[Residential Incentive Disbursements]]+[1]!Table3[[#This Row],[C&amp;I Incentive Disbursements]]</f>
        <v>22506.682400000002</v>
      </c>
      <c r="G657" s="36">
        <f>[1]!Table3[[#This Row],[Incentive Disbursements]]/'[1]1.) CLM Reference'!$B$5</f>
        <v>2.7536142873600417E-4</v>
      </c>
      <c r="H657" s="40">
        <v>88279.68047040001</v>
      </c>
      <c r="I657" s="36">
        <f>[1]!Table3[[#This Row],[Residential CLM $ Collected]]/'[1]1.) CLM Reference'!$B$4</f>
        <v>7.8318568372002357E-4</v>
      </c>
      <c r="J657" s="41">
        <v>22506.682400000002</v>
      </c>
      <c r="K657" s="36">
        <f>[1]!Table3[[#This Row],[Residential Incentive Disbursements]]/'[1]1.) CLM Reference'!$B$5</f>
        <v>2.7536142873600417E-4</v>
      </c>
      <c r="L657" s="37">
        <v>0</v>
      </c>
      <c r="M657" s="36">
        <f>[1]!Table3[[#This Row],[C&amp;I CLM $ Collected]]/'[1]1.) CLM Reference'!$B$4</f>
        <v>0</v>
      </c>
      <c r="N657" s="41">
        <v>0</v>
      </c>
      <c r="O657" s="36">
        <f>[1]!Table3[[#This Row],[C&amp;I Incentive Disbursements]]/'[1]1.) CLM Reference'!$B$5</f>
        <v>0</v>
      </c>
      <c r="Q657">
        <f>VLOOKUP(Table3[[#This Row],[Census Tract]],'Population and Diversity Data'!$B$2:$K$823,10,FALSE)</f>
        <v>1</v>
      </c>
      <c r="R657" t="str">
        <f>VLOOKUP(Table3[[#This Row],[Census Tract]],'ES Energy Burden'!$B$2:$E$914,4,FALSE)</f>
        <v>No</v>
      </c>
    </row>
    <row r="658" spans="1:18" x14ac:dyDescent="0.2">
      <c r="A658" s="100">
        <v>9013890202</v>
      </c>
      <c r="B658" s="38" t="s">
        <v>2841</v>
      </c>
      <c r="C658" s="38" t="s">
        <v>944</v>
      </c>
      <c r="D658" s="40">
        <f>[1]!Table3[[#This Row],[Residential CLM $ Collected]]+[1]!Table3[[#This Row],[C&amp;I CLM $ Collected]]</f>
        <v>1114.67743488</v>
      </c>
      <c r="E658" s="36">
        <f>[1]!Table3[[#This Row],[CLM $ Collected ]]/'[1]1.) CLM Reference'!$B$4</f>
        <v>9.8890186769138749E-6</v>
      </c>
      <c r="F658" s="40">
        <f>[1]!Table3[[#This Row],[Residential Incentive Disbursements]]+[1]!Table3[[#This Row],[C&amp;I Incentive Disbursements]]</f>
        <v>0</v>
      </c>
      <c r="G658" s="36">
        <f>[1]!Table3[[#This Row],[Incentive Disbursements]]/'[1]1.) CLM Reference'!$B$5</f>
        <v>0</v>
      </c>
      <c r="H658" s="40">
        <v>1114.67743488</v>
      </c>
      <c r="I658" s="36">
        <f>[1]!Table3[[#This Row],[Residential CLM $ Collected]]/'[1]1.) CLM Reference'!$B$4</f>
        <v>9.8890186769138749E-6</v>
      </c>
      <c r="J658" s="41">
        <v>0</v>
      </c>
      <c r="K658" s="36">
        <f>[1]!Table3[[#This Row],[Residential Incentive Disbursements]]/'[1]1.) CLM Reference'!$B$5</f>
        <v>0</v>
      </c>
      <c r="L658" s="37">
        <v>0</v>
      </c>
      <c r="M658" s="36">
        <f>[1]!Table3[[#This Row],[C&amp;I CLM $ Collected]]/'[1]1.) CLM Reference'!$B$4</f>
        <v>0</v>
      </c>
      <c r="N658" s="41">
        <v>0</v>
      </c>
      <c r="O658" s="36">
        <f>[1]!Table3[[#This Row],[C&amp;I Incentive Disbursements]]/'[1]1.) CLM Reference'!$B$5</f>
        <v>0</v>
      </c>
      <c r="Q658">
        <f>VLOOKUP(Table3[[#This Row],[Census Tract]],'Population and Diversity Data'!$B$2:$K$823,10,FALSE)</f>
        <v>4</v>
      </c>
      <c r="R658" t="str">
        <f>VLOOKUP(Table3[[#This Row],[Census Tract]],'ES Energy Burden'!$B$2:$E$914,4,FALSE)</f>
        <v>No</v>
      </c>
    </row>
    <row r="659" spans="1:18" x14ac:dyDescent="0.2">
      <c r="A659" s="100">
        <v>9003484200</v>
      </c>
      <c r="B659" s="38" t="s">
        <v>2842</v>
      </c>
      <c r="C659" s="38" t="s">
        <v>944</v>
      </c>
      <c r="D659" s="40">
        <f>[1]!Table3[[#This Row],[Residential CLM $ Collected]]+[1]!Table3[[#This Row],[C&amp;I CLM $ Collected]]</f>
        <v>324.70536960000004</v>
      </c>
      <c r="E659" s="36">
        <f>[1]!Table3[[#This Row],[CLM $ Collected ]]/'[1]1.) CLM Reference'!$B$4</f>
        <v>2.8806696574191472E-6</v>
      </c>
      <c r="F659" s="40">
        <f>[1]!Table3[[#This Row],[Residential Incentive Disbursements]]+[1]!Table3[[#This Row],[C&amp;I Incentive Disbursements]]</f>
        <v>0</v>
      </c>
      <c r="G659" s="36">
        <f>[1]!Table3[[#This Row],[Incentive Disbursements]]/'[1]1.) CLM Reference'!$B$5</f>
        <v>0</v>
      </c>
      <c r="H659" s="40">
        <v>324.70536960000004</v>
      </c>
      <c r="I659" s="36">
        <f>[1]!Table3[[#This Row],[Residential CLM $ Collected]]/'[1]1.) CLM Reference'!$B$4</f>
        <v>2.8806696574191472E-6</v>
      </c>
      <c r="J659" s="41">
        <v>0</v>
      </c>
      <c r="K659" s="36">
        <f>[1]!Table3[[#This Row],[Residential Incentive Disbursements]]/'[1]1.) CLM Reference'!$B$5</f>
        <v>0</v>
      </c>
      <c r="L659" s="37">
        <v>0</v>
      </c>
      <c r="M659" s="36">
        <f>[1]!Table3[[#This Row],[C&amp;I CLM $ Collected]]/'[1]1.) CLM Reference'!$B$4</f>
        <v>0</v>
      </c>
      <c r="N659" s="41">
        <v>0</v>
      </c>
      <c r="O659" s="36">
        <f>[1]!Table3[[#This Row],[C&amp;I Incentive Disbursements]]/'[1]1.) CLM Reference'!$B$5</f>
        <v>0</v>
      </c>
      <c r="Q659">
        <f>VLOOKUP(Table3[[#This Row],[Census Tract]],'Population and Diversity Data'!$B$2:$K$823,10,FALSE)</f>
        <v>3</v>
      </c>
      <c r="R659" t="str">
        <f>VLOOKUP(Table3[[#This Row],[Census Tract]],'ES Energy Burden'!$B$2:$E$914,4,FALSE)</f>
        <v>No</v>
      </c>
    </row>
    <row r="660" spans="1:18" x14ac:dyDescent="0.2">
      <c r="A660" s="100">
        <v>9003487100</v>
      </c>
      <c r="B660" s="38" t="s">
        <v>2842</v>
      </c>
      <c r="C660" s="38" t="s">
        <v>944</v>
      </c>
      <c r="D660" s="40">
        <f>[1]!Table3[[#This Row],[Residential CLM $ Collected]]+[1]!Table3[[#This Row],[C&amp;I CLM $ Collected]]</f>
        <v>120748.35112128001</v>
      </c>
      <c r="E660" s="36">
        <f>[1]!Table3[[#This Row],[CLM $ Collected ]]/'[1]1.) CLM Reference'!$B$4</f>
        <v>1.0712360922363526E-3</v>
      </c>
      <c r="F660" s="40">
        <f>[1]!Table3[[#This Row],[Residential Incentive Disbursements]]+[1]!Table3[[#This Row],[C&amp;I Incentive Disbursements]]</f>
        <v>22797.2932</v>
      </c>
      <c r="G660" s="36">
        <f>[1]!Table3[[#This Row],[Incentive Disbursements]]/'[1]1.) CLM Reference'!$B$5</f>
        <v>2.7891695076594643E-4</v>
      </c>
      <c r="H660" s="40">
        <v>120748.35112128001</v>
      </c>
      <c r="I660" s="36">
        <f>[1]!Table3[[#This Row],[Residential CLM $ Collected]]/'[1]1.) CLM Reference'!$B$4</f>
        <v>1.0712360922363526E-3</v>
      </c>
      <c r="J660" s="41">
        <v>22797.2932</v>
      </c>
      <c r="K660" s="36">
        <f>[1]!Table3[[#This Row],[Residential Incentive Disbursements]]/'[1]1.) CLM Reference'!$B$5</f>
        <v>2.7891695076594643E-4</v>
      </c>
      <c r="L660" s="37">
        <v>0</v>
      </c>
      <c r="M660" s="36">
        <f>[1]!Table3[[#This Row],[C&amp;I CLM $ Collected]]/'[1]1.) CLM Reference'!$B$4</f>
        <v>0</v>
      </c>
      <c r="N660" s="41">
        <v>0</v>
      </c>
      <c r="O660" s="36">
        <f>[1]!Table3[[#This Row],[C&amp;I Incentive Disbursements]]/'[1]1.) CLM Reference'!$B$5</f>
        <v>0</v>
      </c>
      <c r="Q660">
        <f>VLOOKUP(Table3[[#This Row],[Census Tract]],'Population and Diversity Data'!$B$2:$K$823,10,FALSE)</f>
        <v>3</v>
      </c>
      <c r="R660" t="str">
        <f>VLOOKUP(Table3[[#This Row],[Census Tract]],'ES Energy Burden'!$B$2:$E$914,4,FALSE)</f>
        <v>No</v>
      </c>
    </row>
    <row r="661" spans="1:18" x14ac:dyDescent="0.2">
      <c r="A661" s="100">
        <v>9003487201</v>
      </c>
      <c r="B661" s="38" t="s">
        <v>2842</v>
      </c>
      <c r="C661" s="38" t="s">
        <v>944</v>
      </c>
      <c r="D661" s="40">
        <f>[1]!Table3[[#This Row],[Residential CLM $ Collected]]+[1]!Table3[[#This Row],[C&amp;I CLM $ Collected]]</f>
        <v>79853.237484479992</v>
      </c>
      <c r="E661" s="36">
        <f>[1]!Table3[[#This Row],[CLM $ Collected ]]/'[1]1.) CLM Reference'!$B$4</f>
        <v>7.0842930177470874E-4</v>
      </c>
      <c r="F661" s="40">
        <f>[1]!Table3[[#This Row],[Residential Incentive Disbursements]]+[1]!Table3[[#This Row],[C&amp;I Incentive Disbursements]]</f>
        <v>21358.700199999999</v>
      </c>
      <c r="G661" s="36">
        <f>[1]!Table3[[#This Row],[Incentive Disbursements]]/'[1]1.) CLM Reference'!$B$5</f>
        <v>2.6131626592002639E-4</v>
      </c>
      <c r="H661" s="40">
        <v>79853.237484479992</v>
      </c>
      <c r="I661" s="36">
        <f>[1]!Table3[[#This Row],[Residential CLM $ Collected]]/'[1]1.) CLM Reference'!$B$4</f>
        <v>7.0842930177470874E-4</v>
      </c>
      <c r="J661" s="41">
        <v>21358.700199999999</v>
      </c>
      <c r="K661" s="36">
        <f>[1]!Table3[[#This Row],[Residential Incentive Disbursements]]/'[1]1.) CLM Reference'!$B$5</f>
        <v>2.6131626592002639E-4</v>
      </c>
      <c r="L661" s="37">
        <v>0</v>
      </c>
      <c r="M661" s="36">
        <f>[1]!Table3[[#This Row],[C&amp;I CLM $ Collected]]/'[1]1.) CLM Reference'!$B$4</f>
        <v>0</v>
      </c>
      <c r="N661" s="41">
        <v>0</v>
      </c>
      <c r="O661" s="36">
        <f>[1]!Table3[[#This Row],[C&amp;I Incentive Disbursements]]/'[1]1.) CLM Reference'!$B$5</f>
        <v>0</v>
      </c>
      <c r="Q661">
        <f>VLOOKUP(Table3[[#This Row],[Census Tract]],'Population and Diversity Data'!$B$2:$K$823,10,FALSE)</f>
        <v>4</v>
      </c>
      <c r="R661" t="str">
        <f>VLOOKUP(Table3[[#This Row],[Census Tract]],'ES Energy Burden'!$B$2:$E$914,4,FALSE)</f>
        <v>No</v>
      </c>
    </row>
    <row r="662" spans="1:18" x14ac:dyDescent="0.2">
      <c r="A662" s="100">
        <v>9003487202</v>
      </c>
      <c r="B662" s="38" t="s">
        <v>2842</v>
      </c>
      <c r="C662" s="38" t="s">
        <v>944</v>
      </c>
      <c r="D662" s="40">
        <f>[1]!Table3[[#This Row],[Residential CLM $ Collected]]+[1]!Table3[[#This Row],[C&amp;I CLM $ Collected]]</f>
        <v>60291.457660800006</v>
      </c>
      <c r="E662" s="36">
        <f>[1]!Table3[[#This Row],[CLM $ Collected ]]/'[1]1.) CLM Reference'!$B$4</f>
        <v>5.3488420255874247E-4</v>
      </c>
      <c r="F662" s="40">
        <f>[1]!Table3[[#This Row],[Residential Incentive Disbursements]]+[1]!Table3[[#This Row],[C&amp;I Incentive Disbursements]]</f>
        <v>11518.674999999999</v>
      </c>
      <c r="G662" s="36">
        <f>[1]!Table3[[#This Row],[Incentive Disbursements]]/'[1]1.) CLM Reference'!$B$5</f>
        <v>1.4092698109720926E-4</v>
      </c>
      <c r="H662" s="40">
        <v>60291.457660800006</v>
      </c>
      <c r="I662" s="36">
        <f>[1]!Table3[[#This Row],[Residential CLM $ Collected]]/'[1]1.) CLM Reference'!$B$4</f>
        <v>5.3488420255874247E-4</v>
      </c>
      <c r="J662" s="41">
        <v>11518.674999999999</v>
      </c>
      <c r="K662" s="36">
        <f>[1]!Table3[[#This Row],[Residential Incentive Disbursements]]/'[1]1.) CLM Reference'!$B$5</f>
        <v>1.4092698109720926E-4</v>
      </c>
      <c r="L662" s="37">
        <v>0</v>
      </c>
      <c r="M662" s="36">
        <f>[1]!Table3[[#This Row],[C&amp;I CLM $ Collected]]/'[1]1.) CLM Reference'!$B$4</f>
        <v>0</v>
      </c>
      <c r="N662" s="41">
        <v>0</v>
      </c>
      <c r="O662" s="36">
        <f>[1]!Table3[[#This Row],[C&amp;I Incentive Disbursements]]/'[1]1.) CLM Reference'!$B$5</f>
        <v>0</v>
      </c>
      <c r="Q662">
        <f>VLOOKUP(Table3[[#This Row],[Census Tract]],'Population and Diversity Data'!$B$2:$K$823,10,FALSE)</f>
        <v>4</v>
      </c>
      <c r="R662" t="str">
        <f>VLOOKUP(Table3[[#This Row],[Census Tract]],'ES Energy Burden'!$B$2:$E$914,4,FALSE)</f>
        <v>No</v>
      </c>
    </row>
    <row r="663" spans="1:18" x14ac:dyDescent="0.2">
      <c r="A663" s="100">
        <v>9003487300</v>
      </c>
      <c r="B663" s="38" t="s">
        <v>2842</v>
      </c>
      <c r="C663" s="38" t="s">
        <v>944</v>
      </c>
      <c r="D663" s="40">
        <f>[1]!Table3[[#This Row],[Residential CLM $ Collected]]+[1]!Table3[[#This Row],[C&amp;I CLM $ Collected]]</f>
        <v>30797.602703999997</v>
      </c>
      <c r="E663" s="36">
        <f>[1]!Table3[[#This Row],[CLM $ Collected ]]/'[1]1.) CLM Reference'!$B$4</f>
        <v>2.7322529263976381E-4</v>
      </c>
      <c r="F663" s="40">
        <f>[1]!Table3[[#This Row],[Residential Incentive Disbursements]]+[1]!Table3[[#This Row],[C&amp;I Incentive Disbursements]]</f>
        <v>14270.43</v>
      </c>
      <c r="G663" s="36">
        <f>[1]!Table3[[#This Row],[Incentive Disbursements]]/'[1]1.) CLM Reference'!$B$5</f>
        <v>1.7459374614346254E-4</v>
      </c>
      <c r="H663" s="40">
        <v>30797.602703999997</v>
      </c>
      <c r="I663" s="36">
        <f>[1]!Table3[[#This Row],[Residential CLM $ Collected]]/'[1]1.) CLM Reference'!$B$4</f>
        <v>2.7322529263976381E-4</v>
      </c>
      <c r="J663" s="41">
        <v>14270.43</v>
      </c>
      <c r="K663" s="36">
        <f>[1]!Table3[[#This Row],[Residential Incentive Disbursements]]/'[1]1.) CLM Reference'!$B$5</f>
        <v>1.7459374614346254E-4</v>
      </c>
      <c r="L663" s="37">
        <v>0</v>
      </c>
      <c r="M663" s="36">
        <f>[1]!Table3[[#This Row],[C&amp;I CLM $ Collected]]/'[1]1.) CLM Reference'!$B$4</f>
        <v>0</v>
      </c>
      <c r="N663" s="41">
        <v>0</v>
      </c>
      <c r="O663" s="36">
        <f>[1]!Table3[[#This Row],[C&amp;I Incentive Disbursements]]/'[1]1.) CLM Reference'!$B$5</f>
        <v>0</v>
      </c>
      <c r="Q663">
        <f>VLOOKUP(Table3[[#This Row],[Census Tract]],'Population and Diversity Data'!$B$2:$K$823,10,FALSE)</f>
        <v>3</v>
      </c>
      <c r="R663" t="str">
        <f>VLOOKUP(Table3[[#This Row],[Census Tract]],'ES Energy Burden'!$B$2:$E$914,4,FALSE)</f>
        <v>No</v>
      </c>
    </row>
    <row r="664" spans="1:18" x14ac:dyDescent="0.2">
      <c r="A664" s="100">
        <v>9003487400</v>
      </c>
      <c r="B664" s="38" t="s">
        <v>2842</v>
      </c>
      <c r="C664" s="38" t="s">
        <v>944</v>
      </c>
      <c r="D664" s="40">
        <f>[1]!Table3[[#This Row],[Residential CLM $ Collected]]+[1]!Table3[[#This Row],[C&amp;I CLM $ Collected]]</f>
        <v>34129.392854400001</v>
      </c>
      <c r="E664" s="36">
        <f>[1]!Table3[[#This Row],[CLM $ Collected ]]/'[1]1.) CLM Reference'!$B$4</f>
        <v>3.0278374066595027E-4</v>
      </c>
      <c r="F664" s="40">
        <f>[1]!Table3[[#This Row],[Residential Incentive Disbursements]]+[1]!Table3[[#This Row],[C&amp;I Incentive Disbursements]]</f>
        <v>5484.4790000000003</v>
      </c>
      <c r="G664" s="36">
        <f>[1]!Table3[[#This Row],[Incentive Disbursements]]/'[1]1.) CLM Reference'!$B$5</f>
        <v>6.7100692428690047E-5</v>
      </c>
      <c r="H664" s="40">
        <v>34129.392854400001</v>
      </c>
      <c r="I664" s="36">
        <f>[1]!Table3[[#This Row],[Residential CLM $ Collected]]/'[1]1.) CLM Reference'!$B$4</f>
        <v>3.0278374066595027E-4</v>
      </c>
      <c r="J664" s="41">
        <v>5484.4790000000003</v>
      </c>
      <c r="K664" s="36">
        <f>[1]!Table3[[#This Row],[Residential Incentive Disbursements]]/'[1]1.) CLM Reference'!$B$5</f>
        <v>6.7100692428690047E-5</v>
      </c>
      <c r="L664" s="37">
        <v>0</v>
      </c>
      <c r="M664" s="36">
        <f>[1]!Table3[[#This Row],[C&amp;I CLM $ Collected]]/'[1]1.) CLM Reference'!$B$4</f>
        <v>0</v>
      </c>
      <c r="N664" s="41">
        <v>0</v>
      </c>
      <c r="O664" s="36">
        <f>[1]!Table3[[#This Row],[C&amp;I Incentive Disbursements]]/'[1]1.) CLM Reference'!$B$5</f>
        <v>0</v>
      </c>
      <c r="Q664">
        <f>VLOOKUP(Table3[[#This Row],[Census Tract]],'Population and Diversity Data'!$B$2:$K$823,10,FALSE)</f>
        <v>3</v>
      </c>
      <c r="R664" t="str">
        <f>VLOOKUP(Table3[[#This Row],[Census Tract]],'ES Energy Burden'!$B$2:$E$914,4,FALSE)</f>
        <v>No</v>
      </c>
    </row>
    <row r="665" spans="1:18" x14ac:dyDescent="0.2">
      <c r="A665" s="100">
        <v>9003487500</v>
      </c>
      <c r="B665" s="38" t="s">
        <v>2842</v>
      </c>
      <c r="C665" s="38" t="s">
        <v>944</v>
      </c>
      <c r="D665" s="40">
        <f>[1]!Table3[[#This Row],[Residential CLM $ Collected]]+[1]!Table3[[#This Row],[C&amp;I CLM $ Collected]]</f>
        <v>353530.29572063999</v>
      </c>
      <c r="E665" s="36">
        <f>[1]!Table3[[#This Row],[CLM $ Collected ]]/'[1]1.) CLM Reference'!$B$4</f>
        <v>3.1363940704627808E-3</v>
      </c>
      <c r="F665" s="40">
        <f>[1]!Table3[[#This Row],[Residential Incentive Disbursements]]+[1]!Table3[[#This Row],[C&amp;I Incentive Disbursements]]</f>
        <v>314002.65950000001</v>
      </c>
      <c r="G665" s="36">
        <f>[1]!Table3[[#This Row],[Incentive Disbursements]]/'[1]1.) CLM Reference'!$B$5</f>
        <v>3.8417132925297349E-3</v>
      </c>
      <c r="H665" s="40">
        <v>141313.93954559998</v>
      </c>
      <c r="I665" s="36">
        <f>[1]!Table3[[#This Row],[Residential CLM $ Collected]]/'[1]1.) CLM Reference'!$B$4</f>
        <v>1.2536866215697268E-3</v>
      </c>
      <c r="J665" s="41">
        <v>233869.0295</v>
      </c>
      <c r="K665" s="36">
        <f>[1]!Table3[[#This Row],[Residential Incentive Disbursements]]/'[1]1.) CLM Reference'!$B$5</f>
        <v>2.8613062092271188E-3</v>
      </c>
      <c r="L665" s="37">
        <v>212216.35617504001</v>
      </c>
      <c r="M665" s="36">
        <f>[1]!Table3[[#This Row],[C&amp;I CLM $ Collected]]/'[1]1.) CLM Reference'!$B$4</f>
        <v>1.8827074488930538E-3</v>
      </c>
      <c r="N665" s="41">
        <v>80133.63</v>
      </c>
      <c r="O665" s="36">
        <f>[1]!Table3[[#This Row],[C&amp;I Incentive Disbursements]]/'[1]1.) CLM Reference'!$B$5</f>
        <v>9.804070833026163E-4</v>
      </c>
      <c r="Q665">
        <f>VLOOKUP(Table3[[#This Row],[Census Tract]],'Population and Diversity Data'!$B$2:$K$823,10,FALSE)</f>
        <v>5</v>
      </c>
      <c r="R665" t="str">
        <f>VLOOKUP(Table3[[#This Row],[Census Tract]],'ES Energy Burden'!$B$2:$E$914,4,FALSE)</f>
        <v>No</v>
      </c>
    </row>
    <row r="666" spans="1:18" x14ac:dyDescent="0.2">
      <c r="A666" s="100">
        <v>9003514102</v>
      </c>
      <c r="B666" s="38" t="s">
        <v>2842</v>
      </c>
      <c r="C666" s="38" t="s">
        <v>944</v>
      </c>
      <c r="D666" s="40">
        <f>[1]!Table3[[#This Row],[Residential CLM $ Collected]]+[1]!Table3[[#This Row],[C&amp;I CLM $ Collected]]</f>
        <v>361.9910304</v>
      </c>
      <c r="E666" s="36">
        <f>[1]!Table3[[#This Row],[CLM $ Collected ]]/'[1]1.) CLM Reference'!$B$4</f>
        <v>3.2114546760213846E-6</v>
      </c>
      <c r="F666" s="40">
        <f>[1]!Table3[[#This Row],[Residential Incentive Disbursements]]+[1]!Table3[[#This Row],[C&amp;I Incentive Disbursements]]</f>
        <v>0</v>
      </c>
      <c r="G666" s="36">
        <f>[1]!Table3[[#This Row],[Incentive Disbursements]]/'[1]1.) CLM Reference'!$B$5</f>
        <v>0</v>
      </c>
      <c r="H666" s="40">
        <v>361.9910304</v>
      </c>
      <c r="I666" s="36">
        <f>[1]!Table3[[#This Row],[Residential CLM $ Collected]]/'[1]1.) CLM Reference'!$B$4</f>
        <v>3.2114546760213846E-6</v>
      </c>
      <c r="J666" s="41">
        <v>0</v>
      </c>
      <c r="K666" s="36">
        <f>[1]!Table3[[#This Row],[Residential Incentive Disbursements]]/'[1]1.) CLM Reference'!$B$5</f>
        <v>0</v>
      </c>
      <c r="L666" s="37">
        <v>0</v>
      </c>
      <c r="M666" s="36">
        <f>[1]!Table3[[#This Row],[C&amp;I CLM $ Collected]]/'[1]1.) CLM Reference'!$B$4</f>
        <v>0</v>
      </c>
      <c r="N666" s="41">
        <v>0</v>
      </c>
      <c r="O666" s="36">
        <f>[1]!Table3[[#This Row],[C&amp;I Incentive Disbursements]]/'[1]1.) CLM Reference'!$B$5</f>
        <v>0</v>
      </c>
      <c r="Q666">
        <f>VLOOKUP(Table3[[#This Row],[Census Tract]],'Population and Diversity Data'!$B$2:$K$823,10,FALSE)</f>
        <v>5</v>
      </c>
      <c r="R666" t="str">
        <f>VLOOKUP(Table3[[#This Row],[Census Tract]],'ES Energy Burden'!$B$2:$E$914,4,FALSE)</f>
        <v>No</v>
      </c>
    </row>
    <row r="667" spans="1:18" x14ac:dyDescent="0.2">
      <c r="A667" s="100">
        <v>9013530301</v>
      </c>
      <c r="B667" s="38" t="s">
        <v>2842</v>
      </c>
      <c r="C667" s="38" t="s">
        <v>944</v>
      </c>
      <c r="D667" s="40">
        <f>[1]!Table3[[#This Row],[Residential CLM $ Collected]]+[1]!Table3[[#This Row],[C&amp;I CLM $ Collected]]</f>
        <v>170.42227200000002</v>
      </c>
      <c r="E667" s="36">
        <f>[1]!Table3[[#This Row],[CLM $ Collected ]]/'[1]1.) CLM Reference'!$B$4</f>
        <v>1.5119253140273069E-6</v>
      </c>
      <c r="F667" s="40">
        <f>[1]!Table3[[#This Row],[Residential Incentive Disbursements]]+[1]!Table3[[#This Row],[C&amp;I Incentive Disbursements]]</f>
        <v>0</v>
      </c>
      <c r="G667" s="36">
        <f>[1]!Table3[[#This Row],[Incentive Disbursements]]/'[1]1.) CLM Reference'!$B$5</f>
        <v>0</v>
      </c>
      <c r="H667" s="40">
        <v>170.42227200000002</v>
      </c>
      <c r="I667" s="36">
        <f>[1]!Table3[[#This Row],[Residential CLM $ Collected]]/'[1]1.) CLM Reference'!$B$4</f>
        <v>1.5119253140273069E-6</v>
      </c>
      <c r="J667" s="41">
        <v>0</v>
      </c>
      <c r="K667" s="36">
        <f>[1]!Table3[[#This Row],[Residential Incentive Disbursements]]/'[1]1.) CLM Reference'!$B$5</f>
        <v>0</v>
      </c>
      <c r="L667" s="37">
        <v>0</v>
      </c>
      <c r="M667" s="36">
        <f>[1]!Table3[[#This Row],[C&amp;I CLM $ Collected]]/'[1]1.) CLM Reference'!$B$4</f>
        <v>0</v>
      </c>
      <c r="N667" s="41">
        <v>0</v>
      </c>
      <c r="O667" s="36">
        <f>[1]!Table3[[#This Row],[C&amp;I Incentive Disbursements]]/'[1]1.) CLM Reference'!$B$5</f>
        <v>0</v>
      </c>
      <c r="Q667">
        <f>VLOOKUP(Table3[[#This Row],[Census Tract]],'Population and Diversity Data'!$B$2:$K$823,10,FALSE)</f>
        <v>2</v>
      </c>
      <c r="R667" t="str">
        <f>VLOOKUP(Table3[[#This Row],[Census Tract]],'ES Energy Burden'!$B$2:$E$914,4,FALSE)</f>
        <v>No</v>
      </c>
    </row>
    <row r="668" spans="1:18" x14ac:dyDescent="0.2">
      <c r="A668" s="100">
        <v>9009346102</v>
      </c>
      <c r="B668" s="38" t="s">
        <v>2843</v>
      </c>
      <c r="C668" s="38" t="s">
        <v>944</v>
      </c>
      <c r="D668" s="40">
        <f>[1]!Table3[[#This Row],[Residential CLM $ Collected]]+[1]!Table3[[#This Row],[C&amp;I CLM $ Collected]]</f>
        <v>418.067136</v>
      </c>
      <c r="E668" s="36">
        <f>[1]!Table3[[#This Row],[CLM $ Collected ]]/'[1]1.) CLM Reference'!$B$4</f>
        <v>3.7089417859732367E-6</v>
      </c>
      <c r="F668" s="40">
        <f>[1]!Table3[[#This Row],[Residential Incentive Disbursements]]+[1]!Table3[[#This Row],[C&amp;I Incentive Disbursements]]</f>
        <v>3108.15</v>
      </c>
      <c r="G668" s="36">
        <f>[1]!Table3[[#This Row],[Incentive Disbursements]]/'[1]1.) CLM Reference'!$B$5</f>
        <v>3.802713387583998E-5</v>
      </c>
      <c r="H668" s="40">
        <v>418.067136</v>
      </c>
      <c r="I668" s="36">
        <f>[1]!Table3[[#This Row],[Residential CLM $ Collected]]/'[1]1.) CLM Reference'!$B$4</f>
        <v>3.7089417859732367E-6</v>
      </c>
      <c r="J668" s="41">
        <v>3108.15</v>
      </c>
      <c r="K668" s="36">
        <f>[1]!Table3[[#This Row],[Residential Incentive Disbursements]]/'[1]1.) CLM Reference'!$B$5</f>
        <v>3.802713387583998E-5</v>
      </c>
      <c r="L668" s="37">
        <v>0</v>
      </c>
      <c r="M668" s="36">
        <f>[1]!Table3[[#This Row],[C&amp;I CLM $ Collected]]/'[1]1.) CLM Reference'!$B$4</f>
        <v>0</v>
      </c>
      <c r="N668" s="41">
        <v>0</v>
      </c>
      <c r="O668" s="36">
        <f>[1]!Table3[[#This Row],[C&amp;I Incentive Disbursements]]/'[1]1.) CLM Reference'!$B$5</f>
        <v>0</v>
      </c>
      <c r="Q668">
        <f>VLOOKUP(Table3[[#This Row],[Census Tract]],'Population and Diversity Data'!$B$2:$K$823,10,FALSE)</f>
        <v>2</v>
      </c>
      <c r="R668" t="str">
        <f>VLOOKUP(Table3[[#This Row],[Census Tract]],'ES Energy Burden'!$B$2:$E$914,4,FALSE)</f>
        <v>No</v>
      </c>
    </row>
    <row r="669" spans="1:18" x14ac:dyDescent="0.2">
      <c r="A669" s="100">
        <v>9009348111</v>
      </c>
      <c r="B669" s="38" t="s">
        <v>2843</v>
      </c>
      <c r="C669" s="38" t="s">
        <v>944</v>
      </c>
      <c r="D669" s="40">
        <f>[1]!Table3[[#This Row],[Residential CLM $ Collected]]+[1]!Table3[[#This Row],[C&amp;I CLM $ Collected]]</f>
        <v>50319.654572159998</v>
      </c>
      <c r="E669" s="36">
        <f>[1]!Table3[[#This Row],[CLM $ Collected ]]/'[1]1.) CLM Reference'!$B$4</f>
        <v>4.4641793967374523E-4</v>
      </c>
      <c r="F669" s="40">
        <f>[1]!Table3[[#This Row],[Residential Incentive Disbursements]]+[1]!Table3[[#This Row],[C&amp;I Incentive Disbursements]]</f>
        <v>14313.4704</v>
      </c>
      <c r="G669" s="36">
        <f>[1]!Table3[[#This Row],[Incentive Disbursements]]/'[1]1.) CLM Reference'!$B$5</f>
        <v>1.7512033046303196E-4</v>
      </c>
      <c r="H669" s="40">
        <v>50315.399804159999</v>
      </c>
      <c r="I669" s="36">
        <f>[1]!Table3[[#This Row],[Residential CLM $ Collected]]/'[1]1.) CLM Reference'!$B$4</f>
        <v>4.4638019289705333E-4</v>
      </c>
      <c r="J669" s="41">
        <v>14313.4704</v>
      </c>
      <c r="K669" s="36">
        <f>[1]!Table3[[#This Row],[Residential Incentive Disbursements]]/'[1]1.) CLM Reference'!$B$5</f>
        <v>1.7512033046303196E-4</v>
      </c>
      <c r="L669" s="37">
        <v>4.2547680000000003</v>
      </c>
      <c r="M669" s="36">
        <f>[1]!Table3[[#This Row],[C&amp;I CLM $ Collected]]/'[1]1.) CLM Reference'!$B$4</f>
        <v>3.7746776691918155E-8</v>
      </c>
      <c r="N669" s="41">
        <v>0</v>
      </c>
      <c r="O669" s="36">
        <f>[1]!Table3[[#This Row],[C&amp;I Incentive Disbursements]]/'[1]1.) CLM Reference'!$B$5</f>
        <v>0</v>
      </c>
      <c r="Q669">
        <f>VLOOKUP(Table3[[#This Row],[Census Tract]],'Population and Diversity Data'!$B$2:$K$823,10,FALSE)</f>
        <v>2</v>
      </c>
      <c r="R669" t="str">
        <f>VLOOKUP(Table3[[#This Row],[Census Tract]],'ES Energy Burden'!$B$2:$E$914,4,FALSE)</f>
        <v>No</v>
      </c>
    </row>
    <row r="670" spans="1:18" x14ac:dyDescent="0.2">
      <c r="A670" s="100">
        <v>9009348122</v>
      </c>
      <c r="B670" s="38" t="s">
        <v>2843</v>
      </c>
      <c r="C670" s="38" t="s">
        <v>944</v>
      </c>
      <c r="D670" s="40">
        <f>[1]!Table3[[#This Row],[Residential CLM $ Collected]]+[1]!Table3[[#This Row],[C&amp;I CLM $ Collected]]</f>
        <v>93121.412529599998</v>
      </c>
      <c r="E670" s="36">
        <f>[1]!Table3[[#This Row],[CLM $ Collected ]]/'[1]1.) CLM Reference'!$B$4</f>
        <v>8.2613979516410767E-4</v>
      </c>
      <c r="F670" s="40">
        <f>[1]!Table3[[#This Row],[Residential Incentive Disbursements]]+[1]!Table3[[#This Row],[C&amp;I Incentive Disbursements]]</f>
        <v>28005.930799999998</v>
      </c>
      <c r="G670" s="36">
        <f>[1]!Table3[[#This Row],[Incentive Disbursements]]/'[1]1.) CLM Reference'!$B$5</f>
        <v>3.4264281963518816E-4</v>
      </c>
      <c r="H670" s="40">
        <v>93121.412529599998</v>
      </c>
      <c r="I670" s="36">
        <f>[1]!Table3[[#This Row],[Residential CLM $ Collected]]/'[1]1.) CLM Reference'!$B$4</f>
        <v>8.2613979516410767E-4</v>
      </c>
      <c r="J670" s="41">
        <v>28005.930799999998</v>
      </c>
      <c r="K670" s="36">
        <f>[1]!Table3[[#This Row],[Residential Incentive Disbursements]]/'[1]1.) CLM Reference'!$B$5</f>
        <v>3.4264281963518816E-4</v>
      </c>
      <c r="L670" s="37">
        <v>0</v>
      </c>
      <c r="M670" s="36">
        <f>[1]!Table3[[#This Row],[C&amp;I CLM $ Collected]]/'[1]1.) CLM Reference'!$B$4</f>
        <v>0</v>
      </c>
      <c r="N670" s="41">
        <v>0</v>
      </c>
      <c r="O670" s="36">
        <f>[1]!Table3[[#This Row],[C&amp;I Incentive Disbursements]]/'[1]1.) CLM Reference'!$B$5</f>
        <v>0</v>
      </c>
      <c r="Q670">
        <f>VLOOKUP(Table3[[#This Row],[Census Tract]],'Population and Diversity Data'!$B$2:$K$823,10,FALSE)</f>
        <v>1</v>
      </c>
      <c r="R670" t="str">
        <f>VLOOKUP(Table3[[#This Row],[Census Tract]],'ES Energy Burden'!$B$2:$E$914,4,FALSE)</f>
        <v>No</v>
      </c>
    </row>
    <row r="671" spans="1:18" x14ac:dyDescent="0.2">
      <c r="A671" s="100">
        <v>9009348123</v>
      </c>
      <c r="B671" s="38" t="s">
        <v>2843</v>
      </c>
      <c r="C671" s="38" t="s">
        <v>944</v>
      </c>
      <c r="D671" s="40">
        <f>[1]!Table3[[#This Row],[Residential CLM $ Collected]]+[1]!Table3[[#This Row],[C&amp;I CLM $ Collected]]</f>
        <v>126459.8903232</v>
      </c>
      <c r="E671" s="36">
        <f>[1]!Table3[[#This Row],[CLM $ Collected ]]/'[1]1.) CLM Reference'!$B$4</f>
        <v>1.1219068208923005E-3</v>
      </c>
      <c r="F671" s="40">
        <f>[1]!Table3[[#This Row],[Residential Incentive Disbursements]]+[1]!Table3[[#This Row],[C&amp;I Incentive Disbursements]]</f>
        <v>17211.9856</v>
      </c>
      <c r="G671" s="36">
        <f>[1]!Table3[[#This Row],[Incentive Disbursements]]/'[1]1.) CLM Reference'!$B$5</f>
        <v>2.1058265549610858E-4</v>
      </c>
      <c r="H671" s="40">
        <v>126415.91280960001</v>
      </c>
      <c r="I671" s="36">
        <f>[1]!Table3[[#This Row],[Residential CLM $ Collected]]/'[1]1.) CLM Reference'!$B$4</f>
        <v>1.1215166681541665E-3</v>
      </c>
      <c r="J671" s="41">
        <v>17211.9856</v>
      </c>
      <c r="K671" s="36">
        <f>[1]!Table3[[#This Row],[Residential Incentive Disbursements]]/'[1]1.) CLM Reference'!$B$5</f>
        <v>2.1058265549610858E-4</v>
      </c>
      <c r="L671" s="37">
        <v>43.977513600000002</v>
      </c>
      <c r="M671" s="36">
        <f>[1]!Table3[[#This Row],[C&amp;I CLM $ Collected]]/'[1]1.) CLM Reference'!$B$4</f>
        <v>3.9015273813401662E-7</v>
      </c>
      <c r="N671" s="41">
        <v>0</v>
      </c>
      <c r="O671" s="36">
        <f>[1]!Table3[[#This Row],[C&amp;I Incentive Disbursements]]/'[1]1.) CLM Reference'!$B$5</f>
        <v>0</v>
      </c>
      <c r="Q671">
        <f>VLOOKUP(Table3[[#This Row],[Census Tract]],'Population and Diversity Data'!$B$2:$K$823,10,FALSE)</f>
        <v>3</v>
      </c>
      <c r="R671" t="str">
        <f>VLOOKUP(Table3[[#This Row],[Census Tract]],'ES Energy Burden'!$B$2:$E$914,4,FALSE)</f>
        <v>No</v>
      </c>
    </row>
    <row r="672" spans="1:18" x14ac:dyDescent="0.2">
      <c r="A672" s="100">
        <v>9009348124</v>
      </c>
      <c r="B672" s="38" t="s">
        <v>2843</v>
      </c>
      <c r="C672" s="38" t="s">
        <v>944</v>
      </c>
      <c r="D672" s="40">
        <f>[1]!Table3[[#This Row],[Residential CLM $ Collected]]+[1]!Table3[[#This Row],[C&amp;I CLM $ Collected]]</f>
        <v>139376.27825568002</v>
      </c>
      <c r="E672" s="36">
        <f>[1]!Table3[[#This Row],[CLM $ Collected ]]/'[1]1.) CLM Reference'!$B$4</f>
        <v>1.2364963851067322E-3</v>
      </c>
      <c r="F672" s="40">
        <f>[1]!Table3[[#This Row],[Residential Incentive Disbursements]]+[1]!Table3[[#This Row],[C&amp;I Incentive Disbursements]]</f>
        <v>20548.512500000001</v>
      </c>
      <c r="G672" s="36">
        <f>[1]!Table3[[#This Row],[Incentive Disbursements]]/'[1]1.) CLM Reference'!$B$5</f>
        <v>2.5140390128754121E-4</v>
      </c>
      <c r="H672" s="40">
        <v>139376.27825568002</v>
      </c>
      <c r="I672" s="36">
        <f>[1]!Table3[[#This Row],[Residential CLM $ Collected]]/'[1]1.) CLM Reference'!$B$4</f>
        <v>1.2364963851067322E-3</v>
      </c>
      <c r="J672" s="41">
        <v>20548.512500000001</v>
      </c>
      <c r="K672" s="36">
        <f>[1]!Table3[[#This Row],[Residential Incentive Disbursements]]/'[1]1.) CLM Reference'!$B$5</f>
        <v>2.5140390128754121E-4</v>
      </c>
      <c r="L672" s="37">
        <v>0</v>
      </c>
      <c r="M672" s="36">
        <f>[1]!Table3[[#This Row],[C&amp;I CLM $ Collected]]/'[1]1.) CLM Reference'!$B$4</f>
        <v>0</v>
      </c>
      <c r="N672" s="41">
        <v>0</v>
      </c>
      <c r="O672" s="36">
        <f>[1]!Table3[[#This Row],[C&amp;I Incentive Disbursements]]/'[1]1.) CLM Reference'!$B$5</f>
        <v>0</v>
      </c>
      <c r="Q672">
        <f>VLOOKUP(Table3[[#This Row],[Census Tract]],'Population and Diversity Data'!$B$2:$K$823,10,FALSE)</f>
        <v>2</v>
      </c>
      <c r="R672" t="str">
        <f>VLOOKUP(Table3[[#This Row],[Census Tract]],'ES Energy Burden'!$B$2:$E$914,4,FALSE)</f>
        <v>No</v>
      </c>
    </row>
    <row r="673" spans="1:18" x14ac:dyDescent="0.2">
      <c r="A673" s="100">
        <v>9009348125</v>
      </c>
      <c r="B673" s="38" t="s">
        <v>2843</v>
      </c>
      <c r="C673" s="38" t="s">
        <v>944</v>
      </c>
      <c r="D673" s="40">
        <f>[1]!Table3[[#This Row],[Residential CLM $ Collected]]+[1]!Table3[[#This Row],[C&amp;I CLM $ Collected]]</f>
        <v>292580.02630944003</v>
      </c>
      <c r="E673" s="36">
        <f>[1]!Table3[[#This Row],[CLM $ Collected ]]/'[1]1.) CLM Reference'!$B$4</f>
        <v>2.5956651261873666E-3</v>
      </c>
      <c r="F673" s="40">
        <f>[1]!Table3[[#This Row],[Residential Incentive Disbursements]]+[1]!Table3[[#This Row],[C&amp;I Incentive Disbursements]]</f>
        <v>232556.77870000002</v>
      </c>
      <c r="G673" s="36">
        <f>[1]!Table3[[#This Row],[Incentive Disbursements]]/'[1]1.) CLM Reference'!$B$5</f>
        <v>2.8452512772417647E-3</v>
      </c>
      <c r="H673" s="40">
        <v>157866.03368063999</v>
      </c>
      <c r="I673" s="36">
        <f>[1]!Table3[[#This Row],[Residential CLM $ Collected]]/'[1]1.) CLM Reference'!$B$4</f>
        <v>1.4005308680947932E-3</v>
      </c>
      <c r="J673" s="41">
        <v>162406.00870000001</v>
      </c>
      <c r="K673" s="36">
        <f>[1]!Table3[[#This Row],[Residential Incentive Disbursements]]/'[1]1.) CLM Reference'!$B$5</f>
        <v>1.9869810128454973E-3</v>
      </c>
      <c r="L673" s="37">
        <v>134713.99262880001</v>
      </c>
      <c r="M673" s="36">
        <f>[1]!Table3[[#This Row],[C&amp;I CLM $ Collected]]/'[1]1.) CLM Reference'!$B$4</f>
        <v>1.1951342580925734E-3</v>
      </c>
      <c r="N673" s="41">
        <v>70150.77</v>
      </c>
      <c r="O673" s="36">
        <f>[1]!Table3[[#This Row],[C&amp;I Incentive Disbursements]]/'[1]1.) CLM Reference'!$B$5</f>
        <v>8.5827026439626753E-4</v>
      </c>
      <c r="Q673">
        <f>VLOOKUP(Table3[[#This Row],[Census Tract]],'Population and Diversity Data'!$B$2:$K$823,10,FALSE)</f>
        <v>1</v>
      </c>
      <c r="R673" t="str">
        <f>VLOOKUP(Table3[[#This Row],[Census Tract]],'ES Energy Burden'!$B$2:$E$914,4,FALSE)</f>
        <v>No</v>
      </c>
    </row>
    <row r="674" spans="1:18" x14ac:dyDescent="0.2">
      <c r="A674" s="100">
        <v>9003430100</v>
      </c>
      <c r="B674" s="38" t="s">
        <v>2844</v>
      </c>
      <c r="C674" s="38" t="s">
        <v>944</v>
      </c>
      <c r="D674" s="40">
        <f>[1]!Table3[[#This Row],[Residential CLM $ Collected]]+[1]!Table3[[#This Row],[C&amp;I CLM $ Collected]]</f>
        <v>65457.047030400005</v>
      </c>
      <c r="E674" s="36">
        <f>[1]!Table3[[#This Row],[CLM $ Collected ]]/'[1]1.) CLM Reference'!$B$4</f>
        <v>5.8071145998298684E-4</v>
      </c>
      <c r="F674" s="40">
        <f>[1]!Table3[[#This Row],[Residential Incentive Disbursements]]+[1]!Table3[[#This Row],[C&amp;I Incentive Disbursements]]</f>
        <v>15117.22</v>
      </c>
      <c r="G674" s="36">
        <f>[1]!Table3[[#This Row],[Incentive Disbursements]]/'[1]1.) CLM Reference'!$B$5</f>
        <v>1.8495392718193316E-4</v>
      </c>
      <c r="H674" s="40">
        <v>65457.047030400005</v>
      </c>
      <c r="I674" s="36">
        <f>[1]!Table3[[#This Row],[Residential CLM $ Collected]]/'[1]1.) CLM Reference'!$B$4</f>
        <v>5.8071145998298684E-4</v>
      </c>
      <c r="J674" s="41">
        <v>15117.22</v>
      </c>
      <c r="K674" s="36">
        <f>[1]!Table3[[#This Row],[Residential Incentive Disbursements]]/'[1]1.) CLM Reference'!$B$5</f>
        <v>1.8495392718193316E-4</v>
      </c>
      <c r="L674" s="37">
        <v>0</v>
      </c>
      <c r="M674" s="36">
        <f>[1]!Table3[[#This Row],[C&amp;I CLM $ Collected]]/'[1]1.) CLM Reference'!$B$4</f>
        <v>0</v>
      </c>
      <c r="N674" s="41">
        <v>0</v>
      </c>
      <c r="O674" s="36">
        <f>[1]!Table3[[#This Row],[C&amp;I Incentive Disbursements]]/'[1]1.) CLM Reference'!$B$5</f>
        <v>0</v>
      </c>
      <c r="Q674">
        <f>VLOOKUP(Table3[[#This Row],[Census Tract]],'Population and Diversity Data'!$B$2:$K$823,10,FALSE)</f>
        <v>3</v>
      </c>
      <c r="R674" t="str">
        <f>VLOOKUP(Table3[[#This Row],[Census Tract]],'ES Energy Burden'!$B$2:$E$914,4,FALSE)</f>
        <v>No</v>
      </c>
    </row>
    <row r="675" spans="1:18" x14ac:dyDescent="0.2">
      <c r="A675" s="100">
        <v>9003430201</v>
      </c>
      <c r="B675" s="38" t="s">
        <v>2844</v>
      </c>
      <c r="C675" s="38" t="s">
        <v>944</v>
      </c>
      <c r="D675" s="40">
        <f>[1]!Table3[[#This Row],[Residential CLM $ Collected]]+[1]!Table3[[#This Row],[C&amp;I CLM $ Collected]]</f>
        <v>64134.59972256</v>
      </c>
      <c r="E675" s="36">
        <f>[1]!Table3[[#This Row],[CLM $ Collected ]]/'[1]1.) CLM Reference'!$B$4</f>
        <v>5.6897918146254459E-4</v>
      </c>
      <c r="F675" s="40">
        <f>[1]!Table3[[#This Row],[Residential Incentive Disbursements]]+[1]!Table3[[#This Row],[C&amp;I Incentive Disbursements]]</f>
        <v>15521.53</v>
      </c>
      <c r="G675" s="36">
        <f>[1]!Table3[[#This Row],[Incentive Disbursements]]/'[1]1.) CLM Reference'!$B$5</f>
        <v>1.8990051936613949E-4</v>
      </c>
      <c r="H675" s="40">
        <v>64134.59972256</v>
      </c>
      <c r="I675" s="36">
        <f>[1]!Table3[[#This Row],[Residential CLM $ Collected]]/'[1]1.) CLM Reference'!$B$4</f>
        <v>5.6897918146254459E-4</v>
      </c>
      <c r="J675" s="41">
        <v>15521.53</v>
      </c>
      <c r="K675" s="36">
        <f>[1]!Table3[[#This Row],[Residential Incentive Disbursements]]/'[1]1.) CLM Reference'!$B$5</f>
        <v>1.8990051936613949E-4</v>
      </c>
      <c r="L675" s="37">
        <v>0</v>
      </c>
      <c r="M675" s="36">
        <f>[1]!Table3[[#This Row],[C&amp;I CLM $ Collected]]/'[1]1.) CLM Reference'!$B$4</f>
        <v>0</v>
      </c>
      <c r="N675" s="41">
        <v>0</v>
      </c>
      <c r="O675" s="36">
        <f>[1]!Table3[[#This Row],[C&amp;I Incentive Disbursements]]/'[1]1.) CLM Reference'!$B$5</f>
        <v>0</v>
      </c>
      <c r="Q675">
        <f>VLOOKUP(Table3[[#This Row],[Census Tract]],'Population and Diversity Data'!$B$2:$K$823,10,FALSE)</f>
        <v>2</v>
      </c>
      <c r="R675" t="str">
        <f>VLOOKUP(Table3[[#This Row],[Census Tract]],'ES Energy Burden'!$B$2:$E$914,4,FALSE)</f>
        <v>No</v>
      </c>
    </row>
    <row r="676" spans="1:18" x14ac:dyDescent="0.2">
      <c r="A676" s="100">
        <v>9003430202</v>
      </c>
      <c r="B676" s="38" t="s">
        <v>2844</v>
      </c>
      <c r="C676" s="38" t="s">
        <v>944</v>
      </c>
      <c r="D676" s="40">
        <f>[1]!Table3[[#This Row],[Residential CLM $ Collected]]+[1]!Table3[[#This Row],[C&amp;I CLM $ Collected]]</f>
        <v>98483.855832000001</v>
      </c>
      <c r="E676" s="36">
        <f>[1]!Table3[[#This Row],[CLM $ Collected ]]/'[1]1.) CLM Reference'!$B$4</f>
        <v>8.7371347012329818E-4</v>
      </c>
      <c r="F676" s="40">
        <f>[1]!Table3[[#This Row],[Residential Incentive Disbursements]]+[1]!Table3[[#This Row],[C&amp;I Incentive Disbursements]]</f>
        <v>11144.9805</v>
      </c>
      <c r="G676" s="36">
        <f>[1]!Table3[[#This Row],[Incentive Disbursements]]/'[1]1.) CLM Reference'!$B$5</f>
        <v>1.3635495890389006E-4</v>
      </c>
      <c r="H676" s="40">
        <v>98483.855832000001</v>
      </c>
      <c r="I676" s="36">
        <f>[1]!Table3[[#This Row],[Residential CLM $ Collected]]/'[1]1.) CLM Reference'!$B$4</f>
        <v>8.7371347012329818E-4</v>
      </c>
      <c r="J676" s="41">
        <v>11144.9805</v>
      </c>
      <c r="K676" s="36">
        <f>[1]!Table3[[#This Row],[Residential Incentive Disbursements]]/'[1]1.) CLM Reference'!$B$5</f>
        <v>1.3635495890389006E-4</v>
      </c>
      <c r="L676" s="37">
        <v>0</v>
      </c>
      <c r="M676" s="36">
        <f>[1]!Table3[[#This Row],[C&amp;I CLM $ Collected]]/'[1]1.) CLM Reference'!$B$4</f>
        <v>0</v>
      </c>
      <c r="N676" s="41">
        <v>0</v>
      </c>
      <c r="O676" s="36">
        <f>[1]!Table3[[#This Row],[C&amp;I Incentive Disbursements]]/'[1]1.) CLM Reference'!$B$5</f>
        <v>0</v>
      </c>
      <c r="Q676">
        <f>VLOOKUP(Table3[[#This Row],[Census Tract]],'Population and Diversity Data'!$B$2:$K$823,10,FALSE)</f>
        <v>2</v>
      </c>
      <c r="R676" t="str">
        <f>VLOOKUP(Table3[[#This Row],[Census Tract]],'ES Energy Burden'!$B$2:$E$914,4,FALSE)</f>
        <v>No</v>
      </c>
    </row>
    <row r="677" spans="1:18" x14ac:dyDescent="0.2">
      <c r="A677" s="100">
        <v>9003430203</v>
      </c>
      <c r="B677" s="38" t="s">
        <v>2844</v>
      </c>
      <c r="C677" s="38" t="s">
        <v>944</v>
      </c>
      <c r="D677" s="40">
        <f>[1]!Table3[[#This Row],[Residential CLM $ Collected]]+[1]!Table3[[#This Row],[C&amp;I CLM $ Collected]]</f>
        <v>75692.323877759991</v>
      </c>
      <c r="E677" s="36">
        <f>[1]!Table3[[#This Row],[CLM $ Collected ]]/'[1]1.) CLM Reference'!$B$4</f>
        <v>6.7151516762045552E-4</v>
      </c>
      <c r="F677" s="40">
        <f>[1]!Table3[[#This Row],[Residential Incentive Disbursements]]+[1]!Table3[[#This Row],[C&amp;I Incentive Disbursements]]</f>
        <v>10154.0301</v>
      </c>
      <c r="G677" s="36">
        <f>[1]!Table3[[#This Row],[Incentive Disbursements]]/'[1]1.) CLM Reference'!$B$5</f>
        <v>1.2423102552708485E-4</v>
      </c>
      <c r="H677" s="40">
        <v>75692.323877759991</v>
      </c>
      <c r="I677" s="36">
        <f>[1]!Table3[[#This Row],[Residential CLM $ Collected]]/'[1]1.) CLM Reference'!$B$4</f>
        <v>6.7151516762045552E-4</v>
      </c>
      <c r="J677" s="41">
        <v>10154.0301</v>
      </c>
      <c r="K677" s="36">
        <f>[1]!Table3[[#This Row],[Residential Incentive Disbursements]]/'[1]1.) CLM Reference'!$B$5</f>
        <v>1.2423102552708485E-4</v>
      </c>
      <c r="L677" s="37">
        <v>0</v>
      </c>
      <c r="M677" s="36">
        <f>[1]!Table3[[#This Row],[C&amp;I CLM $ Collected]]/'[1]1.) CLM Reference'!$B$4</f>
        <v>0</v>
      </c>
      <c r="N677" s="41">
        <v>0</v>
      </c>
      <c r="O677" s="36">
        <f>[1]!Table3[[#This Row],[C&amp;I Incentive Disbursements]]/'[1]1.) CLM Reference'!$B$5</f>
        <v>0</v>
      </c>
      <c r="Q677">
        <f>VLOOKUP(Table3[[#This Row],[Census Tract]],'Population and Diversity Data'!$B$2:$K$823,10,FALSE)</f>
        <v>2</v>
      </c>
      <c r="R677" t="str">
        <f>VLOOKUP(Table3[[#This Row],[Census Tract]],'ES Energy Burden'!$B$2:$E$914,4,FALSE)</f>
        <v>No</v>
      </c>
    </row>
    <row r="678" spans="1:18" x14ac:dyDescent="0.2">
      <c r="A678" s="100">
        <v>9003430301</v>
      </c>
      <c r="B678" s="38" t="s">
        <v>2844</v>
      </c>
      <c r="C678" s="38" t="s">
        <v>944</v>
      </c>
      <c r="D678" s="40">
        <f>[1]!Table3[[#This Row],[Residential CLM $ Collected]]+[1]!Table3[[#This Row],[C&amp;I CLM $ Collected]]</f>
        <v>75158.816492159996</v>
      </c>
      <c r="E678" s="36">
        <f>[1]!Table3[[#This Row],[CLM $ Collected ]]/'[1]1.) CLM Reference'!$B$4</f>
        <v>6.6678208131640043E-4</v>
      </c>
      <c r="F678" s="40">
        <f>[1]!Table3[[#This Row],[Residential Incentive Disbursements]]+[1]!Table3[[#This Row],[C&amp;I Incentive Disbursements]]</f>
        <v>47875.1031</v>
      </c>
      <c r="G678" s="36">
        <f>[1]!Table3[[#This Row],[Incentive Disbursements]]/'[1]1.) CLM Reference'!$B$5</f>
        <v>5.8573522992884559E-4</v>
      </c>
      <c r="H678" s="40">
        <v>75158.816492159996</v>
      </c>
      <c r="I678" s="36">
        <f>[1]!Table3[[#This Row],[Residential CLM $ Collected]]/'[1]1.) CLM Reference'!$B$4</f>
        <v>6.6678208131640043E-4</v>
      </c>
      <c r="J678" s="41">
        <v>47875.1031</v>
      </c>
      <c r="K678" s="36">
        <f>[1]!Table3[[#This Row],[Residential Incentive Disbursements]]/'[1]1.) CLM Reference'!$B$5</f>
        <v>5.8573522992884559E-4</v>
      </c>
      <c r="L678" s="37">
        <v>0</v>
      </c>
      <c r="M678" s="36">
        <f>[1]!Table3[[#This Row],[C&amp;I CLM $ Collected]]/'[1]1.) CLM Reference'!$B$4</f>
        <v>0</v>
      </c>
      <c r="N678" s="41">
        <v>0</v>
      </c>
      <c r="O678" s="36">
        <f>[1]!Table3[[#This Row],[C&amp;I Incentive Disbursements]]/'[1]1.) CLM Reference'!$B$5</f>
        <v>0</v>
      </c>
      <c r="Q678">
        <f>VLOOKUP(Table3[[#This Row],[Census Tract]],'Population and Diversity Data'!$B$2:$K$823,10,FALSE)</f>
        <v>1</v>
      </c>
      <c r="R678" t="str">
        <f>VLOOKUP(Table3[[#This Row],[Census Tract]],'ES Energy Burden'!$B$2:$E$914,4,FALSE)</f>
        <v>No</v>
      </c>
    </row>
    <row r="679" spans="1:18" x14ac:dyDescent="0.2">
      <c r="A679" s="100">
        <v>9003430302</v>
      </c>
      <c r="B679" s="38" t="s">
        <v>2844</v>
      </c>
      <c r="C679" s="38" t="s">
        <v>944</v>
      </c>
      <c r="D679" s="40">
        <f>[1]!Table3[[#This Row],[Residential CLM $ Collected]]+[1]!Table3[[#This Row],[C&amp;I CLM $ Collected]]</f>
        <v>52046.875036800004</v>
      </c>
      <c r="E679" s="36">
        <f>[1]!Table3[[#This Row],[CLM $ Collected ]]/'[1]1.) CLM Reference'!$B$4</f>
        <v>4.61741220561558E-4</v>
      </c>
      <c r="F679" s="40">
        <f>[1]!Table3[[#This Row],[Residential Incentive Disbursements]]+[1]!Table3[[#This Row],[C&amp;I Incentive Disbursements]]</f>
        <v>11547.05</v>
      </c>
      <c r="G679" s="36">
        <f>[1]!Table3[[#This Row],[Incentive Disbursements]]/'[1]1.) CLM Reference'!$B$5</f>
        <v>1.4127413935010149E-4</v>
      </c>
      <c r="H679" s="40">
        <v>52046.875036800004</v>
      </c>
      <c r="I679" s="36">
        <f>[1]!Table3[[#This Row],[Residential CLM $ Collected]]/'[1]1.) CLM Reference'!$B$4</f>
        <v>4.61741220561558E-4</v>
      </c>
      <c r="J679" s="41">
        <v>11547.05</v>
      </c>
      <c r="K679" s="36">
        <f>[1]!Table3[[#This Row],[Residential Incentive Disbursements]]/'[1]1.) CLM Reference'!$B$5</f>
        <v>1.4127413935010149E-4</v>
      </c>
      <c r="L679" s="37">
        <v>0</v>
      </c>
      <c r="M679" s="36">
        <f>[1]!Table3[[#This Row],[C&amp;I CLM $ Collected]]/'[1]1.) CLM Reference'!$B$4</f>
        <v>0</v>
      </c>
      <c r="N679" s="41">
        <v>0</v>
      </c>
      <c r="O679" s="36">
        <f>[1]!Table3[[#This Row],[C&amp;I Incentive Disbursements]]/'[1]1.) CLM Reference'!$B$5</f>
        <v>0</v>
      </c>
      <c r="Q679">
        <f>VLOOKUP(Table3[[#This Row],[Census Tract]],'Population and Diversity Data'!$B$2:$K$823,10,FALSE)</f>
        <v>1</v>
      </c>
      <c r="R679" t="str">
        <f>VLOOKUP(Table3[[#This Row],[Census Tract]],'ES Energy Burden'!$B$2:$E$914,4,FALSE)</f>
        <v>No</v>
      </c>
    </row>
    <row r="680" spans="1:18" x14ac:dyDescent="0.2">
      <c r="A680" s="100">
        <v>9003430400</v>
      </c>
      <c r="B680" s="38" t="s">
        <v>2844</v>
      </c>
      <c r="C680" s="38" t="s">
        <v>944</v>
      </c>
      <c r="D680" s="40">
        <f>[1]!Table3[[#This Row],[Residential CLM $ Collected]]+[1]!Table3[[#This Row],[C&amp;I CLM $ Collected]]</f>
        <v>88148.191930559988</v>
      </c>
      <c r="E680" s="36">
        <f>[1]!Table3[[#This Row],[CLM $ Collected ]]/'[1]1.) CLM Reference'!$B$4</f>
        <v>7.8201916452299853E-4</v>
      </c>
      <c r="F680" s="40">
        <f>[1]!Table3[[#This Row],[Residential Incentive Disbursements]]+[1]!Table3[[#This Row],[C&amp;I Incentive Disbursements]]</f>
        <v>81530.634699999995</v>
      </c>
      <c r="G680" s="36">
        <f>[1]!Table3[[#This Row],[Incentive Disbursements]]/'[1]1.) CLM Reference'!$B$5</f>
        <v>9.9749894976725842E-4</v>
      </c>
      <c r="H680" s="40">
        <v>88148.191930559988</v>
      </c>
      <c r="I680" s="36">
        <f>[1]!Table3[[#This Row],[Residential CLM $ Collected]]/'[1]1.) CLM Reference'!$B$4</f>
        <v>7.8201916452299853E-4</v>
      </c>
      <c r="J680" s="41">
        <v>81530.634699999995</v>
      </c>
      <c r="K680" s="36">
        <f>[1]!Table3[[#This Row],[Residential Incentive Disbursements]]/'[1]1.) CLM Reference'!$B$5</f>
        <v>9.9749894976725842E-4</v>
      </c>
      <c r="L680" s="37">
        <v>0</v>
      </c>
      <c r="M680" s="36">
        <f>[1]!Table3[[#This Row],[C&amp;I CLM $ Collected]]/'[1]1.) CLM Reference'!$B$4</f>
        <v>0</v>
      </c>
      <c r="N680" s="41">
        <v>0</v>
      </c>
      <c r="O680" s="36">
        <f>[1]!Table3[[#This Row],[C&amp;I Incentive Disbursements]]/'[1]1.) CLM Reference'!$B$5</f>
        <v>0</v>
      </c>
      <c r="Q680">
        <f>VLOOKUP(Table3[[#This Row],[Census Tract]],'Population and Diversity Data'!$B$2:$K$823,10,FALSE)</f>
        <v>1</v>
      </c>
      <c r="R680" t="str">
        <f>VLOOKUP(Table3[[#This Row],[Census Tract]],'ES Energy Burden'!$B$2:$E$914,4,FALSE)</f>
        <v>No</v>
      </c>
    </row>
    <row r="681" spans="1:18" x14ac:dyDescent="0.2">
      <c r="A681" s="100">
        <v>9003430500</v>
      </c>
      <c r="B681" s="38" t="s">
        <v>2844</v>
      </c>
      <c r="C681" s="38" t="s">
        <v>944</v>
      </c>
      <c r="D681" s="40">
        <f>[1]!Table3[[#This Row],[Residential CLM $ Collected]]+[1]!Table3[[#This Row],[C&amp;I CLM $ Collected]]</f>
        <v>449466.82252992003</v>
      </c>
      <c r="E681" s="36">
        <f>[1]!Table3[[#This Row],[CLM $ Collected ]]/'[1]1.) CLM Reference'!$B$4</f>
        <v>3.9875085505162436E-3</v>
      </c>
      <c r="F681" s="40">
        <f>[1]!Table3[[#This Row],[Residential Incentive Disbursements]]+[1]!Table3[[#This Row],[C&amp;I Incentive Disbursements]]</f>
        <v>751695.51569999999</v>
      </c>
      <c r="G681" s="36">
        <f>[1]!Table3[[#This Row],[Incentive Disbursements]]/'[1]1.) CLM Reference'!$B$5</f>
        <v>9.1967331079235142E-3</v>
      </c>
      <c r="H681" s="40">
        <v>135829.38787488002</v>
      </c>
      <c r="I681" s="36">
        <f>[1]!Table3[[#This Row],[Residential CLM $ Collected]]/'[1]1.) CLM Reference'!$B$4</f>
        <v>1.205029644933174E-3</v>
      </c>
      <c r="J681" s="41">
        <v>621202.5257</v>
      </c>
      <c r="K681" s="36">
        <f>[1]!Table3[[#This Row],[Residential Incentive Disbursements]]/'[1]1.) CLM Reference'!$B$5</f>
        <v>7.600196775832512E-3</v>
      </c>
      <c r="L681" s="37">
        <v>313637.43465504004</v>
      </c>
      <c r="M681" s="36">
        <f>[1]!Table3[[#This Row],[C&amp;I CLM $ Collected]]/'[1]1.) CLM Reference'!$B$4</f>
        <v>2.78247890558307E-3</v>
      </c>
      <c r="N681" s="41">
        <v>130492.99</v>
      </c>
      <c r="O681" s="36">
        <f>[1]!Table3[[#This Row],[C&amp;I Incentive Disbursements]]/'[1]1.) CLM Reference'!$B$5</f>
        <v>1.5965363320910018E-3</v>
      </c>
      <c r="Q681">
        <f>VLOOKUP(Table3[[#This Row],[Census Tract]],'Population and Diversity Data'!$B$2:$K$823,10,FALSE)</f>
        <v>1</v>
      </c>
      <c r="R681" t="str">
        <f>VLOOKUP(Table3[[#This Row],[Census Tract]],'ES Energy Burden'!$B$2:$E$914,4,FALSE)</f>
        <v>No</v>
      </c>
    </row>
    <row r="682" spans="1:18" x14ac:dyDescent="0.2">
      <c r="A682" s="100">
        <v>9003430601</v>
      </c>
      <c r="B682" s="38" t="s">
        <v>2844</v>
      </c>
      <c r="C682" s="38" t="s">
        <v>944</v>
      </c>
      <c r="D682" s="40">
        <f>[1]!Table3[[#This Row],[Residential CLM $ Collected]]+[1]!Table3[[#This Row],[C&amp;I CLM $ Collected]]</f>
        <v>116361.36461376</v>
      </c>
      <c r="E682" s="36">
        <f>[1]!Table3[[#This Row],[CLM $ Collected ]]/'[1]1.) CLM Reference'!$B$4</f>
        <v>1.0323163203357893E-3</v>
      </c>
      <c r="F682" s="40">
        <f>[1]!Table3[[#This Row],[Residential Incentive Disbursements]]+[1]!Table3[[#This Row],[C&amp;I Incentive Disbursements]]</f>
        <v>22448.91</v>
      </c>
      <c r="G682" s="36">
        <f>[1]!Table3[[#This Row],[Incentive Disbursements]]/'[1]1.) CLM Reference'!$B$5</f>
        <v>2.7465460352192871E-4</v>
      </c>
      <c r="H682" s="40">
        <v>116361.36461376</v>
      </c>
      <c r="I682" s="36">
        <f>[1]!Table3[[#This Row],[Residential CLM $ Collected]]/'[1]1.) CLM Reference'!$B$4</f>
        <v>1.0323163203357893E-3</v>
      </c>
      <c r="J682" s="41">
        <v>22448.91</v>
      </c>
      <c r="K682" s="36">
        <f>[1]!Table3[[#This Row],[Residential Incentive Disbursements]]/'[1]1.) CLM Reference'!$B$5</f>
        <v>2.7465460352192871E-4</v>
      </c>
      <c r="L682" s="37">
        <v>0</v>
      </c>
      <c r="M682" s="36">
        <f>[1]!Table3[[#This Row],[C&amp;I CLM $ Collected]]/'[1]1.) CLM Reference'!$B$4</f>
        <v>0</v>
      </c>
      <c r="N682" s="41">
        <v>0</v>
      </c>
      <c r="O682" s="36">
        <f>[1]!Table3[[#This Row],[C&amp;I Incentive Disbursements]]/'[1]1.) CLM Reference'!$B$5</f>
        <v>0</v>
      </c>
      <c r="Q682">
        <f>VLOOKUP(Table3[[#This Row],[Census Tract]],'Population and Diversity Data'!$B$2:$K$823,10,FALSE)</f>
        <v>2</v>
      </c>
      <c r="R682" t="str">
        <f>VLOOKUP(Table3[[#This Row],[Census Tract]],'ES Energy Burden'!$B$2:$E$914,4,FALSE)</f>
        <v>No</v>
      </c>
    </row>
    <row r="683" spans="1:18" x14ac:dyDescent="0.2">
      <c r="A683" s="100">
        <v>9003430602</v>
      </c>
      <c r="B683" s="38" t="s">
        <v>2844</v>
      </c>
      <c r="C683" s="38" t="s">
        <v>944</v>
      </c>
      <c r="D683" s="40">
        <f>[1]!Table3[[#This Row],[Residential CLM $ Collected]]+[1]!Table3[[#This Row],[C&amp;I CLM $ Collected]]</f>
        <v>67101.176217600005</v>
      </c>
      <c r="E683" s="36">
        <f>[1]!Table3[[#This Row],[CLM $ Collected ]]/'[1]1.) CLM Reference'!$B$4</f>
        <v>5.9529758483912554E-4</v>
      </c>
      <c r="F683" s="40">
        <f>[1]!Table3[[#This Row],[Residential Incentive Disbursements]]+[1]!Table3[[#This Row],[C&amp;I Incentive Disbursements]]</f>
        <v>15712.5005</v>
      </c>
      <c r="G683" s="36">
        <f>[1]!Table3[[#This Row],[Incentive Disbursements]]/'[1]1.) CLM Reference'!$B$5</f>
        <v>1.9223697699200572E-4</v>
      </c>
      <c r="H683" s="40">
        <v>67101.176217600005</v>
      </c>
      <c r="I683" s="36">
        <f>[1]!Table3[[#This Row],[Residential CLM $ Collected]]/'[1]1.) CLM Reference'!$B$4</f>
        <v>5.9529758483912554E-4</v>
      </c>
      <c r="J683" s="41">
        <v>15712.5005</v>
      </c>
      <c r="K683" s="36">
        <f>[1]!Table3[[#This Row],[Residential Incentive Disbursements]]/'[1]1.) CLM Reference'!$B$5</f>
        <v>1.9223697699200572E-4</v>
      </c>
      <c r="L683" s="37">
        <v>0</v>
      </c>
      <c r="M683" s="36">
        <f>[1]!Table3[[#This Row],[C&amp;I CLM $ Collected]]/'[1]1.) CLM Reference'!$B$4</f>
        <v>0</v>
      </c>
      <c r="N683" s="41">
        <v>0</v>
      </c>
      <c r="O683" s="36">
        <f>[1]!Table3[[#This Row],[C&amp;I Incentive Disbursements]]/'[1]1.) CLM Reference'!$B$5</f>
        <v>0</v>
      </c>
      <c r="Q683">
        <f>VLOOKUP(Table3[[#This Row],[Census Tract]],'Population and Diversity Data'!$B$2:$K$823,10,FALSE)</f>
        <v>2</v>
      </c>
      <c r="R683" t="str">
        <f>VLOOKUP(Table3[[#This Row],[Census Tract]],'ES Energy Burden'!$B$2:$E$914,4,FALSE)</f>
        <v>No</v>
      </c>
    </row>
    <row r="684" spans="1:18" x14ac:dyDescent="0.2">
      <c r="A684" s="100">
        <v>9009343101</v>
      </c>
      <c r="B684" s="38" t="s">
        <v>2844</v>
      </c>
      <c r="C684" s="38" t="s">
        <v>944</v>
      </c>
      <c r="D684" s="40">
        <f>[1]!Table3[[#This Row],[Residential CLM $ Collected]]+[1]!Table3[[#This Row],[C&amp;I CLM $ Collected]]</f>
        <v>670.55143679999992</v>
      </c>
      <c r="E684" s="36">
        <f>[1]!Table3[[#This Row],[CLM $ Collected ]]/'[1]1.) CLM Reference'!$B$4</f>
        <v>5.9488920066462996E-6</v>
      </c>
      <c r="F684" s="40">
        <f>[1]!Table3[[#This Row],[Residential Incentive Disbursements]]+[1]!Table3[[#This Row],[C&amp;I Incentive Disbursements]]</f>
        <v>2495.44</v>
      </c>
      <c r="G684" s="36">
        <f>[1]!Table3[[#This Row],[Incentive Disbursements]]/'[1]1.) CLM Reference'!$B$5</f>
        <v>3.0530840197264004E-5</v>
      </c>
      <c r="H684" s="40">
        <v>670.55143679999992</v>
      </c>
      <c r="I684" s="36">
        <f>[1]!Table3[[#This Row],[Residential CLM $ Collected]]/'[1]1.) CLM Reference'!$B$4</f>
        <v>5.9488920066462996E-6</v>
      </c>
      <c r="J684" s="41">
        <v>2495.44</v>
      </c>
      <c r="K684" s="36">
        <f>[1]!Table3[[#This Row],[Residential Incentive Disbursements]]/'[1]1.) CLM Reference'!$B$5</f>
        <v>3.0530840197264004E-5</v>
      </c>
      <c r="L684" s="37">
        <v>0</v>
      </c>
      <c r="M684" s="36">
        <f>[1]!Table3[[#This Row],[C&amp;I CLM $ Collected]]/'[1]1.) CLM Reference'!$B$4</f>
        <v>0</v>
      </c>
      <c r="N684" s="41">
        <v>0</v>
      </c>
      <c r="O684" s="36">
        <f>[1]!Table3[[#This Row],[C&amp;I Incentive Disbursements]]/'[1]1.) CLM Reference'!$B$5</f>
        <v>0</v>
      </c>
      <c r="Q684">
        <f>VLOOKUP(Table3[[#This Row],[Census Tract]],'Population and Diversity Data'!$B$2:$K$823,10,FALSE)</f>
        <v>4</v>
      </c>
      <c r="R684" t="str">
        <f>VLOOKUP(Table3[[#This Row],[Census Tract]],'ES Energy Burden'!$B$2:$E$914,4,FALSE)</f>
        <v>No</v>
      </c>
    </row>
    <row r="685" spans="1:18" x14ac:dyDescent="0.2">
      <c r="A685" s="100">
        <v>9011711100</v>
      </c>
      <c r="B685" s="38" t="s">
        <v>2845</v>
      </c>
      <c r="C685" s="38" t="s">
        <v>944</v>
      </c>
      <c r="D685" s="40">
        <f>[1]!Table3[[#This Row],[Residential CLM $ Collected]]+[1]!Table3[[#This Row],[C&amp;I CLM $ Collected]]</f>
        <v>70585.506457920012</v>
      </c>
      <c r="E685" s="36">
        <f>[1]!Table3[[#This Row],[CLM $ Collected ]]/'[1]1.) CLM Reference'!$B$4</f>
        <v>6.2620931386929988E-4</v>
      </c>
      <c r="F685" s="40">
        <f>[1]!Table3[[#This Row],[Residential Incentive Disbursements]]+[1]!Table3[[#This Row],[C&amp;I Incentive Disbursements]]</f>
        <v>40892.65</v>
      </c>
      <c r="G685" s="36">
        <f>[1]!Table3[[#This Row],[Incentive Disbursements]]/'[1]1.) CLM Reference'!$B$5</f>
        <v>5.0030734555535209E-4</v>
      </c>
      <c r="H685" s="40">
        <v>56322.814993920008</v>
      </c>
      <c r="I685" s="36">
        <f>[1]!Table3[[#This Row],[Residential CLM $ Collected]]/'[1]1.) CLM Reference'!$B$4</f>
        <v>4.9967582726854153E-4</v>
      </c>
      <c r="J685" s="41">
        <v>15629.35</v>
      </c>
      <c r="K685" s="36">
        <f>[1]!Table3[[#This Row],[Residential Incentive Disbursements]]/'[1]1.) CLM Reference'!$B$5</f>
        <v>1.9121965955386951E-4</v>
      </c>
      <c r="L685" s="37">
        <v>14262.691464</v>
      </c>
      <c r="M685" s="36">
        <f>[1]!Table3[[#This Row],[C&amp;I CLM $ Collected]]/'[1]1.) CLM Reference'!$B$4</f>
        <v>1.2653348660075829E-4</v>
      </c>
      <c r="N685" s="41">
        <v>25263.3</v>
      </c>
      <c r="O685" s="36">
        <f>[1]!Table3[[#This Row],[C&amp;I Incentive Disbursements]]/'[1]1.) CLM Reference'!$B$5</f>
        <v>3.0908768600148255E-4</v>
      </c>
      <c r="Q685">
        <f>VLOOKUP(Table3[[#This Row],[Census Tract]],'Population and Diversity Data'!$B$2:$K$823,10,FALSE)</f>
        <v>4</v>
      </c>
      <c r="R685" t="str">
        <f>VLOOKUP(Table3[[#This Row],[Census Tract]],'ES Energy Burden'!$B$2:$E$914,4,FALSE)</f>
        <v>No</v>
      </c>
    </row>
    <row r="686" spans="1:18" x14ac:dyDescent="0.2">
      <c r="A686" s="100">
        <v>9011712100</v>
      </c>
      <c r="B686" s="38" t="s">
        <v>2845</v>
      </c>
      <c r="C686" s="38" t="s">
        <v>944</v>
      </c>
      <c r="D686" s="40">
        <f>[1]!Table3[[#This Row],[Residential CLM $ Collected]]+[1]!Table3[[#This Row],[C&amp;I CLM $ Collected]]</f>
        <v>349.02411840000002</v>
      </c>
      <c r="E686" s="36">
        <f>[1]!Table3[[#This Row],[CLM $ Collected ]]/'[1]1.) CLM Reference'!$B$4</f>
        <v>3.0964168803888723E-6</v>
      </c>
      <c r="F686" s="40">
        <f>[1]!Table3[[#This Row],[Residential Incentive Disbursements]]+[1]!Table3[[#This Row],[C&amp;I Incentive Disbursements]]</f>
        <v>0</v>
      </c>
      <c r="G686" s="36">
        <f>[1]!Table3[[#This Row],[Incentive Disbursements]]/'[1]1.) CLM Reference'!$B$5</f>
        <v>0</v>
      </c>
      <c r="H686" s="40">
        <v>349.02411840000002</v>
      </c>
      <c r="I686" s="36">
        <f>[1]!Table3[[#This Row],[Residential CLM $ Collected]]/'[1]1.) CLM Reference'!$B$4</f>
        <v>3.0964168803888723E-6</v>
      </c>
      <c r="J686" s="41">
        <v>0</v>
      </c>
      <c r="K686" s="36">
        <f>[1]!Table3[[#This Row],[Residential Incentive Disbursements]]/'[1]1.) CLM Reference'!$B$5</f>
        <v>0</v>
      </c>
      <c r="L686" s="37">
        <v>0</v>
      </c>
      <c r="M686" s="36">
        <f>[1]!Table3[[#This Row],[C&amp;I CLM $ Collected]]/'[1]1.) CLM Reference'!$B$4</f>
        <v>0</v>
      </c>
      <c r="N686" s="41">
        <v>0</v>
      </c>
      <c r="O686" s="36">
        <f>[1]!Table3[[#This Row],[C&amp;I Incentive Disbursements]]/'[1]1.) CLM Reference'!$B$5</f>
        <v>0</v>
      </c>
      <c r="Q686">
        <f>VLOOKUP(Table3[[#This Row],[Census Tract]],'Population and Diversity Data'!$B$2:$K$823,10,FALSE)</f>
        <v>1</v>
      </c>
      <c r="R686" t="str">
        <f>VLOOKUP(Table3[[#This Row],[Census Tract]],'ES Energy Burden'!$B$2:$E$914,4,FALSE)</f>
        <v>No</v>
      </c>
    </row>
    <row r="687" spans="1:18" x14ac:dyDescent="0.2">
      <c r="A687" s="100">
        <v>9015825000</v>
      </c>
      <c r="B687" s="38" t="s">
        <v>2845</v>
      </c>
      <c r="C687" s="38" t="s">
        <v>944</v>
      </c>
      <c r="D687" s="40">
        <f>[1]!Table3[[#This Row],[Residential CLM $ Collected]]+[1]!Table3[[#This Row],[C&amp;I CLM $ Collected]]</f>
        <v>631.76068800000007</v>
      </c>
      <c r="E687" s="36">
        <f>[1]!Table3[[#This Row],[CLM $ Collected ]]/'[1]1.) CLM Reference'!$B$4</f>
        <v>5.6047543867652896E-6</v>
      </c>
      <c r="F687" s="40">
        <f>[1]!Table3[[#This Row],[Residential Incentive Disbursements]]+[1]!Table3[[#This Row],[C&amp;I Incentive Disbursements]]</f>
        <v>0</v>
      </c>
      <c r="G687" s="36">
        <f>[1]!Table3[[#This Row],[Incentive Disbursements]]/'[1]1.) CLM Reference'!$B$5</f>
        <v>0</v>
      </c>
      <c r="H687" s="40">
        <v>631.76068800000007</v>
      </c>
      <c r="I687" s="36">
        <f>[1]!Table3[[#This Row],[Residential CLM $ Collected]]/'[1]1.) CLM Reference'!$B$4</f>
        <v>5.6047543867652896E-6</v>
      </c>
      <c r="J687" s="41">
        <v>0</v>
      </c>
      <c r="K687" s="36">
        <f>[1]!Table3[[#This Row],[Residential Incentive Disbursements]]/'[1]1.) CLM Reference'!$B$5</f>
        <v>0</v>
      </c>
      <c r="L687" s="37">
        <v>0</v>
      </c>
      <c r="M687" s="36">
        <f>[1]!Table3[[#This Row],[C&amp;I CLM $ Collected]]/'[1]1.) CLM Reference'!$B$4</f>
        <v>0</v>
      </c>
      <c r="N687" s="41">
        <v>0</v>
      </c>
      <c r="O687" s="36">
        <f>[1]!Table3[[#This Row],[C&amp;I Incentive Disbursements]]/'[1]1.) CLM Reference'!$B$5</f>
        <v>0</v>
      </c>
      <c r="Q687">
        <f>VLOOKUP(Table3[[#This Row],[Census Tract]],'Population and Diversity Data'!$B$2:$K$823,10,FALSE)</f>
        <v>2</v>
      </c>
      <c r="R687" t="str">
        <f>VLOOKUP(Table3[[#This Row],[Census Tract]],'ES Energy Burden'!$B$2:$E$914,4,FALSE)</f>
        <v>No</v>
      </c>
    </row>
    <row r="688" spans="1:18" x14ac:dyDescent="0.2">
      <c r="A688" s="100">
        <v>9013535200</v>
      </c>
      <c r="B688" s="38" t="s">
        <v>2846</v>
      </c>
      <c r="C688" s="38" t="s">
        <v>944</v>
      </c>
      <c r="D688" s="40">
        <f>[1]!Table3[[#This Row],[Residential CLM $ Collected]]+[1]!Table3[[#This Row],[C&amp;I CLM $ Collected]]</f>
        <v>356.42799360000004</v>
      </c>
      <c r="E688" s="36">
        <f>[1]!Table3[[#This Row],[CLM $ Collected ]]/'[1]1.) CLM Reference'!$B$4</f>
        <v>3.1621014074486864E-6</v>
      </c>
      <c r="F688" s="40">
        <f>[1]!Table3[[#This Row],[Residential Incentive Disbursements]]+[1]!Table3[[#This Row],[C&amp;I Incentive Disbursements]]</f>
        <v>0</v>
      </c>
      <c r="G688" s="36">
        <f>[1]!Table3[[#This Row],[Incentive Disbursements]]/'[1]1.) CLM Reference'!$B$5</f>
        <v>0</v>
      </c>
      <c r="H688" s="40">
        <v>356.42799360000004</v>
      </c>
      <c r="I688" s="36">
        <f>[1]!Table3[[#This Row],[Residential CLM $ Collected]]/'[1]1.) CLM Reference'!$B$4</f>
        <v>3.1621014074486864E-6</v>
      </c>
      <c r="J688" s="41">
        <v>0</v>
      </c>
      <c r="K688" s="36">
        <f>[1]!Table3[[#This Row],[Residential Incentive Disbursements]]/'[1]1.) CLM Reference'!$B$5</f>
        <v>0</v>
      </c>
      <c r="L688" s="37">
        <v>0</v>
      </c>
      <c r="M688" s="36">
        <f>[1]!Table3[[#This Row],[C&amp;I CLM $ Collected]]/'[1]1.) CLM Reference'!$B$4</f>
        <v>0</v>
      </c>
      <c r="N688" s="41">
        <v>0</v>
      </c>
      <c r="O688" s="36">
        <f>[1]!Table3[[#This Row],[C&amp;I Incentive Disbursements]]/'[1]1.) CLM Reference'!$B$5</f>
        <v>0</v>
      </c>
      <c r="Q688">
        <f>VLOOKUP(Table3[[#This Row],[Census Tract]],'Population and Diversity Data'!$B$2:$K$823,10,FALSE)</f>
        <v>5</v>
      </c>
      <c r="R688" t="str">
        <f>VLOOKUP(Table3[[#This Row],[Census Tract]],'ES Energy Burden'!$B$2:$E$914,4,FALSE)</f>
        <v>No</v>
      </c>
    </row>
    <row r="689" spans="1:18" x14ac:dyDescent="0.2">
      <c r="A689" s="100">
        <v>9013840100</v>
      </c>
      <c r="B689" s="38" t="s">
        <v>2846</v>
      </c>
      <c r="C689" s="38" t="s">
        <v>944</v>
      </c>
      <c r="D689" s="40">
        <f>[1]!Table3[[#This Row],[Residential CLM $ Collected]]+[1]!Table3[[#This Row],[C&amp;I CLM $ Collected]]</f>
        <v>363.05616960000003</v>
      </c>
      <c r="E689" s="36">
        <f>[1]!Table3[[#This Row],[CLM $ Collected ]]/'[1]1.) CLM Reference'!$B$4</f>
        <v>3.2209042092340554E-6</v>
      </c>
      <c r="F689" s="40">
        <f>[1]!Table3[[#This Row],[Residential Incentive Disbursements]]+[1]!Table3[[#This Row],[C&amp;I Incentive Disbursements]]</f>
        <v>0</v>
      </c>
      <c r="G689" s="36">
        <f>[1]!Table3[[#This Row],[Incentive Disbursements]]/'[1]1.) CLM Reference'!$B$5</f>
        <v>0</v>
      </c>
      <c r="H689" s="40">
        <v>363.05616960000003</v>
      </c>
      <c r="I689" s="36">
        <f>[1]!Table3[[#This Row],[Residential CLM $ Collected]]/'[1]1.) CLM Reference'!$B$4</f>
        <v>3.2209042092340554E-6</v>
      </c>
      <c r="J689" s="41">
        <v>0</v>
      </c>
      <c r="K689" s="36">
        <f>[1]!Table3[[#This Row],[Residential Incentive Disbursements]]/'[1]1.) CLM Reference'!$B$5</f>
        <v>0</v>
      </c>
      <c r="L689" s="37">
        <v>0</v>
      </c>
      <c r="M689" s="36">
        <f>[1]!Table3[[#This Row],[C&amp;I CLM $ Collected]]/'[1]1.) CLM Reference'!$B$4</f>
        <v>0</v>
      </c>
      <c r="N689" s="41">
        <v>0</v>
      </c>
      <c r="O689" s="36">
        <f>[1]!Table3[[#This Row],[C&amp;I Incentive Disbursements]]/'[1]1.) CLM Reference'!$B$5</f>
        <v>0</v>
      </c>
      <c r="Q689">
        <f>VLOOKUP(Table3[[#This Row],[Census Tract]],'Population and Diversity Data'!$B$2:$K$823,10,FALSE)</f>
        <v>4</v>
      </c>
      <c r="R689" t="str">
        <f>VLOOKUP(Table3[[#This Row],[Census Tract]],'ES Energy Burden'!$B$2:$E$914,4,FALSE)</f>
        <v>No</v>
      </c>
    </row>
    <row r="690" spans="1:18" x14ac:dyDescent="0.2">
      <c r="A690" s="100">
        <v>9013890100</v>
      </c>
      <c r="B690" s="38" t="s">
        <v>2846</v>
      </c>
      <c r="C690" s="38" t="s">
        <v>944</v>
      </c>
      <c r="D690" s="40">
        <f>[1]!Table3[[#This Row],[Residential CLM $ Collected]]+[1]!Table3[[#This Row],[C&amp;I CLM $ Collected]]</f>
        <v>78029.483569920005</v>
      </c>
      <c r="E690" s="36">
        <f>[1]!Table3[[#This Row],[CLM $ Collected ]]/'[1]1.) CLM Reference'!$B$4</f>
        <v>6.9224961071895504E-4</v>
      </c>
      <c r="F690" s="40">
        <f>[1]!Table3[[#This Row],[Residential Incentive Disbursements]]+[1]!Table3[[#This Row],[C&amp;I Incentive Disbursements]]</f>
        <v>10995.81</v>
      </c>
      <c r="G690" s="36">
        <f>[1]!Table3[[#This Row],[Incentive Disbursements]]/'[1]1.) CLM Reference'!$B$5</f>
        <v>1.345299097351479E-4</v>
      </c>
      <c r="H690" s="40">
        <v>78029.483569920005</v>
      </c>
      <c r="I690" s="36">
        <f>[1]!Table3[[#This Row],[Residential CLM $ Collected]]/'[1]1.) CLM Reference'!$B$4</f>
        <v>6.9224961071895504E-4</v>
      </c>
      <c r="J690" s="41">
        <v>10995.81</v>
      </c>
      <c r="K690" s="36">
        <f>[1]!Table3[[#This Row],[Residential Incentive Disbursements]]/'[1]1.) CLM Reference'!$B$5</f>
        <v>1.345299097351479E-4</v>
      </c>
      <c r="L690" s="37">
        <v>0</v>
      </c>
      <c r="M690" s="36">
        <f>[1]!Table3[[#This Row],[C&amp;I CLM $ Collected]]/'[1]1.) CLM Reference'!$B$4</f>
        <v>0</v>
      </c>
      <c r="N690" s="41">
        <v>0</v>
      </c>
      <c r="O690" s="36">
        <f>[1]!Table3[[#This Row],[C&amp;I Incentive Disbursements]]/'[1]1.) CLM Reference'!$B$5</f>
        <v>0</v>
      </c>
      <c r="Q690">
        <f>VLOOKUP(Table3[[#This Row],[Census Tract]],'Population and Diversity Data'!$B$2:$K$823,10,FALSE)</f>
        <v>2</v>
      </c>
      <c r="R690" t="str">
        <f>VLOOKUP(Table3[[#This Row],[Census Tract]],'ES Energy Burden'!$B$2:$E$914,4,FALSE)</f>
        <v>No</v>
      </c>
    </row>
    <row r="691" spans="1:18" x14ac:dyDescent="0.2">
      <c r="A691" s="100">
        <v>9013890201</v>
      </c>
      <c r="B691" s="38" t="s">
        <v>2846</v>
      </c>
      <c r="C691" s="38" t="s">
        <v>944</v>
      </c>
      <c r="D691" s="40">
        <f>[1]!Table3[[#This Row],[Residential CLM $ Collected]]+[1]!Table3[[#This Row],[C&amp;I CLM $ Collected]]</f>
        <v>55163.823716159997</v>
      </c>
      <c r="E691" s="36">
        <f>[1]!Table3[[#This Row],[CLM $ Collected ]]/'[1]1.) CLM Reference'!$B$4</f>
        <v>4.8939367206066934E-4</v>
      </c>
      <c r="F691" s="40">
        <f>[1]!Table3[[#This Row],[Residential Incentive Disbursements]]+[1]!Table3[[#This Row],[C&amp;I Incentive Disbursements]]</f>
        <v>10087.122799999999</v>
      </c>
      <c r="G691" s="36">
        <f>[1]!Table3[[#This Row],[Incentive Disbursements]]/'[1]1.) CLM Reference'!$B$5</f>
        <v>1.2341243798968447E-4</v>
      </c>
      <c r="H691" s="40">
        <v>55163.823716159997</v>
      </c>
      <c r="I691" s="36">
        <f>[1]!Table3[[#This Row],[Residential CLM $ Collected]]/'[1]1.) CLM Reference'!$B$4</f>
        <v>4.8939367206066934E-4</v>
      </c>
      <c r="J691" s="41">
        <v>10087.122799999999</v>
      </c>
      <c r="K691" s="36">
        <f>[1]!Table3[[#This Row],[Residential Incentive Disbursements]]/'[1]1.) CLM Reference'!$B$5</f>
        <v>1.2341243798968447E-4</v>
      </c>
      <c r="L691" s="37">
        <v>0</v>
      </c>
      <c r="M691" s="36">
        <f>[1]!Table3[[#This Row],[C&amp;I CLM $ Collected]]/'[1]1.) CLM Reference'!$B$4</f>
        <v>0</v>
      </c>
      <c r="N691" s="41">
        <v>0</v>
      </c>
      <c r="O691" s="36">
        <f>[1]!Table3[[#This Row],[C&amp;I Incentive Disbursements]]/'[1]1.) CLM Reference'!$B$5</f>
        <v>0</v>
      </c>
      <c r="Q691">
        <f>VLOOKUP(Table3[[#This Row],[Census Tract]],'Population and Diversity Data'!$B$2:$K$823,10,FALSE)</f>
        <v>4</v>
      </c>
      <c r="R691" t="str">
        <f>VLOOKUP(Table3[[#This Row],[Census Tract]],'ES Energy Burden'!$B$2:$E$914,4,FALSE)</f>
        <v>No</v>
      </c>
    </row>
    <row r="692" spans="1:18" x14ac:dyDescent="0.2">
      <c r="A692" s="100">
        <v>9013890202</v>
      </c>
      <c r="B692" s="38" t="s">
        <v>2846</v>
      </c>
      <c r="C692" s="38" t="s">
        <v>944</v>
      </c>
      <c r="D692" s="40">
        <f>[1]!Table3[[#This Row],[Residential CLM $ Collected]]+[1]!Table3[[#This Row],[C&amp;I CLM $ Collected]]</f>
        <v>206471.81676096001</v>
      </c>
      <c r="E692" s="36">
        <f>[1]!Table3[[#This Row],[CLM $ Collected ]]/'[1]1.) CLM Reference'!$B$4</f>
        <v>1.831743954182837E-3</v>
      </c>
      <c r="F692" s="40">
        <f>[1]!Table3[[#This Row],[Residential Incentive Disbursements]]+[1]!Table3[[#This Row],[C&amp;I Incentive Disbursements]]</f>
        <v>94722.85</v>
      </c>
      <c r="G692" s="36">
        <f>[1]!Table3[[#This Row],[Incentive Disbursements]]/'[1]1.) CLM Reference'!$B$5</f>
        <v>1.1589011141840352E-3</v>
      </c>
      <c r="H692" s="40">
        <v>99367.682869440003</v>
      </c>
      <c r="I692" s="36">
        <f>[1]!Table3[[#This Row],[Residential CLM $ Collected]]/'[1]1.) CLM Reference'!$B$4</f>
        <v>8.8155446681607375E-4</v>
      </c>
      <c r="J692" s="41">
        <v>72712.240000000005</v>
      </c>
      <c r="K692" s="36">
        <f>[1]!Table3[[#This Row],[Residential Incentive Disbursements]]/'[1]1.) CLM Reference'!$B$5</f>
        <v>8.8960895867065833E-4</v>
      </c>
      <c r="L692" s="37">
        <v>107104.13389152</v>
      </c>
      <c r="M692" s="36">
        <f>[1]!Table3[[#This Row],[C&amp;I CLM $ Collected]]/'[1]1.) CLM Reference'!$B$4</f>
        <v>9.501894873667631E-4</v>
      </c>
      <c r="N692" s="41">
        <v>22010.61</v>
      </c>
      <c r="O692" s="36">
        <f>[1]!Table3[[#This Row],[C&amp;I Incentive Disbursements]]/'[1]1.) CLM Reference'!$B$5</f>
        <v>2.6929215551337683E-4</v>
      </c>
      <c r="Q692">
        <f>VLOOKUP(Table3[[#This Row],[Census Tract]],'Population and Diversity Data'!$B$2:$K$823,10,FALSE)</f>
        <v>4</v>
      </c>
      <c r="R692" t="str">
        <f>VLOOKUP(Table3[[#This Row],[Census Tract]],'ES Energy Burden'!$B$2:$E$914,4,FALSE)</f>
        <v>No</v>
      </c>
    </row>
    <row r="693" spans="1:18" x14ac:dyDescent="0.2">
      <c r="A693" s="100">
        <v>9001010202</v>
      </c>
      <c r="B693" s="38" t="s">
        <v>988</v>
      </c>
      <c r="C693" s="38" t="s">
        <v>944</v>
      </c>
      <c r="D693" s="40">
        <f>[1]!Table3[[#This Row],[Residential CLM $ Collected]]+[1]!Table3[[#This Row],[C&amp;I CLM $ Collected]]</f>
        <v>1173.3781824000002</v>
      </c>
      <c r="E693" s="36">
        <f>[1]!Table3[[#This Row],[CLM $ Collected ]]/'[1]1.) CLM Reference'!$B$4</f>
        <v>1.040979066924956E-5</v>
      </c>
      <c r="F693" s="40">
        <f>[1]!Table3[[#This Row],[Residential Incentive Disbursements]]+[1]!Table3[[#This Row],[C&amp;I Incentive Disbursements]]</f>
        <v>0</v>
      </c>
      <c r="G693" s="36">
        <f>[1]!Table3[[#This Row],[Incentive Disbursements]]/'[1]1.) CLM Reference'!$B$5</f>
        <v>0</v>
      </c>
      <c r="H693" s="40">
        <v>1173.3781824000002</v>
      </c>
      <c r="I693" s="36">
        <f>[1]!Table3[[#This Row],[Residential CLM $ Collected]]/'[1]1.) CLM Reference'!$B$4</f>
        <v>1.040979066924956E-5</v>
      </c>
      <c r="J693" s="41">
        <v>0</v>
      </c>
      <c r="K693" s="36">
        <f>[1]!Table3[[#This Row],[Residential Incentive Disbursements]]/'[1]1.) CLM Reference'!$B$5</f>
        <v>0</v>
      </c>
      <c r="L693" s="37">
        <v>0</v>
      </c>
      <c r="M693" s="36">
        <f>[1]!Table3[[#This Row],[C&amp;I CLM $ Collected]]/'[1]1.) CLM Reference'!$B$4</f>
        <v>0</v>
      </c>
      <c r="N693" s="41">
        <v>0</v>
      </c>
      <c r="O693" s="36">
        <f>[1]!Table3[[#This Row],[C&amp;I Incentive Disbursements]]/'[1]1.) CLM Reference'!$B$5</f>
        <v>0</v>
      </c>
      <c r="Q693">
        <f>VLOOKUP(Table3[[#This Row],[Census Tract]],'Population and Diversity Data'!$B$2:$K$823,10,FALSE)</f>
        <v>4</v>
      </c>
      <c r="R693" t="str">
        <f>VLOOKUP(Table3[[#This Row],[Census Tract]],'ES Energy Burden'!$B$2:$E$914,4,FALSE)</f>
        <v>No</v>
      </c>
    </row>
    <row r="694" spans="1:18" x14ac:dyDescent="0.2">
      <c r="A694" s="100">
        <v>9001020100</v>
      </c>
      <c r="B694" s="38" t="s">
        <v>988</v>
      </c>
      <c r="C694" s="38" t="s">
        <v>936</v>
      </c>
      <c r="D694" s="40">
        <f>[1]!Table3[[#This Row],[Residential CLM $ Collected]]+[1]!Table3[[#This Row],[C&amp;I CLM $ Collected]]</f>
        <v>150857.61861599999</v>
      </c>
      <c r="E694" s="36">
        <f>[1]!Table3[[#This Row],[CLM $ Collected ]]/'[1]1.) CLM Reference'!$B$4</f>
        <v>1.3383547216141295E-3</v>
      </c>
      <c r="F694" s="40">
        <f>[1]!Table3[[#This Row],[Residential Incentive Disbursements]]+[1]!Table3[[#This Row],[C&amp;I Incentive Disbursements]]</f>
        <v>883.96</v>
      </c>
      <c r="G694" s="36">
        <f>[1]!Table3[[#This Row],[Incentive Disbursements]]/'[1]1.) CLM Reference'!$B$5</f>
        <v>1.0814943056444349E-5</v>
      </c>
      <c r="H694" s="40">
        <v>150821.6672736</v>
      </c>
      <c r="I694" s="36">
        <f>[1]!Table3[[#This Row],[Residential CLM $ Collected]]/'[1]1.) CLM Reference'!$B$4</f>
        <v>1.3380357741901224E-3</v>
      </c>
      <c r="J694" s="41">
        <v>883.96</v>
      </c>
      <c r="K694" s="36">
        <f>[1]!Table3[[#This Row],[Residential Incentive Disbursements]]/'[1]1.) CLM Reference'!$B$5</f>
        <v>1.0814943056444349E-5</v>
      </c>
      <c r="L694" s="37">
        <v>35.951342400000001</v>
      </c>
      <c r="M694" s="36">
        <f>[1]!Table3[[#This Row],[C&amp;I CLM $ Collected]]/'[1]1.) CLM Reference'!$B$4</f>
        <v>3.1894742400701725E-7</v>
      </c>
      <c r="N694" s="41">
        <v>0</v>
      </c>
      <c r="O694" s="36">
        <f>[1]!Table3[[#This Row],[C&amp;I Incentive Disbursements]]/'[1]1.) CLM Reference'!$B$5</f>
        <v>0</v>
      </c>
      <c r="Q694">
        <f>VLOOKUP(Table3[[#This Row],[Census Tract]],'Population and Diversity Data'!$B$2:$K$823,10,FALSE)</f>
        <v>4</v>
      </c>
      <c r="R694" t="str">
        <f>VLOOKUP(Table3[[#This Row],[Census Tract]],'ES Energy Burden'!$B$2:$E$914,4,FALSE)</f>
        <v>No</v>
      </c>
    </row>
    <row r="695" spans="1:18" x14ac:dyDescent="0.2">
      <c r="A695" s="100">
        <v>9001020200</v>
      </c>
      <c r="B695" s="38" t="s">
        <v>988</v>
      </c>
      <c r="C695" s="38" t="s">
        <v>944</v>
      </c>
      <c r="D695" s="40">
        <f>[1]!Table3[[#This Row],[Residential CLM $ Collected]]+[1]!Table3[[#This Row],[C&amp;I CLM $ Collected]]</f>
        <v>117205.36007616</v>
      </c>
      <c r="E695" s="36">
        <f>[1]!Table3[[#This Row],[CLM $ Collected ]]/'[1]1.) CLM Reference'!$B$4</f>
        <v>1.039803945571338E-3</v>
      </c>
      <c r="F695" s="40">
        <f>[1]!Table3[[#This Row],[Residential Incentive Disbursements]]+[1]!Table3[[#This Row],[C&amp;I Incentive Disbursements]]</f>
        <v>29147.88</v>
      </c>
      <c r="G695" s="36">
        <f>[1]!Table3[[#This Row],[Incentive Disbursements]]/'[1]1.) CLM Reference'!$B$5</f>
        <v>3.5661417079514132E-4</v>
      </c>
      <c r="H695" s="40">
        <v>117012.98667456</v>
      </c>
      <c r="I695" s="36">
        <f>[1]!Table3[[#This Row],[Residential CLM $ Collected]]/'[1]1.) CLM Reference'!$B$4</f>
        <v>1.0380972777032757E-3</v>
      </c>
      <c r="J695" s="41">
        <v>29147.88</v>
      </c>
      <c r="K695" s="36">
        <f>[1]!Table3[[#This Row],[Residential Incentive Disbursements]]/'[1]1.) CLM Reference'!$B$5</f>
        <v>3.5661417079514132E-4</v>
      </c>
      <c r="L695" s="37">
        <v>192.37340159999999</v>
      </c>
      <c r="M695" s="36">
        <f>[1]!Table3[[#This Row],[C&amp;I CLM $ Collected]]/'[1]1.) CLM Reference'!$B$4</f>
        <v>1.7066678680623455E-6</v>
      </c>
      <c r="N695" s="41">
        <v>0</v>
      </c>
      <c r="O695" s="36">
        <f>[1]!Table3[[#This Row],[C&amp;I Incentive Disbursements]]/'[1]1.) CLM Reference'!$B$5</f>
        <v>0</v>
      </c>
      <c r="Q695">
        <f>VLOOKUP(Table3[[#This Row],[Census Tract]],'Population and Diversity Data'!$B$2:$K$823,10,FALSE)</f>
        <v>4</v>
      </c>
      <c r="R695" t="str">
        <f>VLOOKUP(Table3[[#This Row],[Census Tract]],'ES Energy Burden'!$B$2:$E$914,4,FALSE)</f>
        <v>No</v>
      </c>
    </row>
    <row r="696" spans="1:18" x14ac:dyDescent="0.2">
      <c r="A696" s="100">
        <v>9001020300</v>
      </c>
      <c r="B696" s="38" t="s">
        <v>988</v>
      </c>
      <c r="C696" s="38" t="s">
        <v>944</v>
      </c>
      <c r="D696" s="40">
        <f>[1]!Table3[[#This Row],[Residential CLM $ Collected]]+[1]!Table3[[#This Row],[C&amp;I CLM $ Collected]]</f>
        <v>1185603.40382112</v>
      </c>
      <c r="E696" s="36">
        <f>[1]!Table3[[#This Row],[CLM $ Collected ]]/'[1]1.) CLM Reference'!$B$4</f>
        <v>1.0518248451904752E-2</v>
      </c>
      <c r="F696" s="40">
        <f>[1]!Table3[[#This Row],[Residential Incentive Disbursements]]+[1]!Table3[[#This Row],[C&amp;I Incentive Disbursements]]</f>
        <v>1034688.0803</v>
      </c>
      <c r="G696" s="36">
        <f>[1]!Table3[[#This Row],[Incentive Disbursements]]/'[1]1.) CLM Reference'!$B$5</f>
        <v>1.2659048678250394E-2</v>
      </c>
      <c r="H696" s="40">
        <v>317290.93215551996</v>
      </c>
      <c r="I696" s="36">
        <f>[1]!Table3[[#This Row],[Residential CLM $ Collected]]/'[1]1.) CLM Reference'!$B$4</f>
        <v>2.8148914259120508E-3</v>
      </c>
      <c r="J696" s="41">
        <v>847186.2023</v>
      </c>
      <c r="K696" s="36">
        <f>[1]!Table3[[#This Row],[Residential Incentive Disbursements]]/'[1]1.) CLM Reference'!$B$5</f>
        <v>1.0365028435766147E-2</v>
      </c>
      <c r="L696" s="37">
        <v>868312.47166560008</v>
      </c>
      <c r="M696" s="36">
        <f>[1]!Table3[[#This Row],[C&amp;I CLM $ Collected]]/'[1]1.) CLM Reference'!$B$4</f>
        <v>7.7033570259927011E-3</v>
      </c>
      <c r="N696" s="41">
        <v>187501.878</v>
      </c>
      <c r="O696" s="36">
        <f>[1]!Table3[[#This Row],[C&amp;I Incentive Disbursements]]/'[1]1.) CLM Reference'!$B$5</f>
        <v>2.2940202424842474E-3</v>
      </c>
      <c r="Q696">
        <f>VLOOKUP(Table3[[#This Row],[Census Tract]],'Population and Diversity Data'!$B$2:$K$823,10,FALSE)</f>
        <v>3</v>
      </c>
      <c r="R696" t="str">
        <f>VLOOKUP(Table3[[#This Row],[Census Tract]],'ES Energy Burden'!$B$2:$E$914,4,FALSE)</f>
        <v>No</v>
      </c>
    </row>
    <row r="697" spans="1:18" x14ac:dyDescent="0.2">
      <c r="A697" s="100">
        <v>9001020400</v>
      </c>
      <c r="B697" s="38" t="s">
        <v>988</v>
      </c>
      <c r="C697" s="38" t="s">
        <v>944</v>
      </c>
      <c r="D697" s="40">
        <f>[1]!Table3[[#This Row],[Residential CLM $ Collected]]+[1]!Table3[[#This Row],[C&amp;I CLM $ Collected]]</f>
        <v>98807.302137599996</v>
      </c>
      <c r="E697" s="36">
        <f>[1]!Table3[[#This Row],[CLM $ Collected ]]/'[1]1.) CLM Reference'!$B$4</f>
        <v>8.7658296981618601E-4</v>
      </c>
      <c r="F697" s="40">
        <f>[1]!Table3[[#This Row],[Residential Incentive Disbursements]]+[1]!Table3[[#This Row],[C&amp;I Incentive Disbursements]]</f>
        <v>11006.608099999999</v>
      </c>
      <c r="G697" s="36">
        <f>[1]!Table3[[#This Row],[Incentive Disbursements]]/'[1]1.) CLM Reference'!$B$5</f>
        <v>1.3466202073181947E-4</v>
      </c>
      <c r="H697" s="40">
        <v>98807.302137599996</v>
      </c>
      <c r="I697" s="36">
        <f>[1]!Table3[[#This Row],[Residential CLM $ Collected]]/'[1]1.) CLM Reference'!$B$4</f>
        <v>8.7658296981618601E-4</v>
      </c>
      <c r="J697" s="41">
        <v>11006.608099999999</v>
      </c>
      <c r="K697" s="36">
        <f>[1]!Table3[[#This Row],[Residential Incentive Disbursements]]/'[1]1.) CLM Reference'!$B$5</f>
        <v>1.3466202073181947E-4</v>
      </c>
      <c r="L697" s="37">
        <v>0</v>
      </c>
      <c r="M697" s="36">
        <f>[1]!Table3[[#This Row],[C&amp;I CLM $ Collected]]/'[1]1.) CLM Reference'!$B$4</f>
        <v>0</v>
      </c>
      <c r="N697" s="41">
        <v>0</v>
      </c>
      <c r="O697" s="36">
        <f>[1]!Table3[[#This Row],[C&amp;I Incentive Disbursements]]/'[1]1.) CLM Reference'!$B$5</f>
        <v>0</v>
      </c>
      <c r="Q697">
        <f>VLOOKUP(Table3[[#This Row],[Census Tract]],'Population and Diversity Data'!$B$2:$K$823,10,FALSE)</f>
        <v>4</v>
      </c>
      <c r="R697" t="str">
        <f>VLOOKUP(Table3[[#This Row],[Census Tract]],'ES Energy Burden'!$B$2:$E$914,4,FALSE)</f>
        <v>No</v>
      </c>
    </row>
    <row r="698" spans="1:18" x14ac:dyDescent="0.2">
      <c r="A698" s="100">
        <v>9001020500</v>
      </c>
      <c r="B698" s="38" t="s">
        <v>988</v>
      </c>
      <c r="C698" s="38" t="s">
        <v>944</v>
      </c>
      <c r="D698" s="40">
        <f>[1]!Table3[[#This Row],[Residential CLM $ Collected]]+[1]!Table3[[#This Row],[C&amp;I CLM $ Collected]]</f>
        <v>134841.29239295999</v>
      </c>
      <c r="E698" s="36">
        <f>[1]!Table3[[#This Row],[CLM $ Collected ]]/'[1]1.) CLM Reference'!$B$4</f>
        <v>1.196263615973116E-3</v>
      </c>
      <c r="F698" s="40">
        <f>[1]!Table3[[#This Row],[Residential Incentive Disbursements]]+[1]!Table3[[#This Row],[C&amp;I Incentive Disbursements]]</f>
        <v>23276.3524</v>
      </c>
      <c r="G698" s="36">
        <f>[1]!Table3[[#This Row],[Incentive Disbursements]]/'[1]1.) CLM Reference'!$B$5</f>
        <v>2.8477807340573301E-4</v>
      </c>
      <c r="H698" s="40">
        <v>134841.29239295999</v>
      </c>
      <c r="I698" s="36">
        <f>[1]!Table3[[#This Row],[Residential CLM $ Collected]]/'[1]1.) CLM Reference'!$B$4</f>
        <v>1.196263615973116E-3</v>
      </c>
      <c r="J698" s="41">
        <v>23276.3524</v>
      </c>
      <c r="K698" s="36">
        <f>[1]!Table3[[#This Row],[Residential Incentive Disbursements]]/'[1]1.) CLM Reference'!$B$5</f>
        <v>2.8477807340573301E-4</v>
      </c>
      <c r="L698" s="37">
        <v>0</v>
      </c>
      <c r="M698" s="36">
        <f>[1]!Table3[[#This Row],[C&amp;I CLM $ Collected]]/'[1]1.) CLM Reference'!$B$4</f>
        <v>0</v>
      </c>
      <c r="N698" s="41">
        <v>0</v>
      </c>
      <c r="O698" s="36">
        <f>[1]!Table3[[#This Row],[C&amp;I Incentive Disbursements]]/'[1]1.) CLM Reference'!$B$5</f>
        <v>0</v>
      </c>
      <c r="Q698">
        <f>VLOOKUP(Table3[[#This Row],[Census Tract]],'Population and Diversity Data'!$B$2:$K$823,10,FALSE)</f>
        <v>3</v>
      </c>
      <c r="R698" t="str">
        <f>VLOOKUP(Table3[[#This Row],[Census Tract]],'ES Energy Burden'!$B$2:$E$914,4,FALSE)</f>
        <v>No</v>
      </c>
    </row>
    <row r="699" spans="1:18" x14ac:dyDescent="0.2">
      <c r="A699" s="100">
        <v>9001020600</v>
      </c>
      <c r="B699" s="38" t="s">
        <v>988</v>
      </c>
      <c r="C699" s="38" t="s">
        <v>944</v>
      </c>
      <c r="D699" s="40">
        <f>[1]!Table3[[#This Row],[Residential CLM $ Collected]]+[1]!Table3[[#This Row],[C&amp;I CLM $ Collected]]</f>
        <v>109788.85834560001</v>
      </c>
      <c r="E699" s="36">
        <f>[1]!Table3[[#This Row],[CLM $ Collected ]]/'[1]1.) CLM Reference'!$B$4</f>
        <v>9.7400740045802681E-4</v>
      </c>
      <c r="F699" s="40">
        <f>[1]!Table3[[#This Row],[Residential Incentive Disbursements]]+[1]!Table3[[#This Row],[C&amp;I Incentive Disbursements]]</f>
        <v>9380.7999999999993</v>
      </c>
      <c r="G699" s="36">
        <f>[1]!Table3[[#This Row],[Incentive Disbursements]]/'[1]1.) CLM Reference'!$B$5</f>
        <v>1.1477082427247063E-4</v>
      </c>
      <c r="H699" s="40">
        <v>109788.85834560001</v>
      </c>
      <c r="I699" s="36">
        <f>[1]!Table3[[#This Row],[Residential CLM $ Collected]]/'[1]1.) CLM Reference'!$B$4</f>
        <v>9.7400740045802681E-4</v>
      </c>
      <c r="J699" s="41">
        <v>9380.7999999999993</v>
      </c>
      <c r="K699" s="36">
        <f>[1]!Table3[[#This Row],[Residential Incentive Disbursements]]/'[1]1.) CLM Reference'!$B$5</f>
        <v>1.1477082427247063E-4</v>
      </c>
      <c r="L699" s="37">
        <v>0</v>
      </c>
      <c r="M699" s="36">
        <f>[1]!Table3[[#This Row],[C&amp;I CLM $ Collected]]/'[1]1.) CLM Reference'!$B$4</f>
        <v>0</v>
      </c>
      <c r="N699" s="41">
        <v>0</v>
      </c>
      <c r="O699" s="36">
        <f>[1]!Table3[[#This Row],[C&amp;I Incentive Disbursements]]/'[1]1.) CLM Reference'!$B$5</f>
        <v>0</v>
      </c>
      <c r="Q699">
        <f>VLOOKUP(Table3[[#This Row],[Census Tract]],'Population and Diversity Data'!$B$2:$K$823,10,FALSE)</f>
        <v>4</v>
      </c>
      <c r="R699" t="str">
        <f>VLOOKUP(Table3[[#This Row],[Census Tract]],'ES Energy Burden'!$B$2:$E$914,4,FALSE)</f>
        <v>No</v>
      </c>
    </row>
    <row r="700" spans="1:18" x14ac:dyDescent="0.2">
      <c r="A700" s="100">
        <v>9001020700</v>
      </c>
      <c r="B700" s="38" t="s">
        <v>988</v>
      </c>
      <c r="C700" s="38" t="s">
        <v>944</v>
      </c>
      <c r="D700" s="40">
        <f>[1]!Table3[[#This Row],[Residential CLM $ Collected]]+[1]!Table3[[#This Row],[C&amp;I CLM $ Collected]]</f>
        <v>93484.321084800002</v>
      </c>
      <c r="E700" s="36">
        <f>[1]!Table3[[#This Row],[CLM $ Collected ]]/'[1]1.) CLM Reference'!$B$4</f>
        <v>8.2935938979129321E-4</v>
      </c>
      <c r="F700" s="40">
        <f>[1]!Table3[[#This Row],[Residential Incentive Disbursements]]+[1]!Table3[[#This Row],[C&amp;I Incentive Disbursements]]</f>
        <v>7756.2</v>
      </c>
      <c r="G700" s="36">
        <f>[1]!Table3[[#This Row],[Incentive Disbursements]]/'[1]1.) CLM Reference'!$B$5</f>
        <v>9.4894408496304874E-5</v>
      </c>
      <c r="H700" s="40">
        <v>93484.321084800002</v>
      </c>
      <c r="I700" s="36">
        <f>[1]!Table3[[#This Row],[Residential CLM $ Collected]]/'[1]1.) CLM Reference'!$B$4</f>
        <v>8.2935938979129321E-4</v>
      </c>
      <c r="J700" s="41">
        <v>7756.2</v>
      </c>
      <c r="K700" s="36">
        <f>[1]!Table3[[#This Row],[Residential Incentive Disbursements]]/'[1]1.) CLM Reference'!$B$5</f>
        <v>9.4894408496304874E-5</v>
      </c>
      <c r="L700" s="37">
        <v>0</v>
      </c>
      <c r="M700" s="36">
        <f>[1]!Table3[[#This Row],[C&amp;I CLM $ Collected]]/'[1]1.) CLM Reference'!$B$4</f>
        <v>0</v>
      </c>
      <c r="N700" s="41">
        <v>0</v>
      </c>
      <c r="O700" s="36">
        <f>[1]!Table3[[#This Row],[C&amp;I Incentive Disbursements]]/'[1]1.) CLM Reference'!$B$5</f>
        <v>0</v>
      </c>
      <c r="Q700">
        <f>VLOOKUP(Table3[[#This Row],[Census Tract]],'Population and Diversity Data'!$B$2:$K$823,10,FALSE)</f>
        <v>3</v>
      </c>
      <c r="R700" t="str">
        <f>VLOOKUP(Table3[[#This Row],[Census Tract]],'ES Energy Burden'!$B$2:$E$914,4,FALSE)</f>
        <v>No</v>
      </c>
    </row>
    <row r="701" spans="1:18" x14ac:dyDescent="0.2">
      <c r="A701" s="100">
        <v>9001020800</v>
      </c>
      <c r="B701" s="38" t="s">
        <v>988</v>
      </c>
      <c r="C701" s="38" t="s">
        <v>944</v>
      </c>
      <c r="D701" s="40">
        <f>[1]!Table3[[#This Row],[Residential CLM $ Collected]]+[1]!Table3[[#This Row],[C&amp;I CLM $ Collected]]</f>
        <v>60746.351405759997</v>
      </c>
      <c r="E701" s="36">
        <f>[1]!Table3[[#This Row],[CLM $ Collected ]]/'[1]1.) CLM Reference'!$B$4</f>
        <v>5.3891985681992784E-4</v>
      </c>
      <c r="F701" s="40">
        <f>[1]!Table3[[#This Row],[Residential Incentive Disbursements]]+[1]!Table3[[#This Row],[C&amp;I Incentive Disbursements]]</f>
        <v>12748.1304</v>
      </c>
      <c r="G701" s="36">
        <f>[1]!Table3[[#This Row],[Incentive Disbursements]]/'[1]1.) CLM Reference'!$B$5</f>
        <v>1.5596894016938224E-4</v>
      </c>
      <c r="H701" s="40">
        <v>60746.351405759997</v>
      </c>
      <c r="I701" s="36">
        <f>[1]!Table3[[#This Row],[Residential CLM $ Collected]]/'[1]1.) CLM Reference'!$B$4</f>
        <v>5.3891985681992784E-4</v>
      </c>
      <c r="J701" s="41">
        <v>12748.1304</v>
      </c>
      <c r="K701" s="36">
        <f>[1]!Table3[[#This Row],[Residential Incentive Disbursements]]/'[1]1.) CLM Reference'!$B$5</f>
        <v>1.5596894016938224E-4</v>
      </c>
      <c r="L701" s="37">
        <v>0</v>
      </c>
      <c r="M701" s="36">
        <f>[1]!Table3[[#This Row],[C&amp;I CLM $ Collected]]/'[1]1.) CLM Reference'!$B$4</f>
        <v>0</v>
      </c>
      <c r="N701" s="41">
        <v>0</v>
      </c>
      <c r="O701" s="36">
        <f>[1]!Table3[[#This Row],[C&amp;I Incentive Disbursements]]/'[1]1.) CLM Reference'!$B$5</f>
        <v>0</v>
      </c>
      <c r="Q701">
        <f>VLOOKUP(Table3[[#This Row],[Census Tract]],'Population and Diversity Data'!$B$2:$K$823,10,FALSE)</f>
        <v>4</v>
      </c>
      <c r="R701" t="str">
        <f>VLOOKUP(Table3[[#This Row],[Census Tract]],'ES Energy Burden'!$B$2:$E$914,4,FALSE)</f>
        <v>No</v>
      </c>
    </row>
    <row r="702" spans="1:18" x14ac:dyDescent="0.2">
      <c r="A702" s="100">
        <v>9001020900</v>
      </c>
      <c r="B702" s="38" t="s">
        <v>988</v>
      </c>
      <c r="C702" s="38" t="s">
        <v>944</v>
      </c>
      <c r="D702" s="40">
        <f>[1]!Table3[[#This Row],[Residential CLM $ Collected]]+[1]!Table3[[#This Row],[C&amp;I CLM $ Collected]]</f>
        <v>109799.58904416001</v>
      </c>
      <c r="E702" s="36">
        <f>[1]!Table3[[#This Row],[CLM $ Collected ]]/'[1]1.) CLM Reference'!$B$4</f>
        <v>9.7410259936952864E-4</v>
      </c>
      <c r="F702" s="40">
        <f>[1]!Table3[[#This Row],[Residential Incentive Disbursements]]+[1]!Table3[[#This Row],[C&amp;I Incentive Disbursements]]</f>
        <v>8620.5794999999998</v>
      </c>
      <c r="G702" s="36">
        <f>[1]!Table3[[#This Row],[Incentive Disbursements]]/'[1]1.) CLM Reference'!$B$5</f>
        <v>1.0546979094761245E-4</v>
      </c>
      <c r="H702" s="40">
        <v>109799.58904416001</v>
      </c>
      <c r="I702" s="36">
        <f>[1]!Table3[[#This Row],[Residential CLM $ Collected]]/'[1]1.) CLM Reference'!$B$4</f>
        <v>9.7410259936952864E-4</v>
      </c>
      <c r="J702" s="41">
        <v>8620.5794999999998</v>
      </c>
      <c r="K702" s="36">
        <f>[1]!Table3[[#This Row],[Residential Incentive Disbursements]]/'[1]1.) CLM Reference'!$B$5</f>
        <v>1.0546979094761245E-4</v>
      </c>
      <c r="L702" s="37">
        <v>0</v>
      </c>
      <c r="M702" s="36">
        <f>[1]!Table3[[#This Row],[C&amp;I CLM $ Collected]]/'[1]1.) CLM Reference'!$B$4</f>
        <v>0</v>
      </c>
      <c r="N702" s="41">
        <v>0</v>
      </c>
      <c r="O702" s="36">
        <f>[1]!Table3[[#This Row],[C&amp;I Incentive Disbursements]]/'[1]1.) CLM Reference'!$B$5</f>
        <v>0</v>
      </c>
      <c r="Q702">
        <f>VLOOKUP(Table3[[#This Row],[Census Tract]],'Population and Diversity Data'!$B$2:$K$823,10,FALSE)</f>
        <v>4</v>
      </c>
      <c r="R702" t="str">
        <f>VLOOKUP(Table3[[#This Row],[Census Tract]],'ES Energy Burden'!$B$2:$E$914,4,FALSE)</f>
        <v>No</v>
      </c>
    </row>
    <row r="703" spans="1:18" x14ac:dyDescent="0.2">
      <c r="A703" s="100">
        <v>9001021000</v>
      </c>
      <c r="B703" s="38" t="s">
        <v>988</v>
      </c>
      <c r="C703" s="38" t="s">
        <v>944</v>
      </c>
      <c r="D703" s="40">
        <f>[1]!Table3[[#This Row],[Residential CLM $ Collected]]+[1]!Table3[[#This Row],[C&amp;I CLM $ Collected]]</f>
        <v>70717.539144959999</v>
      </c>
      <c r="E703" s="36">
        <f>[1]!Table3[[#This Row],[CLM $ Collected ]]/'[1]1.) CLM Reference'!$B$4</f>
        <v>6.2738066054524846E-4</v>
      </c>
      <c r="F703" s="40">
        <f>[1]!Table3[[#This Row],[Residential Incentive Disbursements]]+[1]!Table3[[#This Row],[C&amp;I Incentive Disbursements]]</f>
        <v>2774.1374000000001</v>
      </c>
      <c r="G703" s="36">
        <f>[1]!Table3[[#This Row],[Incentive Disbursements]]/'[1]1.) CLM Reference'!$B$5</f>
        <v>3.3940605923065049E-5</v>
      </c>
      <c r="H703" s="40">
        <v>70717.539144959999</v>
      </c>
      <c r="I703" s="36">
        <f>[1]!Table3[[#This Row],[Residential CLM $ Collected]]/'[1]1.) CLM Reference'!$B$4</f>
        <v>6.2738066054524846E-4</v>
      </c>
      <c r="J703" s="41">
        <v>2774.1374000000001</v>
      </c>
      <c r="K703" s="36">
        <f>[1]!Table3[[#This Row],[Residential Incentive Disbursements]]/'[1]1.) CLM Reference'!$B$5</f>
        <v>3.3940605923065049E-5</v>
      </c>
      <c r="L703" s="37">
        <v>0</v>
      </c>
      <c r="M703" s="36">
        <f>[1]!Table3[[#This Row],[C&amp;I CLM $ Collected]]/'[1]1.) CLM Reference'!$B$4</f>
        <v>0</v>
      </c>
      <c r="N703" s="41">
        <v>0</v>
      </c>
      <c r="O703" s="36">
        <f>[1]!Table3[[#This Row],[C&amp;I Incentive Disbursements]]/'[1]1.) CLM Reference'!$B$5</f>
        <v>0</v>
      </c>
      <c r="Q703">
        <f>VLOOKUP(Table3[[#This Row],[Census Tract]],'Population and Diversity Data'!$B$2:$K$823,10,FALSE)</f>
        <v>4</v>
      </c>
      <c r="R703" t="str">
        <f>VLOOKUP(Table3[[#This Row],[Census Tract]],'ES Energy Burden'!$B$2:$E$914,4,FALSE)</f>
        <v>No</v>
      </c>
    </row>
    <row r="704" spans="1:18" x14ac:dyDescent="0.2">
      <c r="A704" s="100">
        <v>9001021100</v>
      </c>
      <c r="B704" s="38" t="s">
        <v>988</v>
      </c>
      <c r="C704" s="38" t="s">
        <v>944</v>
      </c>
      <c r="D704" s="40">
        <f>[1]!Table3[[#This Row],[Residential CLM $ Collected]]+[1]!Table3[[#This Row],[C&amp;I CLM $ Collected]]</f>
        <v>115220.04017471999</v>
      </c>
      <c r="E704" s="36">
        <f>[1]!Table3[[#This Row],[CLM $ Collected ]]/'[1]1.) CLM Reference'!$B$4</f>
        <v>1.0221908989888505E-3</v>
      </c>
      <c r="F704" s="40">
        <f>[1]!Table3[[#This Row],[Residential Incentive Disbursements]]+[1]!Table3[[#This Row],[C&amp;I Incentive Disbursements]]</f>
        <v>8369.6</v>
      </c>
      <c r="G704" s="36">
        <f>[1]!Table3[[#This Row],[Incentive Disbursements]]/'[1]1.) CLM Reference'!$B$5</f>
        <v>1.0239914408481903E-4</v>
      </c>
      <c r="H704" s="40">
        <v>115220.04017471999</v>
      </c>
      <c r="I704" s="36">
        <f>[1]!Table3[[#This Row],[Residential CLM $ Collected]]/'[1]1.) CLM Reference'!$B$4</f>
        <v>1.0221908989888505E-3</v>
      </c>
      <c r="J704" s="41">
        <v>8369.6</v>
      </c>
      <c r="K704" s="36">
        <f>[1]!Table3[[#This Row],[Residential Incentive Disbursements]]/'[1]1.) CLM Reference'!$B$5</f>
        <v>1.0239914408481903E-4</v>
      </c>
      <c r="L704" s="37">
        <v>0</v>
      </c>
      <c r="M704" s="36">
        <f>[1]!Table3[[#This Row],[C&amp;I CLM $ Collected]]/'[1]1.) CLM Reference'!$B$4</f>
        <v>0</v>
      </c>
      <c r="N704" s="41">
        <v>0</v>
      </c>
      <c r="O704" s="36">
        <f>[1]!Table3[[#This Row],[C&amp;I Incentive Disbursements]]/'[1]1.) CLM Reference'!$B$5</f>
        <v>0</v>
      </c>
      <c r="Q704">
        <f>VLOOKUP(Table3[[#This Row],[Census Tract]],'Population and Diversity Data'!$B$2:$K$823,10,FALSE)</f>
        <v>4</v>
      </c>
      <c r="R704" t="str">
        <f>VLOOKUP(Table3[[#This Row],[Census Tract]],'ES Energy Burden'!$B$2:$E$914,4,FALSE)</f>
        <v>No</v>
      </c>
    </row>
    <row r="705" spans="1:18" x14ac:dyDescent="0.2">
      <c r="A705" s="100">
        <v>9001021200</v>
      </c>
      <c r="B705" s="38" t="s">
        <v>988</v>
      </c>
      <c r="C705" s="38" t="s">
        <v>944</v>
      </c>
      <c r="D705" s="40">
        <f>[1]!Table3[[#This Row],[Residential CLM $ Collected]]+[1]!Table3[[#This Row],[C&amp;I CLM $ Collected]]</f>
        <v>111285.65852063999</v>
      </c>
      <c r="E705" s="36">
        <f>[1]!Table3[[#This Row],[CLM $ Collected ]]/'[1]1.) CLM Reference'!$B$4</f>
        <v>9.8728647512429731E-4</v>
      </c>
      <c r="F705" s="40">
        <f>[1]!Table3[[#This Row],[Residential Incentive Disbursements]]+[1]!Table3[[#This Row],[C&amp;I Incentive Disbursements]]</f>
        <v>23460</v>
      </c>
      <c r="G705" s="36">
        <f>[1]!Table3[[#This Row],[Incentive Disbursements]]/'[1]1.) CLM Reference'!$B$5</f>
        <v>2.8702493789785105E-4</v>
      </c>
      <c r="H705" s="40">
        <v>111285.65852063999</v>
      </c>
      <c r="I705" s="36">
        <f>[1]!Table3[[#This Row],[Residential CLM $ Collected]]/'[1]1.) CLM Reference'!$B$4</f>
        <v>9.8728647512429731E-4</v>
      </c>
      <c r="J705" s="41">
        <v>23460</v>
      </c>
      <c r="K705" s="36">
        <f>[1]!Table3[[#This Row],[Residential Incentive Disbursements]]/'[1]1.) CLM Reference'!$B$5</f>
        <v>2.8702493789785105E-4</v>
      </c>
      <c r="L705" s="37">
        <v>0</v>
      </c>
      <c r="M705" s="36">
        <f>[1]!Table3[[#This Row],[C&amp;I CLM $ Collected]]/'[1]1.) CLM Reference'!$B$4</f>
        <v>0</v>
      </c>
      <c r="N705" s="41">
        <v>0</v>
      </c>
      <c r="O705" s="36">
        <f>[1]!Table3[[#This Row],[C&amp;I Incentive Disbursements]]/'[1]1.) CLM Reference'!$B$5</f>
        <v>0</v>
      </c>
      <c r="Q705">
        <f>VLOOKUP(Table3[[#This Row],[Census Tract]],'Population and Diversity Data'!$B$2:$K$823,10,FALSE)</f>
        <v>4</v>
      </c>
      <c r="R705" t="str">
        <f>VLOOKUP(Table3[[#This Row],[Census Tract]],'ES Energy Burden'!$B$2:$E$914,4,FALSE)</f>
        <v>No</v>
      </c>
    </row>
    <row r="706" spans="1:18" x14ac:dyDescent="0.2">
      <c r="A706" s="100">
        <v>9001021300</v>
      </c>
      <c r="B706" s="38" t="s">
        <v>988</v>
      </c>
      <c r="C706" s="38" t="s">
        <v>944</v>
      </c>
      <c r="D706" s="40">
        <f>[1]!Table3[[#This Row],[Residential CLM $ Collected]]+[1]!Table3[[#This Row],[C&amp;I CLM $ Collected]]</f>
        <v>74577.157868159993</v>
      </c>
      <c r="E706" s="36">
        <f>[1]!Table3[[#This Row],[CLM $ Collected ]]/'[1]1.) CLM Reference'!$B$4</f>
        <v>6.6162181448374199E-4</v>
      </c>
      <c r="F706" s="40">
        <f>[1]!Table3[[#This Row],[Residential Incentive Disbursements]]+[1]!Table3[[#This Row],[C&amp;I Incentive Disbursements]]</f>
        <v>8945.08</v>
      </c>
      <c r="G706" s="36">
        <f>[1]!Table3[[#This Row],[Incentive Disbursements]]/'[1]1.) CLM Reference'!$B$5</f>
        <v>1.0943994166629623E-4</v>
      </c>
      <c r="H706" s="40">
        <v>74577.157868159993</v>
      </c>
      <c r="I706" s="36">
        <f>[1]!Table3[[#This Row],[Residential CLM $ Collected]]/'[1]1.) CLM Reference'!$B$4</f>
        <v>6.6162181448374199E-4</v>
      </c>
      <c r="J706" s="41">
        <v>8945.08</v>
      </c>
      <c r="K706" s="36">
        <f>[1]!Table3[[#This Row],[Residential Incentive Disbursements]]/'[1]1.) CLM Reference'!$B$5</f>
        <v>1.0943994166629623E-4</v>
      </c>
      <c r="L706" s="37">
        <v>0</v>
      </c>
      <c r="M706" s="36">
        <f>[1]!Table3[[#This Row],[C&amp;I CLM $ Collected]]/'[1]1.) CLM Reference'!$B$4</f>
        <v>0</v>
      </c>
      <c r="N706" s="41">
        <v>0</v>
      </c>
      <c r="O706" s="36">
        <f>[1]!Table3[[#This Row],[C&amp;I Incentive Disbursements]]/'[1]1.) CLM Reference'!$B$5</f>
        <v>0</v>
      </c>
      <c r="Q706">
        <f>VLOOKUP(Table3[[#This Row],[Census Tract]],'Population and Diversity Data'!$B$2:$K$823,10,FALSE)</f>
        <v>4</v>
      </c>
      <c r="R706" t="str">
        <f>VLOOKUP(Table3[[#This Row],[Census Tract]],'ES Energy Burden'!$B$2:$E$914,4,FALSE)</f>
        <v>No</v>
      </c>
    </row>
    <row r="707" spans="1:18" x14ac:dyDescent="0.2">
      <c r="A707" s="100">
        <v>9001021400</v>
      </c>
      <c r="B707" s="38" t="s">
        <v>988</v>
      </c>
      <c r="C707" s="38" t="s">
        <v>944</v>
      </c>
      <c r="D707" s="40">
        <f>[1]!Table3[[#This Row],[Residential CLM $ Collected]]+[1]!Table3[[#This Row],[C&amp;I CLM $ Collected]]</f>
        <v>89294.912110079997</v>
      </c>
      <c r="E707" s="36">
        <f>[1]!Table3[[#This Row],[CLM $ Collected ]]/'[1]1.) CLM Reference'!$B$4</f>
        <v>7.9219245494552173E-4</v>
      </c>
      <c r="F707" s="40">
        <f>[1]!Table3[[#This Row],[Residential Incentive Disbursements]]+[1]!Table3[[#This Row],[C&amp;I Incentive Disbursements]]</f>
        <v>4610.05</v>
      </c>
      <c r="G707" s="36">
        <f>[1]!Table3[[#This Row],[Incentive Disbursements]]/'[1]1.) CLM Reference'!$B$5</f>
        <v>5.6402357841261227E-5</v>
      </c>
      <c r="H707" s="40">
        <v>89294.912110079997</v>
      </c>
      <c r="I707" s="36">
        <f>[1]!Table3[[#This Row],[Residential CLM $ Collected]]/'[1]1.) CLM Reference'!$B$4</f>
        <v>7.9219245494552173E-4</v>
      </c>
      <c r="J707" s="41">
        <v>4610.05</v>
      </c>
      <c r="K707" s="36">
        <f>[1]!Table3[[#This Row],[Residential Incentive Disbursements]]/'[1]1.) CLM Reference'!$B$5</f>
        <v>5.6402357841261227E-5</v>
      </c>
      <c r="L707" s="37">
        <v>0</v>
      </c>
      <c r="M707" s="36">
        <f>[1]!Table3[[#This Row],[C&amp;I CLM $ Collected]]/'[1]1.) CLM Reference'!$B$4</f>
        <v>0</v>
      </c>
      <c r="N707" s="41">
        <v>0</v>
      </c>
      <c r="O707" s="36">
        <f>[1]!Table3[[#This Row],[C&amp;I Incentive Disbursements]]/'[1]1.) CLM Reference'!$B$5</f>
        <v>0</v>
      </c>
      <c r="Q707">
        <f>VLOOKUP(Table3[[#This Row],[Census Tract]],'Population and Diversity Data'!$B$2:$K$823,10,FALSE)</f>
        <v>4</v>
      </c>
      <c r="R707" t="str">
        <f>VLOOKUP(Table3[[#This Row],[Census Tract]],'ES Energy Burden'!$B$2:$E$914,4,FALSE)</f>
        <v>No</v>
      </c>
    </row>
    <row r="708" spans="1:18" x14ac:dyDescent="0.2">
      <c r="A708" s="100">
        <v>9001021500</v>
      </c>
      <c r="B708" s="38" t="s">
        <v>988</v>
      </c>
      <c r="C708" s="38" t="s">
        <v>944</v>
      </c>
      <c r="D708" s="40">
        <f>[1]!Table3[[#This Row],[Residential CLM $ Collected]]+[1]!Table3[[#This Row],[C&amp;I CLM $ Collected]]</f>
        <v>65226.474495360002</v>
      </c>
      <c r="E708" s="36">
        <f>[1]!Table3[[#This Row],[CLM $ Collected ]]/'[1]1.) CLM Reference'!$B$4</f>
        <v>5.7866590309446923E-4</v>
      </c>
      <c r="F708" s="40">
        <f>[1]!Table3[[#This Row],[Residential Incentive Disbursements]]+[1]!Table3[[#This Row],[C&amp;I Incentive Disbursements]]</f>
        <v>403</v>
      </c>
      <c r="G708" s="36">
        <f>[1]!Table3[[#This Row],[Incentive Disbursements]]/'[1]1.) CLM Reference'!$B$5</f>
        <v>4.9305647899758734E-6</v>
      </c>
      <c r="H708" s="40">
        <v>65225.455666560003</v>
      </c>
      <c r="I708" s="36">
        <f>[1]!Table3[[#This Row],[Residential CLM $ Collected]]/'[1]1.) CLM Reference'!$B$4</f>
        <v>5.7865686441052665E-4</v>
      </c>
      <c r="J708" s="41">
        <v>403</v>
      </c>
      <c r="K708" s="36">
        <f>[1]!Table3[[#This Row],[Residential Incentive Disbursements]]/'[1]1.) CLM Reference'!$B$5</f>
        <v>4.9305647899758734E-6</v>
      </c>
      <c r="L708" s="37">
        <v>1.0188288000000001</v>
      </c>
      <c r="M708" s="36">
        <f>[1]!Table3[[#This Row],[C&amp;I CLM $ Collected]]/'[1]1.) CLM Reference'!$B$4</f>
        <v>9.0386839425545507E-9</v>
      </c>
      <c r="N708" s="41">
        <v>0</v>
      </c>
      <c r="O708" s="36">
        <f>[1]!Table3[[#This Row],[C&amp;I Incentive Disbursements]]/'[1]1.) CLM Reference'!$B$5</f>
        <v>0</v>
      </c>
      <c r="Q708">
        <f>VLOOKUP(Table3[[#This Row],[Census Tract]],'Population and Diversity Data'!$B$2:$K$823,10,FALSE)</f>
        <v>5</v>
      </c>
      <c r="R708" t="str">
        <f>VLOOKUP(Table3[[#This Row],[Census Tract]],'ES Energy Burden'!$B$2:$E$914,4,FALSE)</f>
        <v>No</v>
      </c>
    </row>
    <row r="709" spans="1:18" x14ac:dyDescent="0.2">
      <c r="A709" s="100">
        <v>9001021600</v>
      </c>
      <c r="B709" s="38" t="s">
        <v>988</v>
      </c>
      <c r="C709" s="38" t="s">
        <v>944</v>
      </c>
      <c r="D709" s="40">
        <f>[1]!Table3[[#This Row],[Residential CLM $ Collected]]+[1]!Table3[[#This Row],[C&amp;I CLM $ Collected]]</f>
        <v>103228.87383072</v>
      </c>
      <c r="E709" s="36">
        <f>[1]!Table3[[#This Row],[CLM $ Collected ]]/'[1]1.) CLM Reference'!$B$4</f>
        <v>9.1580956908728778E-4</v>
      </c>
      <c r="F709" s="40">
        <f>[1]!Table3[[#This Row],[Residential Incentive Disbursements]]+[1]!Table3[[#This Row],[C&amp;I Incentive Disbursements]]</f>
        <v>6524.6980000000003</v>
      </c>
      <c r="G709" s="36">
        <f>[1]!Table3[[#This Row],[Incentive Disbursements]]/'[1]1.) CLM Reference'!$B$5</f>
        <v>7.9827409985176186E-5</v>
      </c>
      <c r="H709" s="40">
        <v>103216.67104032</v>
      </c>
      <c r="I709" s="36">
        <f>[1]!Table3[[#This Row],[Residential CLM $ Collected]]/'[1]1.) CLM Reference'!$B$4</f>
        <v>9.1570131030461219E-4</v>
      </c>
      <c r="J709" s="41">
        <v>6524.6980000000003</v>
      </c>
      <c r="K709" s="36">
        <f>[1]!Table3[[#This Row],[Residential Incentive Disbursements]]/'[1]1.) CLM Reference'!$B$5</f>
        <v>7.9827409985176186E-5</v>
      </c>
      <c r="L709" s="37">
        <v>12.2027904</v>
      </c>
      <c r="M709" s="36">
        <f>[1]!Table3[[#This Row],[C&amp;I CLM $ Collected]]/'[1]1.) CLM Reference'!$B$4</f>
        <v>1.0825878267559654E-7</v>
      </c>
      <c r="N709" s="41">
        <v>0</v>
      </c>
      <c r="O709" s="36">
        <f>[1]!Table3[[#This Row],[C&amp;I Incentive Disbursements]]/'[1]1.) CLM Reference'!$B$5</f>
        <v>0</v>
      </c>
      <c r="Q709">
        <f>VLOOKUP(Table3[[#This Row],[Census Tract]],'Population and Diversity Data'!$B$2:$K$823,10,FALSE)</f>
        <v>5</v>
      </c>
      <c r="R709" t="str">
        <f>VLOOKUP(Table3[[#This Row],[Census Tract]],'ES Energy Burden'!$B$2:$E$914,4,FALSE)</f>
        <v>No</v>
      </c>
    </row>
    <row r="710" spans="1:18" x14ac:dyDescent="0.2">
      <c r="A710" s="100">
        <v>9001021700</v>
      </c>
      <c r="B710" s="38" t="s">
        <v>988</v>
      </c>
      <c r="C710" s="38" t="s">
        <v>944</v>
      </c>
      <c r="D710" s="40">
        <f>[1]!Table3[[#This Row],[Residential CLM $ Collected]]+[1]!Table3[[#This Row],[C&amp;I CLM $ Collected]]</f>
        <v>111040.17635231998</v>
      </c>
      <c r="E710" s="36">
        <f>[1]!Table3[[#This Row],[CLM $ Collected ]]/'[1]1.) CLM Reference'!$B$4</f>
        <v>9.8510864531326566E-4</v>
      </c>
      <c r="F710" s="40">
        <f>[1]!Table3[[#This Row],[Residential Incentive Disbursements]]+[1]!Table3[[#This Row],[C&amp;I Incentive Disbursements]]</f>
        <v>10284.4203</v>
      </c>
      <c r="G710" s="36">
        <f>[1]!Table3[[#This Row],[Incentive Disbursements]]/'[1]1.) CLM Reference'!$B$5</f>
        <v>1.2582630425928809E-4</v>
      </c>
      <c r="H710" s="40">
        <v>111040.17635231998</v>
      </c>
      <c r="I710" s="36">
        <f>[1]!Table3[[#This Row],[Residential CLM $ Collected]]/'[1]1.) CLM Reference'!$B$4</f>
        <v>9.8510864531326566E-4</v>
      </c>
      <c r="J710" s="41">
        <v>10284.4203</v>
      </c>
      <c r="K710" s="36">
        <f>[1]!Table3[[#This Row],[Residential Incentive Disbursements]]/'[1]1.) CLM Reference'!$B$5</f>
        <v>1.2582630425928809E-4</v>
      </c>
      <c r="L710" s="37">
        <v>0</v>
      </c>
      <c r="M710" s="36">
        <f>[1]!Table3[[#This Row],[C&amp;I CLM $ Collected]]/'[1]1.) CLM Reference'!$B$4</f>
        <v>0</v>
      </c>
      <c r="N710" s="41">
        <v>0</v>
      </c>
      <c r="O710" s="36">
        <f>[1]!Table3[[#This Row],[C&amp;I Incentive Disbursements]]/'[1]1.) CLM Reference'!$B$5</f>
        <v>0</v>
      </c>
      <c r="Q710">
        <f>VLOOKUP(Table3[[#This Row],[Census Tract]],'Population and Diversity Data'!$B$2:$K$823,10,FALSE)</f>
        <v>5</v>
      </c>
      <c r="R710" t="str">
        <f>VLOOKUP(Table3[[#This Row],[Census Tract]],'ES Energy Burden'!$B$2:$E$914,4,FALSE)</f>
        <v>No</v>
      </c>
    </row>
    <row r="711" spans="1:18" x14ac:dyDescent="0.2">
      <c r="A711" s="100">
        <v>9001021801</v>
      </c>
      <c r="B711" s="38" t="s">
        <v>988</v>
      </c>
      <c r="C711" s="38" t="s">
        <v>944</v>
      </c>
      <c r="D711" s="40">
        <f>[1]!Table3[[#This Row],[Residential CLM $ Collected]]+[1]!Table3[[#This Row],[C&amp;I CLM $ Collected]]</f>
        <v>63583.488017279997</v>
      </c>
      <c r="E711" s="36">
        <f>[1]!Table3[[#This Row],[CLM $ Collected ]]/'[1]1.) CLM Reference'!$B$4</f>
        <v>5.6408991594407063E-4</v>
      </c>
      <c r="F711" s="40">
        <f>[1]!Table3[[#This Row],[Residential Incentive Disbursements]]+[1]!Table3[[#This Row],[C&amp;I Incentive Disbursements]]</f>
        <v>9221.6200000000008</v>
      </c>
      <c r="G711" s="36">
        <f>[1]!Table3[[#This Row],[Incentive Disbursements]]/'[1]1.) CLM Reference'!$B$5</f>
        <v>1.128233123536906E-4</v>
      </c>
      <c r="H711" s="40">
        <v>63583.488017279997</v>
      </c>
      <c r="I711" s="36">
        <f>[1]!Table3[[#This Row],[Residential CLM $ Collected]]/'[1]1.) CLM Reference'!$B$4</f>
        <v>5.6408991594407063E-4</v>
      </c>
      <c r="J711" s="41">
        <v>9221.6200000000008</v>
      </c>
      <c r="K711" s="36">
        <f>[1]!Table3[[#This Row],[Residential Incentive Disbursements]]/'[1]1.) CLM Reference'!$B$5</f>
        <v>1.128233123536906E-4</v>
      </c>
      <c r="L711" s="37">
        <v>0</v>
      </c>
      <c r="M711" s="36">
        <f>[1]!Table3[[#This Row],[C&amp;I CLM $ Collected]]/'[1]1.) CLM Reference'!$B$4</f>
        <v>0</v>
      </c>
      <c r="N711" s="41">
        <v>0</v>
      </c>
      <c r="O711" s="36">
        <f>[1]!Table3[[#This Row],[C&amp;I Incentive Disbursements]]/'[1]1.) CLM Reference'!$B$5</f>
        <v>0</v>
      </c>
      <c r="Q711">
        <f>VLOOKUP(Table3[[#This Row],[Census Tract]],'Population and Diversity Data'!$B$2:$K$823,10,FALSE)</f>
        <v>5</v>
      </c>
      <c r="R711" t="str">
        <f>VLOOKUP(Table3[[#This Row],[Census Tract]],'ES Energy Burden'!$B$2:$E$914,4,FALSE)</f>
        <v>No</v>
      </c>
    </row>
    <row r="712" spans="1:18" x14ac:dyDescent="0.2">
      <c r="A712" s="100">
        <v>9001021802</v>
      </c>
      <c r="B712" s="38" t="s">
        <v>988</v>
      </c>
      <c r="C712" s="38" t="s">
        <v>944</v>
      </c>
      <c r="D712" s="40">
        <f>[1]!Table3[[#This Row],[Residential CLM $ Collected]]+[1]!Table3[[#This Row],[C&amp;I CLM $ Collected]]</f>
        <v>76084.431719040003</v>
      </c>
      <c r="E712" s="36">
        <f>[1]!Table3[[#This Row],[CLM $ Collected ]]/'[1]1.) CLM Reference'!$B$4</f>
        <v>6.7499380784806528E-4</v>
      </c>
      <c r="F712" s="40">
        <f>[1]!Table3[[#This Row],[Residential Incentive Disbursements]]+[1]!Table3[[#This Row],[C&amp;I Incentive Disbursements]]</f>
        <v>9793.5617999999995</v>
      </c>
      <c r="G712" s="36">
        <f>[1]!Table3[[#This Row],[Incentive Disbursements]]/'[1]1.) CLM Reference'!$B$5</f>
        <v>1.198208212891631E-4</v>
      </c>
      <c r="H712" s="40">
        <v>76084.431719040003</v>
      </c>
      <c r="I712" s="36">
        <f>[1]!Table3[[#This Row],[Residential CLM $ Collected]]/'[1]1.) CLM Reference'!$B$4</f>
        <v>6.7499380784806528E-4</v>
      </c>
      <c r="J712" s="41">
        <v>9793.5617999999995</v>
      </c>
      <c r="K712" s="36">
        <f>[1]!Table3[[#This Row],[Residential Incentive Disbursements]]/'[1]1.) CLM Reference'!$B$5</f>
        <v>1.198208212891631E-4</v>
      </c>
      <c r="L712" s="37">
        <v>0</v>
      </c>
      <c r="M712" s="36">
        <f>[1]!Table3[[#This Row],[C&amp;I CLM $ Collected]]/'[1]1.) CLM Reference'!$B$4</f>
        <v>0</v>
      </c>
      <c r="N712" s="41">
        <v>0</v>
      </c>
      <c r="O712" s="36">
        <f>[1]!Table3[[#This Row],[C&amp;I Incentive Disbursements]]/'[1]1.) CLM Reference'!$B$5</f>
        <v>0</v>
      </c>
      <c r="Q712">
        <f>VLOOKUP(Table3[[#This Row],[Census Tract]],'Population and Diversity Data'!$B$2:$K$823,10,FALSE)</f>
        <v>5</v>
      </c>
      <c r="R712" t="str">
        <f>VLOOKUP(Table3[[#This Row],[Census Tract]],'ES Energy Burden'!$B$2:$E$914,4,FALSE)</f>
        <v>No</v>
      </c>
    </row>
    <row r="713" spans="1:18" x14ac:dyDescent="0.2">
      <c r="A713" s="100">
        <v>9001021900</v>
      </c>
      <c r="B713" s="38" t="s">
        <v>988</v>
      </c>
      <c r="C713" s="38" t="s">
        <v>944</v>
      </c>
      <c r="D713" s="40">
        <f>[1]!Table3[[#This Row],[Residential CLM $ Collected]]+[1]!Table3[[#This Row],[C&amp;I CLM $ Collected]]</f>
        <v>117333.27924191998</v>
      </c>
      <c r="E713" s="36">
        <f>[1]!Table3[[#This Row],[CLM $ Collected ]]/'[1]1.) CLM Reference'!$B$4</f>
        <v>1.0409387985608684E-3</v>
      </c>
      <c r="F713" s="40">
        <f>[1]!Table3[[#This Row],[Residential Incentive Disbursements]]+[1]!Table3[[#This Row],[C&amp;I Incentive Disbursements]]</f>
        <v>10290.35</v>
      </c>
      <c r="G713" s="36">
        <f>[1]!Table3[[#This Row],[Incentive Disbursements]]/'[1]1.) CLM Reference'!$B$5</f>
        <v>1.2589885207575242E-4</v>
      </c>
      <c r="H713" s="40">
        <v>117333.27924191998</v>
      </c>
      <c r="I713" s="36">
        <f>[1]!Table3[[#This Row],[Residential CLM $ Collected]]/'[1]1.) CLM Reference'!$B$4</f>
        <v>1.0409387985608684E-3</v>
      </c>
      <c r="J713" s="41">
        <v>10290.35</v>
      </c>
      <c r="K713" s="36">
        <f>[1]!Table3[[#This Row],[Residential Incentive Disbursements]]/'[1]1.) CLM Reference'!$B$5</f>
        <v>1.2589885207575242E-4</v>
      </c>
      <c r="L713" s="37">
        <v>0</v>
      </c>
      <c r="M713" s="36">
        <f>[1]!Table3[[#This Row],[C&amp;I CLM $ Collected]]/'[1]1.) CLM Reference'!$B$4</f>
        <v>0</v>
      </c>
      <c r="N713" s="41">
        <v>0</v>
      </c>
      <c r="O713" s="36">
        <f>[1]!Table3[[#This Row],[C&amp;I Incentive Disbursements]]/'[1]1.) CLM Reference'!$B$5</f>
        <v>0</v>
      </c>
      <c r="Q713">
        <f>VLOOKUP(Table3[[#This Row],[Census Tract]],'Population and Diversity Data'!$B$2:$K$823,10,FALSE)</f>
        <v>4</v>
      </c>
      <c r="R713" t="str">
        <f>VLOOKUP(Table3[[#This Row],[Census Tract]],'ES Energy Burden'!$B$2:$E$914,4,FALSE)</f>
        <v>No</v>
      </c>
    </row>
    <row r="714" spans="1:18" x14ac:dyDescent="0.2">
      <c r="A714" s="100">
        <v>9001022000</v>
      </c>
      <c r="B714" s="38" t="s">
        <v>988</v>
      </c>
      <c r="C714" s="38" t="s">
        <v>944</v>
      </c>
      <c r="D714" s="40">
        <f>[1]!Table3[[#This Row],[Residential CLM $ Collected]]+[1]!Table3[[#This Row],[C&amp;I CLM $ Collected]]</f>
        <v>37835.245998719998</v>
      </c>
      <c r="E714" s="36">
        <f>[1]!Table3[[#This Row],[CLM $ Collected ]]/'[1]1.) CLM Reference'!$B$4</f>
        <v>3.3566074150164556E-4</v>
      </c>
      <c r="F714" s="40">
        <f>[1]!Table3[[#This Row],[Residential Incentive Disbursements]]+[1]!Table3[[#This Row],[C&amp;I Incentive Disbursements]]</f>
        <v>6324.97</v>
      </c>
      <c r="G714" s="36">
        <f>[1]!Table3[[#This Row],[Incentive Disbursements]]/'[1]1.) CLM Reference'!$B$5</f>
        <v>7.738380739368163E-5</v>
      </c>
      <c r="H714" s="40">
        <v>37835.245998719998</v>
      </c>
      <c r="I714" s="36">
        <f>[1]!Table3[[#This Row],[Residential CLM $ Collected]]/'[1]1.) CLM Reference'!$B$4</f>
        <v>3.3566074150164556E-4</v>
      </c>
      <c r="J714" s="41">
        <v>6324.97</v>
      </c>
      <c r="K714" s="36">
        <f>[1]!Table3[[#This Row],[Residential Incentive Disbursements]]/'[1]1.) CLM Reference'!$B$5</f>
        <v>7.738380739368163E-5</v>
      </c>
      <c r="L714" s="37">
        <v>0</v>
      </c>
      <c r="M714" s="36">
        <f>[1]!Table3[[#This Row],[C&amp;I CLM $ Collected]]/'[1]1.) CLM Reference'!$B$4</f>
        <v>0</v>
      </c>
      <c r="N714" s="41">
        <v>0</v>
      </c>
      <c r="O714" s="36">
        <f>[1]!Table3[[#This Row],[C&amp;I Incentive Disbursements]]/'[1]1.) CLM Reference'!$B$5</f>
        <v>0</v>
      </c>
      <c r="Q714">
        <f>VLOOKUP(Table3[[#This Row],[Census Tract]],'Population and Diversity Data'!$B$2:$K$823,10,FALSE)</f>
        <v>4</v>
      </c>
      <c r="R714" t="str">
        <f>VLOOKUP(Table3[[#This Row],[Census Tract]],'ES Energy Burden'!$B$2:$E$914,4,FALSE)</f>
        <v>No</v>
      </c>
    </row>
    <row r="715" spans="1:18" x14ac:dyDescent="0.2">
      <c r="A715" s="100">
        <v>9001022100</v>
      </c>
      <c r="B715" s="38" t="s">
        <v>988</v>
      </c>
      <c r="C715" s="38" t="s">
        <v>944</v>
      </c>
      <c r="D715" s="40">
        <f>[1]!Table3[[#This Row],[Residential CLM $ Collected]]+[1]!Table3[[#This Row],[C&amp;I CLM $ Collected]]</f>
        <v>92737.622036159999</v>
      </c>
      <c r="E715" s="36">
        <f>[1]!Table3[[#This Row],[CLM $ Collected ]]/'[1]1.) CLM Reference'!$B$4</f>
        <v>8.2273494346541093E-4</v>
      </c>
      <c r="F715" s="40">
        <f>[1]!Table3[[#This Row],[Residential Incentive Disbursements]]+[1]!Table3[[#This Row],[C&amp;I Incentive Disbursements]]</f>
        <v>5543.82</v>
      </c>
      <c r="G715" s="36">
        <f>[1]!Table3[[#This Row],[Incentive Disbursements]]/'[1]1.) CLM Reference'!$B$5</f>
        <v>6.7826708918024921E-5</v>
      </c>
      <c r="H715" s="40">
        <v>92737.622036159999</v>
      </c>
      <c r="I715" s="36">
        <f>[1]!Table3[[#This Row],[Residential CLM $ Collected]]/'[1]1.) CLM Reference'!$B$4</f>
        <v>8.2273494346541093E-4</v>
      </c>
      <c r="J715" s="41">
        <v>5543.82</v>
      </c>
      <c r="K715" s="36">
        <f>[1]!Table3[[#This Row],[Residential Incentive Disbursements]]/'[1]1.) CLM Reference'!$B$5</f>
        <v>6.7826708918024921E-5</v>
      </c>
      <c r="L715" s="37">
        <v>0</v>
      </c>
      <c r="M715" s="36">
        <f>[1]!Table3[[#This Row],[C&amp;I CLM $ Collected]]/'[1]1.) CLM Reference'!$B$4</f>
        <v>0</v>
      </c>
      <c r="N715" s="41">
        <v>0</v>
      </c>
      <c r="O715" s="36">
        <f>[1]!Table3[[#This Row],[C&amp;I Incentive Disbursements]]/'[1]1.) CLM Reference'!$B$5</f>
        <v>0</v>
      </c>
      <c r="Q715">
        <f>VLOOKUP(Table3[[#This Row],[Census Tract]],'Population and Diversity Data'!$B$2:$K$823,10,FALSE)</f>
        <v>5</v>
      </c>
      <c r="R715" t="str">
        <f>VLOOKUP(Table3[[#This Row],[Census Tract]],'ES Energy Burden'!$B$2:$E$914,4,FALSE)</f>
        <v>No</v>
      </c>
    </row>
    <row r="716" spans="1:18" x14ac:dyDescent="0.2">
      <c r="A716" s="100">
        <v>9001022200</v>
      </c>
      <c r="B716" s="38" t="s">
        <v>988</v>
      </c>
      <c r="C716" s="38" t="s">
        <v>944</v>
      </c>
      <c r="D716" s="40">
        <f>[1]!Table3[[#This Row],[Residential CLM $ Collected]]+[1]!Table3[[#This Row],[C&amp;I CLM $ Collected]]</f>
        <v>81861.026613120019</v>
      </c>
      <c r="E716" s="36">
        <f>[1]!Table3[[#This Row],[CLM $ Collected ]]/'[1]1.) CLM Reference'!$B$4</f>
        <v>7.262416872874408E-4</v>
      </c>
      <c r="F716" s="40">
        <f>[1]!Table3[[#This Row],[Residential Incentive Disbursements]]+[1]!Table3[[#This Row],[C&amp;I Incentive Disbursements]]</f>
        <v>0</v>
      </c>
      <c r="G716" s="36">
        <f>[1]!Table3[[#This Row],[Incentive Disbursements]]/'[1]1.) CLM Reference'!$B$5</f>
        <v>0</v>
      </c>
      <c r="H716" s="40">
        <v>81861.026613120019</v>
      </c>
      <c r="I716" s="36">
        <f>[1]!Table3[[#This Row],[Residential CLM $ Collected]]/'[1]1.) CLM Reference'!$B$4</f>
        <v>7.262416872874408E-4</v>
      </c>
      <c r="J716" s="41">
        <v>0</v>
      </c>
      <c r="K716" s="36">
        <f>[1]!Table3[[#This Row],[Residential Incentive Disbursements]]/'[1]1.) CLM Reference'!$B$5</f>
        <v>0</v>
      </c>
      <c r="L716" s="37">
        <v>0</v>
      </c>
      <c r="M716" s="36">
        <f>[1]!Table3[[#This Row],[C&amp;I CLM $ Collected]]/'[1]1.) CLM Reference'!$B$4</f>
        <v>0</v>
      </c>
      <c r="N716" s="41">
        <v>0</v>
      </c>
      <c r="O716" s="36">
        <f>[1]!Table3[[#This Row],[C&amp;I Incentive Disbursements]]/'[1]1.) CLM Reference'!$B$5</f>
        <v>0</v>
      </c>
      <c r="Q716">
        <f>VLOOKUP(Table3[[#This Row],[Census Tract]],'Population and Diversity Data'!$B$2:$K$823,10,FALSE)</f>
        <v>5</v>
      </c>
      <c r="R716" t="str">
        <f>VLOOKUP(Table3[[#This Row],[Census Tract]],'ES Energy Burden'!$B$2:$E$914,4,FALSE)</f>
        <v>No</v>
      </c>
    </row>
    <row r="717" spans="1:18" x14ac:dyDescent="0.2">
      <c r="A717" s="100">
        <v>9001022300</v>
      </c>
      <c r="B717" s="38" t="s">
        <v>988</v>
      </c>
      <c r="C717" s="38" t="s">
        <v>944</v>
      </c>
      <c r="D717" s="40">
        <f>[1]!Table3[[#This Row],[Residential CLM $ Collected]]+[1]!Table3[[#This Row],[C&amp;I CLM $ Collected]]</f>
        <v>88271.146042559994</v>
      </c>
      <c r="E717" s="36">
        <f>[1]!Table3[[#This Row],[CLM $ Collected ]]/'[1]1.) CLM Reference'!$B$4</f>
        <v>7.8310996933515689E-4</v>
      </c>
      <c r="F717" s="40">
        <f>[1]!Table3[[#This Row],[Residential Incentive Disbursements]]+[1]!Table3[[#This Row],[C&amp;I Incentive Disbursements]]</f>
        <v>49293.5962</v>
      </c>
      <c r="G717" s="36">
        <f>[1]!Table3[[#This Row],[Incentive Disbursements]]/'[1]1.) CLM Reference'!$B$5</f>
        <v>6.0308999949133617E-4</v>
      </c>
      <c r="H717" s="40">
        <v>88271.146042559994</v>
      </c>
      <c r="I717" s="36">
        <f>[1]!Table3[[#This Row],[Residential CLM $ Collected]]/'[1]1.) CLM Reference'!$B$4</f>
        <v>7.8310996933515689E-4</v>
      </c>
      <c r="J717" s="41">
        <v>49293.5962</v>
      </c>
      <c r="K717" s="36">
        <f>[1]!Table3[[#This Row],[Residential Incentive Disbursements]]/'[1]1.) CLM Reference'!$B$5</f>
        <v>6.0308999949133617E-4</v>
      </c>
      <c r="L717" s="37">
        <v>0</v>
      </c>
      <c r="M717" s="36">
        <f>[1]!Table3[[#This Row],[C&amp;I CLM $ Collected]]/'[1]1.) CLM Reference'!$B$4</f>
        <v>0</v>
      </c>
      <c r="N717" s="41">
        <v>0</v>
      </c>
      <c r="O717" s="36">
        <f>[1]!Table3[[#This Row],[C&amp;I Incentive Disbursements]]/'[1]1.) CLM Reference'!$B$5</f>
        <v>0</v>
      </c>
      <c r="Q717">
        <f>VLOOKUP(Table3[[#This Row],[Census Tract]],'Population and Diversity Data'!$B$2:$K$823,10,FALSE)</f>
        <v>5</v>
      </c>
      <c r="R717" t="str">
        <f>VLOOKUP(Table3[[#This Row],[Census Tract]],'ES Energy Burden'!$B$2:$E$914,4,FALSE)</f>
        <v>No</v>
      </c>
    </row>
    <row r="718" spans="1:18" x14ac:dyDescent="0.2">
      <c r="A718" s="100">
        <v>9001022400</v>
      </c>
      <c r="B718" s="38" t="s">
        <v>988</v>
      </c>
      <c r="C718" s="38" t="s">
        <v>944</v>
      </c>
      <c r="D718" s="40">
        <f>[1]!Table3[[#This Row],[Residential CLM $ Collected]]+[1]!Table3[[#This Row],[C&amp;I CLM $ Collected]]</f>
        <v>65418.021835199994</v>
      </c>
      <c r="E718" s="36">
        <f>[1]!Table3[[#This Row],[CLM $ Collected ]]/'[1]1.) CLM Reference'!$B$4</f>
        <v>5.803652424386758E-4</v>
      </c>
      <c r="F718" s="40">
        <f>[1]!Table3[[#This Row],[Residential Incentive Disbursements]]+[1]!Table3[[#This Row],[C&amp;I Incentive Disbursements]]</f>
        <v>3895.87</v>
      </c>
      <c r="G718" s="36">
        <f>[1]!Table3[[#This Row],[Incentive Disbursements]]/'[1]1.) CLM Reference'!$B$5</f>
        <v>4.7664614015690583E-5</v>
      </c>
      <c r="H718" s="40">
        <v>65418.021835199994</v>
      </c>
      <c r="I718" s="36">
        <f>[1]!Table3[[#This Row],[Residential CLM $ Collected]]/'[1]1.) CLM Reference'!$B$4</f>
        <v>5.803652424386758E-4</v>
      </c>
      <c r="J718" s="41">
        <v>3895.87</v>
      </c>
      <c r="K718" s="36">
        <f>[1]!Table3[[#This Row],[Residential Incentive Disbursements]]/'[1]1.) CLM Reference'!$B$5</f>
        <v>4.7664614015690583E-5</v>
      </c>
      <c r="L718" s="37">
        <v>0</v>
      </c>
      <c r="M718" s="36">
        <f>[1]!Table3[[#This Row],[C&amp;I CLM $ Collected]]/'[1]1.) CLM Reference'!$B$4</f>
        <v>0</v>
      </c>
      <c r="N718" s="41">
        <v>0</v>
      </c>
      <c r="O718" s="36">
        <f>[1]!Table3[[#This Row],[C&amp;I Incentive Disbursements]]/'[1]1.) CLM Reference'!$B$5</f>
        <v>0</v>
      </c>
      <c r="Q718">
        <f>VLOOKUP(Table3[[#This Row],[Census Tract]],'Population and Diversity Data'!$B$2:$K$823,10,FALSE)</f>
        <v>2</v>
      </c>
      <c r="R718" t="str">
        <f>VLOOKUP(Table3[[#This Row],[Census Tract]],'ES Energy Burden'!$B$2:$E$914,4,FALSE)</f>
        <v>No</v>
      </c>
    </row>
    <row r="719" spans="1:18" x14ac:dyDescent="0.2">
      <c r="A719" s="100">
        <v>9015907200</v>
      </c>
      <c r="B719" s="38" t="s">
        <v>2847</v>
      </c>
      <c r="C719" s="38" t="s">
        <v>944</v>
      </c>
      <c r="D719" s="40">
        <f>[1]!Table3[[#This Row],[Residential CLM $ Collected]]+[1]!Table3[[#This Row],[C&amp;I CLM $ Collected]]</f>
        <v>532.01387520000003</v>
      </c>
      <c r="E719" s="36">
        <f>[1]!Table3[[#This Row],[CLM $ Collected ]]/'[1]1.) CLM Reference'!$B$4</f>
        <v>4.7198364150939399E-6</v>
      </c>
      <c r="F719" s="40">
        <f>[1]!Table3[[#This Row],[Residential Incentive Disbursements]]+[1]!Table3[[#This Row],[C&amp;I Incentive Disbursements]]</f>
        <v>0</v>
      </c>
      <c r="G719" s="36">
        <f>[1]!Table3[[#This Row],[Incentive Disbursements]]/'[1]1.) CLM Reference'!$B$5</f>
        <v>0</v>
      </c>
      <c r="H719" s="40">
        <v>532.01387520000003</v>
      </c>
      <c r="I719" s="36">
        <f>[1]!Table3[[#This Row],[Residential CLM $ Collected]]/'[1]1.) CLM Reference'!$B$4</f>
        <v>4.7198364150939399E-6</v>
      </c>
      <c r="J719" s="41">
        <v>0</v>
      </c>
      <c r="K719" s="36">
        <f>[1]!Table3[[#This Row],[Residential Incentive Disbursements]]/'[1]1.) CLM Reference'!$B$5</f>
        <v>0</v>
      </c>
      <c r="L719" s="37">
        <v>0</v>
      </c>
      <c r="M719" s="36">
        <f>[1]!Table3[[#This Row],[C&amp;I CLM $ Collected]]/'[1]1.) CLM Reference'!$B$4</f>
        <v>0</v>
      </c>
      <c r="N719" s="41">
        <v>0</v>
      </c>
      <c r="O719" s="36">
        <f>[1]!Table3[[#This Row],[C&amp;I Incentive Disbursements]]/'[1]1.) CLM Reference'!$B$5</f>
        <v>0</v>
      </c>
      <c r="Q719">
        <f>VLOOKUP(Table3[[#This Row],[Census Tract]],'Population and Diversity Data'!$B$2:$K$823,10,FALSE)</f>
        <v>3</v>
      </c>
      <c r="R719" t="str">
        <f>VLOOKUP(Table3[[#This Row],[Census Tract]],'ES Energy Burden'!$B$2:$E$914,4,FALSE)</f>
        <v>No</v>
      </c>
    </row>
    <row r="720" spans="1:18" x14ac:dyDescent="0.2">
      <c r="A720" s="100">
        <v>9015908100</v>
      </c>
      <c r="B720" s="38" t="s">
        <v>2847</v>
      </c>
      <c r="C720" s="38" t="s">
        <v>944</v>
      </c>
      <c r="D720" s="40">
        <f>[1]!Table3[[#This Row],[Residential CLM $ Collected]]+[1]!Table3[[#This Row],[C&amp;I CLM $ Collected]]</f>
        <v>85744.234117440006</v>
      </c>
      <c r="E720" s="36">
        <f>[1]!Table3[[#This Row],[CLM $ Collected ]]/'[1]1.) CLM Reference'!$B$4</f>
        <v>7.6069211243728386E-4</v>
      </c>
      <c r="F720" s="40">
        <f>[1]!Table3[[#This Row],[Residential Incentive Disbursements]]+[1]!Table3[[#This Row],[C&amp;I Incentive Disbursements]]</f>
        <v>33246.379999999997</v>
      </c>
      <c r="G720" s="36">
        <f>[1]!Table3[[#This Row],[Incentive Disbursements]]/'[1]1.) CLM Reference'!$B$5</f>
        <v>4.0675789236267507E-4</v>
      </c>
      <c r="H720" s="40">
        <v>74480.158419840009</v>
      </c>
      <c r="I720" s="36">
        <f>[1]!Table3[[#This Row],[Residential CLM $ Collected]]/'[1]1.) CLM Reference'!$B$4</f>
        <v>6.6076127014502045E-4</v>
      </c>
      <c r="J720" s="41">
        <v>33246.379999999997</v>
      </c>
      <c r="K720" s="36">
        <f>[1]!Table3[[#This Row],[Residential Incentive Disbursements]]/'[1]1.) CLM Reference'!$B$5</f>
        <v>4.0675789236267507E-4</v>
      </c>
      <c r="L720" s="37">
        <v>11264.075697600001</v>
      </c>
      <c r="M720" s="36">
        <f>[1]!Table3[[#This Row],[C&amp;I CLM $ Collected]]/'[1]1.) CLM Reference'!$B$4</f>
        <v>9.9930842292263498E-5</v>
      </c>
      <c r="N720" s="41">
        <v>0</v>
      </c>
      <c r="O720" s="36">
        <f>[1]!Table3[[#This Row],[C&amp;I Incentive Disbursements]]/'[1]1.) CLM Reference'!$B$5</f>
        <v>0</v>
      </c>
      <c r="Q720" t="e">
        <f>VLOOKUP(Table3[[#This Row],[Census Tract]],'Population and Diversity Data'!$B$2:$K$823,10,FALSE)</f>
        <v>#N/A</v>
      </c>
      <c r="R720" t="e">
        <f>VLOOKUP(Table3[[#This Row],[Census Tract]],'ES Energy Burden'!$B$2:$E$914,4,FALSE)</f>
        <v>#N/A</v>
      </c>
    </row>
    <row r="721" spans="1:18" x14ac:dyDescent="0.2">
      <c r="A721" s="100">
        <v>9011702100</v>
      </c>
      <c r="B721" s="38" t="s">
        <v>2848</v>
      </c>
      <c r="C721" s="38" t="s">
        <v>944</v>
      </c>
      <c r="D721" s="40">
        <f>[1]!Table3[[#This Row],[Residential CLM $ Collected]]+[1]!Table3[[#This Row],[C&amp;I CLM $ Collected]]</f>
        <v>69336.15201215999</v>
      </c>
      <c r="E721" s="36">
        <f>[1]!Table3[[#This Row],[CLM $ Collected ]]/'[1]1.) CLM Reference'!$B$4</f>
        <v>6.1512548902311346E-4</v>
      </c>
      <c r="F721" s="40">
        <f>[1]!Table3[[#This Row],[Residential Incentive Disbursements]]+[1]!Table3[[#This Row],[C&amp;I Incentive Disbursements]]</f>
        <v>20803.311399999999</v>
      </c>
      <c r="G721" s="36">
        <f>[1]!Table3[[#This Row],[Incentive Disbursements]]/'[1]1.) CLM Reference'!$B$5</f>
        <v>2.5452127718050539E-4</v>
      </c>
      <c r="H721" s="40">
        <v>69336.15201215999</v>
      </c>
      <c r="I721" s="36">
        <f>[1]!Table3[[#This Row],[Residential CLM $ Collected]]/'[1]1.) CLM Reference'!$B$4</f>
        <v>6.1512548902311346E-4</v>
      </c>
      <c r="J721" s="41">
        <v>20803.311399999999</v>
      </c>
      <c r="K721" s="36">
        <f>[1]!Table3[[#This Row],[Residential Incentive Disbursements]]/'[1]1.) CLM Reference'!$B$5</f>
        <v>2.5452127718050539E-4</v>
      </c>
      <c r="L721" s="37">
        <v>0</v>
      </c>
      <c r="M721" s="36">
        <f>[1]!Table3[[#This Row],[C&amp;I CLM $ Collected]]/'[1]1.) CLM Reference'!$B$4</f>
        <v>0</v>
      </c>
      <c r="N721" s="41">
        <v>0</v>
      </c>
      <c r="O721" s="36">
        <f>[1]!Table3[[#This Row],[C&amp;I Incentive Disbursements]]/'[1]1.) CLM Reference'!$B$5</f>
        <v>0</v>
      </c>
      <c r="Q721">
        <f>VLOOKUP(Table3[[#This Row],[Census Tract]],'Population and Diversity Data'!$B$2:$K$823,10,FALSE)</f>
        <v>4</v>
      </c>
      <c r="R721" t="str">
        <f>VLOOKUP(Table3[[#This Row],[Census Tract]],'ES Energy Burden'!$B$2:$E$914,4,FALSE)</f>
        <v>No</v>
      </c>
    </row>
    <row r="722" spans="1:18" x14ac:dyDescent="0.2">
      <c r="A722" s="100">
        <v>9011702800</v>
      </c>
      <c r="B722" s="38" t="s">
        <v>2848</v>
      </c>
      <c r="C722" s="38" t="s">
        <v>944</v>
      </c>
      <c r="D722" s="40">
        <f>[1]!Table3[[#This Row],[Residential CLM $ Collected]]+[1]!Table3[[#This Row],[C&amp;I CLM $ Collected]]</f>
        <v>23357.275430400001</v>
      </c>
      <c r="E722" s="36">
        <f>[1]!Table3[[#This Row],[CLM $ Collected ]]/'[1]1.) CLM Reference'!$B$4</f>
        <v>2.0721737584820964E-4</v>
      </c>
      <c r="F722" s="40">
        <f>[1]!Table3[[#This Row],[Residential Incentive Disbursements]]+[1]!Table3[[#This Row],[C&amp;I Incentive Disbursements]]</f>
        <v>8097.3274000000001</v>
      </c>
      <c r="G722" s="36">
        <f>[1]!Table3[[#This Row],[Incentive Disbursements]]/'[1]1.) CLM Reference'!$B$5</f>
        <v>9.9067983551729243E-5</v>
      </c>
      <c r="H722" s="40">
        <v>23357.275430400001</v>
      </c>
      <c r="I722" s="36">
        <f>[1]!Table3[[#This Row],[Residential CLM $ Collected]]/'[1]1.) CLM Reference'!$B$4</f>
        <v>2.0721737584820964E-4</v>
      </c>
      <c r="J722" s="41">
        <v>8097.3274000000001</v>
      </c>
      <c r="K722" s="36">
        <f>[1]!Table3[[#This Row],[Residential Incentive Disbursements]]/'[1]1.) CLM Reference'!$B$5</f>
        <v>9.9067983551729243E-5</v>
      </c>
      <c r="L722" s="37">
        <v>0</v>
      </c>
      <c r="M722" s="36">
        <f>[1]!Table3[[#This Row],[C&amp;I CLM $ Collected]]/'[1]1.) CLM Reference'!$B$4</f>
        <v>0</v>
      </c>
      <c r="N722" s="41">
        <v>0</v>
      </c>
      <c r="O722" s="36">
        <f>[1]!Table3[[#This Row],[C&amp;I Incentive Disbursements]]/'[1]1.) CLM Reference'!$B$5</f>
        <v>0</v>
      </c>
      <c r="Q722">
        <f>VLOOKUP(Table3[[#This Row],[Census Tract]],'Population and Diversity Data'!$B$2:$K$823,10,FALSE)</f>
        <v>5</v>
      </c>
      <c r="R722" t="str">
        <f>VLOOKUP(Table3[[#This Row],[Census Tract]],'ES Energy Burden'!$B$2:$E$914,4,FALSE)</f>
        <v>No</v>
      </c>
    </row>
    <row r="723" spans="1:18" x14ac:dyDescent="0.2">
      <c r="A723" s="100">
        <v>9011702900</v>
      </c>
      <c r="B723" s="38" t="s">
        <v>2848</v>
      </c>
      <c r="C723" s="38" t="s">
        <v>944</v>
      </c>
      <c r="D723" s="40">
        <f>[1]!Table3[[#This Row],[Residential CLM $ Collected]]+[1]!Table3[[#This Row],[C&amp;I CLM $ Collected]]</f>
        <v>2033.2870560000001</v>
      </c>
      <c r="E723" s="36">
        <f>[1]!Table3[[#This Row],[CLM $ Collected ]]/'[1]1.) CLM Reference'!$B$4</f>
        <v>1.8038593985241895E-5</v>
      </c>
      <c r="F723" s="40">
        <f>[1]!Table3[[#This Row],[Residential Incentive Disbursements]]+[1]!Table3[[#This Row],[C&amp;I Incentive Disbursements]]</f>
        <v>0</v>
      </c>
      <c r="G723" s="36">
        <f>[1]!Table3[[#This Row],[Incentive Disbursements]]/'[1]1.) CLM Reference'!$B$5</f>
        <v>0</v>
      </c>
      <c r="H723" s="40">
        <v>2033.2870560000001</v>
      </c>
      <c r="I723" s="36">
        <f>[1]!Table3[[#This Row],[Residential CLM $ Collected]]/'[1]1.) CLM Reference'!$B$4</f>
        <v>1.8038593985241895E-5</v>
      </c>
      <c r="J723" s="41">
        <v>0</v>
      </c>
      <c r="K723" s="36">
        <f>[1]!Table3[[#This Row],[Residential Incentive Disbursements]]/'[1]1.) CLM Reference'!$B$5</f>
        <v>0</v>
      </c>
      <c r="L723" s="37">
        <v>0</v>
      </c>
      <c r="M723" s="36">
        <f>[1]!Table3[[#This Row],[C&amp;I CLM $ Collected]]/'[1]1.) CLM Reference'!$B$4</f>
        <v>0</v>
      </c>
      <c r="N723" s="41">
        <v>0</v>
      </c>
      <c r="O723" s="36">
        <f>[1]!Table3[[#This Row],[C&amp;I Incentive Disbursements]]/'[1]1.) CLM Reference'!$B$5</f>
        <v>0</v>
      </c>
      <c r="Q723">
        <f>VLOOKUP(Table3[[#This Row],[Census Tract]],'Population and Diversity Data'!$B$2:$K$823,10,FALSE)</f>
        <v>2</v>
      </c>
      <c r="R723" t="str">
        <f>VLOOKUP(Table3[[#This Row],[Census Tract]],'ES Energy Burden'!$B$2:$E$914,4,FALSE)</f>
        <v>No</v>
      </c>
    </row>
    <row r="724" spans="1:18" x14ac:dyDescent="0.2">
      <c r="A724" s="100">
        <v>9011703000</v>
      </c>
      <c r="B724" s="38" t="s">
        <v>2848</v>
      </c>
      <c r="C724" s="38" t="s">
        <v>944</v>
      </c>
      <c r="D724" s="40">
        <f>[1]!Table3[[#This Row],[Residential CLM $ Collected]]+[1]!Table3[[#This Row],[C&amp;I CLM $ Collected]]</f>
        <v>88393.719830400005</v>
      </c>
      <c r="E724" s="36">
        <f>[1]!Table3[[#This Row],[CLM $ Collected ]]/'[1]1.) CLM Reference'!$B$4</f>
        <v>7.8419740004768436E-4</v>
      </c>
      <c r="F724" s="40">
        <f>[1]!Table3[[#This Row],[Residential Incentive Disbursements]]+[1]!Table3[[#This Row],[C&amp;I Incentive Disbursements]]</f>
        <v>26386.0635</v>
      </c>
      <c r="G724" s="36">
        <f>[1]!Table3[[#This Row],[Incentive Disbursements]]/'[1]1.) CLM Reference'!$B$5</f>
        <v>3.2282430679694184E-4</v>
      </c>
      <c r="H724" s="40">
        <v>88393.719830400005</v>
      </c>
      <c r="I724" s="36">
        <f>[1]!Table3[[#This Row],[Residential CLM $ Collected]]/'[1]1.) CLM Reference'!$B$4</f>
        <v>7.8419740004768436E-4</v>
      </c>
      <c r="J724" s="41">
        <v>26386.0635</v>
      </c>
      <c r="K724" s="36">
        <f>[1]!Table3[[#This Row],[Residential Incentive Disbursements]]/'[1]1.) CLM Reference'!$B$5</f>
        <v>3.2282430679694184E-4</v>
      </c>
      <c r="L724" s="37">
        <v>0</v>
      </c>
      <c r="M724" s="36">
        <f>[1]!Table3[[#This Row],[C&amp;I CLM $ Collected]]/'[1]1.) CLM Reference'!$B$4</f>
        <v>0</v>
      </c>
      <c r="N724" s="41">
        <v>0</v>
      </c>
      <c r="O724" s="36">
        <f>[1]!Table3[[#This Row],[C&amp;I Incentive Disbursements]]/'[1]1.) CLM Reference'!$B$5</f>
        <v>0</v>
      </c>
      <c r="Q724">
        <f>VLOOKUP(Table3[[#This Row],[Census Tract]],'Population and Diversity Data'!$B$2:$K$823,10,FALSE)</f>
        <v>2</v>
      </c>
      <c r="R724" t="str">
        <f>VLOOKUP(Table3[[#This Row],[Census Tract]],'ES Energy Burden'!$B$2:$E$914,4,FALSE)</f>
        <v>No</v>
      </c>
    </row>
    <row r="725" spans="1:18" x14ac:dyDescent="0.2">
      <c r="A725" s="100">
        <v>9011705101</v>
      </c>
      <c r="B725" s="38" t="s">
        <v>2848</v>
      </c>
      <c r="C725" s="38" t="s">
        <v>944</v>
      </c>
      <c r="D725" s="40">
        <f>[1]!Table3[[#This Row],[Residential CLM $ Collected]]+[1]!Table3[[#This Row],[C&amp;I CLM $ Collected]]</f>
        <v>81245.80684224001</v>
      </c>
      <c r="E725" s="36">
        <f>[1]!Table3[[#This Row],[CLM $ Collected ]]/'[1]1.) CLM Reference'!$B$4</f>
        <v>7.2078367798872919E-4</v>
      </c>
      <c r="F725" s="40">
        <f>[1]!Table3[[#This Row],[Residential Incentive Disbursements]]+[1]!Table3[[#This Row],[C&amp;I Incentive Disbursements]]</f>
        <v>51276.364600000001</v>
      </c>
      <c r="G725" s="36">
        <f>[1]!Table3[[#This Row],[Incentive Disbursements]]/'[1]1.) CLM Reference'!$B$5</f>
        <v>6.2734848102909504E-4</v>
      </c>
      <c r="H725" s="40">
        <v>81245.80684224001</v>
      </c>
      <c r="I725" s="36">
        <f>[1]!Table3[[#This Row],[Residential CLM $ Collected]]/'[1]1.) CLM Reference'!$B$4</f>
        <v>7.2078367798872919E-4</v>
      </c>
      <c r="J725" s="41">
        <v>51276.364600000001</v>
      </c>
      <c r="K725" s="36">
        <f>[1]!Table3[[#This Row],[Residential Incentive Disbursements]]/'[1]1.) CLM Reference'!$B$5</f>
        <v>6.2734848102909504E-4</v>
      </c>
      <c r="L725" s="37">
        <v>0</v>
      </c>
      <c r="M725" s="36">
        <f>[1]!Table3[[#This Row],[C&amp;I CLM $ Collected]]/'[1]1.) CLM Reference'!$B$4</f>
        <v>0</v>
      </c>
      <c r="N725" s="41">
        <v>0</v>
      </c>
      <c r="O725" s="36">
        <f>[1]!Table3[[#This Row],[C&amp;I Incentive Disbursements]]/'[1]1.) CLM Reference'!$B$5</f>
        <v>0</v>
      </c>
      <c r="Q725">
        <f>VLOOKUP(Table3[[#This Row],[Census Tract]],'Population and Diversity Data'!$B$2:$K$823,10,FALSE)</f>
        <v>1</v>
      </c>
      <c r="R725" t="str">
        <f>VLOOKUP(Table3[[#This Row],[Census Tract]],'ES Energy Burden'!$B$2:$E$914,4,FALSE)</f>
        <v>No</v>
      </c>
    </row>
    <row r="726" spans="1:18" x14ac:dyDescent="0.2">
      <c r="A726" s="100">
        <v>9011705102</v>
      </c>
      <c r="B726" s="38" t="s">
        <v>2848</v>
      </c>
      <c r="C726" s="38" t="s">
        <v>944</v>
      </c>
      <c r="D726" s="40">
        <f>[1]!Table3[[#This Row],[Residential CLM $ Collected]]+[1]!Table3[[#This Row],[C&amp;I CLM $ Collected]]</f>
        <v>70169.614752960013</v>
      </c>
      <c r="E726" s="36">
        <f>[1]!Table3[[#This Row],[CLM $ Collected ]]/'[1]1.) CLM Reference'!$B$4</f>
        <v>6.2251967172779034E-4</v>
      </c>
      <c r="F726" s="40">
        <f>[1]!Table3[[#This Row],[Residential Incentive Disbursements]]+[1]!Table3[[#This Row],[C&amp;I Incentive Disbursements]]</f>
        <v>12001.766100000001</v>
      </c>
      <c r="G726" s="36">
        <f>[1]!Table3[[#This Row],[Incentive Disbursements]]/'[1]1.) CLM Reference'!$B$5</f>
        <v>1.4683743263073463E-4</v>
      </c>
      <c r="H726" s="40">
        <v>70168.092877440009</v>
      </c>
      <c r="I726" s="36">
        <f>[1]!Table3[[#This Row],[Residential CLM $ Collected]]/'[1]1.) CLM Reference'!$B$4</f>
        <v>6.2250617019365116E-4</v>
      </c>
      <c r="J726" s="41">
        <v>12001.766100000001</v>
      </c>
      <c r="K726" s="36">
        <f>[1]!Table3[[#This Row],[Residential Incentive Disbursements]]/'[1]1.) CLM Reference'!$B$5</f>
        <v>1.4683743263073463E-4</v>
      </c>
      <c r="L726" s="37">
        <v>1.52187552</v>
      </c>
      <c r="M726" s="36">
        <f>[1]!Table3[[#This Row],[C&amp;I CLM $ Collected]]/'[1]1.) CLM Reference'!$B$4</f>
        <v>1.3501534139190861E-8</v>
      </c>
      <c r="N726" s="41">
        <v>0</v>
      </c>
      <c r="O726" s="36">
        <f>[1]!Table3[[#This Row],[C&amp;I Incentive Disbursements]]/'[1]1.) CLM Reference'!$B$5</f>
        <v>0</v>
      </c>
      <c r="Q726">
        <f>VLOOKUP(Table3[[#This Row],[Census Tract]],'Population and Diversity Data'!$B$2:$K$823,10,FALSE)</f>
        <v>4</v>
      </c>
      <c r="R726" t="str">
        <f>VLOOKUP(Table3[[#This Row],[Census Tract]],'ES Energy Burden'!$B$2:$E$914,4,FALSE)</f>
        <v>No</v>
      </c>
    </row>
    <row r="727" spans="1:18" x14ac:dyDescent="0.2">
      <c r="A727" s="100">
        <v>9011705200</v>
      </c>
      <c r="B727" s="38" t="s">
        <v>2848</v>
      </c>
      <c r="C727" s="38" t="s">
        <v>944</v>
      </c>
      <c r="D727" s="40">
        <f>[1]!Table3[[#This Row],[Residential CLM $ Collected]]+[1]!Table3[[#This Row],[C&amp;I CLM $ Collected]]</f>
        <v>323531.31702239998</v>
      </c>
      <c r="E727" s="36">
        <f>[1]!Table3[[#This Row],[CLM $ Collected ]]/'[1]1.) CLM Reference'!$B$4</f>
        <v>2.8702538837574012E-3</v>
      </c>
      <c r="F727" s="40">
        <f>[1]!Table3[[#This Row],[Residential Incentive Disbursements]]+[1]!Table3[[#This Row],[C&amp;I Incentive Disbursements]]</f>
        <v>271299.88939999999</v>
      </c>
      <c r="G727" s="36">
        <f>[1]!Table3[[#This Row],[Incentive Disbursements]]/'[1]1.) CLM Reference'!$B$5</f>
        <v>3.319259757320071E-3</v>
      </c>
      <c r="H727" s="40">
        <v>112087.26838944</v>
      </c>
      <c r="I727" s="36">
        <f>[1]!Table3[[#This Row],[Residential CLM $ Collected]]/'[1]1.) CLM Reference'!$B$4</f>
        <v>9.9439807056537219E-4</v>
      </c>
      <c r="J727" s="41">
        <v>191467.23939999999</v>
      </c>
      <c r="K727" s="36">
        <f>[1]!Table3[[#This Row],[Residential Incentive Disbursements]]/'[1]1.) CLM Reference'!$B$5</f>
        <v>2.3425350596017894E-3</v>
      </c>
      <c r="L727" s="37">
        <v>211444.04863296001</v>
      </c>
      <c r="M727" s="36">
        <f>[1]!Table3[[#This Row],[C&amp;I CLM $ Collected]]/'[1]1.) CLM Reference'!$B$4</f>
        <v>1.875855813192029E-3</v>
      </c>
      <c r="N727" s="41">
        <v>79832.649999999994</v>
      </c>
      <c r="O727" s="36">
        <f>[1]!Table3[[#This Row],[C&amp;I Incentive Disbursements]]/'[1]1.) CLM Reference'!$B$5</f>
        <v>9.7672469771828137E-4</v>
      </c>
      <c r="Q727">
        <f>VLOOKUP(Table3[[#This Row],[Census Tract]],'Population and Diversity Data'!$B$2:$K$823,10,FALSE)</f>
        <v>2</v>
      </c>
      <c r="R727" t="str">
        <f>VLOOKUP(Table3[[#This Row],[Census Tract]],'ES Energy Burden'!$B$2:$E$914,4,FALSE)</f>
        <v>No</v>
      </c>
    </row>
    <row r="728" spans="1:18" x14ac:dyDescent="0.2">
      <c r="A728" s="100">
        <v>9011705300</v>
      </c>
      <c r="B728" s="38" t="s">
        <v>2848</v>
      </c>
      <c r="C728" s="38" t="s">
        <v>944</v>
      </c>
      <c r="D728" s="40">
        <f>[1]!Table3[[#This Row],[Residential CLM $ Collected]]+[1]!Table3[[#This Row],[C&amp;I CLM $ Collected]]</f>
        <v>81742.746957120005</v>
      </c>
      <c r="E728" s="36">
        <f>[1]!Table3[[#This Row],[CLM $ Collected ]]/'[1]1.) CLM Reference'!$B$4</f>
        <v>7.2519235257348478E-4</v>
      </c>
      <c r="F728" s="40">
        <f>[1]!Table3[[#This Row],[Residential Incentive Disbursements]]+[1]!Table3[[#This Row],[C&amp;I Incentive Disbursements]]</f>
        <v>22836.517100000001</v>
      </c>
      <c r="G728" s="36">
        <f>[1]!Table3[[#This Row],[Incentive Disbursements]]/'[1]1.) CLM Reference'!$B$5</f>
        <v>2.7939684153583609E-4</v>
      </c>
      <c r="H728" s="40">
        <v>81740.860966079999</v>
      </c>
      <c r="I728" s="36">
        <f>[1]!Table3[[#This Row],[Residential CLM $ Collected]]/'[1]1.) CLM Reference'!$B$4</f>
        <v>7.2517562073695922E-4</v>
      </c>
      <c r="J728" s="41">
        <v>22836.517100000001</v>
      </c>
      <c r="K728" s="36">
        <f>[1]!Table3[[#This Row],[Residential Incentive Disbursements]]/'[1]1.) CLM Reference'!$B$5</f>
        <v>2.7939684153583609E-4</v>
      </c>
      <c r="L728" s="37">
        <v>1.88599104</v>
      </c>
      <c r="M728" s="36">
        <f>[1]!Table3[[#This Row],[C&amp;I CLM $ Collected]]/'[1]1.) CLM Reference'!$B$4</f>
        <v>1.673183652547882E-8</v>
      </c>
      <c r="N728" s="41">
        <v>0</v>
      </c>
      <c r="O728" s="36">
        <f>[1]!Table3[[#This Row],[C&amp;I Incentive Disbursements]]/'[1]1.) CLM Reference'!$B$5</f>
        <v>0</v>
      </c>
      <c r="Q728">
        <f>VLOOKUP(Table3[[#This Row],[Census Tract]],'Population and Diversity Data'!$B$2:$K$823,10,FALSE)</f>
        <v>3</v>
      </c>
      <c r="R728" t="str">
        <f>VLOOKUP(Table3[[#This Row],[Census Tract]],'ES Energy Burden'!$B$2:$E$914,4,FALSE)</f>
        <v>No</v>
      </c>
    </row>
    <row r="729" spans="1:18" x14ac:dyDescent="0.2">
      <c r="A729" s="100">
        <v>9011705400</v>
      </c>
      <c r="B729" s="38" t="s">
        <v>2848</v>
      </c>
      <c r="C729" s="38" t="s">
        <v>944</v>
      </c>
      <c r="D729" s="40">
        <f>[1]!Table3[[#This Row],[Residential CLM $ Collected]]+[1]!Table3[[#This Row],[C&amp;I CLM $ Collected]]</f>
        <v>64517.608149120002</v>
      </c>
      <c r="E729" s="36">
        <f>[1]!Table3[[#This Row],[CLM $ Collected ]]/'[1]1.) CLM Reference'!$B$4</f>
        <v>5.7237709494419237E-4</v>
      </c>
      <c r="F729" s="40">
        <f>[1]!Table3[[#This Row],[Residential Incentive Disbursements]]+[1]!Table3[[#This Row],[C&amp;I Incentive Disbursements]]</f>
        <v>23641.341400000001</v>
      </c>
      <c r="G729" s="36">
        <f>[1]!Table3[[#This Row],[Incentive Disbursements]]/'[1]1.) CLM Reference'!$B$5</f>
        <v>2.8924358683533229E-4</v>
      </c>
      <c r="H729" s="40">
        <v>64517.608149120002</v>
      </c>
      <c r="I729" s="36">
        <f>[1]!Table3[[#This Row],[Residential CLM $ Collected]]/'[1]1.) CLM Reference'!$B$4</f>
        <v>5.7237709494419237E-4</v>
      </c>
      <c r="J729" s="41">
        <v>23641.341400000001</v>
      </c>
      <c r="K729" s="36">
        <f>[1]!Table3[[#This Row],[Residential Incentive Disbursements]]/'[1]1.) CLM Reference'!$B$5</f>
        <v>2.8924358683533229E-4</v>
      </c>
      <c r="L729" s="37">
        <v>0</v>
      </c>
      <c r="M729" s="36">
        <f>[1]!Table3[[#This Row],[C&amp;I CLM $ Collected]]/'[1]1.) CLM Reference'!$B$4</f>
        <v>0</v>
      </c>
      <c r="N729" s="41">
        <v>0</v>
      </c>
      <c r="O729" s="36">
        <f>[1]!Table3[[#This Row],[C&amp;I Incentive Disbursements]]/'[1]1.) CLM Reference'!$B$5</f>
        <v>0</v>
      </c>
      <c r="Q729">
        <f>VLOOKUP(Table3[[#This Row],[Census Tract]],'Population and Diversity Data'!$B$2:$K$823,10,FALSE)</f>
        <v>1</v>
      </c>
      <c r="R729" t="str">
        <f>VLOOKUP(Table3[[#This Row],[Census Tract]],'ES Energy Burden'!$B$2:$E$914,4,FALSE)</f>
        <v>No</v>
      </c>
    </row>
    <row r="730" spans="1:18" x14ac:dyDescent="0.2">
      <c r="A730" s="100">
        <v>9003470100</v>
      </c>
      <c r="B730" s="38" t="s">
        <v>2849</v>
      </c>
      <c r="C730" s="38" t="s">
        <v>944</v>
      </c>
      <c r="D730" s="40">
        <f>[1]!Table3[[#This Row],[Residential CLM $ Collected]]+[1]!Table3[[#This Row],[C&amp;I CLM $ Collected]]</f>
        <v>152.5522464</v>
      </c>
      <c r="E730" s="36">
        <f>[1]!Table3[[#This Row],[CLM $ Collected ]]/'[1]1.) CLM Reference'!$B$4</f>
        <v>1.3533888519212503E-6</v>
      </c>
      <c r="F730" s="40">
        <f>[1]!Table3[[#This Row],[Residential Incentive Disbursements]]+[1]!Table3[[#This Row],[C&amp;I Incentive Disbursements]]</f>
        <v>0</v>
      </c>
      <c r="G730" s="36">
        <f>[1]!Table3[[#This Row],[Incentive Disbursements]]/'[1]1.) CLM Reference'!$B$5</f>
        <v>0</v>
      </c>
      <c r="H730" s="40">
        <v>152.5522464</v>
      </c>
      <c r="I730" s="36">
        <f>[1]!Table3[[#This Row],[Residential CLM $ Collected]]/'[1]1.) CLM Reference'!$B$4</f>
        <v>1.3533888519212503E-6</v>
      </c>
      <c r="J730" s="41">
        <v>0</v>
      </c>
      <c r="K730" s="36">
        <f>[1]!Table3[[#This Row],[Residential Incentive Disbursements]]/'[1]1.) CLM Reference'!$B$5</f>
        <v>0</v>
      </c>
      <c r="L730" s="37">
        <v>0</v>
      </c>
      <c r="M730" s="36">
        <f>[1]!Table3[[#This Row],[C&amp;I CLM $ Collected]]/'[1]1.) CLM Reference'!$B$4</f>
        <v>0</v>
      </c>
      <c r="N730" s="41">
        <v>0</v>
      </c>
      <c r="O730" s="36">
        <f>[1]!Table3[[#This Row],[C&amp;I Incentive Disbursements]]/'[1]1.) CLM Reference'!$B$5</f>
        <v>0</v>
      </c>
      <c r="Q730">
        <f>VLOOKUP(Table3[[#This Row],[Census Tract]],'Population and Diversity Data'!$B$2:$K$823,10,FALSE)</f>
        <v>3</v>
      </c>
      <c r="R730" t="str">
        <f>VLOOKUP(Table3[[#This Row],[Census Tract]],'ES Energy Burden'!$B$2:$E$914,4,FALSE)</f>
        <v>No</v>
      </c>
    </row>
    <row r="731" spans="1:18" x14ac:dyDescent="0.2">
      <c r="A731" s="100">
        <v>9003477101</v>
      </c>
      <c r="B731" s="38" t="s">
        <v>2849</v>
      </c>
      <c r="C731" s="38" t="s">
        <v>944</v>
      </c>
      <c r="D731" s="40">
        <f>[1]!Table3[[#This Row],[Residential CLM $ Collected]]+[1]!Table3[[#This Row],[C&amp;I CLM $ Collected]]</f>
        <v>94801.637200320009</v>
      </c>
      <c r="E731" s="36">
        <f>[1]!Table3[[#This Row],[CLM $ Collected ]]/'[1]1.) CLM Reference'!$B$4</f>
        <v>8.4104614621260661E-4</v>
      </c>
      <c r="F731" s="40">
        <f>[1]!Table3[[#This Row],[Residential Incentive Disbursements]]+[1]!Table3[[#This Row],[C&amp;I Incentive Disbursements]]</f>
        <v>24103.85</v>
      </c>
      <c r="G731" s="36">
        <f>[1]!Table3[[#This Row],[Incentive Disbursements]]/'[1]1.) CLM Reference'!$B$5</f>
        <v>2.9490221864233236E-4</v>
      </c>
      <c r="H731" s="40">
        <v>94801.637200320009</v>
      </c>
      <c r="I731" s="36">
        <f>[1]!Table3[[#This Row],[Residential CLM $ Collected]]/'[1]1.) CLM Reference'!$B$4</f>
        <v>8.4104614621260661E-4</v>
      </c>
      <c r="J731" s="41">
        <v>24103.85</v>
      </c>
      <c r="K731" s="36">
        <f>[1]!Table3[[#This Row],[Residential Incentive Disbursements]]/'[1]1.) CLM Reference'!$B$5</f>
        <v>2.9490221864233236E-4</v>
      </c>
      <c r="L731" s="37">
        <v>0</v>
      </c>
      <c r="M731" s="36">
        <f>[1]!Table3[[#This Row],[C&amp;I CLM $ Collected]]/'[1]1.) CLM Reference'!$B$4</f>
        <v>0</v>
      </c>
      <c r="N731" s="41">
        <v>0</v>
      </c>
      <c r="O731" s="36">
        <f>[1]!Table3[[#This Row],[C&amp;I Incentive Disbursements]]/'[1]1.) CLM Reference'!$B$5</f>
        <v>0</v>
      </c>
      <c r="Q731">
        <f>VLOOKUP(Table3[[#This Row],[Census Tract]],'Population and Diversity Data'!$B$2:$K$823,10,FALSE)</f>
        <v>1</v>
      </c>
      <c r="R731" t="str">
        <f>VLOOKUP(Table3[[#This Row],[Census Tract]],'ES Energy Burden'!$B$2:$E$914,4,FALSE)</f>
        <v>No</v>
      </c>
    </row>
    <row r="732" spans="1:18" x14ac:dyDescent="0.2">
      <c r="A732" s="100">
        <v>9003477102</v>
      </c>
      <c r="B732" s="38" t="s">
        <v>2849</v>
      </c>
      <c r="C732" s="38" t="s">
        <v>944</v>
      </c>
      <c r="D732" s="40">
        <f>[1]!Table3[[#This Row],[Residential CLM $ Collected]]+[1]!Table3[[#This Row],[C&amp;I CLM $ Collected]]</f>
        <v>655629.93763775995</v>
      </c>
      <c r="E732" s="36">
        <f>[1]!Table3[[#This Row],[CLM $ Collected ]]/'[1]1.) CLM Reference'!$B$4</f>
        <v>5.8165138142781811E-3</v>
      </c>
      <c r="F732" s="40">
        <f>[1]!Table3[[#This Row],[Residential Incentive Disbursements]]+[1]!Table3[[#This Row],[C&amp;I Incentive Disbursements]]</f>
        <v>130820.77500000001</v>
      </c>
      <c r="G732" s="36">
        <f>[1]!Table3[[#This Row],[Incentive Disbursements]]/'[1]1.) CLM Reference'!$B$5</f>
        <v>1.6005466675244565E-3</v>
      </c>
      <c r="H732" s="40">
        <v>136802.6842896</v>
      </c>
      <c r="I732" s="36">
        <f>[1]!Table3[[#This Row],[Residential CLM $ Collected]]/'[1]1.) CLM Reference'!$B$4</f>
        <v>1.2136643818733501E-3</v>
      </c>
      <c r="J732" s="41">
        <v>120601.675</v>
      </c>
      <c r="K732" s="36">
        <f>[1]!Table3[[#This Row],[Residential Incentive Disbursements]]/'[1]1.) CLM Reference'!$B$5</f>
        <v>1.4755195344097109E-3</v>
      </c>
      <c r="L732" s="37">
        <v>518827.25334815995</v>
      </c>
      <c r="M732" s="36">
        <f>[1]!Table3[[#This Row],[C&amp;I CLM $ Collected]]/'[1]1.) CLM Reference'!$B$4</f>
        <v>4.6028494324048307E-3</v>
      </c>
      <c r="N732" s="41">
        <v>10219.1</v>
      </c>
      <c r="O732" s="36">
        <f>[1]!Table3[[#This Row],[C&amp;I Incentive Disbursements]]/'[1]1.) CLM Reference'!$B$5</f>
        <v>1.2502713311474551E-4</v>
      </c>
      <c r="Q732">
        <f>VLOOKUP(Table3[[#This Row],[Census Tract]],'Population and Diversity Data'!$B$2:$K$823,10,FALSE)</f>
        <v>4</v>
      </c>
      <c r="R732" t="str">
        <f>VLOOKUP(Table3[[#This Row],[Census Tract]],'ES Energy Burden'!$B$2:$E$914,4,FALSE)</f>
        <v>No</v>
      </c>
    </row>
    <row r="733" spans="1:18" x14ac:dyDescent="0.2">
      <c r="A733" s="100">
        <v>9003477200</v>
      </c>
      <c r="B733" s="38" t="s">
        <v>2849</v>
      </c>
      <c r="C733" s="38" t="s">
        <v>944</v>
      </c>
      <c r="D733" s="40">
        <f>[1]!Table3[[#This Row],[Residential CLM $ Collected]]+[1]!Table3[[#This Row],[C&amp;I CLM $ Collected]]</f>
        <v>64815.635833919994</v>
      </c>
      <c r="E733" s="36">
        <f>[1]!Table3[[#This Row],[CLM $ Collected ]]/'[1]1.) CLM Reference'!$B$4</f>
        <v>5.7502108974394513E-4</v>
      </c>
      <c r="F733" s="40">
        <f>[1]!Table3[[#This Row],[Residential Incentive Disbursements]]+[1]!Table3[[#This Row],[C&amp;I Incentive Disbursements]]</f>
        <v>12768.789500000001</v>
      </c>
      <c r="G733" s="36">
        <f>[1]!Table3[[#This Row],[Incentive Disbursements]]/'[1]1.) CLM Reference'!$B$5</f>
        <v>1.5622169707025716E-4</v>
      </c>
      <c r="H733" s="40">
        <v>64815.635833919994</v>
      </c>
      <c r="I733" s="36">
        <f>[1]!Table3[[#This Row],[Residential CLM $ Collected]]/'[1]1.) CLM Reference'!$B$4</f>
        <v>5.7502108974394513E-4</v>
      </c>
      <c r="J733" s="41">
        <v>12768.789500000001</v>
      </c>
      <c r="K733" s="36">
        <f>[1]!Table3[[#This Row],[Residential Incentive Disbursements]]/'[1]1.) CLM Reference'!$B$5</f>
        <v>1.5622169707025716E-4</v>
      </c>
      <c r="L733" s="37">
        <v>0</v>
      </c>
      <c r="M733" s="36">
        <f>[1]!Table3[[#This Row],[C&amp;I CLM $ Collected]]/'[1]1.) CLM Reference'!$B$4</f>
        <v>0</v>
      </c>
      <c r="N733" s="41">
        <v>0</v>
      </c>
      <c r="O733" s="36">
        <f>[1]!Table3[[#This Row],[C&amp;I Incentive Disbursements]]/'[1]1.) CLM Reference'!$B$5</f>
        <v>0</v>
      </c>
      <c r="Q733">
        <f>VLOOKUP(Table3[[#This Row],[Census Tract]],'Population and Diversity Data'!$B$2:$K$823,10,FALSE)</f>
        <v>1</v>
      </c>
      <c r="R733" t="str">
        <f>VLOOKUP(Table3[[#This Row],[Census Tract]],'ES Energy Burden'!$B$2:$E$914,4,FALSE)</f>
        <v>No</v>
      </c>
    </row>
    <row r="734" spans="1:18" x14ac:dyDescent="0.2">
      <c r="A734" s="100">
        <v>9005300500</v>
      </c>
      <c r="B734" s="38" t="s">
        <v>2850</v>
      </c>
      <c r="C734" s="38" t="s">
        <v>944</v>
      </c>
      <c r="D734" s="40">
        <f>[1]!Table3[[#This Row],[Residential CLM $ Collected]]+[1]!Table3[[#This Row],[C&amp;I CLM $ Collected]]</f>
        <v>2560.0510684800001</v>
      </c>
      <c r="E734" s="36">
        <f>[1]!Table3[[#This Row],[CLM $ Collected ]]/'[1]1.) CLM Reference'!$B$4</f>
        <v>2.2711855499952295E-5</v>
      </c>
      <c r="F734" s="40">
        <f>[1]!Table3[[#This Row],[Residential Incentive Disbursements]]+[1]!Table3[[#This Row],[C&amp;I Incentive Disbursements]]</f>
        <v>933.36</v>
      </c>
      <c r="G734" s="36">
        <f>[1]!Table3[[#This Row],[Incentive Disbursements]]/'[1]1.) CLM Reference'!$B$5</f>
        <v>1.1419334869409134E-5</v>
      </c>
      <c r="H734" s="40">
        <v>2560.0510684800001</v>
      </c>
      <c r="I734" s="36">
        <f>[1]!Table3[[#This Row],[Residential CLM $ Collected]]/'[1]1.) CLM Reference'!$B$4</f>
        <v>2.2711855499952295E-5</v>
      </c>
      <c r="J734" s="41">
        <v>933.36</v>
      </c>
      <c r="K734" s="36">
        <f>[1]!Table3[[#This Row],[Residential Incentive Disbursements]]/'[1]1.) CLM Reference'!$B$5</f>
        <v>1.1419334869409134E-5</v>
      </c>
      <c r="L734" s="37">
        <v>0</v>
      </c>
      <c r="M734" s="36">
        <f>[1]!Table3[[#This Row],[C&amp;I CLM $ Collected]]/'[1]1.) CLM Reference'!$B$4</f>
        <v>0</v>
      </c>
      <c r="N734" s="41">
        <v>0</v>
      </c>
      <c r="O734" s="36">
        <f>[1]!Table3[[#This Row],[C&amp;I Incentive Disbursements]]/'[1]1.) CLM Reference'!$B$5</f>
        <v>0</v>
      </c>
      <c r="Q734">
        <f>VLOOKUP(Table3[[#This Row],[Census Tract]],'Population and Diversity Data'!$B$2:$K$823,10,FALSE)</f>
        <v>1</v>
      </c>
      <c r="R734" t="str">
        <f>VLOOKUP(Table3[[#This Row],[Census Tract]],'ES Energy Burden'!$B$2:$E$914,4,FALSE)</f>
        <v>No</v>
      </c>
    </row>
    <row r="735" spans="1:18" x14ac:dyDescent="0.2">
      <c r="A735" s="100">
        <v>9005349100</v>
      </c>
      <c r="B735" s="38" t="s">
        <v>2850</v>
      </c>
      <c r="C735" s="38" t="s">
        <v>944</v>
      </c>
      <c r="D735" s="40">
        <f>[1]!Table3[[#This Row],[Residential CLM $ Collected]]+[1]!Table3[[#This Row],[C&amp;I CLM $ Collected]]</f>
        <v>172920.63703680001</v>
      </c>
      <c r="E735" s="36">
        <f>[1]!Table3[[#This Row],[CLM $ Collected ]]/'[1]1.) CLM Reference'!$B$4</f>
        <v>1.5340899131638483E-3</v>
      </c>
      <c r="F735" s="40">
        <f>[1]!Table3[[#This Row],[Residential Incentive Disbursements]]+[1]!Table3[[#This Row],[C&amp;I Incentive Disbursements]]</f>
        <v>101751.56359999999</v>
      </c>
      <c r="G735" s="36">
        <f>[1]!Table3[[#This Row],[Incentive Disbursements]]/'[1]1.) CLM Reference'!$B$5</f>
        <v>1.2448949796802747E-3</v>
      </c>
      <c r="H735" s="40">
        <v>106189.790616</v>
      </c>
      <c r="I735" s="36">
        <f>[1]!Table3[[#This Row],[Residential CLM $ Collected]]/'[1]1.) CLM Reference'!$B$4</f>
        <v>9.420777615474445E-4</v>
      </c>
      <c r="J735" s="41">
        <v>90896.353600000002</v>
      </c>
      <c r="K735" s="36">
        <f>[1]!Table3[[#This Row],[Residential Incentive Disbursements]]/'[1]1.) CLM Reference'!$B$5</f>
        <v>1.1120852620281805E-3</v>
      </c>
      <c r="L735" s="37">
        <v>66730.846420800008</v>
      </c>
      <c r="M735" s="36">
        <f>[1]!Table3[[#This Row],[C&amp;I CLM $ Collected]]/'[1]1.) CLM Reference'!$B$4</f>
        <v>5.9201215161640384E-4</v>
      </c>
      <c r="N735" s="41">
        <v>10855.21</v>
      </c>
      <c r="O735" s="36">
        <f>[1]!Table3[[#This Row],[C&amp;I Incentive Disbursements]]/'[1]1.) CLM Reference'!$B$5</f>
        <v>1.3280971765209428E-4</v>
      </c>
      <c r="Q735">
        <f>VLOOKUP(Table3[[#This Row],[Census Tract]],'Population and Diversity Data'!$B$2:$K$823,10,FALSE)</f>
        <v>1</v>
      </c>
      <c r="R735" t="str">
        <f>VLOOKUP(Table3[[#This Row],[Census Tract]],'ES Energy Burden'!$B$2:$E$914,4,FALSE)</f>
        <v>No</v>
      </c>
    </row>
    <row r="736" spans="1:18" x14ac:dyDescent="0.2">
      <c r="A736" s="100">
        <v>9005349200</v>
      </c>
      <c r="B736" s="38" t="s">
        <v>2850</v>
      </c>
      <c r="C736" s="38" t="s">
        <v>944</v>
      </c>
      <c r="D736" s="40">
        <f>[1]!Table3[[#This Row],[Residential CLM $ Collected]]+[1]!Table3[[#This Row],[C&amp;I CLM $ Collected]]</f>
        <v>51583.641946560005</v>
      </c>
      <c r="E736" s="36">
        <f>[1]!Table3[[#This Row],[CLM $ Collected ]]/'[1]1.) CLM Reference'!$B$4</f>
        <v>4.576315826180564E-4</v>
      </c>
      <c r="F736" s="40">
        <f>[1]!Table3[[#This Row],[Residential Incentive Disbursements]]+[1]!Table3[[#This Row],[C&amp;I Incentive Disbursements]]</f>
        <v>34946.99</v>
      </c>
      <c r="G736" s="36">
        <f>[1]!Table3[[#This Row],[Incentive Disbursements]]/'[1]1.) CLM Reference'!$B$5</f>
        <v>4.2756426404376907E-4</v>
      </c>
      <c r="H736" s="40">
        <v>51583.641946560005</v>
      </c>
      <c r="I736" s="36">
        <f>[1]!Table3[[#This Row],[Residential CLM $ Collected]]/'[1]1.) CLM Reference'!$B$4</f>
        <v>4.576315826180564E-4</v>
      </c>
      <c r="J736" s="41">
        <v>34946.99</v>
      </c>
      <c r="K736" s="36">
        <f>[1]!Table3[[#This Row],[Residential Incentive Disbursements]]/'[1]1.) CLM Reference'!$B$5</f>
        <v>4.2756426404376907E-4</v>
      </c>
      <c r="L736" s="37">
        <v>0</v>
      </c>
      <c r="M736" s="36">
        <f>[1]!Table3[[#This Row],[C&amp;I CLM $ Collected]]/'[1]1.) CLM Reference'!$B$4</f>
        <v>0</v>
      </c>
      <c r="N736" s="41">
        <v>0</v>
      </c>
      <c r="O736" s="36">
        <f>[1]!Table3[[#This Row],[C&amp;I Incentive Disbursements]]/'[1]1.) CLM Reference'!$B$5</f>
        <v>0</v>
      </c>
      <c r="Q736">
        <f>VLOOKUP(Table3[[#This Row],[Census Tract]],'Population and Diversity Data'!$B$2:$K$823,10,FALSE)</f>
        <v>1</v>
      </c>
      <c r="R736" t="str">
        <f>VLOOKUP(Table3[[#This Row],[Census Tract]],'ES Energy Burden'!$B$2:$E$914,4,FALSE)</f>
        <v>No</v>
      </c>
    </row>
    <row r="737" spans="1:18" x14ac:dyDescent="0.2">
      <c r="A737" s="100">
        <v>9005425300</v>
      </c>
      <c r="B737" s="38" t="s">
        <v>2850</v>
      </c>
      <c r="C737" s="38" t="s">
        <v>944</v>
      </c>
      <c r="D737" s="40">
        <f>[1]!Table3[[#This Row],[Residential CLM $ Collected]]+[1]!Table3[[#This Row],[C&amp;I CLM $ Collected]]</f>
        <v>125.9121888</v>
      </c>
      <c r="E737" s="36">
        <f>[1]!Table3[[#This Row],[CLM $ Collected ]]/'[1]1.) CLM Reference'!$B$4</f>
        <v>1.1170478092869546E-6</v>
      </c>
      <c r="F737" s="40">
        <f>[1]!Table3[[#This Row],[Residential Incentive Disbursements]]+[1]!Table3[[#This Row],[C&amp;I Incentive Disbursements]]</f>
        <v>0</v>
      </c>
      <c r="G737" s="36">
        <f>[1]!Table3[[#This Row],[Incentive Disbursements]]/'[1]1.) CLM Reference'!$B$5</f>
        <v>0</v>
      </c>
      <c r="H737" s="40">
        <v>125.9121888</v>
      </c>
      <c r="I737" s="36">
        <f>[1]!Table3[[#This Row],[Residential CLM $ Collected]]/'[1]1.) CLM Reference'!$B$4</f>
        <v>1.1170478092869546E-6</v>
      </c>
      <c r="J737" s="41">
        <v>0</v>
      </c>
      <c r="K737" s="36">
        <f>[1]!Table3[[#This Row],[Residential Incentive Disbursements]]/'[1]1.) CLM Reference'!$B$5</f>
        <v>0</v>
      </c>
      <c r="L737" s="37">
        <v>0</v>
      </c>
      <c r="M737" s="36">
        <f>[1]!Table3[[#This Row],[C&amp;I CLM $ Collected]]/'[1]1.) CLM Reference'!$B$4</f>
        <v>0</v>
      </c>
      <c r="N737" s="41">
        <v>0</v>
      </c>
      <c r="O737" s="36">
        <f>[1]!Table3[[#This Row],[C&amp;I Incentive Disbursements]]/'[1]1.) CLM Reference'!$B$5</f>
        <v>0</v>
      </c>
      <c r="Q737">
        <f>VLOOKUP(Table3[[#This Row],[Census Tract]],'Population and Diversity Data'!$B$2:$K$823,10,FALSE)</f>
        <v>1</v>
      </c>
      <c r="R737" t="str">
        <f>VLOOKUP(Table3[[#This Row],[Census Tract]],'ES Energy Burden'!$B$2:$E$914,4,FALSE)</f>
        <v>No</v>
      </c>
    </row>
    <row r="738" spans="1:18" x14ac:dyDescent="0.2">
      <c r="A738" s="100">
        <v>9015900100</v>
      </c>
      <c r="B738" s="38" t="s">
        <v>2851</v>
      </c>
      <c r="C738" s="38" t="s">
        <v>944</v>
      </c>
      <c r="D738" s="40">
        <f>[1]!Table3[[#This Row],[Residential CLM $ Collected]]+[1]!Table3[[#This Row],[C&amp;I CLM $ Collected]]</f>
        <v>131978.84541119999</v>
      </c>
      <c r="E738" s="36">
        <f>[1]!Table3[[#This Row],[CLM $ Collected ]]/'[1]1.) CLM Reference'!$B$4</f>
        <v>1.1708690123160071E-3</v>
      </c>
      <c r="F738" s="40">
        <f>[1]!Table3[[#This Row],[Residential Incentive Disbursements]]+[1]!Table3[[#This Row],[C&amp;I Incentive Disbursements]]</f>
        <v>55611.319199999998</v>
      </c>
      <c r="G738" s="36">
        <f>[1]!Table3[[#This Row],[Incentive Disbursements]]/'[1]1.) CLM Reference'!$B$5</f>
        <v>6.8038514236136286E-4</v>
      </c>
      <c r="H738" s="40">
        <v>114098.2118352</v>
      </c>
      <c r="I738" s="36">
        <f>[1]!Table3[[#This Row],[Residential CLM $ Collected]]/'[1]1.) CLM Reference'!$B$4</f>
        <v>1.012238440049015E-3</v>
      </c>
      <c r="J738" s="41">
        <v>45721.439200000001</v>
      </c>
      <c r="K738" s="36">
        <f>[1]!Table3[[#This Row],[Residential Incentive Disbursements]]/'[1]1.) CLM Reference'!$B$5</f>
        <v>5.5938590140581308E-4</v>
      </c>
      <c r="L738" s="37">
        <v>17880.633576</v>
      </c>
      <c r="M738" s="36">
        <f>[1]!Table3[[#This Row],[C&amp;I CLM $ Collected]]/'[1]1.) CLM Reference'!$B$4</f>
        <v>1.5863057226699219E-4</v>
      </c>
      <c r="N738" s="41">
        <v>9889.8799999999992</v>
      </c>
      <c r="O738" s="36">
        <f>[1]!Table3[[#This Row],[C&amp;I Incentive Disbursements]]/'[1]1.) CLM Reference'!$B$5</f>
        <v>1.2099924095554984E-4</v>
      </c>
      <c r="Q738">
        <f>VLOOKUP(Table3[[#This Row],[Census Tract]],'Population and Diversity Data'!$B$2:$K$823,10,FALSE)</f>
        <v>2</v>
      </c>
      <c r="R738" t="str">
        <f>VLOOKUP(Table3[[#This Row],[Census Tract]],'ES Energy Burden'!$B$2:$E$914,4,FALSE)</f>
        <v>No</v>
      </c>
    </row>
    <row r="739" spans="1:18" x14ac:dyDescent="0.2">
      <c r="A739" s="100">
        <v>9015900200</v>
      </c>
      <c r="B739" s="38" t="s">
        <v>2851</v>
      </c>
      <c r="C739" s="38" t="s">
        <v>944</v>
      </c>
      <c r="D739" s="40">
        <f>[1]!Table3[[#This Row],[Residential CLM $ Collected]]+[1]!Table3[[#This Row],[C&amp;I CLM $ Collected]]</f>
        <v>78065.277456960001</v>
      </c>
      <c r="E739" s="36">
        <f>[1]!Table3[[#This Row],[CLM $ Collected ]]/'[1]1.) CLM Reference'!$B$4</f>
        <v>6.9256716125544362E-4</v>
      </c>
      <c r="F739" s="40">
        <f>[1]!Table3[[#This Row],[Residential Incentive Disbursements]]+[1]!Table3[[#This Row],[C&amp;I Incentive Disbursements]]</f>
        <v>10634.31</v>
      </c>
      <c r="G739" s="36">
        <f>[1]!Table3[[#This Row],[Incentive Disbursements]]/'[1]1.) CLM Reference'!$B$5</f>
        <v>1.3010708300667078E-4</v>
      </c>
      <c r="H739" s="40">
        <v>78065.277456960001</v>
      </c>
      <c r="I739" s="36">
        <f>[1]!Table3[[#This Row],[Residential CLM $ Collected]]/'[1]1.) CLM Reference'!$B$4</f>
        <v>6.9256716125544362E-4</v>
      </c>
      <c r="J739" s="41">
        <v>10634.31</v>
      </c>
      <c r="K739" s="36">
        <f>[1]!Table3[[#This Row],[Residential Incentive Disbursements]]/'[1]1.) CLM Reference'!$B$5</f>
        <v>1.3010708300667078E-4</v>
      </c>
      <c r="L739" s="37">
        <v>0</v>
      </c>
      <c r="M739" s="36">
        <f>[1]!Table3[[#This Row],[C&amp;I CLM $ Collected]]/'[1]1.) CLM Reference'!$B$4</f>
        <v>0</v>
      </c>
      <c r="N739" s="41">
        <v>0</v>
      </c>
      <c r="O739" s="36">
        <f>[1]!Table3[[#This Row],[C&amp;I Incentive Disbursements]]/'[1]1.) CLM Reference'!$B$5</f>
        <v>0</v>
      </c>
      <c r="Q739">
        <f>VLOOKUP(Table3[[#This Row],[Census Tract]],'Population and Diversity Data'!$B$2:$K$823,10,FALSE)</f>
        <v>2</v>
      </c>
      <c r="R739" t="str">
        <f>VLOOKUP(Table3[[#This Row],[Census Tract]],'ES Energy Burden'!$B$2:$E$914,4,FALSE)</f>
        <v>No</v>
      </c>
    </row>
    <row r="740" spans="1:18" x14ac:dyDescent="0.2">
      <c r="A740" s="100">
        <v>9015901100</v>
      </c>
      <c r="B740" s="38" t="s">
        <v>2851</v>
      </c>
      <c r="C740" s="38" t="s">
        <v>944</v>
      </c>
      <c r="D740" s="40">
        <f>[1]!Table3[[#This Row],[Residential CLM $ Collected]]+[1]!Table3[[#This Row],[C&amp;I CLM $ Collected]]</f>
        <v>378.51805440000004</v>
      </c>
      <c r="E740" s="36">
        <f>[1]!Table3[[#This Row],[CLM $ Collected ]]/'[1]1.) CLM Reference'!$B$4</f>
        <v>3.3580765092940736E-6</v>
      </c>
      <c r="F740" s="40">
        <f>[1]!Table3[[#This Row],[Residential Incentive Disbursements]]+[1]!Table3[[#This Row],[C&amp;I Incentive Disbursements]]</f>
        <v>0</v>
      </c>
      <c r="G740" s="36">
        <f>[1]!Table3[[#This Row],[Incentive Disbursements]]/'[1]1.) CLM Reference'!$B$5</f>
        <v>0</v>
      </c>
      <c r="H740" s="40">
        <v>378.51805440000004</v>
      </c>
      <c r="I740" s="36">
        <f>[1]!Table3[[#This Row],[Residential CLM $ Collected]]/'[1]1.) CLM Reference'!$B$4</f>
        <v>3.3580765092940736E-6</v>
      </c>
      <c r="J740" s="41">
        <v>0</v>
      </c>
      <c r="K740" s="36">
        <f>[1]!Table3[[#This Row],[Residential Incentive Disbursements]]/'[1]1.) CLM Reference'!$B$5</f>
        <v>0</v>
      </c>
      <c r="L740" s="37">
        <v>0</v>
      </c>
      <c r="M740" s="36">
        <f>[1]!Table3[[#This Row],[C&amp;I CLM $ Collected]]/'[1]1.) CLM Reference'!$B$4</f>
        <v>0</v>
      </c>
      <c r="N740" s="41">
        <v>0</v>
      </c>
      <c r="O740" s="36">
        <f>[1]!Table3[[#This Row],[C&amp;I Incentive Disbursements]]/'[1]1.) CLM Reference'!$B$5</f>
        <v>0</v>
      </c>
      <c r="Q740">
        <f>VLOOKUP(Table3[[#This Row],[Census Tract]],'Population and Diversity Data'!$B$2:$K$823,10,FALSE)</f>
        <v>1</v>
      </c>
      <c r="R740" t="str">
        <f>VLOOKUP(Table3[[#This Row],[Census Tract]],'ES Energy Burden'!$B$2:$E$914,4,FALSE)</f>
        <v>No</v>
      </c>
    </row>
    <row r="741" spans="1:18" x14ac:dyDescent="0.2">
      <c r="A741" s="100">
        <v>9015903200</v>
      </c>
      <c r="B741" s="38" t="s">
        <v>2851</v>
      </c>
      <c r="C741" s="38" t="s">
        <v>944</v>
      </c>
      <c r="D741" s="40">
        <f>[1]!Table3[[#This Row],[Residential CLM $ Collected]]+[1]!Table3[[#This Row],[C&amp;I CLM $ Collected]]</f>
        <v>114.18408000000001</v>
      </c>
      <c r="E741" s="36">
        <f>[1]!Table3[[#This Row],[CLM $ Collected ]]/'[1]1.) CLM Reference'!$B$4</f>
        <v>1.0130002316300485E-6</v>
      </c>
      <c r="F741" s="40">
        <f>[1]!Table3[[#This Row],[Residential Incentive Disbursements]]+[1]!Table3[[#This Row],[C&amp;I Incentive Disbursements]]</f>
        <v>0</v>
      </c>
      <c r="G741" s="36">
        <f>[1]!Table3[[#This Row],[Incentive Disbursements]]/'[1]1.) CLM Reference'!$B$5</f>
        <v>0</v>
      </c>
      <c r="H741" s="40">
        <v>114.18408000000001</v>
      </c>
      <c r="I741" s="36">
        <f>[1]!Table3[[#This Row],[Residential CLM $ Collected]]/'[1]1.) CLM Reference'!$B$4</f>
        <v>1.0130002316300485E-6</v>
      </c>
      <c r="J741" s="41">
        <v>0</v>
      </c>
      <c r="K741" s="36">
        <f>[1]!Table3[[#This Row],[Residential Incentive Disbursements]]/'[1]1.) CLM Reference'!$B$5</f>
        <v>0</v>
      </c>
      <c r="L741" s="37">
        <v>0</v>
      </c>
      <c r="M741" s="36">
        <f>[1]!Table3[[#This Row],[C&amp;I CLM $ Collected]]/'[1]1.) CLM Reference'!$B$4</f>
        <v>0</v>
      </c>
      <c r="N741" s="41">
        <v>0</v>
      </c>
      <c r="O741" s="36">
        <f>[1]!Table3[[#This Row],[C&amp;I Incentive Disbursements]]/'[1]1.) CLM Reference'!$B$5</f>
        <v>0</v>
      </c>
      <c r="Q741">
        <f>VLOOKUP(Table3[[#This Row],[Census Tract]],'Population and Diversity Data'!$B$2:$K$823,10,FALSE)</f>
        <v>3</v>
      </c>
      <c r="R741" t="str">
        <f>VLOOKUP(Table3[[#This Row],[Census Tract]],'ES Energy Burden'!$B$2:$E$914,4,FALSE)</f>
        <v>No</v>
      </c>
    </row>
    <row r="742" spans="1:18" x14ac:dyDescent="0.2">
      <c r="A742" s="100">
        <v>9013530600</v>
      </c>
      <c r="B742" s="38" t="s">
        <v>2852</v>
      </c>
      <c r="C742" s="38" t="s">
        <v>944</v>
      </c>
      <c r="D742" s="40">
        <f>[1]!Table3[[#This Row],[Residential CLM $ Collected]]+[1]!Table3[[#This Row],[C&amp;I CLM $ Collected]]</f>
        <v>546.76373760000001</v>
      </c>
      <c r="E742" s="36">
        <f>[1]!Table3[[#This Row],[CLM $ Collected ]]/'[1]1.) CLM Reference'!$B$4</f>
        <v>4.850691907625923E-6</v>
      </c>
      <c r="F742" s="40">
        <f>[1]!Table3[[#This Row],[Residential Incentive Disbursements]]+[1]!Table3[[#This Row],[C&amp;I Incentive Disbursements]]</f>
        <v>0</v>
      </c>
      <c r="G742" s="36">
        <f>[1]!Table3[[#This Row],[Incentive Disbursements]]/'[1]1.) CLM Reference'!$B$5</f>
        <v>0</v>
      </c>
      <c r="H742" s="40">
        <v>546.76373760000001</v>
      </c>
      <c r="I742" s="36">
        <f>[1]!Table3[[#This Row],[Residential CLM $ Collected]]/'[1]1.) CLM Reference'!$B$4</f>
        <v>4.850691907625923E-6</v>
      </c>
      <c r="J742" s="41">
        <v>0</v>
      </c>
      <c r="K742" s="36">
        <f>[1]!Table3[[#This Row],[Residential Incentive Disbursements]]/'[1]1.) CLM Reference'!$B$5</f>
        <v>0</v>
      </c>
      <c r="L742" s="37">
        <v>0</v>
      </c>
      <c r="M742" s="36">
        <f>[1]!Table3[[#This Row],[C&amp;I CLM $ Collected]]/'[1]1.) CLM Reference'!$B$4</f>
        <v>0</v>
      </c>
      <c r="N742" s="41">
        <v>0</v>
      </c>
      <c r="O742" s="36">
        <f>[1]!Table3[[#This Row],[C&amp;I Incentive Disbursements]]/'[1]1.) CLM Reference'!$B$5</f>
        <v>0</v>
      </c>
      <c r="Q742">
        <f>VLOOKUP(Table3[[#This Row],[Census Tract]],'Population and Diversity Data'!$B$2:$K$823,10,FALSE)</f>
        <v>4</v>
      </c>
      <c r="R742" t="str">
        <f>VLOOKUP(Table3[[#This Row],[Census Tract]],'ES Energy Burden'!$B$2:$E$914,4,FALSE)</f>
        <v>No</v>
      </c>
    </row>
    <row r="743" spans="1:18" x14ac:dyDescent="0.2">
      <c r="A743" s="100">
        <v>9013533101</v>
      </c>
      <c r="B743" s="38" t="s">
        <v>2852</v>
      </c>
      <c r="C743" s="38" t="s">
        <v>944</v>
      </c>
      <c r="D743" s="40">
        <f>[1]!Table3[[#This Row],[Residential CLM $ Collected]]+[1]!Table3[[#This Row],[C&amp;I CLM $ Collected]]</f>
        <v>211485.03391584003</v>
      </c>
      <c r="E743" s="36">
        <f>[1]!Table3[[#This Row],[CLM $ Collected ]]/'[1]1.) CLM Reference'!$B$4</f>
        <v>1.8762194199316979E-3</v>
      </c>
      <c r="F743" s="40">
        <f>[1]!Table3[[#This Row],[Residential Incentive Disbursements]]+[1]!Table3[[#This Row],[C&amp;I Incentive Disbursements]]</f>
        <v>124145.8175</v>
      </c>
      <c r="G743" s="36">
        <f>[1]!Table3[[#This Row],[Incentive Disbursements]]/'[1]1.) CLM Reference'!$B$5</f>
        <v>1.5188808848344184E-3</v>
      </c>
      <c r="H743" s="40">
        <v>172674.64892736002</v>
      </c>
      <c r="I743" s="36">
        <f>[1]!Table3[[#This Row],[Residential CLM $ Collected]]/'[1]1.) CLM Reference'!$B$4</f>
        <v>1.5319075948245411E-3</v>
      </c>
      <c r="J743" s="41">
        <v>109420.7975</v>
      </c>
      <c r="K743" s="36">
        <f>[1]!Table3[[#This Row],[Residential Incentive Disbursements]]/'[1]1.) CLM Reference'!$B$5</f>
        <v>1.3387253881999505E-3</v>
      </c>
      <c r="L743" s="37">
        <v>38810.38498848</v>
      </c>
      <c r="M743" s="36">
        <f>[1]!Table3[[#This Row],[C&amp;I CLM $ Collected]]/'[1]1.) CLM Reference'!$B$4</f>
        <v>3.4431182510715673E-4</v>
      </c>
      <c r="N743" s="41">
        <v>14725.02</v>
      </c>
      <c r="O743" s="36">
        <f>[1]!Table3[[#This Row],[C&amp;I Incentive Disbursements]]/'[1]1.) CLM Reference'!$B$5</f>
        <v>1.8015549663446783E-4</v>
      </c>
      <c r="Q743">
        <f>VLOOKUP(Table3[[#This Row],[Census Tract]],'Population and Diversity Data'!$B$2:$K$823,10,FALSE)</f>
        <v>2</v>
      </c>
      <c r="R743" t="str">
        <f>VLOOKUP(Table3[[#This Row],[Census Tract]],'ES Energy Burden'!$B$2:$E$914,4,FALSE)</f>
        <v>No</v>
      </c>
    </row>
    <row r="744" spans="1:18" x14ac:dyDescent="0.2">
      <c r="A744" s="100">
        <v>9013533102</v>
      </c>
      <c r="B744" s="38" t="s">
        <v>2852</v>
      </c>
      <c r="C744" s="38" t="s">
        <v>944</v>
      </c>
      <c r="D744" s="40">
        <f>[1]!Table3[[#This Row],[Residential CLM $ Collected]]+[1]!Table3[[#This Row],[C&amp;I CLM $ Collected]]</f>
        <v>102545.04115008</v>
      </c>
      <c r="E744" s="36">
        <f>[1]!Table3[[#This Row],[CLM $ Collected ]]/'[1]1.) CLM Reference'!$B$4</f>
        <v>9.0974285064558799E-4</v>
      </c>
      <c r="F744" s="40">
        <f>[1]!Table3[[#This Row],[Residential Incentive Disbursements]]+[1]!Table3[[#This Row],[C&amp;I Incentive Disbursements]]</f>
        <v>28463.101999999999</v>
      </c>
      <c r="G744" s="36">
        <f>[1]!Table3[[#This Row],[Incentive Disbursements]]/'[1]1.) CLM Reference'!$B$5</f>
        <v>3.4823615021015348E-4</v>
      </c>
      <c r="H744" s="40">
        <v>102538.85292288</v>
      </c>
      <c r="I744" s="36">
        <f>[1]!Table3[[#This Row],[Residential CLM $ Collected]]/'[1]1.) CLM Reference'!$B$4</f>
        <v>9.0968795091186884E-4</v>
      </c>
      <c r="J744" s="41">
        <v>28463.101999999999</v>
      </c>
      <c r="K744" s="36">
        <f>[1]!Table3[[#This Row],[Residential Incentive Disbursements]]/'[1]1.) CLM Reference'!$B$5</f>
        <v>3.4823615021015348E-4</v>
      </c>
      <c r="L744" s="37">
        <v>6.1882272</v>
      </c>
      <c r="M744" s="36">
        <f>[1]!Table3[[#This Row],[C&amp;I CLM $ Collected]]/'[1]1.) CLM Reference'!$B$4</f>
        <v>5.4899733719265987E-8</v>
      </c>
      <c r="N744" s="41">
        <v>0</v>
      </c>
      <c r="O744" s="36">
        <f>[1]!Table3[[#This Row],[C&amp;I Incentive Disbursements]]/'[1]1.) CLM Reference'!$B$5</f>
        <v>0</v>
      </c>
      <c r="Q744">
        <f>VLOOKUP(Table3[[#This Row],[Census Tract]],'Population and Diversity Data'!$B$2:$K$823,10,FALSE)</f>
        <v>4</v>
      </c>
      <c r="R744" t="str">
        <f>VLOOKUP(Table3[[#This Row],[Census Tract]],'ES Energy Burden'!$B$2:$E$914,4,FALSE)</f>
        <v>No</v>
      </c>
    </row>
    <row r="745" spans="1:18" x14ac:dyDescent="0.2">
      <c r="A745" s="100">
        <v>9013535200</v>
      </c>
      <c r="B745" s="38" t="s">
        <v>2852</v>
      </c>
      <c r="C745" s="38" t="s">
        <v>944</v>
      </c>
      <c r="D745" s="40">
        <f>[1]!Table3[[#This Row],[Residential CLM $ Collected]]+[1]!Table3[[#This Row],[C&amp;I CLM $ Collected]]</f>
        <v>145.7156736</v>
      </c>
      <c r="E745" s="36">
        <f>[1]!Table3[[#This Row],[CLM $ Collected ]]/'[1]1.) CLM Reference'!$B$4</f>
        <v>1.2927372284203588E-6</v>
      </c>
      <c r="F745" s="40">
        <f>[1]!Table3[[#This Row],[Residential Incentive Disbursements]]+[1]!Table3[[#This Row],[C&amp;I Incentive Disbursements]]</f>
        <v>0</v>
      </c>
      <c r="G745" s="36">
        <f>[1]!Table3[[#This Row],[Incentive Disbursements]]/'[1]1.) CLM Reference'!$B$5</f>
        <v>0</v>
      </c>
      <c r="H745" s="40">
        <v>145.7156736</v>
      </c>
      <c r="I745" s="36">
        <f>[1]!Table3[[#This Row],[Residential CLM $ Collected]]/'[1]1.) CLM Reference'!$B$4</f>
        <v>1.2927372284203588E-6</v>
      </c>
      <c r="J745" s="41">
        <v>0</v>
      </c>
      <c r="K745" s="36">
        <f>[1]!Table3[[#This Row],[Residential Incentive Disbursements]]/'[1]1.) CLM Reference'!$B$5</f>
        <v>0</v>
      </c>
      <c r="L745" s="37">
        <v>0</v>
      </c>
      <c r="M745" s="36">
        <f>[1]!Table3[[#This Row],[C&amp;I CLM $ Collected]]/'[1]1.) CLM Reference'!$B$4</f>
        <v>0</v>
      </c>
      <c r="N745" s="41">
        <v>0</v>
      </c>
      <c r="O745" s="36">
        <f>[1]!Table3[[#This Row],[C&amp;I Incentive Disbursements]]/'[1]1.) CLM Reference'!$B$5</f>
        <v>0</v>
      </c>
      <c r="Q745">
        <f>VLOOKUP(Table3[[#This Row],[Census Tract]],'Population and Diversity Data'!$B$2:$K$823,10,FALSE)</f>
        <v>5</v>
      </c>
      <c r="R745" t="str">
        <f>VLOOKUP(Table3[[#This Row],[Census Tract]],'ES Energy Burden'!$B$2:$E$914,4,FALSE)</f>
        <v>No</v>
      </c>
    </row>
    <row r="746" spans="1:18" x14ac:dyDescent="0.2">
      <c r="A746" s="100">
        <v>9005300400</v>
      </c>
      <c r="B746" s="38" t="s">
        <v>2853</v>
      </c>
      <c r="C746" s="38" t="s">
        <v>944</v>
      </c>
      <c r="D746" s="40">
        <f>[1]!Table3[[#This Row],[Residential CLM $ Collected]]+[1]!Table3[[#This Row],[C&amp;I CLM $ Collected]]</f>
        <v>82.918771200000009</v>
      </c>
      <c r="E746" s="36">
        <f>[1]!Table3[[#This Row],[CLM $ Collected ]]/'[1]1.) CLM Reference'!$B$4</f>
        <v>7.3562561814290564E-7</v>
      </c>
      <c r="F746" s="40">
        <f>[1]!Table3[[#This Row],[Residential Incentive Disbursements]]+[1]!Table3[[#This Row],[C&amp;I Incentive Disbursements]]</f>
        <v>0</v>
      </c>
      <c r="G746" s="36">
        <f>[1]!Table3[[#This Row],[Incentive Disbursements]]/'[1]1.) CLM Reference'!$B$5</f>
        <v>0</v>
      </c>
      <c r="H746" s="40">
        <v>82.918771200000009</v>
      </c>
      <c r="I746" s="36">
        <f>[1]!Table3[[#This Row],[Residential CLM $ Collected]]/'[1]1.) CLM Reference'!$B$4</f>
        <v>7.3562561814290564E-7</v>
      </c>
      <c r="J746" s="41">
        <v>0</v>
      </c>
      <c r="K746" s="36">
        <f>[1]!Table3[[#This Row],[Residential Incentive Disbursements]]/'[1]1.) CLM Reference'!$B$5</f>
        <v>0</v>
      </c>
      <c r="L746" s="37">
        <v>0</v>
      </c>
      <c r="M746" s="36">
        <f>[1]!Table3[[#This Row],[C&amp;I CLM $ Collected]]/'[1]1.) CLM Reference'!$B$4</f>
        <v>0</v>
      </c>
      <c r="N746" s="41">
        <v>0</v>
      </c>
      <c r="O746" s="36">
        <f>[1]!Table3[[#This Row],[C&amp;I Incentive Disbursements]]/'[1]1.) CLM Reference'!$B$5</f>
        <v>0</v>
      </c>
      <c r="Q746">
        <f>VLOOKUP(Table3[[#This Row],[Census Tract]],'Population and Diversity Data'!$B$2:$K$823,10,FALSE)</f>
        <v>2</v>
      </c>
      <c r="R746" t="str">
        <f>VLOOKUP(Table3[[#This Row],[Census Tract]],'ES Energy Burden'!$B$2:$E$914,4,FALSE)</f>
        <v>No</v>
      </c>
    </row>
    <row r="747" spans="1:18" x14ac:dyDescent="0.2">
      <c r="A747" s="100">
        <v>9005306100</v>
      </c>
      <c r="B747" s="38" t="s">
        <v>2853</v>
      </c>
      <c r="C747" s="38" t="s">
        <v>944</v>
      </c>
      <c r="D747" s="40">
        <f>[1]!Table3[[#This Row],[Residential CLM $ Collected]]+[1]!Table3[[#This Row],[C&amp;I CLM $ Collected]]</f>
        <v>575.92192320000004</v>
      </c>
      <c r="E747" s="36">
        <f>[1]!Table3[[#This Row],[CLM $ Collected ]]/'[1]1.) CLM Reference'!$B$4</f>
        <v>5.1093728793227824E-6</v>
      </c>
      <c r="F747" s="40">
        <f>[1]!Table3[[#This Row],[Residential Incentive Disbursements]]+[1]!Table3[[#This Row],[C&amp;I Incentive Disbursements]]</f>
        <v>0</v>
      </c>
      <c r="G747" s="36">
        <f>[1]!Table3[[#This Row],[Incentive Disbursements]]/'[1]1.) CLM Reference'!$B$5</f>
        <v>0</v>
      </c>
      <c r="H747" s="40">
        <v>575.92192320000004</v>
      </c>
      <c r="I747" s="36">
        <f>[1]!Table3[[#This Row],[Residential CLM $ Collected]]/'[1]1.) CLM Reference'!$B$4</f>
        <v>5.1093728793227824E-6</v>
      </c>
      <c r="J747" s="41">
        <v>0</v>
      </c>
      <c r="K747" s="36">
        <f>[1]!Table3[[#This Row],[Residential Incentive Disbursements]]/'[1]1.) CLM Reference'!$B$5</f>
        <v>0</v>
      </c>
      <c r="L747" s="37">
        <v>0</v>
      </c>
      <c r="M747" s="36">
        <f>[1]!Table3[[#This Row],[C&amp;I CLM $ Collected]]/'[1]1.) CLM Reference'!$B$4</f>
        <v>0</v>
      </c>
      <c r="N747" s="41">
        <v>0</v>
      </c>
      <c r="O747" s="36">
        <f>[1]!Table3[[#This Row],[C&amp;I Incentive Disbursements]]/'[1]1.) CLM Reference'!$B$5</f>
        <v>0</v>
      </c>
      <c r="Q747">
        <f>VLOOKUP(Table3[[#This Row],[Census Tract]],'Population and Diversity Data'!$B$2:$K$823,10,FALSE)</f>
        <v>1</v>
      </c>
      <c r="R747" t="str">
        <f>VLOOKUP(Table3[[#This Row],[Census Tract]],'ES Energy Burden'!$B$2:$E$914,4,FALSE)</f>
        <v>No</v>
      </c>
    </row>
    <row r="748" spans="1:18" x14ac:dyDescent="0.2">
      <c r="A748" s="100">
        <v>9005310100</v>
      </c>
      <c r="B748" s="38" t="s">
        <v>2853</v>
      </c>
      <c r="C748" s="38" t="s">
        <v>944</v>
      </c>
      <c r="D748" s="40">
        <f>[1]!Table3[[#This Row],[Residential CLM $ Collected]]+[1]!Table3[[#This Row],[C&amp;I CLM $ Collected]]</f>
        <v>76307.070124799997</v>
      </c>
      <c r="E748" s="36">
        <f>[1]!Table3[[#This Row],[CLM $ Collected ]]/'[1]1.) CLM Reference'!$B$4</f>
        <v>6.769689759853802E-4</v>
      </c>
      <c r="F748" s="40">
        <f>[1]!Table3[[#This Row],[Residential Incentive Disbursements]]+[1]!Table3[[#This Row],[C&amp;I Incentive Disbursements]]</f>
        <v>20088.7081</v>
      </c>
      <c r="G748" s="36">
        <f>[1]!Table3[[#This Row],[Incentive Disbursements]]/'[1]1.) CLM Reference'!$B$5</f>
        <v>2.4577835442670748E-4</v>
      </c>
      <c r="H748" s="40">
        <v>76307.070124799997</v>
      </c>
      <c r="I748" s="36">
        <f>[1]!Table3[[#This Row],[Residential CLM $ Collected]]/'[1]1.) CLM Reference'!$B$4</f>
        <v>6.769689759853802E-4</v>
      </c>
      <c r="J748" s="41">
        <v>20088.7081</v>
      </c>
      <c r="K748" s="36">
        <f>[1]!Table3[[#This Row],[Residential Incentive Disbursements]]/'[1]1.) CLM Reference'!$B$5</f>
        <v>2.4577835442670748E-4</v>
      </c>
      <c r="L748" s="37">
        <v>0</v>
      </c>
      <c r="M748" s="36">
        <f>[1]!Table3[[#This Row],[C&amp;I CLM $ Collected]]/'[1]1.) CLM Reference'!$B$4</f>
        <v>0</v>
      </c>
      <c r="N748" s="41">
        <v>0</v>
      </c>
      <c r="O748" s="36">
        <f>[1]!Table3[[#This Row],[C&amp;I Incentive Disbursements]]/'[1]1.) CLM Reference'!$B$5</f>
        <v>0</v>
      </c>
      <c r="Q748">
        <f>VLOOKUP(Table3[[#This Row],[Census Tract]],'Population and Diversity Data'!$B$2:$K$823,10,FALSE)</f>
        <v>3</v>
      </c>
      <c r="R748" t="str">
        <f>VLOOKUP(Table3[[#This Row],[Census Tract]],'ES Energy Burden'!$B$2:$E$914,4,FALSE)</f>
        <v>No</v>
      </c>
    </row>
    <row r="749" spans="1:18" x14ac:dyDescent="0.2">
      <c r="A749" s="100">
        <v>9005310200</v>
      </c>
      <c r="B749" s="38" t="s">
        <v>2853</v>
      </c>
      <c r="C749" s="38" t="s">
        <v>944</v>
      </c>
      <c r="D749" s="40">
        <f>[1]!Table3[[#This Row],[Residential CLM $ Collected]]+[1]!Table3[[#This Row],[C&amp;I CLM $ Collected]]</f>
        <v>34487.976597120003</v>
      </c>
      <c r="E749" s="36">
        <f>[1]!Table3[[#This Row],[CLM $ Collected ]]/'[1]1.) CLM Reference'!$B$4</f>
        <v>3.0596496710692285E-4</v>
      </c>
      <c r="F749" s="40">
        <f>[1]!Table3[[#This Row],[Residential Incentive Disbursements]]+[1]!Table3[[#This Row],[C&amp;I Incentive Disbursements]]</f>
        <v>23654.6</v>
      </c>
      <c r="G749" s="36">
        <f>[1]!Table3[[#This Row],[Incentive Disbursements]]/'[1]1.) CLM Reference'!$B$5</f>
        <v>2.8940580119345729E-4</v>
      </c>
      <c r="H749" s="40">
        <v>34487.976597120003</v>
      </c>
      <c r="I749" s="36">
        <f>[1]!Table3[[#This Row],[Residential CLM $ Collected]]/'[1]1.) CLM Reference'!$B$4</f>
        <v>3.0596496710692285E-4</v>
      </c>
      <c r="J749" s="41">
        <v>23654.6</v>
      </c>
      <c r="K749" s="36">
        <f>[1]!Table3[[#This Row],[Residential Incentive Disbursements]]/'[1]1.) CLM Reference'!$B$5</f>
        <v>2.8940580119345729E-4</v>
      </c>
      <c r="L749" s="37">
        <v>0</v>
      </c>
      <c r="M749" s="36">
        <f>[1]!Table3[[#This Row],[C&amp;I CLM $ Collected]]/'[1]1.) CLM Reference'!$B$4</f>
        <v>0</v>
      </c>
      <c r="N749" s="41">
        <v>0</v>
      </c>
      <c r="O749" s="36">
        <f>[1]!Table3[[#This Row],[C&amp;I Incentive Disbursements]]/'[1]1.) CLM Reference'!$B$5</f>
        <v>0</v>
      </c>
      <c r="Q749">
        <f>VLOOKUP(Table3[[#This Row],[Census Tract]],'Population and Diversity Data'!$B$2:$K$823,10,FALSE)</f>
        <v>2</v>
      </c>
      <c r="R749" t="str">
        <f>VLOOKUP(Table3[[#This Row],[Census Tract]],'ES Energy Burden'!$B$2:$E$914,4,FALSE)</f>
        <v>No</v>
      </c>
    </row>
    <row r="750" spans="1:18" x14ac:dyDescent="0.2">
      <c r="A750" s="100">
        <v>9005310300</v>
      </c>
      <c r="B750" s="38" t="s">
        <v>2853</v>
      </c>
      <c r="C750" s="38" t="s">
        <v>944</v>
      </c>
      <c r="D750" s="40">
        <f>[1]!Table3[[#This Row],[Residential CLM $ Collected]]+[1]!Table3[[#This Row],[C&amp;I CLM $ Collected]]</f>
        <v>26950.979836799997</v>
      </c>
      <c r="E750" s="36">
        <f>[1]!Table3[[#This Row],[CLM $ Collected ]]/'[1]1.) CLM Reference'!$B$4</f>
        <v>2.3909943327769651E-4</v>
      </c>
      <c r="F750" s="40">
        <f>[1]!Table3[[#This Row],[Residential Incentive Disbursements]]+[1]!Table3[[#This Row],[C&amp;I Incentive Disbursements]]</f>
        <v>18765.400000000001</v>
      </c>
      <c r="G750" s="36">
        <f>[1]!Table3[[#This Row],[Incentive Disbursements]]/'[1]1.) CLM Reference'!$B$5</f>
        <v>2.2958814022286167E-4</v>
      </c>
      <c r="H750" s="40">
        <v>26950.979836799997</v>
      </c>
      <c r="I750" s="36">
        <f>[1]!Table3[[#This Row],[Residential CLM $ Collected]]/'[1]1.) CLM Reference'!$B$4</f>
        <v>2.3909943327769651E-4</v>
      </c>
      <c r="J750" s="41">
        <v>18765.400000000001</v>
      </c>
      <c r="K750" s="36">
        <f>[1]!Table3[[#This Row],[Residential Incentive Disbursements]]/'[1]1.) CLM Reference'!$B$5</f>
        <v>2.2958814022286167E-4</v>
      </c>
      <c r="L750" s="37">
        <v>0</v>
      </c>
      <c r="M750" s="36">
        <f>[1]!Table3[[#This Row],[C&amp;I CLM $ Collected]]/'[1]1.) CLM Reference'!$B$4</f>
        <v>0</v>
      </c>
      <c r="N750" s="41">
        <v>0</v>
      </c>
      <c r="O750" s="36">
        <f>[1]!Table3[[#This Row],[C&amp;I Incentive Disbursements]]/'[1]1.) CLM Reference'!$B$5</f>
        <v>0</v>
      </c>
      <c r="Q750">
        <f>VLOOKUP(Table3[[#This Row],[Census Tract]],'Population and Diversity Data'!$B$2:$K$823,10,FALSE)</f>
        <v>2</v>
      </c>
      <c r="R750" t="str">
        <f>VLOOKUP(Table3[[#This Row],[Census Tract]],'ES Energy Burden'!$B$2:$E$914,4,FALSE)</f>
        <v>Yes</v>
      </c>
    </row>
    <row r="751" spans="1:18" x14ac:dyDescent="0.2">
      <c r="A751" s="100">
        <v>9005310400</v>
      </c>
      <c r="B751" s="38" t="s">
        <v>2853</v>
      </c>
      <c r="C751" s="38" t="s">
        <v>944</v>
      </c>
      <c r="D751" s="40">
        <f>[1]!Table3[[#This Row],[Residential CLM $ Collected]]+[1]!Table3[[#This Row],[C&amp;I CLM $ Collected]]</f>
        <v>48205.948348799997</v>
      </c>
      <c r="E751" s="36">
        <f>[1]!Table3[[#This Row],[CLM $ Collected ]]/'[1]1.) CLM Reference'!$B$4</f>
        <v>4.2766589565971494E-4</v>
      </c>
      <c r="F751" s="40">
        <f>[1]!Table3[[#This Row],[Residential Incentive Disbursements]]+[1]!Table3[[#This Row],[C&amp;I Incentive Disbursements]]</f>
        <v>16981.6783</v>
      </c>
      <c r="G751" s="36">
        <f>[1]!Table3[[#This Row],[Incentive Disbursements]]/'[1]1.) CLM Reference'!$B$5</f>
        <v>2.0776492580813234E-4</v>
      </c>
      <c r="H751" s="40">
        <v>48205.948348799997</v>
      </c>
      <c r="I751" s="36">
        <f>[1]!Table3[[#This Row],[Residential CLM $ Collected]]/'[1]1.) CLM Reference'!$B$4</f>
        <v>4.2766589565971494E-4</v>
      </c>
      <c r="J751" s="41">
        <v>16981.6783</v>
      </c>
      <c r="K751" s="36">
        <f>[1]!Table3[[#This Row],[Residential Incentive Disbursements]]/'[1]1.) CLM Reference'!$B$5</f>
        <v>2.0776492580813234E-4</v>
      </c>
      <c r="L751" s="37">
        <v>0</v>
      </c>
      <c r="M751" s="36">
        <f>[1]!Table3[[#This Row],[C&amp;I CLM $ Collected]]/'[1]1.) CLM Reference'!$B$4</f>
        <v>0</v>
      </c>
      <c r="N751" s="41">
        <v>0</v>
      </c>
      <c r="O751" s="36">
        <f>[1]!Table3[[#This Row],[C&amp;I Incentive Disbursements]]/'[1]1.) CLM Reference'!$B$5</f>
        <v>0</v>
      </c>
      <c r="Q751">
        <f>VLOOKUP(Table3[[#This Row],[Census Tract]],'Population and Diversity Data'!$B$2:$K$823,10,FALSE)</f>
        <v>3</v>
      </c>
      <c r="R751" t="str">
        <f>VLOOKUP(Table3[[#This Row],[Census Tract]],'ES Energy Burden'!$B$2:$E$914,4,FALSE)</f>
        <v>No</v>
      </c>
    </row>
    <row r="752" spans="1:18" x14ac:dyDescent="0.2">
      <c r="A752" s="100">
        <v>9005310500</v>
      </c>
      <c r="B752" s="38" t="s">
        <v>2853</v>
      </c>
      <c r="C752" s="38" t="s">
        <v>944</v>
      </c>
      <c r="D752" s="40">
        <f>[1]!Table3[[#This Row],[Residential CLM $ Collected]]+[1]!Table3[[#This Row],[C&amp;I CLM $ Collected]]</f>
        <v>34178.324423040001</v>
      </c>
      <c r="E752" s="36">
        <f>[1]!Table3[[#This Row],[CLM $ Collected ]]/'[1]1.) CLM Reference'!$B$4</f>
        <v>3.0321784400475497E-4</v>
      </c>
      <c r="F752" s="40">
        <f>[1]!Table3[[#This Row],[Residential Incentive Disbursements]]+[1]!Table3[[#This Row],[C&amp;I Incentive Disbursements]]</f>
        <v>28920.17</v>
      </c>
      <c r="G752" s="36">
        <f>[1]!Table3[[#This Row],[Incentive Disbursements]]/'[1]1.) CLM Reference'!$B$5</f>
        <v>3.5382821816902369E-4</v>
      </c>
      <c r="H752" s="40">
        <v>34178.324423040001</v>
      </c>
      <c r="I752" s="36">
        <f>[1]!Table3[[#This Row],[Residential CLM $ Collected]]/'[1]1.) CLM Reference'!$B$4</f>
        <v>3.0321784400475497E-4</v>
      </c>
      <c r="J752" s="41">
        <v>28920.17</v>
      </c>
      <c r="K752" s="36">
        <f>[1]!Table3[[#This Row],[Residential Incentive Disbursements]]/'[1]1.) CLM Reference'!$B$5</f>
        <v>3.5382821816902369E-4</v>
      </c>
      <c r="L752" s="37">
        <v>0</v>
      </c>
      <c r="M752" s="36">
        <f>[1]!Table3[[#This Row],[C&amp;I CLM $ Collected]]/'[1]1.) CLM Reference'!$B$4</f>
        <v>0</v>
      </c>
      <c r="N752" s="41">
        <v>0</v>
      </c>
      <c r="O752" s="36">
        <f>[1]!Table3[[#This Row],[C&amp;I Incentive Disbursements]]/'[1]1.) CLM Reference'!$B$5</f>
        <v>0</v>
      </c>
      <c r="Q752">
        <f>VLOOKUP(Table3[[#This Row],[Census Tract]],'Population and Diversity Data'!$B$2:$K$823,10,FALSE)</f>
        <v>1</v>
      </c>
      <c r="R752" t="str">
        <f>VLOOKUP(Table3[[#This Row],[Census Tract]],'ES Energy Burden'!$B$2:$E$914,4,FALSE)</f>
        <v>No</v>
      </c>
    </row>
    <row r="753" spans="1:18" x14ac:dyDescent="0.2">
      <c r="A753" s="100">
        <v>9005310601</v>
      </c>
      <c r="B753" s="38" t="s">
        <v>2853</v>
      </c>
      <c r="C753" s="38" t="s">
        <v>944</v>
      </c>
      <c r="D753" s="40">
        <f>[1]!Table3[[#This Row],[Residential CLM $ Collected]]+[1]!Table3[[#This Row],[C&amp;I CLM $ Collected]]</f>
        <v>62090.761420800001</v>
      </c>
      <c r="E753" s="36">
        <f>[1]!Table3[[#This Row],[CLM $ Collected ]]/'[1]1.) CLM Reference'!$B$4</f>
        <v>5.5084698060672269E-4</v>
      </c>
      <c r="F753" s="40">
        <f>[1]!Table3[[#This Row],[Residential Incentive Disbursements]]+[1]!Table3[[#This Row],[C&amp;I Incentive Disbursements]]</f>
        <v>13849.6288</v>
      </c>
      <c r="G753" s="36">
        <f>[1]!Table3[[#This Row],[Incentive Disbursements]]/'[1]1.) CLM Reference'!$B$5</f>
        <v>1.694453898648035E-4</v>
      </c>
      <c r="H753" s="40">
        <v>62090.761420800001</v>
      </c>
      <c r="I753" s="36">
        <f>[1]!Table3[[#This Row],[Residential CLM $ Collected]]/'[1]1.) CLM Reference'!$B$4</f>
        <v>5.5084698060672269E-4</v>
      </c>
      <c r="J753" s="41">
        <v>13849.6288</v>
      </c>
      <c r="K753" s="36">
        <f>[1]!Table3[[#This Row],[Residential Incentive Disbursements]]/'[1]1.) CLM Reference'!$B$5</f>
        <v>1.694453898648035E-4</v>
      </c>
      <c r="L753" s="37">
        <v>0</v>
      </c>
      <c r="M753" s="36">
        <f>[1]!Table3[[#This Row],[C&amp;I CLM $ Collected]]/'[1]1.) CLM Reference'!$B$4</f>
        <v>0</v>
      </c>
      <c r="N753" s="41">
        <v>0</v>
      </c>
      <c r="O753" s="36">
        <f>[1]!Table3[[#This Row],[C&amp;I Incentive Disbursements]]/'[1]1.) CLM Reference'!$B$5</f>
        <v>0</v>
      </c>
      <c r="Q753">
        <f>VLOOKUP(Table3[[#This Row],[Census Tract]],'Population and Diversity Data'!$B$2:$K$823,10,FALSE)</f>
        <v>3</v>
      </c>
      <c r="R753" t="str">
        <f>VLOOKUP(Table3[[#This Row],[Census Tract]],'ES Energy Burden'!$B$2:$E$914,4,FALSE)</f>
        <v>No</v>
      </c>
    </row>
    <row r="754" spans="1:18" x14ac:dyDescent="0.2">
      <c r="A754" s="100">
        <v>9005310602</v>
      </c>
      <c r="B754" s="38" t="s">
        <v>2853</v>
      </c>
      <c r="C754" s="38" t="s">
        <v>944</v>
      </c>
      <c r="D754" s="40">
        <f>[1]!Table3[[#This Row],[Residential CLM $ Collected]]+[1]!Table3[[#This Row],[C&amp;I CLM $ Collected]]</f>
        <v>72546.218170559994</v>
      </c>
      <c r="E754" s="36">
        <f>[1]!Table3[[#This Row],[CLM $ Collected ]]/'[1]1.) CLM Reference'!$B$4</f>
        <v>6.4360404542087907E-4</v>
      </c>
      <c r="F754" s="40">
        <f>[1]!Table3[[#This Row],[Residential Incentive Disbursements]]+[1]!Table3[[#This Row],[C&amp;I Incentive Disbursements]]</f>
        <v>39940.89</v>
      </c>
      <c r="G754" s="36">
        <f>[1]!Table3[[#This Row],[Incentive Disbursements]]/'[1]1.) CLM Reference'!$B$5</f>
        <v>4.8866289308759168E-4</v>
      </c>
      <c r="H754" s="40">
        <v>72546.218170559994</v>
      </c>
      <c r="I754" s="36">
        <f>[1]!Table3[[#This Row],[Residential CLM $ Collected]]/'[1]1.) CLM Reference'!$B$4</f>
        <v>6.4360404542087907E-4</v>
      </c>
      <c r="J754" s="41">
        <v>39940.89</v>
      </c>
      <c r="K754" s="36">
        <f>[1]!Table3[[#This Row],[Residential Incentive Disbursements]]/'[1]1.) CLM Reference'!$B$5</f>
        <v>4.8866289308759168E-4</v>
      </c>
      <c r="L754" s="37">
        <v>0</v>
      </c>
      <c r="M754" s="36">
        <f>[1]!Table3[[#This Row],[C&amp;I CLM $ Collected]]/'[1]1.) CLM Reference'!$B$4</f>
        <v>0</v>
      </c>
      <c r="N754" s="41">
        <v>0</v>
      </c>
      <c r="O754" s="36">
        <f>[1]!Table3[[#This Row],[C&amp;I Incentive Disbursements]]/'[1]1.) CLM Reference'!$B$5</f>
        <v>0</v>
      </c>
      <c r="Q754">
        <f>VLOOKUP(Table3[[#This Row],[Census Tract]],'Population and Diversity Data'!$B$2:$K$823,10,FALSE)</f>
        <v>1</v>
      </c>
      <c r="R754" t="str">
        <f>VLOOKUP(Table3[[#This Row],[Census Tract]],'ES Energy Burden'!$B$2:$E$914,4,FALSE)</f>
        <v>No</v>
      </c>
    </row>
    <row r="755" spans="1:18" x14ac:dyDescent="0.2">
      <c r="A755" s="100">
        <v>9005310700</v>
      </c>
      <c r="B755" s="38" t="s">
        <v>2853</v>
      </c>
      <c r="C755" s="38" t="s">
        <v>944</v>
      </c>
      <c r="D755" s="40">
        <f>[1]!Table3[[#This Row],[Residential CLM $ Collected]]+[1]!Table3[[#This Row],[C&amp;I CLM $ Collected]]</f>
        <v>373023.51183936</v>
      </c>
      <c r="E755" s="36">
        <f>[1]!Table3[[#This Row],[CLM $ Collected ]]/'[1]1.) CLM Reference'!$B$4</f>
        <v>3.3093308970631083E-3</v>
      </c>
      <c r="F755" s="40">
        <f>[1]!Table3[[#This Row],[Residential Incentive Disbursements]]+[1]!Table3[[#This Row],[C&amp;I Incentive Disbursements]]</f>
        <v>358572.60279999999</v>
      </c>
      <c r="G755" s="36">
        <f>[1]!Table3[[#This Row],[Incentive Disbursements]]/'[1]1.) CLM Reference'!$B$5</f>
        <v>4.3870110422225411E-3</v>
      </c>
      <c r="H755" s="40">
        <v>144404.28637344</v>
      </c>
      <c r="I755" s="36">
        <f>[1]!Table3[[#This Row],[Residential CLM $ Collected]]/'[1]1.) CLM Reference'!$B$4</f>
        <v>1.281103070976852E-3</v>
      </c>
      <c r="J755" s="41">
        <v>197409.5528</v>
      </c>
      <c r="K755" s="36">
        <f>[1]!Table3[[#This Row],[Residential Incentive Disbursements]]/'[1]1.) CLM Reference'!$B$5</f>
        <v>2.4152371966267073E-3</v>
      </c>
      <c r="L755" s="37">
        <v>228619.22546592</v>
      </c>
      <c r="M755" s="36">
        <f>[1]!Table3[[#This Row],[C&amp;I CLM $ Collected]]/'[1]1.) CLM Reference'!$B$4</f>
        <v>2.0282278260862563E-3</v>
      </c>
      <c r="N755" s="41">
        <v>161163.04999999999</v>
      </c>
      <c r="O755" s="36">
        <f>[1]!Table3[[#This Row],[C&amp;I Incentive Disbursements]]/'[1]1.) CLM Reference'!$B$5</f>
        <v>1.9717738455958338E-3</v>
      </c>
      <c r="Q755">
        <f>VLOOKUP(Table3[[#This Row],[Census Tract]],'Population and Diversity Data'!$B$2:$K$823,10,FALSE)</f>
        <v>1</v>
      </c>
      <c r="R755" t="str">
        <f>VLOOKUP(Table3[[#This Row],[Census Tract]],'ES Energy Burden'!$B$2:$E$914,4,FALSE)</f>
        <v>No</v>
      </c>
    </row>
    <row r="756" spans="1:18" x14ac:dyDescent="0.2">
      <c r="A756" s="100">
        <v>9005310801</v>
      </c>
      <c r="B756" s="38" t="s">
        <v>2853</v>
      </c>
      <c r="C756" s="38" t="s">
        <v>944</v>
      </c>
      <c r="D756" s="40">
        <f>[1]!Table3[[#This Row],[Residential CLM $ Collected]]+[1]!Table3[[#This Row],[C&amp;I CLM $ Collected]]</f>
        <v>36919.849161600003</v>
      </c>
      <c r="E756" s="36">
        <f>[1]!Table3[[#This Row],[CLM $ Collected ]]/'[1]1.) CLM Reference'!$B$4</f>
        <v>3.2753966886143191E-4</v>
      </c>
      <c r="F756" s="40">
        <f>[1]!Table3[[#This Row],[Residential Incentive Disbursements]]+[1]!Table3[[#This Row],[C&amp;I Incentive Disbursements]]</f>
        <v>3462.34</v>
      </c>
      <c r="G756" s="36">
        <f>[1]!Table3[[#This Row],[Incentive Disbursements]]/'[1]1.) CLM Reference'!$B$5</f>
        <v>4.2360525297580805E-5</v>
      </c>
      <c r="H756" s="40">
        <v>36919.849161600003</v>
      </c>
      <c r="I756" s="36">
        <f>[1]!Table3[[#This Row],[Residential CLM $ Collected]]/'[1]1.) CLM Reference'!$B$4</f>
        <v>3.2753966886143191E-4</v>
      </c>
      <c r="J756" s="41">
        <v>3462.34</v>
      </c>
      <c r="K756" s="36">
        <f>[1]!Table3[[#This Row],[Residential Incentive Disbursements]]/'[1]1.) CLM Reference'!$B$5</f>
        <v>4.2360525297580805E-5</v>
      </c>
      <c r="L756" s="37">
        <v>0</v>
      </c>
      <c r="M756" s="36">
        <f>[1]!Table3[[#This Row],[C&amp;I CLM $ Collected]]/'[1]1.) CLM Reference'!$B$4</f>
        <v>0</v>
      </c>
      <c r="N756" s="41">
        <v>0</v>
      </c>
      <c r="O756" s="36">
        <f>[1]!Table3[[#This Row],[C&amp;I Incentive Disbursements]]/'[1]1.) CLM Reference'!$B$5</f>
        <v>0</v>
      </c>
      <c r="Q756">
        <f>VLOOKUP(Table3[[#This Row],[Census Tract]],'Population and Diversity Data'!$B$2:$K$823,10,FALSE)</f>
        <v>3</v>
      </c>
      <c r="R756" t="str">
        <f>VLOOKUP(Table3[[#This Row],[Census Tract]],'ES Energy Burden'!$B$2:$E$914,4,FALSE)</f>
        <v>No</v>
      </c>
    </row>
    <row r="757" spans="1:18" x14ac:dyDescent="0.2">
      <c r="A757" s="100">
        <v>9005310803</v>
      </c>
      <c r="B757" s="38" t="s">
        <v>2853</v>
      </c>
      <c r="C757" s="38" t="s">
        <v>944</v>
      </c>
      <c r="D757" s="40">
        <f>[1]!Table3[[#This Row],[Residential CLM $ Collected]]+[1]!Table3[[#This Row],[C&amp;I CLM $ Collected]]</f>
        <v>72946.220777279988</v>
      </c>
      <c r="E757" s="36">
        <f>[1]!Table3[[#This Row],[CLM $ Collected ]]/'[1]1.) CLM Reference'!$B$4</f>
        <v>6.471527251778118E-4</v>
      </c>
      <c r="F757" s="40">
        <f>[1]!Table3[[#This Row],[Residential Incentive Disbursements]]+[1]!Table3[[#This Row],[C&amp;I Incentive Disbursements]]</f>
        <v>28410.995900000002</v>
      </c>
      <c r="G757" s="36">
        <f>[1]!Table3[[#This Row],[Incentive Disbursements]]/'[1]1.) CLM Reference'!$B$5</f>
        <v>3.4759865020518338E-4</v>
      </c>
      <c r="H757" s="40">
        <v>72946.220777279988</v>
      </c>
      <c r="I757" s="36">
        <f>[1]!Table3[[#This Row],[Residential CLM $ Collected]]/'[1]1.) CLM Reference'!$B$4</f>
        <v>6.471527251778118E-4</v>
      </c>
      <c r="J757" s="41">
        <v>28410.995900000002</v>
      </c>
      <c r="K757" s="36">
        <f>[1]!Table3[[#This Row],[Residential Incentive Disbursements]]/'[1]1.) CLM Reference'!$B$5</f>
        <v>3.4759865020518338E-4</v>
      </c>
      <c r="L757" s="37">
        <v>0</v>
      </c>
      <c r="M757" s="36">
        <f>[1]!Table3[[#This Row],[C&amp;I CLM $ Collected]]/'[1]1.) CLM Reference'!$B$4</f>
        <v>0</v>
      </c>
      <c r="N757" s="41">
        <v>0</v>
      </c>
      <c r="O757" s="36">
        <f>[1]!Table3[[#This Row],[C&amp;I Incentive Disbursements]]/'[1]1.) CLM Reference'!$B$5</f>
        <v>0</v>
      </c>
      <c r="Q757">
        <f>VLOOKUP(Table3[[#This Row],[Census Tract]],'Population and Diversity Data'!$B$2:$K$823,10,FALSE)</f>
        <v>4</v>
      </c>
      <c r="R757" t="str">
        <f>VLOOKUP(Table3[[#This Row],[Census Tract]],'ES Energy Burden'!$B$2:$E$914,4,FALSE)</f>
        <v>Yes</v>
      </c>
    </row>
    <row r="758" spans="1:18" x14ac:dyDescent="0.2">
      <c r="A758" s="100">
        <v>9005310804</v>
      </c>
      <c r="B758" s="38" t="s">
        <v>2853</v>
      </c>
      <c r="C758" s="38" t="s">
        <v>944</v>
      </c>
      <c r="D758" s="40">
        <f>[1]!Table3[[#This Row],[Residential CLM $ Collected]]+[1]!Table3[[#This Row],[C&amp;I CLM $ Collected]]</f>
        <v>41928.608361600003</v>
      </c>
      <c r="E758" s="36">
        <f>[1]!Table3[[#This Row],[CLM $ Collected ]]/'[1]1.) CLM Reference'!$B$4</f>
        <v>3.7197558523242809E-4</v>
      </c>
      <c r="F758" s="40">
        <f>[1]!Table3[[#This Row],[Residential Incentive Disbursements]]+[1]!Table3[[#This Row],[C&amp;I Incentive Disbursements]]</f>
        <v>3042.1</v>
      </c>
      <c r="G758" s="36">
        <f>[1]!Table3[[#This Row],[Incentive Disbursements]]/'[1]1.) CLM Reference'!$B$5</f>
        <v>3.7219035105671473E-5</v>
      </c>
      <c r="H758" s="40">
        <v>41928.608361600003</v>
      </c>
      <c r="I758" s="36">
        <f>[1]!Table3[[#This Row],[Residential CLM $ Collected]]/'[1]1.) CLM Reference'!$B$4</f>
        <v>3.7197558523242809E-4</v>
      </c>
      <c r="J758" s="41">
        <v>3042.1</v>
      </c>
      <c r="K758" s="36">
        <f>[1]!Table3[[#This Row],[Residential Incentive Disbursements]]/'[1]1.) CLM Reference'!$B$5</f>
        <v>3.7219035105671473E-5</v>
      </c>
      <c r="L758" s="37">
        <v>0</v>
      </c>
      <c r="M758" s="36">
        <f>[1]!Table3[[#This Row],[C&amp;I CLM $ Collected]]/'[1]1.) CLM Reference'!$B$4</f>
        <v>0</v>
      </c>
      <c r="N758" s="41">
        <v>0</v>
      </c>
      <c r="O758" s="36">
        <f>[1]!Table3[[#This Row],[C&amp;I Incentive Disbursements]]/'[1]1.) CLM Reference'!$B$5</f>
        <v>0</v>
      </c>
      <c r="Q758">
        <f>VLOOKUP(Table3[[#This Row],[Census Tract]],'Population and Diversity Data'!$B$2:$K$823,10,FALSE)</f>
        <v>2</v>
      </c>
      <c r="R758" t="str">
        <f>VLOOKUP(Table3[[#This Row],[Census Tract]],'ES Energy Burden'!$B$2:$E$914,4,FALSE)</f>
        <v>No</v>
      </c>
    </row>
    <row r="759" spans="1:18" x14ac:dyDescent="0.2">
      <c r="A759" s="100">
        <v>9005320200</v>
      </c>
      <c r="B759" s="38" t="s">
        <v>2853</v>
      </c>
      <c r="C759" s="38" t="s">
        <v>944</v>
      </c>
      <c r="D759" s="40">
        <f>[1]!Table3[[#This Row],[Residential CLM $ Collected]]+[1]!Table3[[#This Row],[C&amp;I CLM $ Collected]]</f>
        <v>447.89103360000001</v>
      </c>
      <c r="E759" s="36">
        <f>[1]!Table3[[#This Row],[CLM $ Collected ]]/'[1]1.) CLM Reference'!$B$4</f>
        <v>3.9735287159280155E-6</v>
      </c>
      <c r="F759" s="40">
        <f>[1]!Table3[[#This Row],[Residential Incentive Disbursements]]+[1]!Table3[[#This Row],[C&amp;I Incentive Disbursements]]</f>
        <v>0</v>
      </c>
      <c r="G759" s="36">
        <f>[1]!Table3[[#This Row],[Incentive Disbursements]]/'[1]1.) CLM Reference'!$B$5</f>
        <v>0</v>
      </c>
      <c r="H759" s="40">
        <v>447.89103360000001</v>
      </c>
      <c r="I759" s="36">
        <f>[1]!Table3[[#This Row],[Residential CLM $ Collected]]/'[1]1.) CLM Reference'!$B$4</f>
        <v>3.9735287159280155E-6</v>
      </c>
      <c r="J759" s="41">
        <v>0</v>
      </c>
      <c r="K759" s="36">
        <f>[1]!Table3[[#This Row],[Residential Incentive Disbursements]]/'[1]1.) CLM Reference'!$B$5</f>
        <v>0</v>
      </c>
      <c r="L759" s="37">
        <v>0</v>
      </c>
      <c r="M759" s="36">
        <f>[1]!Table3[[#This Row],[C&amp;I CLM $ Collected]]/'[1]1.) CLM Reference'!$B$4</f>
        <v>0</v>
      </c>
      <c r="N759" s="41">
        <v>0</v>
      </c>
      <c r="O759" s="36">
        <f>[1]!Table3[[#This Row],[C&amp;I Incentive Disbursements]]/'[1]1.) CLM Reference'!$B$5</f>
        <v>0</v>
      </c>
      <c r="Q759">
        <f>VLOOKUP(Table3[[#This Row],[Census Tract]],'Population and Diversity Data'!$B$2:$K$823,10,FALSE)</f>
        <v>3</v>
      </c>
      <c r="R759" t="str">
        <f>VLOOKUP(Table3[[#This Row],[Census Tract]],'ES Energy Burden'!$B$2:$E$914,4,FALSE)</f>
        <v>No</v>
      </c>
    </row>
    <row r="760" spans="1:18" x14ac:dyDescent="0.2">
      <c r="A760" s="100">
        <v>9003496200</v>
      </c>
      <c r="B760" s="38" t="s">
        <v>2854</v>
      </c>
      <c r="C760" s="38" t="s">
        <v>944</v>
      </c>
      <c r="D760" s="40">
        <f>[1]!Table3[[#This Row],[Residential CLM $ Collected]]+[1]!Table3[[#This Row],[C&amp;I CLM $ Collected]]</f>
        <v>2415.7854892799996</v>
      </c>
      <c r="E760" s="36">
        <f>[1]!Table3[[#This Row],[CLM $ Collected ]]/'[1]1.) CLM Reference'!$B$4</f>
        <v>2.1431982989302442E-5</v>
      </c>
      <c r="F760" s="40">
        <f>[1]!Table3[[#This Row],[Residential Incentive Disbursements]]+[1]!Table3[[#This Row],[C&amp;I Incentive Disbursements]]</f>
        <v>0</v>
      </c>
      <c r="G760" s="36">
        <f>[1]!Table3[[#This Row],[Incentive Disbursements]]/'[1]1.) CLM Reference'!$B$5</f>
        <v>0</v>
      </c>
      <c r="H760" s="40">
        <v>54.552493439999999</v>
      </c>
      <c r="I760" s="36">
        <f>[1]!Table3[[#This Row],[Residential CLM $ Collected]]/'[1]1.) CLM Reference'!$B$4</f>
        <v>4.8397016896503166E-7</v>
      </c>
      <c r="J760" s="41">
        <v>0</v>
      </c>
      <c r="K760" s="36">
        <f>[1]!Table3[[#This Row],[Residential Incentive Disbursements]]/'[1]1.) CLM Reference'!$B$5</f>
        <v>0</v>
      </c>
      <c r="L760" s="37">
        <v>2361.2329958399996</v>
      </c>
      <c r="M760" s="36">
        <f>[1]!Table3[[#This Row],[C&amp;I CLM $ Collected]]/'[1]1.) CLM Reference'!$B$4</f>
        <v>2.0948012820337409E-5</v>
      </c>
      <c r="N760" s="41">
        <v>0</v>
      </c>
      <c r="O760" s="36">
        <f>[1]!Table3[[#This Row],[C&amp;I Incentive Disbursements]]/'[1]1.) CLM Reference'!$B$5</f>
        <v>0</v>
      </c>
      <c r="Q760">
        <f>VLOOKUP(Table3[[#This Row],[Census Tract]],'Population and Diversity Data'!$B$2:$K$823,10,FALSE)</f>
        <v>5</v>
      </c>
      <c r="R760" t="str">
        <f>VLOOKUP(Table3[[#This Row],[Census Tract]],'ES Energy Burden'!$B$2:$E$914,4,FALSE)</f>
        <v>No</v>
      </c>
    </row>
    <row r="761" spans="1:18" x14ac:dyDescent="0.2">
      <c r="A761" s="100">
        <v>9013530302</v>
      </c>
      <c r="B761" s="38" t="s">
        <v>2854</v>
      </c>
      <c r="C761" s="38" t="s">
        <v>944</v>
      </c>
      <c r="D761" s="40">
        <f>[1]!Table3[[#This Row],[Residential CLM $ Collected]]+[1]!Table3[[#This Row],[C&amp;I CLM $ Collected]]</f>
        <v>7.6933152000000007</v>
      </c>
      <c r="E761" s="36">
        <f>[1]!Table3[[#This Row],[CLM $ Collected ]]/'[1]1.) CLM Reference'!$B$4</f>
        <v>6.825233499803976E-8</v>
      </c>
      <c r="F761" s="40">
        <f>[1]!Table3[[#This Row],[Residential Incentive Disbursements]]+[1]!Table3[[#This Row],[C&amp;I Incentive Disbursements]]</f>
        <v>0</v>
      </c>
      <c r="G761" s="36">
        <f>[1]!Table3[[#This Row],[Incentive Disbursements]]/'[1]1.) CLM Reference'!$B$5</f>
        <v>0</v>
      </c>
      <c r="H761" s="40">
        <v>7.6933152000000007</v>
      </c>
      <c r="I761" s="36">
        <f>[1]!Table3[[#This Row],[Residential CLM $ Collected]]/'[1]1.) CLM Reference'!$B$4</f>
        <v>6.825233499803976E-8</v>
      </c>
      <c r="J761" s="41">
        <v>0</v>
      </c>
      <c r="K761" s="36">
        <f>[1]!Table3[[#This Row],[Residential Incentive Disbursements]]/'[1]1.) CLM Reference'!$B$5</f>
        <v>0</v>
      </c>
      <c r="L761" s="37">
        <v>0</v>
      </c>
      <c r="M761" s="36">
        <f>[1]!Table3[[#This Row],[C&amp;I CLM $ Collected]]/'[1]1.) CLM Reference'!$B$4</f>
        <v>0</v>
      </c>
      <c r="N761" s="41">
        <v>0</v>
      </c>
      <c r="O761" s="36">
        <f>[1]!Table3[[#This Row],[C&amp;I Incentive Disbursements]]/'[1]1.) CLM Reference'!$B$5</f>
        <v>0</v>
      </c>
      <c r="Q761">
        <f>VLOOKUP(Table3[[#This Row],[Census Tract]],'Population and Diversity Data'!$B$2:$K$823,10,FALSE)</f>
        <v>5</v>
      </c>
      <c r="R761" t="str">
        <f>VLOOKUP(Table3[[#This Row],[Census Tract]],'ES Energy Burden'!$B$2:$E$914,4,FALSE)</f>
        <v>No</v>
      </c>
    </row>
    <row r="762" spans="1:18" x14ac:dyDescent="0.2">
      <c r="A762" s="100">
        <v>9013850200</v>
      </c>
      <c r="B762" s="38" t="s">
        <v>2854</v>
      </c>
      <c r="C762" s="38" t="s">
        <v>944</v>
      </c>
      <c r="D762" s="40">
        <f>[1]!Table3[[#This Row],[Residential CLM $ Collected]]+[1]!Table3[[#This Row],[C&amp;I CLM $ Collected]]</f>
        <v>65.558160000000001</v>
      </c>
      <c r="E762" s="36">
        <f>[1]!Table3[[#This Row],[CLM $ Collected ]]/'[1]1.) CLM Reference'!$B$4</f>
        <v>5.8160849800812663E-7</v>
      </c>
      <c r="F762" s="40">
        <f>[1]!Table3[[#This Row],[Residential Incentive Disbursements]]+[1]!Table3[[#This Row],[C&amp;I Incentive Disbursements]]</f>
        <v>0</v>
      </c>
      <c r="G762" s="36">
        <f>[1]!Table3[[#This Row],[Incentive Disbursements]]/'[1]1.) CLM Reference'!$B$5</f>
        <v>0</v>
      </c>
      <c r="H762" s="40">
        <v>65.558160000000001</v>
      </c>
      <c r="I762" s="36">
        <f>[1]!Table3[[#This Row],[Residential CLM $ Collected]]/'[1]1.) CLM Reference'!$B$4</f>
        <v>5.8160849800812663E-7</v>
      </c>
      <c r="J762" s="41">
        <v>0</v>
      </c>
      <c r="K762" s="36">
        <f>[1]!Table3[[#This Row],[Residential Incentive Disbursements]]/'[1]1.) CLM Reference'!$B$5</f>
        <v>0</v>
      </c>
      <c r="L762" s="37">
        <v>0</v>
      </c>
      <c r="M762" s="36">
        <f>[1]!Table3[[#This Row],[C&amp;I CLM $ Collected]]/'[1]1.) CLM Reference'!$B$4</f>
        <v>0</v>
      </c>
      <c r="N762" s="41">
        <v>0</v>
      </c>
      <c r="O762" s="36">
        <f>[1]!Table3[[#This Row],[C&amp;I Incentive Disbursements]]/'[1]1.) CLM Reference'!$B$5</f>
        <v>0</v>
      </c>
      <c r="Q762">
        <f>VLOOKUP(Table3[[#This Row],[Census Tract]],'Population and Diversity Data'!$B$2:$K$823,10,FALSE)</f>
        <v>1</v>
      </c>
      <c r="R762" t="str">
        <f>VLOOKUP(Table3[[#This Row],[Census Tract]],'ES Energy Burden'!$B$2:$E$914,4,FALSE)</f>
        <v>No</v>
      </c>
    </row>
    <row r="763" spans="1:18" x14ac:dyDescent="0.2">
      <c r="A763" s="100">
        <v>9013890100</v>
      </c>
      <c r="B763" s="38" t="s">
        <v>2854</v>
      </c>
      <c r="C763" s="38" t="s">
        <v>944</v>
      </c>
      <c r="D763" s="40">
        <f>[1]!Table3[[#This Row],[Residential CLM $ Collected]]+[1]!Table3[[#This Row],[C&amp;I CLM $ Collected]]</f>
        <v>2220.5066889600002</v>
      </c>
      <c r="E763" s="36">
        <f>[1]!Table3[[#This Row],[CLM $ Collected ]]/'[1]1.) CLM Reference'!$B$4</f>
        <v>1.9699539465156193E-5</v>
      </c>
      <c r="F763" s="40">
        <f>[1]!Table3[[#This Row],[Residential Incentive Disbursements]]+[1]!Table3[[#This Row],[C&amp;I Incentive Disbursements]]</f>
        <v>0</v>
      </c>
      <c r="G763" s="36">
        <f>[1]!Table3[[#This Row],[Incentive Disbursements]]/'[1]1.) CLM Reference'!$B$5</f>
        <v>0</v>
      </c>
      <c r="H763" s="40">
        <v>2220.5066889600002</v>
      </c>
      <c r="I763" s="36">
        <f>[1]!Table3[[#This Row],[Residential CLM $ Collected]]/'[1]1.) CLM Reference'!$B$4</f>
        <v>1.9699539465156193E-5</v>
      </c>
      <c r="J763" s="41">
        <v>0</v>
      </c>
      <c r="K763" s="36">
        <f>[1]!Table3[[#This Row],[Residential Incentive Disbursements]]/'[1]1.) CLM Reference'!$B$5</f>
        <v>0</v>
      </c>
      <c r="L763" s="37">
        <v>0</v>
      </c>
      <c r="M763" s="36">
        <f>[1]!Table3[[#This Row],[C&amp;I CLM $ Collected]]/'[1]1.) CLM Reference'!$B$4</f>
        <v>0</v>
      </c>
      <c r="N763" s="41">
        <v>0</v>
      </c>
      <c r="O763" s="36">
        <f>[1]!Table3[[#This Row],[C&amp;I Incentive Disbursements]]/'[1]1.) CLM Reference'!$B$5</f>
        <v>0</v>
      </c>
      <c r="Q763">
        <f>VLOOKUP(Table3[[#This Row],[Census Tract]],'Population and Diversity Data'!$B$2:$K$823,10,FALSE)</f>
        <v>2</v>
      </c>
      <c r="R763" t="str">
        <f>VLOOKUP(Table3[[#This Row],[Census Tract]],'ES Energy Burden'!$B$2:$E$914,4,FALSE)</f>
        <v>No</v>
      </c>
    </row>
    <row r="764" spans="1:18" x14ac:dyDescent="0.2">
      <c r="A764" s="100">
        <v>9013890201</v>
      </c>
      <c r="B764" s="38" t="s">
        <v>2854</v>
      </c>
      <c r="C764" s="38" t="s">
        <v>944</v>
      </c>
      <c r="D764" s="40">
        <f>[1]!Table3[[#This Row],[Residential CLM $ Collected]]+[1]!Table3[[#This Row],[C&amp;I CLM $ Collected]]</f>
        <v>18433.834459199999</v>
      </c>
      <c r="E764" s="36">
        <f>[1]!Table3[[#This Row],[CLM $ Collected ]]/'[1]1.) CLM Reference'!$B$4</f>
        <v>1.6353837222316426E-4</v>
      </c>
      <c r="F764" s="40">
        <f>[1]!Table3[[#This Row],[Residential Incentive Disbursements]]+[1]!Table3[[#This Row],[C&amp;I Incentive Disbursements]]</f>
        <v>5573.38</v>
      </c>
      <c r="G764" s="36">
        <f>[1]!Table3[[#This Row],[Incentive Disbursements]]/'[1]1.) CLM Reference'!$B$5</f>
        <v>6.8188365233637054E-5</v>
      </c>
      <c r="H764" s="40">
        <v>15848.872447679998</v>
      </c>
      <c r="I764" s="36">
        <f>[1]!Table3[[#This Row],[Residential CLM $ Collected]]/'[1]1.) CLM Reference'!$B$4</f>
        <v>1.4060551576520062E-4</v>
      </c>
      <c r="J764" s="41">
        <v>3865.75</v>
      </c>
      <c r="K764" s="36">
        <f>[1]!Table3[[#This Row],[Residential Incentive Disbursements]]/'[1]1.) CLM Reference'!$B$5</f>
        <v>4.7296106294911244E-5</v>
      </c>
      <c r="L764" s="37">
        <v>2584.9620115200005</v>
      </c>
      <c r="M764" s="36">
        <f>[1]!Table3[[#This Row],[C&amp;I CLM $ Collected]]/'[1]1.) CLM Reference'!$B$4</f>
        <v>2.2932856457963635E-5</v>
      </c>
      <c r="N764" s="41">
        <v>1707.63</v>
      </c>
      <c r="O764" s="36">
        <f>[1]!Table3[[#This Row],[C&amp;I Incentive Disbursements]]/'[1]1.) CLM Reference'!$B$5</f>
        <v>2.0892258938725807E-5</v>
      </c>
      <c r="Q764">
        <f>VLOOKUP(Table3[[#This Row],[Census Tract]],'Population and Diversity Data'!$B$2:$K$823,10,FALSE)</f>
        <v>4</v>
      </c>
      <c r="R764" t="str">
        <f>VLOOKUP(Table3[[#This Row],[Census Tract]],'ES Energy Burden'!$B$2:$E$914,4,FALSE)</f>
        <v>No</v>
      </c>
    </row>
    <row r="765" spans="1:18" x14ac:dyDescent="0.2">
      <c r="A765" s="100">
        <v>9013890202</v>
      </c>
      <c r="B765" s="38" t="s">
        <v>2854</v>
      </c>
      <c r="C765" s="38" t="s">
        <v>944</v>
      </c>
      <c r="D765" s="40">
        <f>[1]!Table3[[#This Row],[Residential CLM $ Collected]]+[1]!Table3[[#This Row],[C&amp;I CLM $ Collected]]</f>
        <v>36.006336000000005</v>
      </c>
      <c r="E765" s="36">
        <f>[1]!Table3[[#This Row],[CLM $ Collected ]]/'[1]1.) CLM Reference'!$B$4</f>
        <v>3.1943530751528019E-7</v>
      </c>
      <c r="F765" s="40">
        <f>[1]!Table3[[#This Row],[Residential Incentive Disbursements]]+[1]!Table3[[#This Row],[C&amp;I Incentive Disbursements]]</f>
        <v>0</v>
      </c>
      <c r="G765" s="36">
        <f>[1]!Table3[[#This Row],[Incentive Disbursements]]/'[1]1.) CLM Reference'!$B$5</f>
        <v>0</v>
      </c>
      <c r="H765" s="40">
        <v>36.006336000000005</v>
      </c>
      <c r="I765" s="36">
        <f>[1]!Table3[[#This Row],[Residential CLM $ Collected]]/'[1]1.) CLM Reference'!$B$4</f>
        <v>3.1943530751528019E-7</v>
      </c>
      <c r="J765" s="41">
        <v>0</v>
      </c>
      <c r="K765" s="36">
        <f>[1]!Table3[[#This Row],[Residential Incentive Disbursements]]/'[1]1.) CLM Reference'!$B$5</f>
        <v>0</v>
      </c>
      <c r="L765" s="37">
        <v>0</v>
      </c>
      <c r="M765" s="36">
        <f>[1]!Table3[[#This Row],[C&amp;I CLM $ Collected]]/'[1]1.) CLM Reference'!$B$4</f>
        <v>0</v>
      </c>
      <c r="N765" s="41">
        <v>0</v>
      </c>
      <c r="O765" s="36">
        <f>[1]!Table3[[#This Row],[C&amp;I Incentive Disbursements]]/'[1]1.) CLM Reference'!$B$5</f>
        <v>0</v>
      </c>
      <c r="Q765">
        <f>VLOOKUP(Table3[[#This Row],[Census Tract]],'Population and Diversity Data'!$B$2:$K$823,10,FALSE)</f>
        <v>4</v>
      </c>
      <c r="R765" t="str">
        <f>VLOOKUP(Table3[[#This Row],[Census Tract]],'ES Energy Burden'!$B$2:$E$914,4,FALSE)</f>
        <v>No</v>
      </c>
    </row>
    <row r="766" spans="1:18" x14ac:dyDescent="0.2">
      <c r="A766" s="100">
        <v>9003487202</v>
      </c>
      <c r="B766" s="38" t="s">
        <v>2855</v>
      </c>
      <c r="C766" s="38" t="s">
        <v>944</v>
      </c>
      <c r="D766" s="40">
        <f>[1]!Table3[[#This Row],[Residential CLM $ Collected]]+[1]!Table3[[#This Row],[C&amp;I CLM $ Collected]]</f>
        <v>343.50160319999998</v>
      </c>
      <c r="E766" s="36">
        <f>[1]!Table3[[#This Row],[CLM $ Collected ]]/'[1]1.) CLM Reference'!$B$4</f>
        <v>3.047423104927525E-6</v>
      </c>
      <c r="F766" s="40">
        <f>[1]!Table3[[#This Row],[Residential Incentive Disbursements]]+[1]!Table3[[#This Row],[C&amp;I Incentive Disbursements]]</f>
        <v>628.35299999999995</v>
      </c>
      <c r="G766" s="36">
        <f>[1]!Table3[[#This Row],[Incentive Disbursements]]/'[1]1.) CLM Reference'!$B$5</f>
        <v>7.6876803411307927E-6</v>
      </c>
      <c r="H766" s="40">
        <v>343.50160319999998</v>
      </c>
      <c r="I766" s="36">
        <f>[1]!Table3[[#This Row],[Residential CLM $ Collected]]/'[1]1.) CLM Reference'!$B$4</f>
        <v>3.047423104927525E-6</v>
      </c>
      <c r="J766" s="41">
        <v>628.35299999999995</v>
      </c>
      <c r="K766" s="36">
        <f>[1]!Table3[[#This Row],[Residential Incentive Disbursements]]/'[1]1.) CLM Reference'!$B$5</f>
        <v>7.6876803411307927E-6</v>
      </c>
      <c r="L766" s="37">
        <v>0</v>
      </c>
      <c r="M766" s="36">
        <f>[1]!Table3[[#This Row],[C&amp;I CLM $ Collected]]/'[1]1.) CLM Reference'!$B$4</f>
        <v>0</v>
      </c>
      <c r="N766" s="41">
        <v>0</v>
      </c>
      <c r="O766" s="36">
        <f>[1]!Table3[[#This Row],[C&amp;I Incentive Disbursements]]/'[1]1.) CLM Reference'!$B$5</f>
        <v>0</v>
      </c>
      <c r="Q766">
        <f>VLOOKUP(Table3[[#This Row],[Census Tract]],'Population and Diversity Data'!$B$2:$K$823,10,FALSE)</f>
        <v>4</v>
      </c>
      <c r="R766" t="str">
        <f>VLOOKUP(Table3[[#This Row],[Census Tract]],'ES Energy Burden'!$B$2:$E$914,4,FALSE)</f>
        <v>No</v>
      </c>
    </row>
    <row r="767" spans="1:18" x14ac:dyDescent="0.2">
      <c r="A767" s="100">
        <v>9003514101</v>
      </c>
      <c r="B767" s="38" t="s">
        <v>2855</v>
      </c>
      <c r="C767" s="38" t="s">
        <v>944</v>
      </c>
      <c r="D767" s="40">
        <f>[1]!Table3[[#This Row],[Residential CLM $ Collected]]+[1]!Table3[[#This Row],[C&amp;I CLM $ Collected]]</f>
        <v>411.98310720000001</v>
      </c>
      <c r="E767" s="36">
        <f>[1]!Table3[[#This Row],[CLM $ Collected ]]/'[1]1.) CLM Reference'!$B$4</f>
        <v>3.6549664631117318E-6</v>
      </c>
      <c r="F767" s="40">
        <f>[1]!Table3[[#This Row],[Residential Incentive Disbursements]]+[1]!Table3[[#This Row],[C&amp;I Incentive Disbursements]]</f>
        <v>0</v>
      </c>
      <c r="G767" s="36">
        <f>[1]!Table3[[#This Row],[Incentive Disbursements]]/'[1]1.) CLM Reference'!$B$5</f>
        <v>0</v>
      </c>
      <c r="H767" s="40">
        <v>411.98310720000001</v>
      </c>
      <c r="I767" s="36">
        <f>[1]!Table3[[#This Row],[Residential CLM $ Collected]]/'[1]1.) CLM Reference'!$B$4</f>
        <v>3.6549664631117318E-6</v>
      </c>
      <c r="J767" s="41">
        <v>0</v>
      </c>
      <c r="K767" s="36">
        <f>[1]!Table3[[#This Row],[Residential Incentive Disbursements]]/'[1]1.) CLM Reference'!$B$5</f>
        <v>0</v>
      </c>
      <c r="L767" s="37">
        <v>0</v>
      </c>
      <c r="M767" s="36">
        <f>[1]!Table3[[#This Row],[C&amp;I CLM $ Collected]]/'[1]1.) CLM Reference'!$B$4</f>
        <v>0</v>
      </c>
      <c r="N767" s="41">
        <v>0</v>
      </c>
      <c r="O767" s="36">
        <f>[1]!Table3[[#This Row],[C&amp;I Incentive Disbursements]]/'[1]1.) CLM Reference'!$B$5</f>
        <v>0</v>
      </c>
      <c r="Q767">
        <f>VLOOKUP(Table3[[#This Row],[Census Tract]],'Population and Diversity Data'!$B$2:$K$823,10,FALSE)</f>
        <v>3</v>
      </c>
      <c r="R767" t="str">
        <f>VLOOKUP(Table3[[#This Row],[Census Tract]],'ES Energy Burden'!$B$2:$E$914,4,FALSE)</f>
        <v>No</v>
      </c>
    </row>
    <row r="768" spans="1:18" x14ac:dyDescent="0.2">
      <c r="A768" s="100">
        <v>9013530100</v>
      </c>
      <c r="B768" s="38" t="s">
        <v>2855</v>
      </c>
      <c r="C768" s="38" t="s">
        <v>944</v>
      </c>
      <c r="D768" s="40">
        <f>[1]!Table3[[#This Row],[Residential CLM $ Collected]]+[1]!Table3[[#This Row],[C&amp;I CLM $ Collected]]</f>
        <v>34070.83161696</v>
      </c>
      <c r="E768" s="36">
        <f>[1]!Table3[[#This Row],[CLM $ Collected ]]/'[1]1.) CLM Reference'!$B$4</f>
        <v>3.0226420635704078E-4</v>
      </c>
      <c r="F768" s="40">
        <f>[1]!Table3[[#This Row],[Residential Incentive Disbursements]]+[1]!Table3[[#This Row],[C&amp;I Incentive Disbursements]]</f>
        <v>8725.9500000000007</v>
      </c>
      <c r="G768" s="36">
        <f>[1]!Table3[[#This Row],[Incentive Disbursements]]/'[1]1.) CLM Reference'!$B$5</f>
        <v>1.0675896235506197E-4</v>
      </c>
      <c r="H768" s="40">
        <v>34070.83161696</v>
      </c>
      <c r="I768" s="36">
        <f>[1]!Table3[[#This Row],[Residential CLM $ Collected]]/'[1]1.) CLM Reference'!$B$4</f>
        <v>3.0226420635704078E-4</v>
      </c>
      <c r="J768" s="41">
        <v>8725.9500000000007</v>
      </c>
      <c r="K768" s="36">
        <f>[1]!Table3[[#This Row],[Residential Incentive Disbursements]]/'[1]1.) CLM Reference'!$B$5</f>
        <v>1.0675896235506197E-4</v>
      </c>
      <c r="L768" s="37">
        <v>0</v>
      </c>
      <c r="M768" s="36">
        <f>[1]!Table3[[#This Row],[C&amp;I CLM $ Collected]]/'[1]1.) CLM Reference'!$B$4</f>
        <v>0</v>
      </c>
      <c r="N768" s="41">
        <v>0</v>
      </c>
      <c r="O768" s="36">
        <f>[1]!Table3[[#This Row],[C&amp;I Incentive Disbursements]]/'[1]1.) CLM Reference'!$B$5</f>
        <v>0</v>
      </c>
      <c r="Q768">
        <f>VLOOKUP(Table3[[#This Row],[Census Tract]],'Population and Diversity Data'!$B$2:$K$823,10,FALSE)</f>
        <v>5</v>
      </c>
      <c r="R768" t="str">
        <f>VLOOKUP(Table3[[#This Row],[Census Tract]],'ES Energy Burden'!$B$2:$E$914,4,FALSE)</f>
        <v>No</v>
      </c>
    </row>
    <row r="769" spans="1:18" x14ac:dyDescent="0.2">
      <c r="A769" s="100">
        <v>9013530200</v>
      </c>
      <c r="B769" s="38" t="s">
        <v>2855</v>
      </c>
      <c r="C769" s="38" t="s">
        <v>944</v>
      </c>
      <c r="D769" s="40">
        <f>[1]!Table3[[#This Row],[Residential CLM $ Collected]]+[1]!Table3[[#This Row],[C&amp;I CLM $ Collected]]</f>
        <v>78604.228051200014</v>
      </c>
      <c r="E769" s="36">
        <f>[1]!Table3[[#This Row],[CLM $ Collected ]]/'[1]1.) CLM Reference'!$B$4</f>
        <v>6.9734853775558516E-4</v>
      </c>
      <c r="F769" s="40">
        <f>[1]!Table3[[#This Row],[Residential Incentive Disbursements]]+[1]!Table3[[#This Row],[C&amp;I Incentive Disbursements]]</f>
        <v>29090.1</v>
      </c>
      <c r="G769" s="36">
        <f>[1]!Table3[[#This Row],[Incentive Disbursements]]/'[1]1.) CLM Reference'!$B$5</f>
        <v>3.5590725259771003E-4</v>
      </c>
      <c r="H769" s="40">
        <v>78604.228051200014</v>
      </c>
      <c r="I769" s="36">
        <f>[1]!Table3[[#This Row],[Residential CLM $ Collected]]/'[1]1.) CLM Reference'!$B$4</f>
        <v>6.9734853775558516E-4</v>
      </c>
      <c r="J769" s="41">
        <v>29090.1</v>
      </c>
      <c r="K769" s="36">
        <f>[1]!Table3[[#This Row],[Residential Incentive Disbursements]]/'[1]1.) CLM Reference'!$B$5</f>
        <v>3.5590725259771003E-4</v>
      </c>
      <c r="L769" s="37">
        <v>0</v>
      </c>
      <c r="M769" s="36">
        <f>[1]!Table3[[#This Row],[C&amp;I CLM $ Collected]]/'[1]1.) CLM Reference'!$B$4</f>
        <v>0</v>
      </c>
      <c r="N769" s="41">
        <v>0</v>
      </c>
      <c r="O769" s="36">
        <f>[1]!Table3[[#This Row],[C&amp;I Incentive Disbursements]]/'[1]1.) CLM Reference'!$B$5</f>
        <v>0</v>
      </c>
      <c r="Q769">
        <f>VLOOKUP(Table3[[#This Row],[Census Tract]],'Population and Diversity Data'!$B$2:$K$823,10,FALSE)</f>
        <v>4</v>
      </c>
      <c r="R769" t="str">
        <f>VLOOKUP(Table3[[#This Row],[Census Tract]],'ES Energy Burden'!$B$2:$E$914,4,FALSE)</f>
        <v>No</v>
      </c>
    </row>
    <row r="770" spans="1:18" x14ac:dyDescent="0.2">
      <c r="A770" s="100">
        <v>9013530301</v>
      </c>
      <c r="B770" s="38" t="s">
        <v>2855</v>
      </c>
      <c r="C770" s="38" t="s">
        <v>944</v>
      </c>
      <c r="D770" s="40">
        <f>[1]!Table3[[#This Row],[Residential CLM $ Collected]]+[1]!Table3[[#This Row],[C&amp;I CLM $ Collected]]</f>
        <v>74512.329096959991</v>
      </c>
      <c r="E770" s="36">
        <f>[1]!Table3[[#This Row],[CLM $ Collected ]]/'[1]1.) CLM Reference'!$B$4</f>
        <v>6.6104667686173819E-4</v>
      </c>
      <c r="F770" s="40">
        <f>[1]!Table3[[#This Row],[Residential Incentive Disbursements]]+[1]!Table3[[#This Row],[C&amp;I Incentive Disbursements]]</f>
        <v>23277.45</v>
      </c>
      <c r="G770" s="36">
        <f>[1]!Table3[[#This Row],[Incentive Disbursements]]/'[1]1.) CLM Reference'!$B$5</f>
        <v>2.8479150215986079E-4</v>
      </c>
      <c r="H770" s="40">
        <v>74448.189192959995</v>
      </c>
      <c r="I770" s="36">
        <f>[1]!Table3[[#This Row],[Residential CLM $ Collected]]/'[1]1.) CLM Reference'!$B$4</f>
        <v>6.6047765062262741E-4</v>
      </c>
      <c r="J770" s="41">
        <v>23277.45</v>
      </c>
      <c r="K770" s="36">
        <f>[1]!Table3[[#This Row],[Residential Incentive Disbursements]]/'[1]1.) CLM Reference'!$B$5</f>
        <v>2.8479150215986079E-4</v>
      </c>
      <c r="L770" s="37">
        <v>64.139904000000001</v>
      </c>
      <c r="M770" s="36">
        <f>[1]!Table3[[#This Row],[C&amp;I CLM $ Collected]]/'[1]1.) CLM Reference'!$B$4</f>
        <v>5.6902623911082057E-7</v>
      </c>
      <c r="N770" s="41">
        <v>0</v>
      </c>
      <c r="O770" s="36">
        <f>[1]!Table3[[#This Row],[C&amp;I Incentive Disbursements]]/'[1]1.) CLM Reference'!$B$5</f>
        <v>0</v>
      </c>
      <c r="Q770">
        <f>VLOOKUP(Table3[[#This Row],[Census Tract]],'Population and Diversity Data'!$B$2:$K$823,10,FALSE)</f>
        <v>2</v>
      </c>
      <c r="R770" t="str">
        <f>VLOOKUP(Table3[[#This Row],[Census Tract]],'ES Energy Burden'!$B$2:$E$914,4,FALSE)</f>
        <v>No</v>
      </c>
    </row>
    <row r="771" spans="1:18" x14ac:dyDescent="0.2">
      <c r="A771" s="100">
        <v>9013530302</v>
      </c>
      <c r="B771" s="38" t="s">
        <v>2855</v>
      </c>
      <c r="C771" s="38" t="s">
        <v>944</v>
      </c>
      <c r="D771" s="40">
        <f>[1]!Table3[[#This Row],[Residential CLM $ Collected]]+[1]!Table3[[#This Row],[C&amp;I CLM $ Collected]]</f>
        <v>311439.87997920002</v>
      </c>
      <c r="E771" s="36">
        <f>[1]!Table3[[#This Row],[CLM $ Collected ]]/'[1]1.) CLM Reference'!$B$4</f>
        <v>2.7629829881517989E-3</v>
      </c>
      <c r="F771" s="40">
        <f>[1]!Table3[[#This Row],[Residential Incentive Disbursements]]+[1]!Table3[[#This Row],[C&amp;I Incentive Disbursements]]</f>
        <v>217918.8671</v>
      </c>
      <c r="G771" s="36">
        <f>[1]!Table3[[#This Row],[Incentive Disbursements]]/'[1]1.) CLM Reference'!$B$5</f>
        <v>2.6661615215749176E-3</v>
      </c>
      <c r="H771" s="40">
        <v>124042.64026751998</v>
      </c>
      <c r="I771" s="36">
        <f>[1]!Table3[[#This Row],[Residential CLM $ Collected]]/'[1]1.) CLM Reference'!$B$4</f>
        <v>1.1004618447948305E-3</v>
      </c>
      <c r="J771" s="41">
        <v>142414.7691</v>
      </c>
      <c r="K771" s="36">
        <f>[1]!Table3[[#This Row],[Residential Incentive Disbursements]]/'[1]1.) CLM Reference'!$B$5</f>
        <v>1.7423951516054689E-3</v>
      </c>
      <c r="L771" s="37">
        <v>187397.23971168004</v>
      </c>
      <c r="M771" s="36">
        <f>[1]!Table3[[#This Row],[C&amp;I CLM $ Collected]]/'[1]1.) CLM Reference'!$B$4</f>
        <v>1.6625211433569686E-3</v>
      </c>
      <c r="N771" s="41">
        <v>75504.097999999998</v>
      </c>
      <c r="O771" s="36">
        <f>[1]!Table3[[#This Row],[C&amp;I Incentive Disbursements]]/'[1]1.) CLM Reference'!$B$5</f>
        <v>9.2376636996944843E-4</v>
      </c>
      <c r="Q771">
        <f>VLOOKUP(Table3[[#This Row],[Census Tract]],'Population and Diversity Data'!$B$2:$K$823,10,FALSE)</f>
        <v>5</v>
      </c>
      <c r="R771" t="str">
        <f>VLOOKUP(Table3[[#This Row],[Census Tract]],'ES Energy Burden'!$B$2:$E$914,4,FALSE)</f>
        <v>No</v>
      </c>
    </row>
    <row r="772" spans="1:18" x14ac:dyDescent="0.2">
      <c r="A772" s="100">
        <v>9013530400</v>
      </c>
      <c r="B772" s="38" t="s">
        <v>2855</v>
      </c>
      <c r="C772" s="38" t="s">
        <v>944</v>
      </c>
      <c r="D772" s="40">
        <f>[1]!Table3[[#This Row],[Residential CLM $ Collected]]+[1]!Table3[[#This Row],[C&amp;I CLM $ Collected]]</f>
        <v>65216.719788479997</v>
      </c>
      <c r="E772" s="36">
        <f>[1]!Table3[[#This Row],[CLM $ Collected ]]/'[1]1.) CLM Reference'!$B$4</f>
        <v>5.7857936283133514E-4</v>
      </c>
      <c r="F772" s="40">
        <f>[1]!Table3[[#This Row],[Residential Incentive Disbursements]]+[1]!Table3[[#This Row],[C&amp;I Incentive Disbursements]]</f>
        <v>10887.23</v>
      </c>
      <c r="G772" s="36">
        <f>[1]!Table3[[#This Row],[Incentive Disbursements]]/'[1]1.) CLM Reference'!$B$5</f>
        <v>1.3320147121183379E-4</v>
      </c>
      <c r="H772" s="40">
        <v>65216.719788479997</v>
      </c>
      <c r="I772" s="36">
        <f>[1]!Table3[[#This Row],[Residential CLM $ Collected]]/'[1]1.) CLM Reference'!$B$4</f>
        <v>5.7857936283133514E-4</v>
      </c>
      <c r="J772" s="41">
        <v>10887.23</v>
      </c>
      <c r="K772" s="36">
        <f>[1]!Table3[[#This Row],[Residential Incentive Disbursements]]/'[1]1.) CLM Reference'!$B$5</f>
        <v>1.3320147121183379E-4</v>
      </c>
      <c r="L772" s="37">
        <v>0</v>
      </c>
      <c r="M772" s="36">
        <f>[1]!Table3[[#This Row],[C&amp;I CLM $ Collected]]/'[1]1.) CLM Reference'!$B$4</f>
        <v>0</v>
      </c>
      <c r="N772" s="41">
        <v>0</v>
      </c>
      <c r="O772" s="36">
        <f>[1]!Table3[[#This Row],[C&amp;I Incentive Disbursements]]/'[1]1.) CLM Reference'!$B$5</f>
        <v>0</v>
      </c>
      <c r="Q772">
        <f>VLOOKUP(Table3[[#This Row],[Census Tract]],'Population and Diversity Data'!$B$2:$K$823,10,FALSE)</f>
        <v>5</v>
      </c>
      <c r="R772" t="str">
        <f>VLOOKUP(Table3[[#This Row],[Census Tract]],'ES Energy Burden'!$B$2:$E$914,4,FALSE)</f>
        <v>No</v>
      </c>
    </row>
    <row r="773" spans="1:18" x14ac:dyDescent="0.2">
      <c r="A773" s="100">
        <v>9013530500</v>
      </c>
      <c r="B773" s="38" t="s">
        <v>2855</v>
      </c>
      <c r="C773" s="38" t="s">
        <v>944</v>
      </c>
      <c r="D773" s="40">
        <f>[1]!Table3[[#This Row],[Residential CLM $ Collected]]+[1]!Table3[[#This Row],[C&amp;I CLM $ Collected]]</f>
        <v>59253.694274879992</v>
      </c>
      <c r="E773" s="36">
        <f>[1]!Table3[[#This Row],[CLM $ Collected ]]/'[1]1.) CLM Reference'!$B$4</f>
        <v>5.2567753775648496E-4</v>
      </c>
      <c r="F773" s="40">
        <f>[1]!Table3[[#This Row],[Residential Incentive Disbursements]]+[1]!Table3[[#This Row],[C&amp;I Incentive Disbursements]]</f>
        <v>19884.302</v>
      </c>
      <c r="G773" s="36">
        <f>[1]!Table3[[#This Row],[Incentive Disbursements]]/'[1]1.) CLM Reference'!$B$5</f>
        <v>2.4327751690929734E-4</v>
      </c>
      <c r="H773" s="40">
        <v>59253.694274879992</v>
      </c>
      <c r="I773" s="36">
        <f>[1]!Table3[[#This Row],[Residential CLM $ Collected]]/'[1]1.) CLM Reference'!$B$4</f>
        <v>5.2567753775648496E-4</v>
      </c>
      <c r="J773" s="41">
        <v>19884.302</v>
      </c>
      <c r="K773" s="36">
        <f>[1]!Table3[[#This Row],[Residential Incentive Disbursements]]/'[1]1.) CLM Reference'!$B$5</f>
        <v>2.4327751690929734E-4</v>
      </c>
      <c r="L773" s="37">
        <v>0</v>
      </c>
      <c r="M773" s="36">
        <f>[1]!Table3[[#This Row],[C&amp;I CLM $ Collected]]/'[1]1.) CLM Reference'!$B$4</f>
        <v>0</v>
      </c>
      <c r="N773" s="41">
        <v>0</v>
      </c>
      <c r="O773" s="36">
        <f>[1]!Table3[[#This Row],[C&amp;I Incentive Disbursements]]/'[1]1.) CLM Reference'!$B$5</f>
        <v>0</v>
      </c>
      <c r="Q773">
        <f>VLOOKUP(Table3[[#This Row],[Census Tract]],'Population and Diversity Data'!$B$2:$K$823,10,FALSE)</f>
        <v>4</v>
      </c>
      <c r="R773" t="str">
        <f>VLOOKUP(Table3[[#This Row],[Census Tract]],'ES Energy Burden'!$B$2:$E$914,4,FALSE)</f>
        <v>No</v>
      </c>
    </row>
    <row r="774" spans="1:18" x14ac:dyDescent="0.2">
      <c r="A774" s="100">
        <v>9013530600</v>
      </c>
      <c r="B774" s="38" t="s">
        <v>2855</v>
      </c>
      <c r="C774" s="38" t="s">
        <v>944</v>
      </c>
      <c r="D774" s="40">
        <f>[1]!Table3[[#This Row],[Residential CLM $ Collected]]+[1]!Table3[[#This Row],[C&amp;I CLM $ Collected]]</f>
        <v>52920.689765759998</v>
      </c>
      <c r="E774" s="36">
        <f>[1]!Table3[[#This Row],[CLM $ Collected ]]/'[1]1.) CLM Reference'!$B$4</f>
        <v>4.6949339164213439E-4</v>
      </c>
      <c r="F774" s="40">
        <f>[1]!Table3[[#This Row],[Residential Incentive Disbursements]]+[1]!Table3[[#This Row],[C&amp;I Incentive Disbursements]]</f>
        <v>19791.499500000002</v>
      </c>
      <c r="G774" s="36">
        <f>[1]!Table3[[#This Row],[Incentive Disbursements]]/'[1]1.) CLM Reference'!$B$5</f>
        <v>2.4214211060924343E-4</v>
      </c>
      <c r="H774" s="40">
        <v>52920.689765759998</v>
      </c>
      <c r="I774" s="36">
        <f>[1]!Table3[[#This Row],[Residential CLM $ Collected]]/'[1]1.) CLM Reference'!$B$4</f>
        <v>4.6949339164213439E-4</v>
      </c>
      <c r="J774" s="41">
        <v>19791.499500000002</v>
      </c>
      <c r="K774" s="36">
        <f>[1]!Table3[[#This Row],[Residential Incentive Disbursements]]/'[1]1.) CLM Reference'!$B$5</f>
        <v>2.4214211060924343E-4</v>
      </c>
      <c r="L774" s="37">
        <v>0</v>
      </c>
      <c r="M774" s="36">
        <f>[1]!Table3[[#This Row],[C&amp;I CLM $ Collected]]/'[1]1.) CLM Reference'!$B$4</f>
        <v>0</v>
      </c>
      <c r="N774" s="41">
        <v>0</v>
      </c>
      <c r="O774" s="36">
        <f>[1]!Table3[[#This Row],[C&amp;I Incentive Disbursements]]/'[1]1.) CLM Reference'!$B$5</f>
        <v>0</v>
      </c>
      <c r="Q774">
        <f>VLOOKUP(Table3[[#This Row],[Census Tract]],'Population and Diversity Data'!$B$2:$K$823,10,FALSE)</f>
        <v>4</v>
      </c>
      <c r="R774" t="str">
        <f>VLOOKUP(Table3[[#This Row],[Census Tract]],'ES Energy Burden'!$B$2:$E$914,4,FALSE)</f>
        <v>No</v>
      </c>
    </row>
    <row r="775" spans="1:18" x14ac:dyDescent="0.2">
      <c r="A775" s="100">
        <v>9013535100</v>
      </c>
      <c r="B775" s="38" t="s">
        <v>2855</v>
      </c>
      <c r="C775" s="38" t="s">
        <v>944</v>
      </c>
      <c r="D775" s="40">
        <f>[1]!Table3[[#This Row],[Residential CLM $ Collected]]+[1]!Table3[[#This Row],[C&amp;I CLM $ Collected]]</f>
        <v>1230.0100127999999</v>
      </c>
      <c r="E775" s="36">
        <f>[1]!Table3[[#This Row],[CLM $ Collected ]]/'[1]1.) CLM Reference'!$B$4</f>
        <v>1.0912207970442803E-5</v>
      </c>
      <c r="F775" s="40">
        <f>[1]!Table3[[#This Row],[Residential Incentive Disbursements]]+[1]!Table3[[#This Row],[C&amp;I Incentive Disbursements]]</f>
        <v>164.09</v>
      </c>
      <c r="G775" s="36">
        <f>[1]!Table3[[#This Row],[Incentive Disbursements]]/'[1]1.) CLM Reference'!$B$5</f>
        <v>2.0075840605139976E-6</v>
      </c>
      <c r="H775" s="40">
        <v>1230.0100127999999</v>
      </c>
      <c r="I775" s="36">
        <f>[1]!Table3[[#This Row],[Residential CLM $ Collected]]/'[1]1.) CLM Reference'!$B$4</f>
        <v>1.0912207970442803E-5</v>
      </c>
      <c r="J775" s="41">
        <v>164.09</v>
      </c>
      <c r="K775" s="36">
        <f>[1]!Table3[[#This Row],[Residential Incentive Disbursements]]/'[1]1.) CLM Reference'!$B$5</f>
        <v>2.0075840605139976E-6</v>
      </c>
      <c r="L775" s="37">
        <v>0</v>
      </c>
      <c r="M775" s="36">
        <f>[1]!Table3[[#This Row],[C&amp;I CLM $ Collected]]/'[1]1.) CLM Reference'!$B$4</f>
        <v>0</v>
      </c>
      <c r="N775" s="41">
        <v>0</v>
      </c>
      <c r="O775" s="36">
        <f>[1]!Table3[[#This Row],[C&amp;I Incentive Disbursements]]/'[1]1.) CLM Reference'!$B$5</f>
        <v>0</v>
      </c>
      <c r="Q775">
        <f>VLOOKUP(Table3[[#This Row],[Census Tract]],'Population and Diversity Data'!$B$2:$K$823,10,FALSE)</f>
        <v>4</v>
      </c>
      <c r="R775" t="str">
        <f>VLOOKUP(Table3[[#This Row],[Census Tract]],'ES Energy Burden'!$B$2:$E$914,4,FALSE)</f>
        <v>No</v>
      </c>
    </row>
    <row r="776" spans="1:18" x14ac:dyDescent="0.2">
      <c r="A776" s="100">
        <v>9011708100</v>
      </c>
      <c r="B776" s="38" t="s">
        <v>2856</v>
      </c>
      <c r="C776" s="38" t="s">
        <v>944</v>
      </c>
      <c r="D776" s="40">
        <f>[1]!Table3[[#This Row],[Residential CLM $ Collected]]+[1]!Table3[[#This Row],[C&amp;I CLM $ Collected]]</f>
        <v>70807.896524159994</v>
      </c>
      <c r="E776" s="36">
        <f>[1]!Table3[[#This Row],[CLM $ Collected ]]/'[1]1.) CLM Reference'!$B$4</f>
        <v>6.2818227882740368E-4</v>
      </c>
      <c r="F776" s="40">
        <f>[1]!Table3[[#This Row],[Residential Incentive Disbursements]]+[1]!Table3[[#This Row],[C&amp;I Incentive Disbursements]]</f>
        <v>36101.566500000001</v>
      </c>
      <c r="G776" s="36">
        <f>[1]!Table3[[#This Row],[Incentive Disbursements]]/'[1]1.) CLM Reference'!$B$5</f>
        <v>4.4169010582598638E-4</v>
      </c>
      <c r="H776" s="40">
        <v>57747.690486719999</v>
      </c>
      <c r="I776" s="36">
        <f>[1]!Table3[[#This Row],[Residential CLM $ Collected]]/'[1]1.) CLM Reference'!$B$4</f>
        <v>5.1231681193339472E-4</v>
      </c>
      <c r="J776" s="41">
        <v>21450.676500000001</v>
      </c>
      <c r="K776" s="36">
        <f>[1]!Table3[[#This Row],[Residential Incentive Disbursements]]/'[1]1.) CLM Reference'!$B$5</f>
        <v>2.6244156395052829E-4</v>
      </c>
      <c r="L776" s="37">
        <v>13060.206037439999</v>
      </c>
      <c r="M776" s="36">
        <f>[1]!Table3[[#This Row],[C&amp;I CLM $ Collected]]/'[1]1.) CLM Reference'!$B$4</f>
        <v>1.15865466894009E-4</v>
      </c>
      <c r="N776" s="41">
        <v>14650.89</v>
      </c>
      <c r="O776" s="36">
        <f>[1]!Table3[[#This Row],[C&amp;I Incentive Disbursements]]/'[1]1.) CLM Reference'!$B$5</f>
        <v>1.7924854187545809E-4</v>
      </c>
      <c r="Q776">
        <f>VLOOKUP(Table3[[#This Row],[Census Tract]],'Population and Diversity Data'!$B$2:$K$823,10,FALSE)</f>
        <v>2</v>
      </c>
      <c r="R776" t="str">
        <f>VLOOKUP(Table3[[#This Row],[Census Tract]],'ES Energy Burden'!$B$2:$E$914,4,FALSE)</f>
        <v>No</v>
      </c>
    </row>
    <row r="777" spans="1:18" x14ac:dyDescent="0.2">
      <c r="A777" s="100">
        <v>9011709100</v>
      </c>
      <c r="B777" s="38" t="s">
        <v>2856</v>
      </c>
      <c r="C777" s="38" t="s">
        <v>944</v>
      </c>
      <c r="D777" s="40">
        <f>[1]!Table3[[#This Row],[Residential CLM $ Collected]]+[1]!Table3[[#This Row],[C&amp;I CLM $ Collected]]</f>
        <v>95.121561600000007</v>
      </c>
      <c r="E777" s="36">
        <f>[1]!Table3[[#This Row],[CLM $ Collected ]]/'[1]1.) CLM Reference'!$B$4</f>
        <v>8.4388440081850216E-7</v>
      </c>
      <c r="F777" s="40">
        <f>[1]!Table3[[#This Row],[Residential Incentive Disbursements]]+[1]!Table3[[#This Row],[C&amp;I Incentive Disbursements]]</f>
        <v>0</v>
      </c>
      <c r="G777" s="36">
        <f>[1]!Table3[[#This Row],[Incentive Disbursements]]/'[1]1.) CLM Reference'!$B$5</f>
        <v>0</v>
      </c>
      <c r="H777" s="40">
        <v>95.121561600000007</v>
      </c>
      <c r="I777" s="36">
        <f>[1]!Table3[[#This Row],[Residential CLM $ Collected]]/'[1]1.) CLM Reference'!$B$4</f>
        <v>8.4388440081850216E-7</v>
      </c>
      <c r="J777" s="41">
        <v>0</v>
      </c>
      <c r="K777" s="36">
        <f>[1]!Table3[[#This Row],[Residential Incentive Disbursements]]/'[1]1.) CLM Reference'!$B$5</f>
        <v>0</v>
      </c>
      <c r="L777" s="37">
        <v>0</v>
      </c>
      <c r="M777" s="36">
        <f>[1]!Table3[[#This Row],[C&amp;I CLM $ Collected]]/'[1]1.) CLM Reference'!$B$4</f>
        <v>0</v>
      </c>
      <c r="N777" s="41">
        <v>0</v>
      </c>
      <c r="O777" s="36">
        <f>[1]!Table3[[#This Row],[C&amp;I Incentive Disbursements]]/'[1]1.) CLM Reference'!$B$5</f>
        <v>0</v>
      </c>
      <c r="Q777">
        <f>VLOOKUP(Table3[[#This Row],[Census Tract]],'Population and Diversity Data'!$B$2:$K$823,10,FALSE)</f>
        <v>3</v>
      </c>
      <c r="R777" t="str">
        <f>VLOOKUP(Table3[[#This Row],[Census Tract]],'ES Energy Burden'!$B$2:$E$914,4,FALSE)</f>
        <v>No</v>
      </c>
    </row>
    <row r="778" spans="1:18" x14ac:dyDescent="0.2">
      <c r="A778" s="100">
        <v>9015908100</v>
      </c>
      <c r="B778" s="38" t="s">
        <v>2856</v>
      </c>
      <c r="C778" s="38" t="s">
        <v>944</v>
      </c>
      <c r="D778" s="40">
        <f>[1]!Table3[[#This Row],[Residential CLM $ Collected]]+[1]!Table3[[#This Row],[C&amp;I CLM $ Collected]]</f>
        <v>48.087561600000001</v>
      </c>
      <c r="E778" s="36">
        <f>[1]!Table3[[#This Row],[CLM $ Collected ]]/'[1]1.) CLM Reference'!$B$4</f>
        <v>4.266156108568219E-7</v>
      </c>
      <c r="F778" s="40">
        <f>[1]!Table3[[#This Row],[Residential Incentive Disbursements]]+[1]!Table3[[#This Row],[C&amp;I Incentive Disbursements]]</f>
        <v>0</v>
      </c>
      <c r="G778" s="36">
        <f>[1]!Table3[[#This Row],[Incentive Disbursements]]/'[1]1.) CLM Reference'!$B$5</f>
        <v>0</v>
      </c>
      <c r="H778" s="40">
        <v>48.087561600000001</v>
      </c>
      <c r="I778" s="36">
        <f>[1]!Table3[[#This Row],[Residential CLM $ Collected]]/'[1]1.) CLM Reference'!$B$4</f>
        <v>4.266156108568219E-7</v>
      </c>
      <c r="J778" s="41">
        <v>0</v>
      </c>
      <c r="K778" s="36">
        <f>[1]!Table3[[#This Row],[Residential Incentive Disbursements]]/'[1]1.) CLM Reference'!$B$5</f>
        <v>0</v>
      </c>
      <c r="L778" s="37">
        <v>0</v>
      </c>
      <c r="M778" s="36">
        <f>[1]!Table3[[#This Row],[C&amp;I CLM $ Collected]]/'[1]1.) CLM Reference'!$B$4</f>
        <v>0</v>
      </c>
      <c r="N778" s="41">
        <v>0</v>
      </c>
      <c r="O778" s="36">
        <f>[1]!Table3[[#This Row],[C&amp;I Incentive Disbursements]]/'[1]1.) CLM Reference'!$B$5</f>
        <v>0</v>
      </c>
      <c r="Q778" t="e">
        <f>VLOOKUP(Table3[[#This Row],[Census Tract]],'Population and Diversity Data'!$B$2:$K$823,10,FALSE)</f>
        <v>#N/A</v>
      </c>
      <c r="R778" t="e">
        <f>VLOOKUP(Table3[[#This Row],[Census Tract]],'ES Energy Burden'!$B$2:$E$914,4,FALSE)</f>
        <v>#N/A</v>
      </c>
    </row>
    <row r="779" spans="1:18" x14ac:dyDescent="0.2">
      <c r="A779" s="100">
        <v>9001035100</v>
      </c>
      <c r="B779" s="38" t="s">
        <v>2857</v>
      </c>
      <c r="C779" s="38" t="s">
        <v>944</v>
      </c>
      <c r="D779" s="40">
        <f>[1]!Table3[[#This Row],[Residential CLM $ Collected]]+[1]!Table3[[#This Row],[C&amp;I CLM $ Collected]]</f>
        <v>46.987689599999996</v>
      </c>
      <c r="E779" s="36">
        <f>[1]!Table3[[#This Row],[CLM $ Collected ]]/'[1]1.) CLM Reference'!$B$4</f>
        <v>4.1685794069156411E-7</v>
      </c>
      <c r="F779" s="40">
        <f>[1]!Table3[[#This Row],[Residential Incentive Disbursements]]+[1]!Table3[[#This Row],[C&amp;I Incentive Disbursements]]</f>
        <v>0</v>
      </c>
      <c r="G779" s="36">
        <f>[1]!Table3[[#This Row],[Incentive Disbursements]]/'[1]1.) CLM Reference'!$B$5</f>
        <v>0</v>
      </c>
      <c r="H779" s="40">
        <v>46.987689599999996</v>
      </c>
      <c r="I779" s="36">
        <f>[1]!Table3[[#This Row],[Residential CLM $ Collected]]/'[1]1.) CLM Reference'!$B$4</f>
        <v>4.1685794069156411E-7</v>
      </c>
      <c r="J779" s="41">
        <v>0</v>
      </c>
      <c r="K779" s="36">
        <f>[1]!Table3[[#This Row],[Residential Incentive Disbursements]]/'[1]1.) CLM Reference'!$B$5</f>
        <v>0</v>
      </c>
      <c r="L779" s="37">
        <v>0</v>
      </c>
      <c r="M779" s="36">
        <f>[1]!Table3[[#This Row],[C&amp;I CLM $ Collected]]/'[1]1.) CLM Reference'!$B$4</f>
        <v>0</v>
      </c>
      <c r="N779" s="41">
        <v>0</v>
      </c>
      <c r="O779" s="36">
        <f>[1]!Table3[[#This Row],[C&amp;I Incentive Disbursements]]/'[1]1.) CLM Reference'!$B$5</f>
        <v>0</v>
      </c>
      <c r="Q779">
        <f>VLOOKUP(Table3[[#This Row],[Census Tract]],'Population and Diversity Data'!$B$2:$K$823,10,FALSE)</f>
        <v>2</v>
      </c>
      <c r="R779" t="str">
        <f>VLOOKUP(Table3[[#This Row],[Census Tract]],'ES Energy Burden'!$B$2:$E$914,4,FALSE)</f>
        <v>No</v>
      </c>
    </row>
    <row r="780" spans="1:18" x14ac:dyDescent="0.2">
      <c r="A780" s="100">
        <v>9003496200</v>
      </c>
      <c r="B780" s="38" t="s">
        <v>2857</v>
      </c>
      <c r="C780" s="38" t="s">
        <v>944</v>
      </c>
      <c r="D780" s="40">
        <f>[1]!Table3[[#This Row],[Residential CLM $ Collected]]+[1]!Table3[[#This Row],[C&amp;I CLM $ Collected]]</f>
        <v>3678.0715353599999</v>
      </c>
      <c r="E780" s="36">
        <f>[1]!Table3[[#This Row],[CLM $ Collected ]]/'[1]1.) CLM Reference'!$B$4</f>
        <v>3.2630532358552678E-5</v>
      </c>
      <c r="F780" s="40">
        <f>[1]!Table3[[#This Row],[Residential Incentive Disbursements]]+[1]!Table3[[#This Row],[C&amp;I Incentive Disbursements]]</f>
        <v>0</v>
      </c>
      <c r="G780" s="36">
        <f>[1]!Table3[[#This Row],[Incentive Disbursements]]/'[1]1.) CLM Reference'!$B$5</f>
        <v>0</v>
      </c>
      <c r="H780" s="40">
        <v>24.110352000000002</v>
      </c>
      <c r="I780" s="36">
        <f>[1]!Table3[[#This Row],[Residential CLM $ Collected]]/'[1]1.) CLM Reference'!$B$4</f>
        <v>2.1389840125420287E-7</v>
      </c>
      <c r="J780" s="41">
        <v>0</v>
      </c>
      <c r="K780" s="36">
        <f>[1]!Table3[[#This Row],[Residential Incentive Disbursements]]/'[1]1.) CLM Reference'!$B$5</f>
        <v>0</v>
      </c>
      <c r="L780" s="37">
        <v>3653.9611833599997</v>
      </c>
      <c r="M780" s="36">
        <f>[1]!Table3[[#This Row],[C&amp;I CLM $ Collected]]/'[1]1.) CLM Reference'!$B$4</f>
        <v>3.2416633957298471E-5</v>
      </c>
      <c r="N780" s="41">
        <v>0</v>
      </c>
      <c r="O780" s="36">
        <f>[1]!Table3[[#This Row],[C&amp;I Incentive Disbursements]]/'[1]1.) CLM Reference'!$B$5</f>
        <v>0</v>
      </c>
      <c r="Q780">
        <f>VLOOKUP(Table3[[#This Row],[Census Tract]],'Population and Diversity Data'!$B$2:$K$823,10,FALSE)</f>
        <v>5</v>
      </c>
      <c r="R780" t="str">
        <f>VLOOKUP(Table3[[#This Row],[Census Tract]],'ES Energy Burden'!$B$2:$E$914,4,FALSE)</f>
        <v>No</v>
      </c>
    </row>
    <row r="781" spans="1:18" x14ac:dyDescent="0.2">
      <c r="A781" s="100">
        <v>9005263200</v>
      </c>
      <c r="B781" s="38" t="s">
        <v>2857</v>
      </c>
      <c r="C781" s="38" t="s">
        <v>944</v>
      </c>
      <c r="D781" s="40">
        <f>[1]!Table3[[#This Row],[Residential CLM $ Collected]]+[1]!Table3[[#This Row],[C&amp;I CLM $ Collected]]</f>
        <v>1081.73337408</v>
      </c>
      <c r="E781" s="36">
        <f>[1]!Table3[[#This Row],[CLM $ Collected ]]/'[1]1.) CLM Reference'!$B$4</f>
        <v>9.5967507773850237E-6</v>
      </c>
      <c r="F781" s="40">
        <f>[1]!Table3[[#This Row],[Residential Incentive Disbursements]]+[1]!Table3[[#This Row],[C&amp;I Incentive Disbursements]]</f>
        <v>0</v>
      </c>
      <c r="G781" s="36">
        <f>[1]!Table3[[#This Row],[Incentive Disbursements]]/'[1]1.) CLM Reference'!$B$5</f>
        <v>0</v>
      </c>
      <c r="H781" s="40">
        <v>1081.73337408</v>
      </c>
      <c r="I781" s="36">
        <f>[1]!Table3[[#This Row],[Residential CLM $ Collected]]/'[1]1.) CLM Reference'!$B$4</f>
        <v>9.5967507773850237E-6</v>
      </c>
      <c r="J781" s="41">
        <v>0</v>
      </c>
      <c r="K781" s="36">
        <f>[1]!Table3[[#This Row],[Residential Incentive Disbursements]]/'[1]1.) CLM Reference'!$B$5</f>
        <v>0</v>
      </c>
      <c r="L781" s="37">
        <v>0</v>
      </c>
      <c r="M781" s="36">
        <f>[1]!Table3[[#This Row],[C&amp;I CLM $ Collected]]/'[1]1.) CLM Reference'!$B$4</f>
        <v>0</v>
      </c>
      <c r="N781" s="41">
        <v>0</v>
      </c>
      <c r="O781" s="36">
        <f>[1]!Table3[[#This Row],[C&amp;I Incentive Disbursements]]/'[1]1.) CLM Reference'!$B$5</f>
        <v>0</v>
      </c>
      <c r="Q781">
        <f>VLOOKUP(Table3[[#This Row],[Census Tract]],'Population and Diversity Data'!$B$2:$K$823,10,FALSE)</f>
        <v>3</v>
      </c>
      <c r="R781" t="str">
        <f>VLOOKUP(Table3[[#This Row],[Census Tract]],'ES Energy Burden'!$B$2:$E$914,4,FALSE)</f>
        <v>No</v>
      </c>
    </row>
    <row r="782" spans="1:18" x14ac:dyDescent="0.2">
      <c r="A782" s="100">
        <v>9005265100</v>
      </c>
      <c r="B782" s="38" t="s">
        <v>2857</v>
      </c>
      <c r="C782" s="38" t="s">
        <v>944</v>
      </c>
      <c r="D782" s="40">
        <f>[1]!Table3[[#This Row],[Residential CLM $ Collected]]+[1]!Table3[[#This Row],[C&amp;I CLM $ Collected]]</f>
        <v>41666.761255679994</v>
      </c>
      <c r="E782" s="36">
        <f>[1]!Table3[[#This Row],[CLM $ Collected ]]/'[1]1.) CLM Reference'!$B$4</f>
        <v>3.6965257156056921E-4</v>
      </c>
      <c r="F782" s="40">
        <f>[1]!Table3[[#This Row],[Residential Incentive Disbursements]]+[1]!Table3[[#This Row],[C&amp;I Incentive Disbursements]]</f>
        <v>40234.6829</v>
      </c>
      <c r="G782" s="36">
        <f>[1]!Table3[[#This Row],[Incentive Disbursements]]/'[1]1.) CLM Reference'!$B$5</f>
        <v>4.9225734700393141E-4</v>
      </c>
      <c r="H782" s="40">
        <v>41431.092839999998</v>
      </c>
      <c r="I782" s="36">
        <f>[1]!Table3[[#This Row],[Residential CLM $ Collected]]/'[1]1.) CLM Reference'!$B$4</f>
        <v>3.6756180584549122E-4</v>
      </c>
      <c r="J782" s="41">
        <v>39393.502899999999</v>
      </c>
      <c r="K782" s="36">
        <f>[1]!Table3[[#This Row],[Residential Incentive Disbursements]]/'[1]1.) CLM Reference'!$B$5</f>
        <v>4.8196580236365371E-4</v>
      </c>
      <c r="L782" s="37">
        <v>235.66841567999998</v>
      </c>
      <c r="M782" s="36">
        <f>[1]!Table3[[#This Row],[C&amp;I CLM $ Collected]]/'[1]1.) CLM Reference'!$B$4</f>
        <v>2.0907657150780255E-6</v>
      </c>
      <c r="N782" s="41">
        <v>841.18</v>
      </c>
      <c r="O782" s="36">
        <f>[1]!Table3[[#This Row],[C&amp;I Incentive Disbursements]]/'[1]1.) CLM Reference'!$B$5</f>
        <v>1.0291544640277678E-5</v>
      </c>
      <c r="Q782">
        <f>VLOOKUP(Table3[[#This Row],[Census Tract]],'Population and Diversity Data'!$B$2:$K$823,10,FALSE)</f>
        <v>1</v>
      </c>
      <c r="R782" t="str">
        <f>VLOOKUP(Table3[[#This Row],[Census Tract]],'ES Energy Burden'!$B$2:$E$914,4,FALSE)</f>
        <v>No</v>
      </c>
    </row>
    <row r="783" spans="1:18" x14ac:dyDescent="0.2">
      <c r="A783" s="100">
        <v>9005266100</v>
      </c>
      <c r="B783" s="38" t="s">
        <v>2857</v>
      </c>
      <c r="C783" s="38" t="s">
        <v>944</v>
      </c>
      <c r="D783" s="40">
        <f>[1]!Table3[[#This Row],[Residential CLM $ Collected]]+[1]!Table3[[#This Row],[C&amp;I CLM $ Collected]]</f>
        <v>107.6601024</v>
      </c>
      <c r="E783" s="36">
        <f>[1]!Table3[[#This Row],[CLM $ Collected ]]/'[1]1.) CLM Reference'!$B$4</f>
        <v>9.551218407024404E-7</v>
      </c>
      <c r="F783" s="40">
        <f>[1]!Table3[[#This Row],[Residential Incentive Disbursements]]+[1]!Table3[[#This Row],[C&amp;I Incentive Disbursements]]</f>
        <v>0</v>
      </c>
      <c r="G783" s="36">
        <f>[1]!Table3[[#This Row],[Incentive Disbursements]]/'[1]1.) CLM Reference'!$B$5</f>
        <v>0</v>
      </c>
      <c r="H783" s="40">
        <v>107.6601024</v>
      </c>
      <c r="I783" s="36">
        <f>[1]!Table3[[#This Row],[Residential CLM $ Collected]]/'[1]1.) CLM Reference'!$B$4</f>
        <v>9.551218407024404E-7</v>
      </c>
      <c r="J783" s="41">
        <v>0</v>
      </c>
      <c r="K783" s="36">
        <f>[1]!Table3[[#This Row],[Residential Incentive Disbursements]]/'[1]1.) CLM Reference'!$B$5</f>
        <v>0</v>
      </c>
      <c r="L783" s="37">
        <v>0</v>
      </c>
      <c r="M783" s="36">
        <f>[1]!Table3[[#This Row],[C&amp;I CLM $ Collected]]/'[1]1.) CLM Reference'!$B$4</f>
        <v>0</v>
      </c>
      <c r="N783" s="41">
        <v>0</v>
      </c>
      <c r="O783" s="36">
        <f>[1]!Table3[[#This Row],[C&amp;I Incentive Disbursements]]/'[1]1.) CLM Reference'!$B$5</f>
        <v>0</v>
      </c>
      <c r="Q783">
        <f>VLOOKUP(Table3[[#This Row],[Census Tract]],'Population and Diversity Data'!$B$2:$K$823,10,FALSE)</f>
        <v>2</v>
      </c>
      <c r="R783" t="str">
        <f>VLOOKUP(Table3[[#This Row],[Census Tract]],'ES Energy Burden'!$B$2:$E$914,4,FALSE)</f>
        <v>No</v>
      </c>
    </row>
    <row r="784" spans="1:18" x14ac:dyDescent="0.2">
      <c r="A784" s="100">
        <v>9005267100</v>
      </c>
      <c r="B784" s="38" t="s">
        <v>2857</v>
      </c>
      <c r="C784" s="38" t="s">
        <v>944</v>
      </c>
      <c r="D784" s="40">
        <f>[1]!Table3[[#This Row],[Residential CLM $ Collected]]+[1]!Table3[[#This Row],[C&amp;I CLM $ Collected]]</f>
        <v>1739.6270208000001</v>
      </c>
      <c r="E784" s="36">
        <f>[1]!Table3[[#This Row],[CLM $ Collected ]]/'[1]1.) CLM Reference'!$B$4</f>
        <v>1.5433347407276838E-5</v>
      </c>
      <c r="F784" s="40">
        <f>[1]!Table3[[#This Row],[Residential Incentive Disbursements]]+[1]!Table3[[#This Row],[C&amp;I Incentive Disbursements]]</f>
        <v>0</v>
      </c>
      <c r="G784" s="36">
        <f>[1]!Table3[[#This Row],[Incentive Disbursements]]/'[1]1.) CLM Reference'!$B$5</f>
        <v>0</v>
      </c>
      <c r="H784" s="40">
        <v>1739.6270208000001</v>
      </c>
      <c r="I784" s="36">
        <f>[1]!Table3[[#This Row],[Residential CLM $ Collected]]/'[1]1.) CLM Reference'!$B$4</f>
        <v>1.5433347407276838E-5</v>
      </c>
      <c r="J784" s="41">
        <v>0</v>
      </c>
      <c r="K784" s="36">
        <f>[1]!Table3[[#This Row],[Residential Incentive Disbursements]]/'[1]1.) CLM Reference'!$B$5</f>
        <v>0</v>
      </c>
      <c r="L784" s="37">
        <v>0</v>
      </c>
      <c r="M784" s="36">
        <f>[1]!Table3[[#This Row],[C&amp;I CLM $ Collected]]/'[1]1.) CLM Reference'!$B$4</f>
        <v>0</v>
      </c>
      <c r="N784" s="41">
        <v>0</v>
      </c>
      <c r="O784" s="36">
        <f>[1]!Table3[[#This Row],[C&amp;I Incentive Disbursements]]/'[1]1.) CLM Reference'!$B$5</f>
        <v>0</v>
      </c>
      <c r="Q784">
        <f>VLOOKUP(Table3[[#This Row],[Census Tract]],'Population and Diversity Data'!$B$2:$K$823,10,FALSE)</f>
        <v>3</v>
      </c>
      <c r="R784" t="str">
        <f>VLOOKUP(Table3[[#This Row],[Census Tract]],'ES Energy Burden'!$B$2:$E$914,4,FALSE)</f>
        <v>No</v>
      </c>
    </row>
    <row r="785" spans="1:18" x14ac:dyDescent="0.2">
      <c r="A785" s="100">
        <v>9005306100</v>
      </c>
      <c r="B785" s="38" t="s">
        <v>2857</v>
      </c>
      <c r="C785" s="38" t="s">
        <v>944</v>
      </c>
      <c r="D785" s="40">
        <f>[1]!Table3[[#This Row],[Residential CLM $ Collected]]+[1]!Table3[[#This Row],[C&amp;I CLM $ Collected]]</f>
        <v>34.269696000000003</v>
      </c>
      <c r="E785" s="36">
        <f>[1]!Table3[[#This Row],[CLM $ Collected ]]/'[1]1.) CLM Reference'!$B$4</f>
        <v>3.0402845988592581E-7</v>
      </c>
      <c r="F785" s="40">
        <f>[1]!Table3[[#This Row],[Residential Incentive Disbursements]]+[1]!Table3[[#This Row],[C&amp;I Incentive Disbursements]]</f>
        <v>0</v>
      </c>
      <c r="G785" s="36">
        <f>[1]!Table3[[#This Row],[Incentive Disbursements]]/'[1]1.) CLM Reference'!$B$5</f>
        <v>0</v>
      </c>
      <c r="H785" s="40">
        <v>34.269696000000003</v>
      </c>
      <c r="I785" s="36">
        <f>[1]!Table3[[#This Row],[Residential CLM $ Collected]]/'[1]1.) CLM Reference'!$B$4</f>
        <v>3.0402845988592581E-7</v>
      </c>
      <c r="J785" s="41">
        <v>0</v>
      </c>
      <c r="K785" s="36">
        <f>[1]!Table3[[#This Row],[Residential Incentive Disbursements]]/'[1]1.) CLM Reference'!$B$5</f>
        <v>0</v>
      </c>
      <c r="L785" s="37">
        <v>0</v>
      </c>
      <c r="M785" s="36">
        <f>[1]!Table3[[#This Row],[C&amp;I CLM $ Collected]]/'[1]1.) CLM Reference'!$B$4</f>
        <v>0</v>
      </c>
      <c r="N785" s="41">
        <v>0</v>
      </c>
      <c r="O785" s="36">
        <f>[1]!Table3[[#This Row],[C&amp;I Incentive Disbursements]]/'[1]1.) CLM Reference'!$B$5</f>
        <v>0</v>
      </c>
      <c r="Q785">
        <f>VLOOKUP(Table3[[#This Row],[Census Tract]],'Population and Diversity Data'!$B$2:$K$823,10,FALSE)</f>
        <v>1</v>
      </c>
      <c r="R785" t="str">
        <f>VLOOKUP(Table3[[#This Row],[Census Tract]],'ES Energy Burden'!$B$2:$E$914,4,FALSE)</f>
        <v>No</v>
      </c>
    </row>
    <row r="786" spans="1:18" x14ac:dyDescent="0.2">
      <c r="A786" s="100">
        <v>9005253500</v>
      </c>
      <c r="B786" s="38" t="s">
        <v>2858</v>
      </c>
      <c r="C786" s="38" t="s">
        <v>944</v>
      </c>
      <c r="D786" s="40">
        <f>[1]!Table3[[#This Row],[Residential CLM $ Collected]]+[1]!Table3[[#This Row],[C&amp;I CLM $ Collected]]</f>
        <v>105.3330048</v>
      </c>
      <c r="E786" s="36">
        <f>[1]!Table3[[#This Row],[CLM $ Collected ]]/'[1]1.) CLM Reference'!$B$4</f>
        <v>9.3447666487910559E-7</v>
      </c>
      <c r="F786" s="40">
        <f>[1]!Table3[[#This Row],[Residential Incentive Disbursements]]+[1]!Table3[[#This Row],[C&amp;I Incentive Disbursements]]</f>
        <v>0</v>
      </c>
      <c r="G786" s="36">
        <f>[1]!Table3[[#This Row],[Incentive Disbursements]]/'[1]1.) CLM Reference'!$B$5</f>
        <v>0</v>
      </c>
      <c r="H786" s="40">
        <v>105.3330048</v>
      </c>
      <c r="I786" s="36">
        <f>[1]!Table3[[#This Row],[Residential CLM $ Collected]]/'[1]1.) CLM Reference'!$B$4</f>
        <v>9.3447666487910559E-7</v>
      </c>
      <c r="J786" s="41">
        <v>0</v>
      </c>
      <c r="K786" s="36">
        <f>[1]!Table3[[#This Row],[Residential Incentive Disbursements]]/'[1]1.) CLM Reference'!$B$5</f>
        <v>0</v>
      </c>
      <c r="L786" s="37">
        <v>0</v>
      </c>
      <c r="M786" s="36">
        <f>[1]!Table3[[#This Row],[C&amp;I CLM $ Collected]]/'[1]1.) CLM Reference'!$B$4</f>
        <v>0</v>
      </c>
      <c r="N786" s="41">
        <v>0</v>
      </c>
      <c r="O786" s="36">
        <f>[1]!Table3[[#This Row],[C&amp;I Incentive Disbursements]]/'[1]1.) CLM Reference'!$B$5</f>
        <v>0</v>
      </c>
      <c r="Q786">
        <f>VLOOKUP(Table3[[#This Row],[Census Tract]],'Population and Diversity Data'!$B$2:$K$823,10,FALSE)</f>
        <v>4</v>
      </c>
      <c r="R786" t="str">
        <f>VLOOKUP(Table3[[#This Row],[Census Tract]],'ES Energy Burden'!$B$2:$E$914,4,FALSE)</f>
        <v>No</v>
      </c>
    </row>
    <row r="787" spans="1:18" x14ac:dyDescent="0.2">
      <c r="A787" s="100">
        <v>9005265100</v>
      </c>
      <c r="B787" s="38" t="s">
        <v>2858</v>
      </c>
      <c r="C787" s="38" t="s">
        <v>944</v>
      </c>
      <c r="D787" s="40">
        <f>[1]!Table3[[#This Row],[Residential CLM $ Collected]]+[1]!Table3[[#This Row],[C&amp;I CLM $ Collected]]</f>
        <v>2562.3306979200006</v>
      </c>
      <c r="E787" s="36">
        <f>[1]!Table3[[#This Row],[CLM $ Collected ]]/'[1]1.) CLM Reference'!$B$4</f>
        <v>2.2732079555273765E-5</v>
      </c>
      <c r="F787" s="40">
        <f>[1]!Table3[[#This Row],[Residential Incentive Disbursements]]+[1]!Table3[[#This Row],[C&amp;I Incentive Disbursements]]</f>
        <v>1202.22</v>
      </c>
      <c r="G787" s="36">
        <f>[1]!Table3[[#This Row],[Incentive Disbursements]]/'[1]1.) CLM Reference'!$B$5</f>
        <v>1.4708743428796016E-5</v>
      </c>
      <c r="H787" s="40">
        <v>2562.3306979200006</v>
      </c>
      <c r="I787" s="36">
        <f>[1]!Table3[[#This Row],[Residential CLM $ Collected]]/'[1]1.) CLM Reference'!$B$4</f>
        <v>2.2732079555273765E-5</v>
      </c>
      <c r="J787" s="41">
        <v>1202.22</v>
      </c>
      <c r="K787" s="36">
        <f>[1]!Table3[[#This Row],[Residential Incentive Disbursements]]/'[1]1.) CLM Reference'!$B$5</f>
        <v>1.4708743428796016E-5</v>
      </c>
      <c r="L787" s="37">
        <v>0</v>
      </c>
      <c r="M787" s="36">
        <f>[1]!Table3[[#This Row],[C&amp;I CLM $ Collected]]/'[1]1.) CLM Reference'!$B$4</f>
        <v>0</v>
      </c>
      <c r="N787" s="41">
        <v>0</v>
      </c>
      <c r="O787" s="36">
        <f>[1]!Table3[[#This Row],[C&amp;I Incentive Disbursements]]/'[1]1.) CLM Reference'!$B$5</f>
        <v>0</v>
      </c>
      <c r="Q787">
        <f>VLOOKUP(Table3[[#This Row],[Census Tract]],'Population and Diversity Data'!$B$2:$K$823,10,FALSE)</f>
        <v>1</v>
      </c>
      <c r="R787" t="str">
        <f>VLOOKUP(Table3[[#This Row],[Census Tract]],'ES Energy Burden'!$B$2:$E$914,4,FALSE)</f>
        <v>No</v>
      </c>
    </row>
    <row r="788" spans="1:18" x14ac:dyDescent="0.2">
      <c r="A788" s="100">
        <v>9005267100</v>
      </c>
      <c r="B788" s="38" t="s">
        <v>2858</v>
      </c>
      <c r="C788" s="38" t="s">
        <v>944</v>
      </c>
      <c r="D788" s="40">
        <f>[1]!Table3[[#This Row],[Residential CLM $ Collected]]+[1]!Table3[[#This Row],[C&amp;I CLM $ Collected]]</f>
        <v>181406.20740479999</v>
      </c>
      <c r="E788" s="36">
        <f>[1]!Table3[[#This Row],[CLM $ Collected ]]/'[1]1.) CLM Reference'!$B$4</f>
        <v>1.6093708520503996E-3</v>
      </c>
      <c r="F788" s="40">
        <f>[1]!Table3[[#This Row],[Residential Incentive Disbursements]]+[1]!Table3[[#This Row],[C&amp;I Incentive Disbursements]]</f>
        <v>49884.353299999995</v>
      </c>
      <c r="G788" s="36">
        <f>[1]!Table3[[#This Row],[Incentive Disbursements]]/'[1]1.) CLM Reference'!$B$5</f>
        <v>6.103177070761706E-4</v>
      </c>
      <c r="H788" s="40">
        <v>146825.70668064</v>
      </c>
      <c r="I788" s="36">
        <f>[1]!Table3[[#This Row],[Residential CLM $ Collected]]/'[1]1.) CLM Reference'!$B$4</f>
        <v>1.3025850440510959E-3</v>
      </c>
      <c r="J788" s="41">
        <v>46420.828399999999</v>
      </c>
      <c r="K788" s="36">
        <f>[1]!Table3[[#This Row],[Residential Incentive Disbursements]]/'[1]1.) CLM Reference'!$B$5</f>
        <v>5.6794268493933506E-4</v>
      </c>
      <c r="L788" s="37">
        <v>34580.500724160003</v>
      </c>
      <c r="M788" s="36">
        <f>[1]!Table3[[#This Row],[C&amp;I CLM $ Collected]]/'[1]1.) CLM Reference'!$B$4</f>
        <v>3.0678580799930371E-4</v>
      </c>
      <c r="N788" s="41">
        <v>3463.5248999999999</v>
      </c>
      <c r="O788" s="36">
        <f>[1]!Table3[[#This Row],[C&amp;I Incentive Disbursements]]/'[1]1.) CLM Reference'!$B$5</f>
        <v>4.2375022136835496E-5</v>
      </c>
      <c r="Q788">
        <f>VLOOKUP(Table3[[#This Row],[Census Tract]],'Population and Diversity Data'!$B$2:$K$823,10,FALSE)</f>
        <v>3</v>
      </c>
      <c r="R788" t="str">
        <f>VLOOKUP(Table3[[#This Row],[Census Tract]],'ES Energy Burden'!$B$2:$E$914,4,FALSE)</f>
        <v>No</v>
      </c>
    </row>
    <row r="789" spans="1:18" x14ac:dyDescent="0.2">
      <c r="A789" s="100">
        <v>9005362102</v>
      </c>
      <c r="B789" s="38" t="s">
        <v>2858</v>
      </c>
      <c r="C789" s="38" t="s">
        <v>944</v>
      </c>
      <c r="D789" s="40">
        <f>[1]!Table3[[#This Row],[Residential CLM $ Collected]]+[1]!Table3[[#This Row],[C&amp;I CLM $ Collected]]</f>
        <v>952.21128959999999</v>
      </c>
      <c r="E789" s="36">
        <f>[1]!Table3[[#This Row],[CLM $ Collected ]]/'[1]1.) CLM Reference'!$B$4</f>
        <v>8.4476772674925177E-6</v>
      </c>
      <c r="F789" s="40">
        <f>[1]!Table3[[#This Row],[Residential Incentive Disbursements]]+[1]!Table3[[#This Row],[C&amp;I Incentive Disbursements]]</f>
        <v>0</v>
      </c>
      <c r="G789" s="36">
        <f>[1]!Table3[[#This Row],[Incentive Disbursements]]/'[1]1.) CLM Reference'!$B$5</f>
        <v>0</v>
      </c>
      <c r="H789" s="40">
        <v>952.21128959999999</v>
      </c>
      <c r="I789" s="36">
        <f>[1]!Table3[[#This Row],[Residential CLM $ Collected]]/'[1]1.) CLM Reference'!$B$4</f>
        <v>8.4476772674925177E-6</v>
      </c>
      <c r="J789" s="41">
        <v>0</v>
      </c>
      <c r="K789" s="36">
        <f>[1]!Table3[[#This Row],[Residential Incentive Disbursements]]/'[1]1.) CLM Reference'!$B$5</f>
        <v>0</v>
      </c>
      <c r="L789" s="37">
        <v>0</v>
      </c>
      <c r="M789" s="36">
        <f>[1]!Table3[[#This Row],[C&amp;I CLM $ Collected]]/'[1]1.) CLM Reference'!$B$4</f>
        <v>0</v>
      </c>
      <c r="N789" s="41">
        <v>0</v>
      </c>
      <c r="O789" s="36">
        <f>[1]!Table3[[#This Row],[C&amp;I Incentive Disbursements]]/'[1]1.) CLM Reference'!$B$5</f>
        <v>0</v>
      </c>
      <c r="Q789">
        <f>VLOOKUP(Table3[[#This Row],[Census Tract]],'Population and Diversity Data'!$B$2:$K$823,10,FALSE)</f>
        <v>1</v>
      </c>
      <c r="R789" t="str">
        <f>VLOOKUP(Table3[[#This Row],[Census Tract]],'ES Energy Burden'!$B$2:$E$914,4,FALSE)</f>
        <v>No</v>
      </c>
    </row>
    <row r="790" spans="1:18" x14ac:dyDescent="0.2">
      <c r="A790" s="100">
        <v>9009345100</v>
      </c>
      <c r="B790" s="38" t="s">
        <v>982</v>
      </c>
      <c r="C790" s="38" t="s">
        <v>944</v>
      </c>
      <c r="D790" s="40">
        <f>[1]!Table3[[#This Row],[Residential CLM $ Collected]]+[1]!Table3[[#This Row],[C&amp;I CLM $ Collected]]</f>
        <v>1723.8467519999999</v>
      </c>
      <c r="E790" s="36">
        <f>[1]!Table3[[#This Row],[CLM $ Collected ]]/'[1]1.) CLM Reference'!$B$4</f>
        <v>1.5293350518484769E-5</v>
      </c>
      <c r="F790" s="40">
        <f>[1]!Table3[[#This Row],[Residential Incentive Disbursements]]+[1]!Table3[[#This Row],[C&amp;I Incentive Disbursements]]</f>
        <v>22.2</v>
      </c>
      <c r="G790" s="36">
        <f>[1]!Table3[[#This Row],[Incentive Disbursements]]/'[1]1.) CLM Reference'!$B$5</f>
        <v>2.7160927627162378E-7</v>
      </c>
      <c r="H790" s="40">
        <v>1723.8467519999999</v>
      </c>
      <c r="I790" s="36">
        <f>[1]!Table3[[#This Row],[Residential CLM $ Collected]]/'[1]1.) CLM Reference'!$B$4</f>
        <v>1.5293350518484769E-5</v>
      </c>
      <c r="J790" s="41">
        <v>22.2</v>
      </c>
      <c r="K790" s="36">
        <f>[1]!Table3[[#This Row],[Residential Incentive Disbursements]]/'[1]1.) CLM Reference'!$B$5</f>
        <v>2.7160927627162378E-7</v>
      </c>
      <c r="L790" s="37">
        <v>0</v>
      </c>
      <c r="M790" s="36">
        <f>[1]!Table3[[#This Row],[C&amp;I CLM $ Collected]]/'[1]1.) CLM Reference'!$B$4</f>
        <v>0</v>
      </c>
      <c r="N790" s="41">
        <v>0</v>
      </c>
      <c r="O790" s="36">
        <f>[1]!Table3[[#This Row],[C&amp;I Incentive Disbursements]]/'[1]1.) CLM Reference'!$B$5</f>
        <v>0</v>
      </c>
      <c r="Q790">
        <f>VLOOKUP(Table3[[#This Row],[Census Tract]],'Population and Diversity Data'!$B$2:$K$823,10,FALSE)</f>
        <v>2</v>
      </c>
      <c r="R790" t="str">
        <f>VLOOKUP(Table3[[#This Row],[Census Tract]],'ES Energy Burden'!$B$2:$E$914,4,FALSE)</f>
        <v>No</v>
      </c>
    </row>
    <row r="791" spans="1:18" x14ac:dyDescent="0.2">
      <c r="A791" s="100">
        <v>9009347100</v>
      </c>
      <c r="B791" s="38" t="s">
        <v>982</v>
      </c>
      <c r="C791" s="38" t="s">
        <v>944</v>
      </c>
      <c r="D791" s="40">
        <f>[1]!Table3[[#This Row],[Residential CLM $ Collected]]+[1]!Table3[[#This Row],[C&amp;I CLM $ Collected]]</f>
        <v>796.48099200000001</v>
      </c>
      <c r="E791" s="36">
        <f>[1]!Table3[[#This Row],[CLM $ Collected ]]/'[1]1.) CLM Reference'!$B$4</f>
        <v>7.0660938844095492E-6</v>
      </c>
      <c r="F791" s="40">
        <f>[1]!Table3[[#This Row],[Residential Incentive Disbursements]]+[1]!Table3[[#This Row],[C&amp;I Incentive Disbursements]]</f>
        <v>0</v>
      </c>
      <c r="G791" s="36">
        <f>[1]!Table3[[#This Row],[Incentive Disbursements]]/'[1]1.) CLM Reference'!$B$5</f>
        <v>0</v>
      </c>
      <c r="H791" s="40">
        <v>796.48099200000001</v>
      </c>
      <c r="I791" s="36">
        <f>[1]!Table3[[#This Row],[Residential CLM $ Collected]]/'[1]1.) CLM Reference'!$B$4</f>
        <v>7.0660938844095492E-6</v>
      </c>
      <c r="J791" s="41">
        <v>0</v>
      </c>
      <c r="K791" s="36">
        <f>[1]!Table3[[#This Row],[Residential Incentive Disbursements]]/'[1]1.) CLM Reference'!$B$5</f>
        <v>0</v>
      </c>
      <c r="L791" s="37">
        <v>0</v>
      </c>
      <c r="M791" s="36">
        <f>[1]!Table3[[#This Row],[C&amp;I CLM $ Collected]]/'[1]1.) CLM Reference'!$B$4</f>
        <v>0</v>
      </c>
      <c r="N791" s="41">
        <v>0</v>
      </c>
      <c r="O791" s="36">
        <f>[1]!Table3[[#This Row],[C&amp;I Incentive Disbursements]]/'[1]1.) CLM Reference'!$B$5</f>
        <v>0</v>
      </c>
      <c r="Q791">
        <f>VLOOKUP(Table3[[#This Row],[Census Tract]],'Population and Diversity Data'!$B$2:$K$823,10,FALSE)</f>
        <v>1</v>
      </c>
      <c r="R791" t="str">
        <f>VLOOKUP(Table3[[#This Row],[Census Tract]],'ES Energy Burden'!$B$2:$E$914,4,FALSE)</f>
        <v>No</v>
      </c>
    </row>
    <row r="792" spans="1:18" x14ac:dyDescent="0.2">
      <c r="A792" s="100">
        <v>9009350100</v>
      </c>
      <c r="B792" s="38" t="s">
        <v>982</v>
      </c>
      <c r="C792" s="38" t="s">
        <v>936</v>
      </c>
      <c r="D792" s="40">
        <f>[1]!Table3[[#This Row],[Residential CLM $ Collected]]+[1]!Table3[[#This Row],[C&amp;I CLM $ Collected]]</f>
        <v>38315.271240000002</v>
      </c>
      <c r="E792" s="36">
        <f>[1]!Table3[[#This Row],[CLM $ Collected ]]/'[1]1.) CLM Reference'!$B$4</f>
        <v>3.3991935339049129E-4</v>
      </c>
      <c r="F792" s="40">
        <f>[1]!Table3[[#This Row],[Residential Incentive Disbursements]]+[1]!Table3[[#This Row],[C&amp;I Incentive Disbursements]]</f>
        <v>12377.77</v>
      </c>
      <c r="G792" s="36">
        <f>[1]!Table3[[#This Row],[Incentive Disbursements]]/'[1]1.) CLM Reference'!$B$5</f>
        <v>1.5143770952957732E-4</v>
      </c>
      <c r="H792" s="40">
        <v>38315.271240000002</v>
      </c>
      <c r="I792" s="36">
        <f>[1]!Table3[[#This Row],[Residential CLM $ Collected]]/'[1]1.) CLM Reference'!$B$4</f>
        <v>3.3991935339049129E-4</v>
      </c>
      <c r="J792" s="41">
        <v>12377.77</v>
      </c>
      <c r="K792" s="36">
        <f>[1]!Table3[[#This Row],[Residential Incentive Disbursements]]/'[1]1.) CLM Reference'!$B$5</f>
        <v>1.5143770952957732E-4</v>
      </c>
      <c r="L792" s="37">
        <v>0</v>
      </c>
      <c r="M792" s="36">
        <f>[1]!Table3[[#This Row],[C&amp;I CLM $ Collected]]/'[1]1.) CLM Reference'!$B$4</f>
        <v>0</v>
      </c>
      <c r="N792" s="41">
        <v>0</v>
      </c>
      <c r="O792" s="36">
        <f>[1]!Table3[[#This Row],[C&amp;I Incentive Disbursements]]/'[1]1.) CLM Reference'!$B$5</f>
        <v>0</v>
      </c>
      <c r="Q792">
        <f>VLOOKUP(Table3[[#This Row],[Census Tract]],'Population and Diversity Data'!$B$2:$K$823,10,FALSE)</f>
        <v>5</v>
      </c>
      <c r="R792" t="e">
        <f>VLOOKUP(Table3[[#This Row],[Census Tract]],'ES Energy Burden'!$B$2:$E$914,4,FALSE)</f>
        <v>#N/A</v>
      </c>
    </row>
    <row r="793" spans="1:18" x14ac:dyDescent="0.2">
      <c r="A793" s="100">
        <v>9009350200</v>
      </c>
      <c r="B793" s="38" t="s">
        <v>982</v>
      </c>
      <c r="C793" s="38" t="s">
        <v>936</v>
      </c>
      <c r="D793" s="40">
        <f>[1]!Table3[[#This Row],[Residential CLM $ Collected]]+[1]!Table3[[#This Row],[C&amp;I CLM $ Collected]]</f>
        <v>44886.648113279996</v>
      </c>
      <c r="E793" s="36">
        <f>[1]!Table3[[#This Row],[CLM $ Collected ]]/'[1]1.) CLM Reference'!$B$4</f>
        <v>3.9821825368167879E-4</v>
      </c>
      <c r="F793" s="40">
        <f>[1]!Table3[[#This Row],[Residential Incentive Disbursements]]+[1]!Table3[[#This Row],[C&amp;I Incentive Disbursements]]</f>
        <v>14823.31</v>
      </c>
      <c r="G793" s="36">
        <f>[1]!Table3[[#This Row],[Incentive Disbursements]]/'[1]1.) CLM Reference'!$B$5</f>
        <v>1.813580405878344E-4</v>
      </c>
      <c r="H793" s="40">
        <v>44886.648113279996</v>
      </c>
      <c r="I793" s="36">
        <f>[1]!Table3[[#This Row],[Residential CLM $ Collected]]/'[1]1.) CLM Reference'!$B$4</f>
        <v>3.9821825368167879E-4</v>
      </c>
      <c r="J793" s="41">
        <v>14823.31</v>
      </c>
      <c r="K793" s="36">
        <f>[1]!Table3[[#This Row],[Residential Incentive Disbursements]]/'[1]1.) CLM Reference'!$B$5</f>
        <v>1.813580405878344E-4</v>
      </c>
      <c r="L793" s="37">
        <v>0</v>
      </c>
      <c r="M793" s="36">
        <f>[1]!Table3[[#This Row],[C&amp;I CLM $ Collected]]/'[1]1.) CLM Reference'!$B$4</f>
        <v>0</v>
      </c>
      <c r="N793" s="41">
        <v>0</v>
      </c>
      <c r="O793" s="36">
        <f>[1]!Table3[[#This Row],[C&amp;I Incentive Disbursements]]/'[1]1.) CLM Reference'!$B$5</f>
        <v>0</v>
      </c>
      <c r="Q793">
        <f>VLOOKUP(Table3[[#This Row],[Census Tract]],'Population and Diversity Data'!$B$2:$K$823,10,FALSE)</f>
        <v>4</v>
      </c>
      <c r="R793" t="e">
        <f>VLOOKUP(Table3[[#This Row],[Census Tract]],'ES Energy Burden'!$B$2:$E$914,4,FALSE)</f>
        <v>#N/A</v>
      </c>
    </row>
    <row r="794" spans="1:18" x14ac:dyDescent="0.2">
      <c r="A794" s="100">
        <v>9009350300</v>
      </c>
      <c r="B794" s="38" t="s">
        <v>982</v>
      </c>
      <c r="C794" s="38" t="s">
        <v>944</v>
      </c>
      <c r="D794" s="40">
        <f>[1]!Table3[[#This Row],[Residential CLM $ Collected]]+[1]!Table3[[#This Row],[C&amp;I CLM $ Collected]]</f>
        <v>26865.736862400001</v>
      </c>
      <c r="E794" s="36">
        <f>[1]!Table3[[#This Row],[CLM $ Collected ]]/'[1]1.) CLM Reference'!$B$4</f>
        <v>2.3834318816180967E-4</v>
      </c>
      <c r="F794" s="40">
        <f>[1]!Table3[[#This Row],[Residential Incentive Disbursements]]+[1]!Table3[[#This Row],[C&amp;I Incentive Disbursements]]</f>
        <v>7264.46</v>
      </c>
      <c r="G794" s="36">
        <f>[1]!Table3[[#This Row],[Incentive Disbursements]]/'[1]1.) CLM Reference'!$B$5</f>
        <v>8.8878140680367568E-5</v>
      </c>
      <c r="H794" s="40">
        <v>26865.736862400001</v>
      </c>
      <c r="I794" s="36">
        <f>[1]!Table3[[#This Row],[Residential CLM $ Collected]]/'[1]1.) CLM Reference'!$B$4</f>
        <v>2.3834318816180967E-4</v>
      </c>
      <c r="J794" s="41">
        <v>7264.46</v>
      </c>
      <c r="K794" s="36">
        <f>[1]!Table3[[#This Row],[Residential Incentive Disbursements]]/'[1]1.) CLM Reference'!$B$5</f>
        <v>8.8878140680367568E-5</v>
      </c>
      <c r="L794" s="37">
        <v>0</v>
      </c>
      <c r="M794" s="36">
        <f>[1]!Table3[[#This Row],[C&amp;I CLM $ Collected]]/'[1]1.) CLM Reference'!$B$4</f>
        <v>0</v>
      </c>
      <c r="N794" s="41">
        <v>0</v>
      </c>
      <c r="O794" s="36">
        <f>[1]!Table3[[#This Row],[C&amp;I Incentive Disbursements]]/'[1]1.) CLM Reference'!$B$5</f>
        <v>0</v>
      </c>
      <c r="Q794">
        <f>VLOOKUP(Table3[[#This Row],[Census Tract]],'Population and Diversity Data'!$B$2:$K$823,10,FALSE)</f>
        <v>5</v>
      </c>
      <c r="R794" t="str">
        <f>VLOOKUP(Table3[[#This Row],[Census Tract]],'ES Energy Burden'!$B$2:$E$914,4,FALSE)</f>
        <v>Yes</v>
      </c>
    </row>
    <row r="795" spans="1:18" x14ac:dyDescent="0.2">
      <c r="A795" s="100">
        <v>9009350400</v>
      </c>
      <c r="B795" s="38" t="s">
        <v>982</v>
      </c>
      <c r="C795" s="38" t="s">
        <v>944</v>
      </c>
      <c r="D795" s="40">
        <f>[1]!Table3[[#This Row],[Residential CLM $ Collected]]+[1]!Table3[[#This Row],[C&amp;I CLM $ Collected]]</f>
        <v>37398.924460800001</v>
      </c>
      <c r="E795" s="36">
        <f>[1]!Table3[[#This Row],[CLM $ Collected ]]/'[1]1.) CLM Reference'!$B$4</f>
        <v>3.3178985320462433E-4</v>
      </c>
      <c r="F795" s="40">
        <f>[1]!Table3[[#This Row],[Residential Incentive Disbursements]]+[1]!Table3[[#This Row],[C&amp;I Incentive Disbursements]]</f>
        <v>1172.21</v>
      </c>
      <c r="G795" s="36">
        <f>[1]!Table3[[#This Row],[Incentive Disbursements]]/'[1]1.) CLM Reference'!$B$5</f>
        <v>1.4341581519745952E-5</v>
      </c>
      <c r="H795" s="40">
        <v>37398.924460800001</v>
      </c>
      <c r="I795" s="36">
        <f>[1]!Table3[[#This Row],[Residential CLM $ Collected]]/'[1]1.) CLM Reference'!$B$4</f>
        <v>3.3178985320462433E-4</v>
      </c>
      <c r="J795" s="41">
        <v>1172.21</v>
      </c>
      <c r="K795" s="36">
        <f>[1]!Table3[[#This Row],[Residential Incentive Disbursements]]/'[1]1.) CLM Reference'!$B$5</f>
        <v>1.4341581519745952E-5</v>
      </c>
      <c r="L795" s="37">
        <v>0</v>
      </c>
      <c r="M795" s="36">
        <f>[1]!Table3[[#This Row],[C&amp;I CLM $ Collected]]/'[1]1.) CLM Reference'!$B$4</f>
        <v>0</v>
      </c>
      <c r="N795" s="41">
        <v>0</v>
      </c>
      <c r="O795" s="36">
        <f>[1]!Table3[[#This Row],[C&amp;I Incentive Disbursements]]/'[1]1.) CLM Reference'!$B$5</f>
        <v>0</v>
      </c>
      <c r="Q795">
        <f>VLOOKUP(Table3[[#This Row],[Census Tract]],'Population and Diversity Data'!$B$2:$K$823,10,FALSE)</f>
        <v>5</v>
      </c>
      <c r="R795" t="str">
        <f>VLOOKUP(Table3[[#This Row],[Census Tract]],'ES Energy Burden'!$B$2:$E$914,4,FALSE)</f>
        <v>Yes</v>
      </c>
    </row>
    <row r="796" spans="1:18" x14ac:dyDescent="0.2">
      <c r="A796" s="100">
        <v>9009350500</v>
      </c>
      <c r="B796" s="38" t="s">
        <v>982</v>
      </c>
      <c r="C796" s="38" t="s">
        <v>944</v>
      </c>
      <c r="D796" s="40">
        <f>[1]!Table3[[#This Row],[Residential CLM $ Collected]]+[1]!Table3[[#This Row],[C&amp;I CLM $ Collected]]</f>
        <v>30786.989518080001</v>
      </c>
      <c r="E796" s="36">
        <f>[1]!Table3[[#This Row],[CLM $ Collected ]]/'[1]1.) CLM Reference'!$B$4</f>
        <v>2.7313113625828495E-4</v>
      </c>
      <c r="F796" s="40">
        <f>[1]!Table3[[#This Row],[Residential Incentive Disbursements]]+[1]!Table3[[#This Row],[C&amp;I Incentive Disbursements]]</f>
        <v>5469.22</v>
      </c>
      <c r="G796" s="36">
        <f>[1]!Table3[[#This Row],[Incentive Disbursements]]/'[1]1.) CLM Reference'!$B$5</f>
        <v>6.6914003872535596E-5</v>
      </c>
      <c r="H796" s="40">
        <v>30786.702393600001</v>
      </c>
      <c r="I796" s="36">
        <f>[1]!Table3[[#This Row],[Residential CLM $ Collected]]/'[1]1.) CLM Reference'!$B$4</f>
        <v>2.7312858899281023E-4</v>
      </c>
      <c r="J796" s="41">
        <v>5469.22</v>
      </c>
      <c r="K796" s="36">
        <f>[1]!Table3[[#This Row],[Residential Incentive Disbursements]]/'[1]1.) CLM Reference'!$B$5</f>
        <v>6.6914003872535596E-5</v>
      </c>
      <c r="L796" s="37">
        <v>0.28712448000000002</v>
      </c>
      <c r="M796" s="36">
        <f>[1]!Table3[[#This Row],[C&amp;I CLM $ Collected]]/'[1]1.) CLM Reference'!$B$4</f>
        <v>2.547265474719919E-9</v>
      </c>
      <c r="N796" s="41">
        <v>0</v>
      </c>
      <c r="O796" s="36">
        <f>[1]!Table3[[#This Row],[C&amp;I Incentive Disbursements]]/'[1]1.) CLM Reference'!$B$5</f>
        <v>0</v>
      </c>
      <c r="Q796">
        <f>VLOOKUP(Table3[[#This Row],[Census Tract]],'Population and Diversity Data'!$B$2:$K$823,10,FALSE)</f>
        <v>5</v>
      </c>
      <c r="R796" t="str">
        <f>VLOOKUP(Table3[[#This Row],[Census Tract]],'ES Energy Burden'!$B$2:$E$914,4,FALSE)</f>
        <v>Yes</v>
      </c>
    </row>
    <row r="797" spans="1:18" x14ac:dyDescent="0.2">
      <c r="A797" s="100">
        <v>9009350800</v>
      </c>
      <c r="B797" s="38" t="s">
        <v>982</v>
      </c>
      <c r="C797" s="38" t="s">
        <v>944</v>
      </c>
      <c r="D797" s="40">
        <f>[1]!Table3[[#This Row],[Residential CLM $ Collected]]+[1]!Table3[[#This Row],[C&amp;I CLM $ Collected]]</f>
        <v>75308.789249280017</v>
      </c>
      <c r="E797" s="36">
        <f>[1]!Table3[[#This Row],[CLM $ Collected ]]/'[1]1.) CLM Reference'!$B$4</f>
        <v>6.6811258586397637E-4</v>
      </c>
      <c r="F797" s="40">
        <f>[1]!Table3[[#This Row],[Residential Incentive Disbursements]]+[1]!Table3[[#This Row],[C&amp;I Incentive Disbursements]]</f>
        <v>26025.75</v>
      </c>
      <c r="G797" s="36">
        <f>[1]!Table3[[#This Row],[Incentive Disbursements]]/'[1]1.) CLM Reference'!$B$5</f>
        <v>3.184159964831627E-4</v>
      </c>
      <c r="H797" s="40">
        <v>75305.171249280014</v>
      </c>
      <c r="I797" s="36">
        <f>[1]!Table3[[#This Row],[Residential CLM $ Collected]]/'[1]1.) CLM Reference'!$B$4</f>
        <v>6.6808048826474855E-4</v>
      </c>
      <c r="J797" s="41">
        <v>26025.75</v>
      </c>
      <c r="K797" s="36">
        <f>[1]!Table3[[#This Row],[Residential Incentive Disbursements]]/'[1]1.) CLM Reference'!$B$5</f>
        <v>3.184159964831627E-4</v>
      </c>
      <c r="L797" s="37">
        <v>3.6179999999999999</v>
      </c>
      <c r="M797" s="36">
        <f>[1]!Table3[[#This Row],[C&amp;I CLM $ Collected]]/'[1]1.) CLM Reference'!$B$4</f>
        <v>3.2097599227821557E-8</v>
      </c>
      <c r="N797" s="41">
        <v>0</v>
      </c>
      <c r="O797" s="36">
        <f>[1]!Table3[[#This Row],[C&amp;I Incentive Disbursements]]/'[1]1.) CLM Reference'!$B$5</f>
        <v>0</v>
      </c>
      <c r="Q797">
        <f>VLOOKUP(Table3[[#This Row],[Census Tract]],'Population and Diversity Data'!$B$2:$K$823,10,FALSE)</f>
        <v>3</v>
      </c>
      <c r="R797" t="str">
        <f>VLOOKUP(Table3[[#This Row],[Census Tract]],'ES Energy Burden'!$B$2:$E$914,4,FALSE)</f>
        <v>Yes</v>
      </c>
    </row>
    <row r="798" spans="1:18" x14ac:dyDescent="0.2">
      <c r="A798" s="100">
        <v>9009350900</v>
      </c>
      <c r="B798" s="38" t="s">
        <v>982</v>
      </c>
      <c r="C798" s="38" t="s">
        <v>944</v>
      </c>
      <c r="D798" s="40">
        <f>[1]!Table3[[#This Row],[Residential CLM $ Collected]]+[1]!Table3[[#This Row],[C&amp;I CLM $ Collected]]</f>
        <v>30064.937443199997</v>
      </c>
      <c r="E798" s="36">
        <f>[1]!Table3[[#This Row],[CLM $ Collected ]]/'[1]1.) CLM Reference'!$B$4</f>
        <v>2.6672534904957423E-4</v>
      </c>
      <c r="F798" s="40">
        <f>[1]!Table3[[#This Row],[Residential Incentive Disbursements]]+[1]!Table3[[#This Row],[C&amp;I Incentive Disbursements]]</f>
        <v>35858.410000000003</v>
      </c>
      <c r="G798" s="36">
        <f>[1]!Table3[[#This Row],[Incentive Disbursements]]/'[1]1.) CLM Reference'!$B$5</f>
        <v>4.3871517064644853E-4</v>
      </c>
      <c r="H798" s="40">
        <v>30064.937443199997</v>
      </c>
      <c r="I798" s="36">
        <f>[1]!Table3[[#This Row],[Residential CLM $ Collected]]/'[1]1.) CLM Reference'!$B$4</f>
        <v>2.6672534904957423E-4</v>
      </c>
      <c r="J798" s="43">
        <v>35858.410000000003</v>
      </c>
      <c r="K798" s="36">
        <f>[1]!Table3[[#This Row],[Residential Incentive Disbursements]]/'[1]1.) CLM Reference'!$B$5</f>
        <v>4.3871517064644853E-4</v>
      </c>
      <c r="L798" s="37">
        <v>0</v>
      </c>
      <c r="M798" s="36">
        <f>[1]!Table3[[#This Row],[C&amp;I CLM $ Collected]]/'[1]1.) CLM Reference'!$B$4</f>
        <v>0</v>
      </c>
      <c r="N798" s="41">
        <v>0</v>
      </c>
      <c r="O798" s="36">
        <f>[1]!Table3[[#This Row],[C&amp;I Incentive Disbursements]]/'[1]1.) CLM Reference'!$B$5</f>
        <v>0</v>
      </c>
      <c r="Q798">
        <f>VLOOKUP(Table3[[#This Row],[Census Tract]],'Population and Diversity Data'!$B$2:$K$823,10,FALSE)</f>
        <v>3</v>
      </c>
      <c r="R798" t="str">
        <f>VLOOKUP(Table3[[#This Row],[Census Tract]],'ES Energy Burden'!$B$2:$E$914,4,FALSE)</f>
        <v>No</v>
      </c>
    </row>
    <row r="799" spans="1:18" x14ac:dyDescent="0.2">
      <c r="A799" s="100">
        <v>9009351000</v>
      </c>
      <c r="B799" s="38" t="s">
        <v>982</v>
      </c>
      <c r="C799" s="38" t="s">
        <v>944</v>
      </c>
      <c r="D799" s="40">
        <f>[1]!Table3[[#This Row],[Residential CLM $ Collected]]+[1]!Table3[[#This Row],[C&amp;I CLM $ Collected]]</f>
        <v>60298.793807040005</v>
      </c>
      <c r="E799" s="36">
        <f>[1]!Table3[[#This Row],[CLM $ Collected ]]/'[1]1.) CLM Reference'!$B$4</f>
        <v>5.3494928621874473E-4</v>
      </c>
      <c r="F799" s="40">
        <f>[1]!Table3[[#This Row],[Residential Incentive Disbursements]]+[1]!Table3[[#This Row],[C&amp;I Incentive Disbursements]]</f>
        <v>118554.3701</v>
      </c>
      <c r="G799" s="36">
        <f>[1]!Table3[[#This Row],[Incentive Disbursements]]/'[1]1.) CLM Reference'!$B$5</f>
        <v>1.4504714712477132E-3</v>
      </c>
      <c r="H799" s="40">
        <v>60298.793807040005</v>
      </c>
      <c r="I799" s="36">
        <f>[1]!Table3[[#This Row],[Residential CLM $ Collected]]/'[1]1.) CLM Reference'!$B$4</f>
        <v>5.3494928621874473E-4</v>
      </c>
      <c r="J799" s="41">
        <v>118554.3701</v>
      </c>
      <c r="K799" s="36">
        <f>[1]!Table3[[#This Row],[Residential Incentive Disbursements]]/'[1]1.) CLM Reference'!$B$5</f>
        <v>1.4504714712477132E-3</v>
      </c>
      <c r="L799" s="37">
        <v>0</v>
      </c>
      <c r="M799" s="36">
        <f>[1]!Table3[[#This Row],[C&amp;I CLM $ Collected]]/'[1]1.) CLM Reference'!$B$4</f>
        <v>0</v>
      </c>
      <c r="N799" s="41">
        <v>0</v>
      </c>
      <c r="O799" s="36">
        <f>[1]!Table3[[#This Row],[C&amp;I Incentive Disbursements]]/'[1]1.) CLM Reference'!$B$5</f>
        <v>0</v>
      </c>
      <c r="Q799">
        <f>VLOOKUP(Table3[[#This Row],[Census Tract]],'Population and Diversity Data'!$B$2:$K$823,10,FALSE)</f>
        <v>4</v>
      </c>
      <c r="R799" t="str">
        <f>VLOOKUP(Table3[[#This Row],[Census Tract]],'ES Energy Burden'!$B$2:$E$914,4,FALSE)</f>
        <v>No</v>
      </c>
    </row>
    <row r="800" spans="1:18" x14ac:dyDescent="0.2">
      <c r="A800" s="100">
        <v>9009351100</v>
      </c>
      <c r="B800" s="38" t="s">
        <v>982</v>
      </c>
      <c r="C800" s="38" t="s">
        <v>944</v>
      </c>
      <c r="D800" s="40">
        <f>[1]!Table3[[#This Row],[Residential CLM $ Collected]]+[1]!Table3[[#This Row],[C&amp;I CLM $ Collected]]</f>
        <v>82675.970403840009</v>
      </c>
      <c r="E800" s="36">
        <f>[1]!Table3[[#This Row],[CLM $ Collected ]]/'[1]1.) CLM Reference'!$B$4</f>
        <v>7.3347157650461388E-4</v>
      </c>
      <c r="F800" s="40">
        <f>[1]!Table3[[#This Row],[Residential Incentive Disbursements]]+[1]!Table3[[#This Row],[C&amp;I Incentive Disbursements]]</f>
        <v>57259.17</v>
      </c>
      <c r="G800" s="36">
        <f>[1]!Table3[[#This Row],[Incentive Disbursements]]/'[1]1.) CLM Reference'!$B$5</f>
        <v>7.0054602358621048E-4</v>
      </c>
      <c r="H800" s="40">
        <v>82675.970403840009</v>
      </c>
      <c r="I800" s="36">
        <f>[1]!Table3[[#This Row],[Residential CLM $ Collected]]/'[1]1.) CLM Reference'!$B$4</f>
        <v>7.3347157650461388E-4</v>
      </c>
      <c r="J800" s="41">
        <v>57259.17</v>
      </c>
      <c r="K800" s="36">
        <f>[1]!Table3[[#This Row],[Residential Incentive Disbursements]]/'[1]1.) CLM Reference'!$B$5</f>
        <v>7.0054602358621048E-4</v>
      </c>
      <c r="L800" s="37">
        <v>0</v>
      </c>
      <c r="M800" s="36">
        <f>[1]!Table3[[#This Row],[C&amp;I CLM $ Collected]]/'[1]1.) CLM Reference'!$B$4</f>
        <v>0</v>
      </c>
      <c r="N800" s="41">
        <v>0</v>
      </c>
      <c r="O800" s="36">
        <f>[1]!Table3[[#This Row],[C&amp;I Incentive Disbursements]]/'[1]1.) CLM Reference'!$B$5</f>
        <v>0</v>
      </c>
      <c r="Q800">
        <f>VLOOKUP(Table3[[#This Row],[Census Tract]],'Population and Diversity Data'!$B$2:$K$823,10,FALSE)</f>
        <v>5</v>
      </c>
      <c r="R800" t="str">
        <f>VLOOKUP(Table3[[#This Row],[Census Tract]],'ES Energy Burden'!$B$2:$E$914,4,FALSE)</f>
        <v>Yes</v>
      </c>
    </row>
    <row r="801" spans="1:18" x14ac:dyDescent="0.2">
      <c r="A801" s="100">
        <v>9009351200</v>
      </c>
      <c r="B801" s="38" t="s">
        <v>982</v>
      </c>
      <c r="C801" s="38" t="s">
        <v>944</v>
      </c>
      <c r="D801" s="40">
        <f>[1]!Table3[[#This Row],[Residential CLM $ Collected]]+[1]!Table3[[#This Row],[C&amp;I CLM $ Collected]]</f>
        <v>54356.397840000005</v>
      </c>
      <c r="E801" s="36">
        <f>[1]!Table3[[#This Row],[CLM $ Collected ]]/'[1]1.) CLM Reference'!$B$4</f>
        <v>4.8223047908688377E-4</v>
      </c>
      <c r="F801" s="40">
        <f>[1]!Table3[[#This Row],[Residential Incentive Disbursements]]+[1]!Table3[[#This Row],[C&amp;I Incentive Disbursements]]</f>
        <v>7114.2227999999996</v>
      </c>
      <c r="G801" s="36">
        <f>[1]!Table3[[#This Row],[Incentive Disbursements]]/'[1]1.) CLM Reference'!$B$5</f>
        <v>8.7040040808247061E-5</v>
      </c>
      <c r="H801" s="40">
        <v>54356.397840000005</v>
      </c>
      <c r="I801" s="36">
        <f>[1]!Table3[[#This Row],[Residential CLM $ Collected]]/'[1]1.) CLM Reference'!$B$4</f>
        <v>4.8223047908688377E-4</v>
      </c>
      <c r="J801" s="41">
        <v>7114.2227999999996</v>
      </c>
      <c r="K801" s="36">
        <f>[1]!Table3[[#This Row],[Residential Incentive Disbursements]]/'[1]1.) CLM Reference'!$B$5</f>
        <v>8.7040040808247061E-5</v>
      </c>
      <c r="L801" s="37">
        <v>0</v>
      </c>
      <c r="M801" s="36">
        <f>[1]!Table3[[#This Row],[C&amp;I CLM $ Collected]]/'[1]1.) CLM Reference'!$B$4</f>
        <v>0</v>
      </c>
      <c r="N801" s="41">
        <v>0</v>
      </c>
      <c r="O801" s="36">
        <f>[1]!Table3[[#This Row],[C&amp;I Incentive Disbursements]]/'[1]1.) CLM Reference'!$B$5</f>
        <v>0</v>
      </c>
      <c r="Q801">
        <f>VLOOKUP(Table3[[#This Row],[Census Tract]],'Population and Diversity Data'!$B$2:$K$823,10,FALSE)</f>
        <v>5</v>
      </c>
      <c r="R801" t="str">
        <f>VLOOKUP(Table3[[#This Row],[Census Tract]],'ES Energy Burden'!$B$2:$E$914,4,FALSE)</f>
        <v>Yes</v>
      </c>
    </row>
    <row r="802" spans="1:18" x14ac:dyDescent="0.2">
      <c r="A802" s="100">
        <v>9009351300</v>
      </c>
      <c r="B802" s="38" t="s">
        <v>982</v>
      </c>
      <c r="C802" s="38" t="s">
        <v>944</v>
      </c>
      <c r="D802" s="40">
        <f>[1]!Table3[[#This Row],[Residential CLM $ Collected]]+[1]!Table3[[#This Row],[C&amp;I CLM $ Collected]]</f>
        <v>73467.303661440004</v>
      </c>
      <c r="E802" s="36">
        <f>[1]!Table3[[#This Row],[CLM $ Collected ]]/'[1]1.) CLM Reference'!$B$4</f>
        <v>6.5177558575831083E-4</v>
      </c>
      <c r="F802" s="40">
        <f>[1]!Table3[[#This Row],[Residential Incentive Disbursements]]+[1]!Table3[[#This Row],[C&amp;I Incentive Disbursements]]</f>
        <v>32921.589999999997</v>
      </c>
      <c r="G802" s="36">
        <f>[1]!Table3[[#This Row],[Incentive Disbursements]]/'[1]1.) CLM Reference'!$B$5</f>
        <v>4.0278419971221286E-4</v>
      </c>
      <c r="H802" s="40">
        <v>73465.479031680006</v>
      </c>
      <c r="I802" s="36">
        <f>[1]!Table3[[#This Row],[Residential CLM $ Collected]]/'[1]1.) CLM Reference'!$B$4</f>
        <v>6.517593982970682E-4</v>
      </c>
      <c r="J802" s="41">
        <v>32921.589999999997</v>
      </c>
      <c r="K802" s="36">
        <f>[1]!Table3[[#This Row],[Residential Incentive Disbursements]]/'[1]1.) CLM Reference'!$B$5</f>
        <v>4.0278419971221286E-4</v>
      </c>
      <c r="L802" s="37">
        <v>1.8246297600000001</v>
      </c>
      <c r="M802" s="36">
        <f>[1]!Table3[[#This Row],[C&amp;I CLM $ Collected]]/'[1]1.) CLM Reference'!$B$4</f>
        <v>1.6187461242574969E-8</v>
      </c>
      <c r="N802" s="41">
        <v>0</v>
      </c>
      <c r="O802" s="36">
        <f>[1]!Table3[[#This Row],[C&amp;I Incentive Disbursements]]/'[1]1.) CLM Reference'!$B$5</f>
        <v>0</v>
      </c>
      <c r="Q802">
        <f>VLOOKUP(Table3[[#This Row],[Census Tract]],'Population and Diversity Data'!$B$2:$K$823,10,FALSE)</f>
        <v>5</v>
      </c>
      <c r="R802" t="str">
        <f>VLOOKUP(Table3[[#This Row],[Census Tract]],'ES Energy Burden'!$B$2:$E$914,4,FALSE)</f>
        <v>Yes</v>
      </c>
    </row>
    <row r="803" spans="1:18" x14ac:dyDescent="0.2">
      <c r="A803" s="100">
        <v>9009351400</v>
      </c>
      <c r="B803" s="38" t="s">
        <v>982</v>
      </c>
      <c r="C803" s="38" t="s">
        <v>944</v>
      </c>
      <c r="D803" s="40">
        <f>[1]!Table3[[#This Row],[Residential CLM $ Collected]]+[1]!Table3[[#This Row],[C&amp;I CLM $ Collected]]</f>
        <v>53848.322968320004</v>
      </c>
      <c r="E803" s="36">
        <f>[1]!Table3[[#This Row],[CLM $ Collected ]]/'[1]1.) CLM Reference'!$B$4</f>
        <v>4.777230209307446E-4</v>
      </c>
      <c r="F803" s="40">
        <f>[1]!Table3[[#This Row],[Residential Incentive Disbursements]]+[1]!Table3[[#This Row],[C&amp;I Incentive Disbursements]]</f>
        <v>3381.01</v>
      </c>
      <c r="G803" s="36">
        <f>[1]!Table3[[#This Row],[Incentive Disbursements]]/'[1]1.) CLM Reference'!$B$5</f>
        <v>4.1365481043564087E-5</v>
      </c>
      <c r="H803" s="40">
        <v>53848.322968320004</v>
      </c>
      <c r="I803" s="36">
        <f>[1]!Table3[[#This Row],[Residential CLM $ Collected]]/'[1]1.) CLM Reference'!$B$4</f>
        <v>4.777230209307446E-4</v>
      </c>
      <c r="J803" s="41">
        <v>3381.01</v>
      </c>
      <c r="K803" s="36">
        <f>[1]!Table3[[#This Row],[Residential Incentive Disbursements]]/'[1]1.) CLM Reference'!$B$5</f>
        <v>4.1365481043564087E-5</v>
      </c>
      <c r="L803" s="37">
        <v>0</v>
      </c>
      <c r="M803" s="36">
        <f>[1]!Table3[[#This Row],[C&amp;I CLM $ Collected]]/'[1]1.) CLM Reference'!$B$4</f>
        <v>0</v>
      </c>
      <c r="N803" s="41">
        <v>0</v>
      </c>
      <c r="O803" s="36">
        <f>[1]!Table3[[#This Row],[C&amp;I Incentive Disbursements]]/'[1]1.) CLM Reference'!$B$5</f>
        <v>0</v>
      </c>
      <c r="Q803">
        <f>VLOOKUP(Table3[[#This Row],[Census Tract]],'Population and Diversity Data'!$B$2:$K$823,10,FALSE)</f>
        <v>5</v>
      </c>
      <c r="R803" t="str">
        <f>VLOOKUP(Table3[[#This Row],[Census Tract]],'ES Energy Burden'!$B$2:$E$914,4,FALSE)</f>
        <v>Yes</v>
      </c>
    </row>
    <row r="804" spans="1:18" x14ac:dyDescent="0.2">
      <c r="A804" s="100">
        <v>9009351500</v>
      </c>
      <c r="B804" s="38" t="s">
        <v>982</v>
      </c>
      <c r="C804" s="38" t="s">
        <v>944</v>
      </c>
      <c r="D804" s="40">
        <f>[1]!Table3[[#This Row],[Residential CLM $ Collected]]+[1]!Table3[[#This Row],[C&amp;I CLM $ Collected]]</f>
        <v>73375.150596480002</v>
      </c>
      <c r="E804" s="36">
        <f>[1]!Table3[[#This Row],[CLM $ Collected ]]/'[1]1.) CLM Reference'!$B$4</f>
        <v>6.5095803679570676E-4</v>
      </c>
      <c r="F804" s="40">
        <f>[1]!Table3[[#This Row],[Residential Incentive Disbursements]]+[1]!Table3[[#This Row],[C&amp;I Incentive Disbursements]]</f>
        <v>79377.770300000004</v>
      </c>
      <c r="G804" s="36">
        <f>[1]!Table3[[#This Row],[Incentive Disbursements]]/'[1]1.) CLM Reference'!$B$5</f>
        <v>9.7115940284856731E-4</v>
      </c>
      <c r="H804" s="40">
        <v>73375.150596480002</v>
      </c>
      <c r="I804" s="36">
        <f>[1]!Table3[[#This Row],[Residential CLM $ Collected]]/'[1]1.) CLM Reference'!$B$4</f>
        <v>6.5095803679570676E-4</v>
      </c>
      <c r="J804" s="41">
        <v>79377.770300000004</v>
      </c>
      <c r="K804" s="36">
        <f>[1]!Table3[[#This Row],[Residential Incentive Disbursements]]/'[1]1.) CLM Reference'!$B$5</f>
        <v>9.7115940284856731E-4</v>
      </c>
      <c r="L804" s="37">
        <v>0</v>
      </c>
      <c r="M804" s="36">
        <f>[1]!Table3[[#This Row],[C&amp;I CLM $ Collected]]/'[1]1.) CLM Reference'!$B$4</f>
        <v>0</v>
      </c>
      <c r="N804" s="41">
        <v>0</v>
      </c>
      <c r="O804" s="36">
        <f>[1]!Table3[[#This Row],[C&amp;I Incentive Disbursements]]/'[1]1.) CLM Reference'!$B$5</f>
        <v>0</v>
      </c>
      <c r="Q804">
        <f>VLOOKUP(Table3[[#This Row],[Census Tract]],'Population and Diversity Data'!$B$2:$K$823,10,FALSE)</f>
        <v>5</v>
      </c>
      <c r="R804" t="str">
        <f>VLOOKUP(Table3[[#This Row],[Census Tract]],'ES Energy Burden'!$B$2:$E$914,4,FALSE)</f>
        <v>No</v>
      </c>
    </row>
    <row r="805" spans="1:18" x14ac:dyDescent="0.2">
      <c r="A805" s="100">
        <v>9009351601</v>
      </c>
      <c r="B805" s="38" t="s">
        <v>982</v>
      </c>
      <c r="C805" s="38" t="s">
        <v>944</v>
      </c>
      <c r="D805" s="40">
        <f>[1]!Table3[[#This Row],[Residential CLM $ Collected]]+[1]!Table3[[#This Row],[C&amp;I CLM $ Collected]]</f>
        <v>54795.537365759999</v>
      </c>
      <c r="E805" s="36">
        <f>[1]!Table3[[#This Row],[CLM $ Collected ]]/'[1]1.) CLM Reference'!$B$4</f>
        <v>4.8612636756199156E-4</v>
      </c>
      <c r="F805" s="40">
        <f>[1]!Table3[[#This Row],[Residential Incentive Disbursements]]+[1]!Table3[[#This Row],[C&amp;I Incentive Disbursements]]</f>
        <v>22097.49</v>
      </c>
      <c r="G805" s="36">
        <f>[1]!Table3[[#This Row],[Incentive Disbursements]]/'[1]1.) CLM Reference'!$B$5</f>
        <v>2.7035510208646147E-4</v>
      </c>
      <c r="H805" s="40">
        <v>54795.537365759999</v>
      </c>
      <c r="I805" s="36">
        <f>[1]!Table3[[#This Row],[Residential CLM $ Collected]]/'[1]1.) CLM Reference'!$B$4</f>
        <v>4.8612636756199156E-4</v>
      </c>
      <c r="J805" s="41">
        <v>22097.49</v>
      </c>
      <c r="K805" s="36">
        <f>[1]!Table3[[#This Row],[Residential Incentive Disbursements]]/'[1]1.) CLM Reference'!$B$5</f>
        <v>2.7035510208646147E-4</v>
      </c>
      <c r="L805" s="37">
        <v>0</v>
      </c>
      <c r="M805" s="36">
        <f>[1]!Table3[[#This Row],[C&amp;I CLM $ Collected]]/'[1]1.) CLM Reference'!$B$4</f>
        <v>0</v>
      </c>
      <c r="N805" s="41">
        <v>0</v>
      </c>
      <c r="O805" s="36">
        <f>[1]!Table3[[#This Row],[C&amp;I Incentive Disbursements]]/'[1]1.) CLM Reference'!$B$5</f>
        <v>0</v>
      </c>
      <c r="Q805">
        <f>VLOOKUP(Table3[[#This Row],[Census Tract]],'Population and Diversity Data'!$B$2:$K$823,10,FALSE)</f>
        <v>3</v>
      </c>
      <c r="R805" t="str">
        <f>VLOOKUP(Table3[[#This Row],[Census Tract]],'ES Energy Burden'!$B$2:$E$914,4,FALSE)</f>
        <v>Yes</v>
      </c>
    </row>
    <row r="806" spans="1:18" x14ac:dyDescent="0.2">
      <c r="A806" s="100">
        <v>9009351602</v>
      </c>
      <c r="B806" s="38" t="s">
        <v>982</v>
      </c>
      <c r="C806" s="38" t="s">
        <v>944</v>
      </c>
      <c r="D806" s="40">
        <f>[1]!Table3[[#This Row],[Residential CLM $ Collected]]+[1]!Table3[[#This Row],[C&amp;I CLM $ Collected]]</f>
        <v>928086.51075263997</v>
      </c>
      <c r="E806" s="36">
        <f>[1]!Table3[[#This Row],[CLM $ Collected ]]/'[1]1.) CLM Reference'!$B$4</f>
        <v>8.2336508764194408E-3</v>
      </c>
      <c r="F806" s="40">
        <f>[1]!Table3[[#This Row],[Residential Incentive Disbursements]]+[1]!Table3[[#This Row],[C&amp;I Incentive Disbursements]]</f>
        <v>1583684.9359000002</v>
      </c>
      <c r="G806" s="36">
        <f>[1]!Table3[[#This Row],[Incentive Disbursements]]/'[1]1.) CLM Reference'!$B$5</f>
        <v>1.9375834201895131E-2</v>
      </c>
      <c r="H806" s="40">
        <v>223993.94705856004</v>
      </c>
      <c r="I806" s="36">
        <f>[1]!Table3[[#This Row],[Residential CLM $ Collected]]/'[1]1.) CLM Reference'!$B$4</f>
        <v>1.9871940138594638E-3</v>
      </c>
      <c r="J806" s="41">
        <v>1331999.4979000001</v>
      </c>
      <c r="K806" s="36">
        <f>[1]!Table3[[#This Row],[Residential Incentive Disbursements]]/'[1]1.) CLM Reference'!$B$5</f>
        <v>1.6296550433278618E-2</v>
      </c>
      <c r="L806" s="37">
        <v>704092.56369407987</v>
      </c>
      <c r="M806" s="36">
        <f>[1]!Table3[[#This Row],[C&amp;I CLM $ Collected]]/'[1]1.) CLM Reference'!$B$4</f>
        <v>6.2464568625599775E-3</v>
      </c>
      <c r="N806" s="41">
        <v>251685.43799999999</v>
      </c>
      <c r="O806" s="36">
        <f>[1]!Table3[[#This Row],[C&amp;I Incentive Disbursements]]/'[1]1.) CLM Reference'!$B$5</f>
        <v>3.079283768616515E-3</v>
      </c>
      <c r="Q806">
        <f>VLOOKUP(Table3[[#This Row],[Census Tract]],'Population and Diversity Data'!$B$2:$K$823,10,FALSE)</f>
        <v>1</v>
      </c>
      <c r="R806" t="str">
        <f>VLOOKUP(Table3[[#This Row],[Census Tract]],'ES Energy Burden'!$B$2:$E$914,4,FALSE)</f>
        <v>No</v>
      </c>
    </row>
    <row r="807" spans="1:18" x14ac:dyDescent="0.2">
      <c r="A807" s="100">
        <v>9009351700</v>
      </c>
      <c r="B807" s="38" t="s">
        <v>982</v>
      </c>
      <c r="C807" s="38" t="s">
        <v>944</v>
      </c>
      <c r="D807" s="40">
        <f>[1]!Table3[[#This Row],[Residential CLM $ Collected]]+[1]!Table3[[#This Row],[C&amp;I CLM $ Collected]]</f>
        <v>40955.166647999999</v>
      </c>
      <c r="E807" s="36">
        <f>[1]!Table3[[#This Row],[CLM $ Collected ]]/'[1]1.) CLM Reference'!$B$4</f>
        <v>3.6333955925266665E-4</v>
      </c>
      <c r="F807" s="40">
        <f>[1]!Table3[[#This Row],[Residential Incentive Disbursements]]+[1]!Table3[[#This Row],[C&amp;I Incentive Disbursements]]</f>
        <v>9409.7900000000009</v>
      </c>
      <c r="G807" s="36">
        <f>[1]!Table3[[#This Row],[Incentive Disbursements]]/'[1]1.) CLM Reference'!$B$5</f>
        <v>1.1512550683639473E-4</v>
      </c>
      <c r="H807" s="40">
        <v>40955.166647999999</v>
      </c>
      <c r="I807" s="36">
        <f>[1]!Table3[[#This Row],[Residential CLM $ Collected]]/'[1]1.) CLM Reference'!$B$4</f>
        <v>3.6333955925266665E-4</v>
      </c>
      <c r="J807" s="41">
        <v>9409.7900000000009</v>
      </c>
      <c r="K807" s="36">
        <f>[1]!Table3[[#This Row],[Residential Incentive Disbursements]]/'[1]1.) CLM Reference'!$B$5</f>
        <v>1.1512550683639473E-4</v>
      </c>
      <c r="L807" s="37">
        <v>0</v>
      </c>
      <c r="M807" s="36">
        <f>[1]!Table3[[#This Row],[C&amp;I CLM $ Collected]]/'[1]1.) CLM Reference'!$B$4</f>
        <v>0</v>
      </c>
      <c r="N807" s="41">
        <v>0</v>
      </c>
      <c r="O807" s="36">
        <f>[1]!Table3[[#This Row],[C&amp;I Incentive Disbursements]]/'[1]1.) CLM Reference'!$B$5</f>
        <v>0</v>
      </c>
      <c r="Q807">
        <f>VLOOKUP(Table3[[#This Row],[Census Tract]],'Population and Diversity Data'!$B$2:$K$823,10,FALSE)</f>
        <v>3</v>
      </c>
      <c r="R807" t="str">
        <f>VLOOKUP(Table3[[#This Row],[Census Tract]],'ES Energy Burden'!$B$2:$E$914,4,FALSE)</f>
        <v>Yes</v>
      </c>
    </row>
    <row r="808" spans="1:18" x14ac:dyDescent="0.2">
      <c r="A808" s="100">
        <v>9009351800</v>
      </c>
      <c r="B808" s="38" t="s">
        <v>982</v>
      </c>
      <c r="C808" s="38" t="s">
        <v>944</v>
      </c>
      <c r="D808" s="40">
        <f>[1]!Table3[[#This Row],[Residential CLM $ Collected]]+[1]!Table3[[#This Row],[C&amp;I CLM $ Collected]]</f>
        <v>78965.426015999998</v>
      </c>
      <c r="E808" s="36">
        <f>[1]!Table3[[#This Row],[CLM $ Collected ]]/'[1]1.) CLM Reference'!$B$4</f>
        <v>7.0055295663785564E-4</v>
      </c>
      <c r="F808" s="40">
        <f>[1]!Table3[[#This Row],[Residential Incentive Disbursements]]+[1]!Table3[[#This Row],[C&amp;I Incentive Disbursements]]</f>
        <v>32630.14</v>
      </c>
      <c r="G808" s="36">
        <f>[1]!Table3[[#This Row],[Incentive Disbursements]]/'[1]1.) CLM Reference'!$B$5</f>
        <v>3.9921841036224154E-4</v>
      </c>
      <c r="H808" s="40">
        <v>78963.979973759997</v>
      </c>
      <c r="I808" s="36">
        <f>[1]!Table3[[#This Row],[Residential CLM $ Collected]]/'[1]1.) CLM Reference'!$B$4</f>
        <v>7.0054012786939632E-4</v>
      </c>
      <c r="J808" s="41">
        <v>32630.14</v>
      </c>
      <c r="K808" s="36">
        <f>[1]!Table3[[#This Row],[Residential Incentive Disbursements]]/'[1]1.) CLM Reference'!$B$5</f>
        <v>3.9921841036224154E-4</v>
      </c>
      <c r="L808" s="37">
        <v>1.4460422400000001</v>
      </c>
      <c r="M808" s="36">
        <f>[1]!Table3[[#This Row],[C&amp;I CLM $ Collected]]/'[1]1.) CLM Reference'!$B$4</f>
        <v>1.2828768459375722E-8</v>
      </c>
      <c r="N808" s="41">
        <v>0</v>
      </c>
      <c r="O808" s="36">
        <f>[1]!Table3[[#This Row],[C&amp;I Incentive Disbursements]]/'[1]1.) CLM Reference'!$B$5</f>
        <v>0</v>
      </c>
      <c r="Q808">
        <f>VLOOKUP(Table3[[#This Row],[Census Tract]],'Population and Diversity Data'!$B$2:$K$823,10,FALSE)</f>
        <v>3</v>
      </c>
      <c r="R808" t="str">
        <f>VLOOKUP(Table3[[#This Row],[Census Tract]],'ES Energy Burden'!$B$2:$E$914,4,FALSE)</f>
        <v>No</v>
      </c>
    </row>
    <row r="809" spans="1:18" x14ac:dyDescent="0.2">
      <c r="A809" s="100">
        <v>9009351900</v>
      </c>
      <c r="B809" s="38" t="s">
        <v>982</v>
      </c>
      <c r="C809" s="38" t="s">
        <v>944</v>
      </c>
      <c r="D809" s="40">
        <f>[1]!Table3[[#This Row],[Residential CLM $ Collected]]+[1]!Table3[[#This Row],[C&amp;I CLM $ Collected]]</f>
        <v>46036.982819519995</v>
      </c>
      <c r="E809" s="36">
        <f>[1]!Table3[[#This Row],[CLM $ Collected ]]/'[1]1.) CLM Reference'!$B$4</f>
        <v>4.0842361088973446E-4</v>
      </c>
      <c r="F809" s="40">
        <f>[1]!Table3[[#This Row],[Residential Incentive Disbursements]]+[1]!Table3[[#This Row],[C&amp;I Incentive Disbursements]]</f>
        <v>33038.6175</v>
      </c>
      <c r="G809" s="36">
        <f>[1]!Table3[[#This Row],[Incentive Disbursements]]/'[1]1.) CLM Reference'!$B$5</f>
        <v>4.0421599045900922E-4</v>
      </c>
      <c r="H809" s="40">
        <v>46036.982819519995</v>
      </c>
      <c r="I809" s="36">
        <f>[1]!Table3[[#This Row],[Residential CLM $ Collected]]/'[1]1.) CLM Reference'!$B$4</f>
        <v>4.0842361088973446E-4</v>
      </c>
      <c r="J809" s="41">
        <v>33038.6175</v>
      </c>
      <c r="K809" s="36">
        <f>[1]!Table3[[#This Row],[Residential Incentive Disbursements]]/'[1]1.) CLM Reference'!$B$5</f>
        <v>4.0421599045900922E-4</v>
      </c>
      <c r="L809" s="37">
        <v>0</v>
      </c>
      <c r="M809" s="36">
        <f>[1]!Table3[[#This Row],[C&amp;I CLM $ Collected]]/'[1]1.) CLM Reference'!$B$4</f>
        <v>0</v>
      </c>
      <c r="N809" s="41">
        <v>0</v>
      </c>
      <c r="O809" s="36">
        <f>[1]!Table3[[#This Row],[C&amp;I Incentive Disbursements]]/'[1]1.) CLM Reference'!$B$5</f>
        <v>0</v>
      </c>
      <c r="Q809">
        <f>VLOOKUP(Table3[[#This Row],[Census Tract]],'Population and Diversity Data'!$B$2:$K$823,10,FALSE)</f>
        <v>4</v>
      </c>
      <c r="R809" t="str">
        <f>VLOOKUP(Table3[[#This Row],[Census Tract]],'ES Energy Burden'!$B$2:$E$914,4,FALSE)</f>
        <v>No</v>
      </c>
    </row>
    <row r="810" spans="1:18" x14ac:dyDescent="0.2">
      <c r="A810" s="100">
        <v>9009352000</v>
      </c>
      <c r="B810" s="38" t="s">
        <v>982</v>
      </c>
      <c r="C810" s="38" t="s">
        <v>944</v>
      </c>
      <c r="D810" s="40">
        <f>[1]!Table3[[#This Row],[Residential CLM $ Collected]]+[1]!Table3[[#This Row],[C&amp;I CLM $ Collected]]</f>
        <v>86934.247574400011</v>
      </c>
      <c r="E810" s="36">
        <f>[1]!Table3[[#This Row],[CLM $ Collected ]]/'[1]1.) CLM Reference'!$B$4</f>
        <v>7.7124948529997512E-4</v>
      </c>
      <c r="F810" s="40">
        <f>[1]!Table3[[#This Row],[Residential Incentive Disbursements]]+[1]!Table3[[#This Row],[C&amp;I Incentive Disbursements]]</f>
        <v>43374.961799999997</v>
      </c>
      <c r="G810" s="36">
        <f>[1]!Table3[[#This Row],[Incentive Disbursements]]/'[1]1.) CLM Reference'!$B$5</f>
        <v>5.3067756679312287E-4</v>
      </c>
      <c r="H810" s="40">
        <v>86934.247574400011</v>
      </c>
      <c r="I810" s="36">
        <f>[1]!Table3[[#This Row],[Residential CLM $ Collected]]/'[1]1.) CLM Reference'!$B$4</f>
        <v>7.7124948529997512E-4</v>
      </c>
      <c r="J810" s="41">
        <v>43374.961799999997</v>
      </c>
      <c r="K810" s="36">
        <f>[1]!Table3[[#This Row],[Residential Incentive Disbursements]]/'[1]1.) CLM Reference'!$B$5</f>
        <v>5.3067756679312287E-4</v>
      </c>
      <c r="L810" s="37">
        <v>0</v>
      </c>
      <c r="M810" s="36">
        <f>[1]!Table3[[#This Row],[C&amp;I CLM $ Collected]]/'[1]1.) CLM Reference'!$B$4</f>
        <v>0</v>
      </c>
      <c r="N810" s="41">
        <v>0</v>
      </c>
      <c r="O810" s="36">
        <f>[1]!Table3[[#This Row],[C&amp;I Incentive Disbursements]]/'[1]1.) CLM Reference'!$B$5</f>
        <v>0</v>
      </c>
      <c r="Q810">
        <f>VLOOKUP(Table3[[#This Row],[Census Tract]],'Population and Diversity Data'!$B$2:$K$823,10,FALSE)</f>
        <v>4</v>
      </c>
      <c r="R810" t="str">
        <f>VLOOKUP(Table3[[#This Row],[Census Tract]],'ES Energy Burden'!$B$2:$E$914,4,FALSE)</f>
        <v>No</v>
      </c>
    </row>
    <row r="811" spans="1:18" x14ac:dyDescent="0.2">
      <c r="A811" s="100">
        <v>9009352100</v>
      </c>
      <c r="B811" s="38" t="s">
        <v>982</v>
      </c>
      <c r="C811" s="38" t="s">
        <v>944</v>
      </c>
      <c r="D811" s="40">
        <f>[1]!Table3[[#This Row],[Residential CLM $ Collected]]+[1]!Table3[[#This Row],[C&amp;I CLM $ Collected]]</f>
        <v>66312.099100799998</v>
      </c>
      <c r="E811" s="36">
        <f>[1]!Table3[[#This Row],[CLM $ Collected ]]/'[1]1.) CLM Reference'!$B$4</f>
        <v>5.882971754817757E-4</v>
      </c>
      <c r="F811" s="40">
        <f>[1]!Table3[[#This Row],[Residential Incentive Disbursements]]+[1]!Table3[[#This Row],[C&amp;I Incentive Disbursements]]</f>
        <v>16926.25</v>
      </c>
      <c r="G811" s="36">
        <f>[1]!Table3[[#This Row],[Incentive Disbursements]]/'[1]1.) CLM Reference'!$B$5</f>
        <v>2.0708677984200774E-4</v>
      </c>
      <c r="H811" s="40">
        <v>66312.099100799998</v>
      </c>
      <c r="I811" s="36">
        <f>[1]!Table3[[#This Row],[Residential CLM $ Collected]]/'[1]1.) CLM Reference'!$B$4</f>
        <v>5.882971754817757E-4</v>
      </c>
      <c r="J811" s="41">
        <v>16926.25</v>
      </c>
      <c r="K811" s="36">
        <f>[1]!Table3[[#This Row],[Residential Incentive Disbursements]]/'[1]1.) CLM Reference'!$B$5</f>
        <v>2.0708677984200774E-4</v>
      </c>
      <c r="L811" s="37">
        <v>0</v>
      </c>
      <c r="M811" s="36">
        <f>[1]!Table3[[#This Row],[C&amp;I CLM $ Collected]]/'[1]1.) CLM Reference'!$B$4</f>
        <v>0</v>
      </c>
      <c r="N811" s="41">
        <v>0</v>
      </c>
      <c r="O811" s="36">
        <f>[1]!Table3[[#This Row],[C&amp;I Incentive Disbursements]]/'[1]1.) CLM Reference'!$B$5</f>
        <v>0</v>
      </c>
      <c r="Q811">
        <f>VLOOKUP(Table3[[#This Row],[Census Tract]],'Population and Diversity Data'!$B$2:$K$823,10,FALSE)</f>
        <v>2</v>
      </c>
      <c r="R811" t="str">
        <f>VLOOKUP(Table3[[#This Row],[Census Tract]],'ES Energy Burden'!$B$2:$E$914,4,FALSE)</f>
        <v>No</v>
      </c>
    </row>
    <row r="812" spans="1:18" x14ac:dyDescent="0.2">
      <c r="A812" s="100">
        <v>9009352200</v>
      </c>
      <c r="B812" s="38" t="s">
        <v>982</v>
      </c>
      <c r="C812" s="38" t="s">
        <v>944</v>
      </c>
      <c r="D812" s="40">
        <f>[1]!Table3[[#This Row],[Residential CLM $ Collected]]+[1]!Table3[[#This Row],[C&amp;I CLM $ Collected]]</f>
        <v>30857.74312608</v>
      </c>
      <c r="E812" s="36">
        <f>[1]!Table3[[#This Row],[CLM $ Collected ]]/'[1]1.) CLM Reference'!$B$4</f>
        <v>2.7375883690878422E-4</v>
      </c>
      <c r="F812" s="40">
        <f>[1]!Table3[[#This Row],[Residential Incentive Disbursements]]+[1]!Table3[[#This Row],[C&amp;I Incentive Disbursements]]</f>
        <v>3404.86</v>
      </c>
      <c r="G812" s="36">
        <f>[1]!Table3[[#This Row],[Incentive Disbursements]]/'[1]1.) CLM Reference'!$B$5</f>
        <v>4.1657277495774817E-5</v>
      </c>
      <c r="H812" s="40">
        <v>30857.74312608</v>
      </c>
      <c r="I812" s="36">
        <f>[1]!Table3[[#This Row],[Residential CLM $ Collected]]/'[1]1.) CLM Reference'!$B$4</f>
        <v>2.7375883690878422E-4</v>
      </c>
      <c r="J812" s="41">
        <v>3404.86</v>
      </c>
      <c r="K812" s="36">
        <f>[1]!Table3[[#This Row],[Residential Incentive Disbursements]]/'[1]1.) CLM Reference'!$B$5</f>
        <v>4.1657277495774817E-5</v>
      </c>
      <c r="L812" s="37">
        <v>0</v>
      </c>
      <c r="M812" s="36">
        <f>[1]!Table3[[#This Row],[C&amp;I CLM $ Collected]]/'[1]1.) CLM Reference'!$B$4</f>
        <v>0</v>
      </c>
      <c r="N812" s="41">
        <v>0</v>
      </c>
      <c r="O812" s="36">
        <f>[1]!Table3[[#This Row],[C&amp;I Incentive Disbursements]]/'[1]1.) CLM Reference'!$B$5</f>
        <v>0</v>
      </c>
      <c r="Q812">
        <f>VLOOKUP(Table3[[#This Row],[Census Tract]],'Population and Diversity Data'!$B$2:$K$823,10,FALSE)</f>
        <v>4</v>
      </c>
      <c r="R812" t="str">
        <f>VLOOKUP(Table3[[#This Row],[Census Tract]],'ES Energy Burden'!$B$2:$E$914,4,FALSE)</f>
        <v>Yes</v>
      </c>
    </row>
    <row r="813" spans="1:18" x14ac:dyDescent="0.2">
      <c r="A813" s="100">
        <v>9009352300</v>
      </c>
      <c r="B813" s="38" t="s">
        <v>982</v>
      </c>
      <c r="C813" s="38" t="s">
        <v>944</v>
      </c>
      <c r="D813" s="40">
        <f>[1]!Table3[[#This Row],[Residential CLM $ Collected]]+[1]!Table3[[#This Row],[C&amp;I CLM $ Collected]]</f>
        <v>41957.293023359998</v>
      </c>
      <c r="E813" s="36">
        <f>[1]!Table3[[#This Row],[CLM $ Collected ]]/'[1]1.) CLM Reference'!$B$4</f>
        <v>3.7223006527033794E-4</v>
      </c>
      <c r="F813" s="40">
        <f>[1]!Table3[[#This Row],[Residential Incentive Disbursements]]+[1]!Table3[[#This Row],[C&amp;I Incentive Disbursements]]</f>
        <v>70837.55</v>
      </c>
      <c r="G813" s="36">
        <f>[1]!Table3[[#This Row],[Incentive Disbursements]]/'[1]1.) CLM Reference'!$B$5</f>
        <v>8.666727787547281E-4</v>
      </c>
      <c r="H813" s="40">
        <v>41957.293023359998</v>
      </c>
      <c r="I813" s="36">
        <f>[1]!Table3[[#This Row],[Residential CLM $ Collected]]/'[1]1.) CLM Reference'!$B$4</f>
        <v>3.7223006527033794E-4</v>
      </c>
      <c r="J813" s="41">
        <v>70837.55</v>
      </c>
      <c r="K813" s="36">
        <f>[1]!Table3[[#This Row],[Residential Incentive Disbursements]]/'[1]1.) CLM Reference'!$B$5</f>
        <v>8.666727787547281E-4</v>
      </c>
      <c r="L813" s="37">
        <v>0</v>
      </c>
      <c r="M813" s="36">
        <f>[1]!Table3[[#This Row],[C&amp;I CLM $ Collected]]/'[1]1.) CLM Reference'!$B$4</f>
        <v>0</v>
      </c>
      <c r="N813" s="41">
        <v>0</v>
      </c>
      <c r="O813" s="36">
        <f>[1]!Table3[[#This Row],[C&amp;I Incentive Disbursements]]/'[1]1.) CLM Reference'!$B$5</f>
        <v>0</v>
      </c>
      <c r="Q813">
        <f>VLOOKUP(Table3[[#This Row],[Census Tract]],'Population and Diversity Data'!$B$2:$K$823,10,FALSE)</f>
        <v>2</v>
      </c>
      <c r="R813" t="str">
        <f>VLOOKUP(Table3[[#This Row],[Census Tract]],'ES Energy Burden'!$B$2:$E$914,4,FALSE)</f>
        <v>Yes</v>
      </c>
    </row>
    <row r="814" spans="1:18" x14ac:dyDescent="0.2">
      <c r="A814" s="100">
        <v>9009352400</v>
      </c>
      <c r="B814" s="38" t="s">
        <v>982</v>
      </c>
      <c r="C814" s="38" t="s">
        <v>944</v>
      </c>
      <c r="D814" s="40">
        <f>[1]!Table3[[#This Row],[Residential CLM $ Collected]]+[1]!Table3[[#This Row],[C&amp;I CLM $ Collected]]</f>
        <v>67570.252522559997</v>
      </c>
      <c r="E814" s="36">
        <f>[1]!Table3[[#This Row],[CLM $ Collected ]]/'[1]1.) CLM Reference'!$B$4</f>
        <v>5.9945906168928399E-4</v>
      </c>
      <c r="F814" s="40">
        <f>[1]!Table3[[#This Row],[Residential Incentive Disbursements]]+[1]!Table3[[#This Row],[C&amp;I Incentive Disbursements]]</f>
        <v>18995.95</v>
      </c>
      <c r="G814" s="36">
        <f>[1]!Table3[[#This Row],[Incentive Disbursements]]/'[1]1.) CLM Reference'!$B$5</f>
        <v>2.3240883926089873E-4</v>
      </c>
      <c r="H814" s="40">
        <v>67567.224980159997</v>
      </c>
      <c r="I814" s="36">
        <f>[1]!Table3[[#This Row],[Residential CLM $ Collected]]/'[1]1.) CLM Reference'!$B$4</f>
        <v>5.9943220241825013E-4</v>
      </c>
      <c r="J814" s="41">
        <v>18995.95</v>
      </c>
      <c r="K814" s="36">
        <f>[1]!Table3[[#This Row],[Residential Incentive Disbursements]]/'[1]1.) CLM Reference'!$B$5</f>
        <v>2.3240883926089873E-4</v>
      </c>
      <c r="L814" s="37">
        <v>3.0275423999999997</v>
      </c>
      <c r="M814" s="36">
        <f>[1]!Table3[[#This Row],[C&amp;I CLM $ Collected]]/'[1]1.) CLM Reference'!$B$4</f>
        <v>2.6859271033841077E-8</v>
      </c>
      <c r="N814" s="41">
        <v>0</v>
      </c>
      <c r="O814" s="36">
        <f>[1]!Table3[[#This Row],[C&amp;I Incentive Disbursements]]/'[1]1.) CLM Reference'!$B$5</f>
        <v>0</v>
      </c>
      <c r="Q814">
        <f>VLOOKUP(Table3[[#This Row],[Census Tract]],'Population and Diversity Data'!$B$2:$K$823,10,FALSE)</f>
        <v>4</v>
      </c>
      <c r="R814" t="str">
        <f>VLOOKUP(Table3[[#This Row],[Census Tract]],'ES Energy Burden'!$B$2:$E$914,4,FALSE)</f>
        <v>Yes</v>
      </c>
    </row>
    <row r="815" spans="1:18" x14ac:dyDescent="0.2">
      <c r="A815" s="100">
        <v>9009352500</v>
      </c>
      <c r="B815" s="38" t="s">
        <v>982</v>
      </c>
      <c r="C815" s="38" t="s">
        <v>944</v>
      </c>
      <c r="D815" s="40">
        <f>[1]!Table3[[#This Row],[Residential CLM $ Collected]]+[1]!Table3[[#This Row],[C&amp;I CLM $ Collected]]</f>
        <v>68249.952578880009</v>
      </c>
      <c r="E815" s="36">
        <f>[1]!Table3[[#This Row],[CLM $ Collected ]]/'[1]1.) CLM Reference'!$B$4</f>
        <v>6.0548911696924176E-4</v>
      </c>
      <c r="F815" s="40">
        <f>[1]!Table3[[#This Row],[Residential Incentive Disbursements]]+[1]!Table3[[#This Row],[C&amp;I Incentive Disbursements]]</f>
        <v>82131.960000000006</v>
      </c>
      <c r="G815" s="36">
        <f>[1]!Table3[[#This Row],[Incentive Disbursements]]/'[1]1.) CLM Reference'!$B$5</f>
        <v>1.0048559556022501E-3</v>
      </c>
      <c r="H815" s="40">
        <v>68249.952578880009</v>
      </c>
      <c r="I815" s="36">
        <f>[1]!Table3[[#This Row],[Residential CLM $ Collected]]/'[1]1.) CLM Reference'!$B$4</f>
        <v>6.0548911696924176E-4</v>
      </c>
      <c r="J815" s="41">
        <v>82131.960000000006</v>
      </c>
      <c r="K815" s="36">
        <f>[1]!Table3[[#This Row],[Residential Incentive Disbursements]]/'[1]1.) CLM Reference'!$B$5</f>
        <v>1.0048559556022501E-3</v>
      </c>
      <c r="L815" s="37">
        <v>0</v>
      </c>
      <c r="M815" s="36">
        <f>[1]!Table3[[#This Row],[C&amp;I CLM $ Collected]]/'[1]1.) CLM Reference'!$B$4</f>
        <v>0</v>
      </c>
      <c r="N815" s="41">
        <v>0</v>
      </c>
      <c r="O815" s="36">
        <f>[1]!Table3[[#This Row],[C&amp;I Incentive Disbursements]]/'[1]1.) CLM Reference'!$B$5</f>
        <v>0</v>
      </c>
      <c r="Q815">
        <f>VLOOKUP(Table3[[#This Row],[Census Tract]],'Population and Diversity Data'!$B$2:$K$823,10,FALSE)</f>
        <v>3</v>
      </c>
      <c r="R815" t="str">
        <f>VLOOKUP(Table3[[#This Row],[Census Tract]],'ES Energy Burden'!$B$2:$E$914,4,FALSE)</f>
        <v>No</v>
      </c>
    </row>
    <row r="816" spans="1:18" x14ac:dyDescent="0.2">
      <c r="A816" s="100">
        <v>9009352600</v>
      </c>
      <c r="B816" s="38" t="s">
        <v>982</v>
      </c>
      <c r="C816" s="38" t="s">
        <v>944</v>
      </c>
      <c r="D816" s="40">
        <f>[1]!Table3[[#This Row],[Residential CLM $ Collected]]+[1]!Table3[[#This Row],[C&amp;I CLM $ Collected]]</f>
        <v>102977.93166624001</v>
      </c>
      <c r="E816" s="36">
        <f>[1]!Table3[[#This Row],[CLM $ Collected ]]/'[1]1.) CLM Reference'!$B$4</f>
        <v>9.1358330014730961E-4</v>
      </c>
      <c r="F816" s="40">
        <f>[1]!Table3[[#This Row],[Residential Incentive Disbursements]]+[1]!Table3[[#This Row],[C&amp;I Incentive Disbursements]]</f>
        <v>126038.12</v>
      </c>
      <c r="G816" s="36">
        <f>[1]!Table3[[#This Row],[Incentive Disbursements]]/'[1]1.) CLM Reference'!$B$5</f>
        <v>1.5420325475601832E-3</v>
      </c>
      <c r="H816" s="40">
        <v>102977.93166624001</v>
      </c>
      <c r="I816" s="36">
        <f>[1]!Table3[[#This Row],[Residential CLM $ Collected]]/'[1]1.) CLM Reference'!$B$4</f>
        <v>9.1358330014730961E-4</v>
      </c>
      <c r="J816" s="41">
        <v>126038.12</v>
      </c>
      <c r="K816" s="36">
        <f>[1]!Table3[[#This Row],[Residential Incentive Disbursements]]/'[1]1.) CLM Reference'!$B$5</f>
        <v>1.5420325475601832E-3</v>
      </c>
      <c r="L816" s="37">
        <v>0</v>
      </c>
      <c r="M816" s="36">
        <f>[1]!Table3[[#This Row],[C&amp;I CLM $ Collected]]/'[1]1.) CLM Reference'!$B$4</f>
        <v>0</v>
      </c>
      <c r="N816" s="41">
        <v>0</v>
      </c>
      <c r="O816" s="36">
        <f>[1]!Table3[[#This Row],[C&amp;I Incentive Disbursements]]/'[1]1.) CLM Reference'!$B$5</f>
        <v>0</v>
      </c>
      <c r="Q816">
        <f>VLOOKUP(Table3[[#This Row],[Census Tract]],'Population and Diversity Data'!$B$2:$K$823,10,FALSE)</f>
        <v>3</v>
      </c>
      <c r="R816" t="str">
        <f>VLOOKUP(Table3[[#This Row],[Census Tract]],'ES Energy Burden'!$B$2:$E$914,4,FALSE)</f>
        <v>Yes</v>
      </c>
    </row>
    <row r="817" spans="1:18" x14ac:dyDescent="0.2">
      <c r="A817" s="100">
        <v>9009352701</v>
      </c>
      <c r="B817" s="38" t="s">
        <v>982</v>
      </c>
      <c r="C817" s="38" t="s">
        <v>944</v>
      </c>
      <c r="D817" s="40">
        <f>[1]!Table3[[#This Row],[Residential CLM $ Collected]]+[1]!Table3[[#This Row],[C&amp;I CLM $ Collected]]</f>
        <v>41794.131643200002</v>
      </c>
      <c r="E817" s="36">
        <f>[1]!Table3[[#This Row],[CLM $ Collected ]]/'[1]1.) CLM Reference'!$B$4</f>
        <v>3.7078255598624901E-4</v>
      </c>
      <c r="F817" s="40">
        <f>[1]!Table3[[#This Row],[Residential Incentive Disbursements]]+[1]!Table3[[#This Row],[C&amp;I Incentive Disbursements]]</f>
        <v>5658.59</v>
      </c>
      <c r="G817" s="36">
        <f>[1]!Table3[[#This Row],[Incentive Disbursements]]/'[1]1.) CLM Reference'!$B$5</f>
        <v>6.923087993774089E-5</v>
      </c>
      <c r="H817" s="40">
        <v>41794.131643200002</v>
      </c>
      <c r="I817" s="36">
        <f>[1]!Table3[[#This Row],[Residential CLM $ Collected]]/'[1]1.) CLM Reference'!$B$4</f>
        <v>3.7078255598624901E-4</v>
      </c>
      <c r="J817" s="41">
        <v>5658.59</v>
      </c>
      <c r="K817" s="36">
        <f>[1]!Table3[[#This Row],[Residential Incentive Disbursements]]/'[1]1.) CLM Reference'!$B$5</f>
        <v>6.923087993774089E-5</v>
      </c>
      <c r="L817" s="37">
        <v>0</v>
      </c>
      <c r="M817" s="36">
        <f>[1]!Table3[[#This Row],[C&amp;I CLM $ Collected]]/'[1]1.) CLM Reference'!$B$4</f>
        <v>0</v>
      </c>
      <c r="N817" s="41">
        <v>0</v>
      </c>
      <c r="O817" s="36">
        <f>[1]!Table3[[#This Row],[C&amp;I Incentive Disbursements]]/'[1]1.) CLM Reference'!$B$5</f>
        <v>0</v>
      </c>
      <c r="Q817">
        <f>VLOOKUP(Table3[[#This Row],[Census Tract]],'Population and Diversity Data'!$B$2:$K$823,10,FALSE)</f>
        <v>4</v>
      </c>
      <c r="R817" t="str">
        <f>VLOOKUP(Table3[[#This Row],[Census Tract]],'ES Energy Burden'!$B$2:$E$914,4,FALSE)</f>
        <v>Yes</v>
      </c>
    </row>
    <row r="818" spans="1:18" x14ac:dyDescent="0.2">
      <c r="A818" s="100">
        <v>9009352702</v>
      </c>
      <c r="B818" s="38" t="s">
        <v>982</v>
      </c>
      <c r="C818" s="38" t="s">
        <v>944</v>
      </c>
      <c r="D818" s="40">
        <f>[1]!Table3[[#This Row],[Residential CLM $ Collected]]+[1]!Table3[[#This Row],[C&amp;I CLM $ Collected]]</f>
        <v>111415.61708064002</v>
      </c>
      <c r="E818" s="36">
        <f>[1]!Table3[[#This Row],[CLM $ Collected ]]/'[1]1.) CLM Reference'!$B$4</f>
        <v>9.8843942088856079E-4</v>
      </c>
      <c r="F818" s="40">
        <f>[1]!Table3[[#This Row],[Residential Incentive Disbursements]]+[1]!Table3[[#This Row],[C&amp;I Incentive Disbursements]]</f>
        <v>168967.71100000001</v>
      </c>
      <c r="G818" s="36">
        <f>[1]!Table3[[#This Row],[Incentive Disbursements]]/'[1]1.) CLM Reference'!$B$5</f>
        <v>2.0672611575667968E-3</v>
      </c>
      <c r="H818" s="40">
        <v>111415.61708064002</v>
      </c>
      <c r="I818" s="36">
        <f>[1]!Table3[[#This Row],[Residential CLM $ Collected]]/'[1]1.) CLM Reference'!$B$4</f>
        <v>9.8843942088856079E-4</v>
      </c>
      <c r="J818" s="41">
        <v>168967.71100000001</v>
      </c>
      <c r="K818" s="36">
        <f>[1]!Table3[[#This Row],[Residential Incentive Disbursements]]/'[1]1.) CLM Reference'!$B$5</f>
        <v>2.0672611575667968E-3</v>
      </c>
      <c r="L818" s="37">
        <v>0</v>
      </c>
      <c r="M818" s="36">
        <f>[1]!Table3[[#This Row],[C&amp;I CLM $ Collected]]/'[1]1.) CLM Reference'!$B$4</f>
        <v>0</v>
      </c>
      <c r="N818" s="41">
        <v>0</v>
      </c>
      <c r="O818" s="36">
        <f>[1]!Table3[[#This Row],[C&amp;I Incentive Disbursements]]/'[1]1.) CLM Reference'!$B$5</f>
        <v>0</v>
      </c>
      <c r="Q818">
        <f>VLOOKUP(Table3[[#This Row],[Census Tract]],'Population and Diversity Data'!$B$2:$K$823,10,FALSE)</f>
        <v>4</v>
      </c>
      <c r="R818" t="str">
        <f>VLOOKUP(Table3[[#This Row],[Census Tract]],'ES Energy Burden'!$B$2:$E$914,4,FALSE)</f>
        <v>No</v>
      </c>
    </row>
    <row r="819" spans="1:18" x14ac:dyDescent="0.2">
      <c r="A819" s="100">
        <v>9009352800</v>
      </c>
      <c r="B819" s="38" t="s">
        <v>982</v>
      </c>
      <c r="C819" s="38" t="s">
        <v>944</v>
      </c>
      <c r="D819" s="40">
        <f>[1]!Table3[[#This Row],[Residential CLM $ Collected]]+[1]!Table3[[#This Row],[C&amp;I CLM $ Collected]]</f>
        <v>97466.550065279996</v>
      </c>
      <c r="E819" s="36">
        <f>[1]!Table3[[#This Row],[CLM $ Collected ]]/'[1]1.) CLM Reference'!$B$4</f>
        <v>8.6468829798611447E-4</v>
      </c>
      <c r="F819" s="40">
        <f>[1]!Table3[[#This Row],[Residential Incentive Disbursements]]+[1]!Table3[[#This Row],[C&amp;I Incentive Disbursements]]</f>
        <v>57930.291700000002</v>
      </c>
      <c r="G819" s="36">
        <f>[1]!Table3[[#This Row],[Incentive Disbursements]]/'[1]1.) CLM Reference'!$B$5</f>
        <v>7.0875696409193937E-4</v>
      </c>
      <c r="H819" s="40">
        <v>97466.550065279996</v>
      </c>
      <c r="I819" s="36">
        <f>[1]!Table3[[#This Row],[Residential CLM $ Collected]]/'[1]1.) CLM Reference'!$B$4</f>
        <v>8.6468829798611447E-4</v>
      </c>
      <c r="J819" s="41">
        <v>57930.291700000002</v>
      </c>
      <c r="K819" s="36">
        <f>[1]!Table3[[#This Row],[Residential Incentive Disbursements]]/'[1]1.) CLM Reference'!$B$5</f>
        <v>7.0875696409193937E-4</v>
      </c>
      <c r="L819" s="37">
        <v>0</v>
      </c>
      <c r="M819" s="36">
        <f>[1]!Table3[[#This Row],[C&amp;I CLM $ Collected]]/'[1]1.) CLM Reference'!$B$4</f>
        <v>0</v>
      </c>
      <c r="N819" s="41">
        <v>0</v>
      </c>
      <c r="O819" s="36">
        <f>[1]!Table3[[#This Row],[C&amp;I Incentive Disbursements]]/'[1]1.) CLM Reference'!$B$5</f>
        <v>0</v>
      </c>
      <c r="Q819">
        <f>VLOOKUP(Table3[[#This Row],[Census Tract]],'Population and Diversity Data'!$B$2:$K$823,10,FALSE)</f>
        <v>5</v>
      </c>
      <c r="R819" t="str">
        <f>VLOOKUP(Table3[[#This Row],[Census Tract]],'ES Energy Burden'!$B$2:$E$914,4,FALSE)</f>
        <v>No</v>
      </c>
    </row>
    <row r="820" spans="1:18" x14ac:dyDescent="0.2">
      <c r="A820" s="100">
        <v>9009361100</v>
      </c>
      <c r="B820" s="38" t="s">
        <v>982</v>
      </c>
      <c r="C820" s="38" t="s">
        <v>944</v>
      </c>
      <c r="D820" s="40">
        <f>[1]!Table3[[#This Row],[Residential CLM $ Collected]]+[1]!Table3[[#This Row],[C&amp;I CLM $ Collected]]</f>
        <v>944.42535360000011</v>
      </c>
      <c r="E820" s="36">
        <f>[1]!Table3[[#This Row],[CLM $ Collected ]]/'[1]1.) CLM Reference'!$B$4</f>
        <v>8.3786032339542469E-6</v>
      </c>
      <c r="F820" s="40">
        <f>[1]!Table3[[#This Row],[Residential Incentive Disbursements]]+[1]!Table3[[#This Row],[C&amp;I Incentive Disbursements]]</f>
        <v>0</v>
      </c>
      <c r="G820" s="36">
        <f>[1]!Table3[[#This Row],[Incentive Disbursements]]/'[1]1.) CLM Reference'!$B$5</f>
        <v>0</v>
      </c>
      <c r="H820" s="40">
        <v>944.42535360000011</v>
      </c>
      <c r="I820" s="36">
        <f>[1]!Table3[[#This Row],[Residential CLM $ Collected]]/'[1]1.) CLM Reference'!$B$4</f>
        <v>8.3786032339542469E-6</v>
      </c>
      <c r="J820" s="41">
        <v>0</v>
      </c>
      <c r="K820" s="36">
        <f>[1]!Table3[[#This Row],[Residential Incentive Disbursements]]/'[1]1.) CLM Reference'!$B$5</f>
        <v>0</v>
      </c>
      <c r="L820" s="37">
        <v>0</v>
      </c>
      <c r="M820" s="36">
        <f>[1]!Table3[[#This Row],[C&amp;I CLM $ Collected]]/'[1]1.) CLM Reference'!$B$4</f>
        <v>0</v>
      </c>
      <c r="N820" s="41">
        <v>0</v>
      </c>
      <c r="O820" s="36">
        <f>[1]!Table3[[#This Row],[C&amp;I Incentive Disbursements]]/'[1]1.) CLM Reference'!$B$5</f>
        <v>0</v>
      </c>
      <c r="Q820">
        <f>VLOOKUP(Table3[[#This Row],[Census Tract]],'Population and Diversity Data'!$B$2:$K$823,10,FALSE)</f>
        <v>2</v>
      </c>
      <c r="R820" t="str">
        <f>VLOOKUP(Table3[[#This Row],[Census Tract]],'ES Energy Burden'!$B$2:$E$914,4,FALSE)</f>
        <v>No</v>
      </c>
    </row>
    <row r="821" spans="1:18" x14ac:dyDescent="0.2">
      <c r="A821" s="100">
        <v>9011690300</v>
      </c>
      <c r="B821" s="38" t="s">
        <v>2859</v>
      </c>
      <c r="C821" s="38" t="s">
        <v>944</v>
      </c>
      <c r="D821" s="40">
        <f>[1]!Table3[[#This Row],[Residential CLM $ Collected]]+[1]!Table3[[#This Row],[C&amp;I CLM $ Collected]]</f>
        <v>129.32179199999999</v>
      </c>
      <c r="E821" s="36">
        <f>[1]!Table3[[#This Row],[CLM $ Collected ]]/'[1]1.) CLM Reference'!$B$4</f>
        <v>1.1472965867992536E-6</v>
      </c>
      <c r="F821" s="40">
        <f>[1]!Table3[[#This Row],[Residential Incentive Disbursements]]+[1]!Table3[[#This Row],[C&amp;I Incentive Disbursements]]</f>
        <v>0</v>
      </c>
      <c r="G821" s="36">
        <f>[1]!Table3[[#This Row],[Incentive Disbursements]]/'[1]1.) CLM Reference'!$B$5</f>
        <v>0</v>
      </c>
      <c r="H821" s="40">
        <v>129.32179199999999</v>
      </c>
      <c r="I821" s="36">
        <f>[1]!Table3[[#This Row],[Residential CLM $ Collected]]/'[1]1.) CLM Reference'!$B$4</f>
        <v>1.1472965867992536E-6</v>
      </c>
      <c r="J821" s="41">
        <v>0</v>
      </c>
      <c r="K821" s="36">
        <f>[1]!Table3[[#This Row],[Residential Incentive Disbursements]]/'[1]1.) CLM Reference'!$B$5</f>
        <v>0</v>
      </c>
      <c r="L821" s="37">
        <v>0</v>
      </c>
      <c r="M821" s="36">
        <f>[1]!Table3[[#This Row],[C&amp;I CLM $ Collected]]/'[1]1.) CLM Reference'!$B$4</f>
        <v>0</v>
      </c>
      <c r="N821" s="41">
        <v>0</v>
      </c>
      <c r="O821" s="36">
        <f>[1]!Table3[[#This Row],[C&amp;I Incentive Disbursements]]/'[1]1.) CLM Reference'!$B$5</f>
        <v>0</v>
      </c>
      <c r="Q821">
        <f>VLOOKUP(Table3[[#This Row],[Census Tract]],'Population and Diversity Data'!$B$2:$K$823,10,FALSE)</f>
        <v>5</v>
      </c>
      <c r="R821" t="str">
        <f>VLOOKUP(Table3[[#This Row],[Census Tract]],'ES Energy Burden'!$B$2:$E$914,4,FALSE)</f>
        <v>No</v>
      </c>
    </row>
    <row r="822" spans="1:18" x14ac:dyDescent="0.2">
      <c r="A822" s="100">
        <v>9011693300</v>
      </c>
      <c r="B822" s="38" t="s">
        <v>2859</v>
      </c>
      <c r="C822" s="38" t="s">
        <v>944</v>
      </c>
      <c r="D822" s="40">
        <f>[1]!Table3[[#This Row],[Residential CLM $ Collected]]+[1]!Table3[[#This Row],[C&amp;I CLM $ Collected]]</f>
        <v>298229.70639455999</v>
      </c>
      <c r="E822" s="36">
        <f>[1]!Table3[[#This Row],[CLM $ Collected ]]/'[1]1.) CLM Reference'!$B$4</f>
        <v>2.6457870629307567E-3</v>
      </c>
      <c r="F822" s="40">
        <f>[1]!Table3[[#This Row],[Residential Incentive Disbursements]]+[1]!Table3[[#This Row],[C&amp;I Incentive Disbursements]]</f>
        <v>526570.05579999997</v>
      </c>
      <c r="G822" s="36">
        <f>[1]!Table3[[#This Row],[Incentive Disbursements]]/'[1]1.) CLM Reference'!$B$5</f>
        <v>6.4424014307273214E-3</v>
      </c>
      <c r="H822" s="40">
        <v>136900.22556960001</v>
      </c>
      <c r="I822" s="36">
        <f>[1]!Table3[[#This Row],[Residential CLM $ Collected]]/'[1]1.) CLM Reference'!$B$4</f>
        <v>1.2145297331485323E-3</v>
      </c>
      <c r="J822" s="41">
        <v>454674.54180000001</v>
      </c>
      <c r="K822" s="36">
        <f>[1]!Table3[[#This Row],[Residential Incentive Disbursements]]/'[1]1.) CLM Reference'!$B$5</f>
        <v>5.5627848305148716E-3</v>
      </c>
      <c r="L822" s="37">
        <v>161329.48082495999</v>
      </c>
      <c r="M822" s="36">
        <f>[1]!Table3[[#This Row],[C&amp;I CLM $ Collected]]/'[1]1.) CLM Reference'!$B$4</f>
        <v>1.4312573297822245E-3</v>
      </c>
      <c r="N822" s="41">
        <v>71895.513999999996</v>
      </c>
      <c r="O822" s="36">
        <f>[1]!Table3[[#This Row],[C&amp;I Incentive Disbursements]]/'[1]1.) CLM Reference'!$B$5</f>
        <v>8.7961660021245022E-4</v>
      </c>
      <c r="Q822">
        <f>VLOOKUP(Table3[[#This Row],[Census Tract]],'Population and Diversity Data'!$B$2:$K$823,10,FALSE)</f>
        <v>4</v>
      </c>
      <c r="R822" t="str">
        <f>VLOOKUP(Table3[[#This Row],[Census Tract]],'ES Energy Burden'!$B$2:$E$914,4,FALSE)</f>
        <v>No</v>
      </c>
    </row>
    <row r="823" spans="1:18" x14ac:dyDescent="0.2">
      <c r="A823" s="100">
        <v>9011693400</v>
      </c>
      <c r="B823" s="38" t="s">
        <v>2859</v>
      </c>
      <c r="C823" s="38" t="s">
        <v>944</v>
      </c>
      <c r="D823" s="40">
        <f>[1]!Table3[[#This Row],[Residential CLM $ Collected]]+[1]!Table3[[#This Row],[C&amp;I CLM $ Collected]]</f>
        <v>81427.319297280003</v>
      </c>
      <c r="E823" s="36">
        <f>[1]!Table3[[#This Row],[CLM $ Collected ]]/'[1]1.) CLM Reference'!$B$4</f>
        <v>7.2239399143171753E-4</v>
      </c>
      <c r="F823" s="40">
        <f>[1]!Table3[[#This Row],[Residential Incentive Disbursements]]+[1]!Table3[[#This Row],[C&amp;I Incentive Disbursements]]</f>
        <v>20885.86</v>
      </c>
      <c r="G823" s="36">
        <f>[1]!Table3[[#This Row],[Incentive Disbursements]]/'[1]1.) CLM Reference'!$B$5</f>
        <v>2.5553123058155209E-4</v>
      </c>
      <c r="H823" s="40">
        <v>81427.319297280003</v>
      </c>
      <c r="I823" s="36">
        <f>[1]!Table3[[#This Row],[Residential CLM $ Collected]]/'[1]1.) CLM Reference'!$B$4</f>
        <v>7.2239399143171753E-4</v>
      </c>
      <c r="J823" s="41">
        <v>20885.86</v>
      </c>
      <c r="K823" s="36">
        <f>[1]!Table3[[#This Row],[Residential Incentive Disbursements]]/'[1]1.) CLM Reference'!$B$5</f>
        <v>2.5553123058155209E-4</v>
      </c>
      <c r="L823" s="37">
        <v>0</v>
      </c>
      <c r="M823" s="36">
        <f>[1]!Table3[[#This Row],[C&amp;I CLM $ Collected]]/'[1]1.) CLM Reference'!$B$4</f>
        <v>0</v>
      </c>
      <c r="N823" s="41">
        <v>0</v>
      </c>
      <c r="O823" s="36">
        <f>[1]!Table3[[#This Row],[C&amp;I Incentive Disbursements]]/'[1]1.) CLM Reference'!$B$5</f>
        <v>0</v>
      </c>
      <c r="Q823">
        <f>VLOOKUP(Table3[[#This Row],[Census Tract]],'Population and Diversity Data'!$B$2:$K$823,10,FALSE)</f>
        <v>3</v>
      </c>
      <c r="R823" t="str">
        <f>VLOOKUP(Table3[[#This Row],[Census Tract]],'ES Energy Burden'!$B$2:$E$914,4,FALSE)</f>
        <v>No</v>
      </c>
    </row>
    <row r="824" spans="1:18" x14ac:dyDescent="0.2">
      <c r="A824" s="100">
        <v>9011693500</v>
      </c>
      <c r="B824" s="38" t="s">
        <v>2859</v>
      </c>
      <c r="C824" s="38" t="s">
        <v>944</v>
      </c>
      <c r="D824" s="40">
        <f>[1]!Table3[[#This Row],[Residential CLM $ Collected]]+[1]!Table3[[#This Row],[C&amp;I CLM $ Collected]]</f>
        <v>82657.042764479993</v>
      </c>
      <c r="E824" s="36">
        <f>[1]!Table3[[#This Row],[CLM $ Collected ]]/'[1]1.) CLM Reference'!$B$4</f>
        <v>7.333036572723014E-4</v>
      </c>
      <c r="F824" s="40">
        <f>[1]!Table3[[#This Row],[Residential Incentive Disbursements]]+[1]!Table3[[#This Row],[C&amp;I Incentive Disbursements]]</f>
        <v>39929.422500000001</v>
      </c>
      <c r="G824" s="36">
        <f>[1]!Table3[[#This Row],[Incentive Disbursements]]/'[1]1.) CLM Reference'!$B$5</f>
        <v>4.8852259221481486E-4</v>
      </c>
      <c r="H824" s="40">
        <v>82657.042764479993</v>
      </c>
      <c r="I824" s="36">
        <f>[1]!Table3[[#This Row],[Residential CLM $ Collected]]/'[1]1.) CLM Reference'!$B$4</f>
        <v>7.333036572723014E-4</v>
      </c>
      <c r="J824" s="41">
        <v>39929.422500000001</v>
      </c>
      <c r="K824" s="36">
        <f>[1]!Table3[[#This Row],[Residential Incentive Disbursements]]/'[1]1.) CLM Reference'!$B$5</f>
        <v>4.8852259221481486E-4</v>
      </c>
      <c r="L824" s="37">
        <v>0</v>
      </c>
      <c r="M824" s="36">
        <f>[1]!Table3[[#This Row],[C&amp;I CLM $ Collected]]/'[1]1.) CLM Reference'!$B$4</f>
        <v>0</v>
      </c>
      <c r="N824" s="41">
        <v>0</v>
      </c>
      <c r="O824" s="36">
        <f>[1]!Table3[[#This Row],[C&amp;I Incentive Disbursements]]/'[1]1.) CLM Reference'!$B$5</f>
        <v>0</v>
      </c>
      <c r="Q824">
        <f>VLOOKUP(Table3[[#This Row],[Census Tract]],'Population and Diversity Data'!$B$2:$K$823,10,FALSE)</f>
        <v>1</v>
      </c>
      <c r="R824" t="str">
        <f>VLOOKUP(Table3[[#This Row],[Census Tract]],'ES Energy Burden'!$B$2:$E$914,4,FALSE)</f>
        <v>No</v>
      </c>
    </row>
    <row r="825" spans="1:18" x14ac:dyDescent="0.2">
      <c r="A825" s="100">
        <v>9011693600</v>
      </c>
      <c r="B825" s="38" t="s">
        <v>2859</v>
      </c>
      <c r="C825" s="38" t="s">
        <v>944</v>
      </c>
      <c r="D825" s="40">
        <f>[1]!Table3[[#This Row],[Residential CLM $ Collected]]+[1]!Table3[[#This Row],[C&amp;I CLM $ Collected]]</f>
        <v>53180.512528320003</v>
      </c>
      <c r="E825" s="36">
        <f>[1]!Table3[[#This Row],[CLM $ Collected ]]/'[1]1.) CLM Reference'!$B$4</f>
        <v>4.7179844606527326E-4</v>
      </c>
      <c r="F825" s="40">
        <f>[1]!Table3[[#This Row],[Residential Incentive Disbursements]]+[1]!Table3[[#This Row],[C&amp;I Incentive Disbursements]]</f>
        <v>17703.873200000002</v>
      </c>
      <c r="G825" s="36">
        <f>[1]!Table3[[#This Row],[Incentive Disbursements]]/'[1]1.) CLM Reference'!$B$5</f>
        <v>2.1660072914669355E-4</v>
      </c>
      <c r="H825" s="40">
        <v>53180.512528320003</v>
      </c>
      <c r="I825" s="36">
        <f>[1]!Table3[[#This Row],[Residential CLM $ Collected]]/'[1]1.) CLM Reference'!$B$4</f>
        <v>4.7179844606527326E-4</v>
      </c>
      <c r="J825" s="41">
        <v>17703.873200000002</v>
      </c>
      <c r="K825" s="36">
        <f>[1]!Table3[[#This Row],[Residential Incentive Disbursements]]/'[1]1.) CLM Reference'!$B$5</f>
        <v>2.1660072914669355E-4</v>
      </c>
      <c r="L825" s="37">
        <v>0</v>
      </c>
      <c r="M825" s="36">
        <f>[1]!Table3[[#This Row],[C&amp;I CLM $ Collected]]/'[1]1.) CLM Reference'!$B$4</f>
        <v>0</v>
      </c>
      <c r="N825" s="41">
        <v>0</v>
      </c>
      <c r="O825" s="36">
        <f>[1]!Table3[[#This Row],[C&amp;I Incentive Disbursements]]/'[1]1.) CLM Reference'!$B$5</f>
        <v>0</v>
      </c>
      <c r="Q825">
        <f>VLOOKUP(Table3[[#This Row],[Census Tract]],'Population and Diversity Data'!$B$2:$K$823,10,FALSE)</f>
        <v>2</v>
      </c>
      <c r="R825" t="str">
        <f>VLOOKUP(Table3[[#This Row],[Census Tract]],'ES Energy Burden'!$B$2:$E$914,4,FALSE)</f>
        <v>No</v>
      </c>
    </row>
    <row r="826" spans="1:18" x14ac:dyDescent="0.2">
      <c r="A826" s="100">
        <v>9011693700</v>
      </c>
      <c r="B826" s="38" t="s">
        <v>2859</v>
      </c>
      <c r="C826" s="38" t="s">
        <v>944</v>
      </c>
      <c r="D826" s="40">
        <f>[1]!Table3[[#This Row],[Residential CLM $ Collected]]+[1]!Table3[[#This Row],[C&amp;I CLM $ Collected]]</f>
        <v>68545.761995520006</v>
      </c>
      <c r="E826" s="36">
        <f>[1]!Table3[[#This Row],[CLM $ Collected ]]/'[1]1.) CLM Reference'!$B$4</f>
        <v>6.0811343208895606E-4</v>
      </c>
      <c r="F826" s="40">
        <f>[1]!Table3[[#This Row],[Residential Incentive Disbursements]]+[1]!Table3[[#This Row],[C&amp;I Incentive Disbursements]]</f>
        <v>23494.13</v>
      </c>
      <c r="G826" s="36">
        <f>[1]!Table3[[#This Row],[Incentive Disbursements]]/'[1]1.) CLM Reference'!$B$5</f>
        <v>2.8744250657348851E-4</v>
      </c>
      <c r="H826" s="40">
        <v>68545.761995520006</v>
      </c>
      <c r="I826" s="36">
        <f>[1]!Table3[[#This Row],[Residential CLM $ Collected]]/'[1]1.) CLM Reference'!$B$4</f>
        <v>6.0811343208895606E-4</v>
      </c>
      <c r="J826" s="41">
        <v>23494.13</v>
      </c>
      <c r="K826" s="36">
        <f>[1]!Table3[[#This Row],[Residential Incentive Disbursements]]/'[1]1.) CLM Reference'!$B$5</f>
        <v>2.8744250657348851E-4</v>
      </c>
      <c r="L826" s="37">
        <v>0</v>
      </c>
      <c r="M826" s="36">
        <f>[1]!Table3[[#This Row],[C&amp;I CLM $ Collected]]/'[1]1.) CLM Reference'!$B$4</f>
        <v>0</v>
      </c>
      <c r="N826" s="41">
        <v>0</v>
      </c>
      <c r="O826" s="36">
        <f>[1]!Table3[[#This Row],[C&amp;I Incentive Disbursements]]/'[1]1.) CLM Reference'!$B$5</f>
        <v>0</v>
      </c>
      <c r="Q826">
        <f>VLOOKUP(Table3[[#This Row],[Census Tract]],'Population and Diversity Data'!$B$2:$K$823,10,FALSE)</f>
        <v>4</v>
      </c>
      <c r="R826" t="str">
        <f>VLOOKUP(Table3[[#This Row],[Census Tract]],'ES Energy Burden'!$B$2:$E$914,4,FALSE)</f>
        <v>No</v>
      </c>
    </row>
    <row r="827" spans="1:18" x14ac:dyDescent="0.2">
      <c r="A827" s="100">
        <v>9011695201</v>
      </c>
      <c r="B827" s="38" t="s">
        <v>2859</v>
      </c>
      <c r="C827" s="38" t="s">
        <v>944</v>
      </c>
      <c r="D827" s="40">
        <f>[1]!Table3[[#This Row],[Residential CLM $ Collected]]+[1]!Table3[[#This Row],[C&amp;I CLM $ Collected]]</f>
        <v>70.744924800000007</v>
      </c>
      <c r="E827" s="36">
        <f>[1]!Table3[[#This Row],[CLM $ Collected ]]/'[1]1.) CLM Reference'!$B$4</f>
        <v>6.2762361626113162E-7</v>
      </c>
      <c r="F827" s="40">
        <f>[1]!Table3[[#This Row],[Residential Incentive Disbursements]]+[1]!Table3[[#This Row],[C&amp;I Incentive Disbursements]]</f>
        <v>0</v>
      </c>
      <c r="G827" s="36">
        <f>[1]!Table3[[#This Row],[Incentive Disbursements]]/'[1]1.) CLM Reference'!$B$5</f>
        <v>0</v>
      </c>
      <c r="H827" s="40">
        <v>70.744924800000007</v>
      </c>
      <c r="I827" s="36">
        <f>[1]!Table3[[#This Row],[Residential CLM $ Collected]]/'[1]1.) CLM Reference'!$B$4</f>
        <v>6.2762361626113162E-7</v>
      </c>
      <c r="J827" s="41">
        <v>0</v>
      </c>
      <c r="K827" s="36">
        <f>[1]!Table3[[#This Row],[Residential Incentive Disbursements]]/'[1]1.) CLM Reference'!$B$5</f>
        <v>0</v>
      </c>
      <c r="L827" s="37">
        <v>0</v>
      </c>
      <c r="M827" s="36">
        <f>[1]!Table3[[#This Row],[C&amp;I CLM $ Collected]]/'[1]1.) CLM Reference'!$B$4</f>
        <v>0</v>
      </c>
      <c r="N827" s="41">
        <v>0</v>
      </c>
      <c r="O827" s="36">
        <f>[1]!Table3[[#This Row],[C&amp;I Incentive Disbursements]]/'[1]1.) CLM Reference'!$B$5</f>
        <v>0</v>
      </c>
      <c r="Q827">
        <f>VLOOKUP(Table3[[#This Row],[Census Tract]],'Population and Diversity Data'!$B$2:$K$823,10,FALSE)</f>
        <v>3</v>
      </c>
      <c r="R827" t="str">
        <f>VLOOKUP(Table3[[#This Row],[Census Tract]],'ES Energy Burden'!$B$2:$E$914,4,FALSE)</f>
        <v>No</v>
      </c>
    </row>
    <row r="828" spans="1:18" x14ac:dyDescent="0.2">
      <c r="A828" s="100">
        <v>9011870300</v>
      </c>
      <c r="B828" s="38" t="s">
        <v>2859</v>
      </c>
      <c r="C828" s="38" t="s">
        <v>944</v>
      </c>
      <c r="D828" s="40">
        <f>[1]!Table3[[#This Row],[Residential CLM $ Collected]]+[1]!Table3[[#This Row],[C&amp;I CLM $ Collected]]</f>
        <v>26.3506176</v>
      </c>
      <c r="E828" s="36">
        <f>[1]!Table3[[#This Row],[CLM $ Collected ]]/'[1]1.) CLM Reference'!$B$4</f>
        <v>2.3377323469606996E-7</v>
      </c>
      <c r="F828" s="40">
        <f>[1]!Table3[[#This Row],[Residential Incentive Disbursements]]+[1]!Table3[[#This Row],[C&amp;I Incentive Disbursements]]</f>
        <v>0</v>
      </c>
      <c r="G828" s="36">
        <f>[1]!Table3[[#This Row],[Incentive Disbursements]]/'[1]1.) CLM Reference'!$B$5</f>
        <v>0</v>
      </c>
      <c r="H828" s="40">
        <v>26.3506176</v>
      </c>
      <c r="I828" s="36">
        <f>[1]!Table3[[#This Row],[Residential CLM $ Collected]]/'[1]1.) CLM Reference'!$B$4</f>
        <v>2.3377323469606996E-7</v>
      </c>
      <c r="J828" s="41">
        <v>0</v>
      </c>
      <c r="K828" s="36">
        <f>[1]!Table3[[#This Row],[Residential Incentive Disbursements]]/'[1]1.) CLM Reference'!$B$5</f>
        <v>0</v>
      </c>
      <c r="L828" s="37">
        <v>0</v>
      </c>
      <c r="M828" s="36">
        <f>[1]!Table3[[#This Row],[C&amp;I CLM $ Collected]]/'[1]1.) CLM Reference'!$B$4</f>
        <v>0</v>
      </c>
      <c r="N828" s="41">
        <v>0</v>
      </c>
      <c r="O828" s="36">
        <f>[1]!Table3[[#This Row],[C&amp;I Incentive Disbursements]]/'[1]1.) CLM Reference'!$B$5</f>
        <v>0</v>
      </c>
      <c r="Q828">
        <f>VLOOKUP(Table3[[#This Row],[Census Tract]],'Population and Diversity Data'!$B$2:$K$823,10,FALSE)</f>
        <v>5</v>
      </c>
      <c r="R828" t="str">
        <f>VLOOKUP(Table3[[#This Row],[Census Tract]],'ES Energy Burden'!$B$2:$E$914,4,FALSE)</f>
        <v>No</v>
      </c>
    </row>
    <row r="829" spans="1:18" x14ac:dyDescent="0.2">
      <c r="A829" s="100">
        <v>9011870502</v>
      </c>
      <c r="B829" s="38" t="s">
        <v>2859</v>
      </c>
      <c r="C829" s="38" t="s">
        <v>944</v>
      </c>
      <c r="D829" s="40">
        <f>[1]!Table3[[#This Row],[Residential CLM $ Collected]]+[1]!Table3[[#This Row],[C&amp;I CLM $ Collected]]</f>
        <v>48.816950399999996</v>
      </c>
      <c r="E829" s="36">
        <f>[1]!Table3[[#This Row],[CLM $ Collected ]]/'[1]1.) CLM Reference'!$B$4</f>
        <v>4.3308648686115064E-7</v>
      </c>
      <c r="F829" s="40">
        <f>[1]!Table3[[#This Row],[Residential Incentive Disbursements]]+[1]!Table3[[#This Row],[C&amp;I Incentive Disbursements]]</f>
        <v>0</v>
      </c>
      <c r="G829" s="36">
        <f>[1]!Table3[[#This Row],[Incentive Disbursements]]/'[1]1.) CLM Reference'!$B$5</f>
        <v>0</v>
      </c>
      <c r="H829" s="40">
        <v>48.816950399999996</v>
      </c>
      <c r="I829" s="36">
        <f>[1]!Table3[[#This Row],[Residential CLM $ Collected]]/'[1]1.) CLM Reference'!$B$4</f>
        <v>4.3308648686115064E-7</v>
      </c>
      <c r="J829" s="41">
        <v>0</v>
      </c>
      <c r="K829" s="36">
        <f>[1]!Table3[[#This Row],[Residential Incentive Disbursements]]/'[1]1.) CLM Reference'!$B$5</f>
        <v>0</v>
      </c>
      <c r="L829" s="37">
        <v>0</v>
      </c>
      <c r="M829" s="36">
        <f>[1]!Table3[[#This Row],[C&amp;I CLM $ Collected]]/'[1]1.) CLM Reference'!$B$4</f>
        <v>0</v>
      </c>
      <c r="N829" s="41">
        <v>0</v>
      </c>
      <c r="O829" s="36">
        <f>[1]!Table3[[#This Row],[C&amp;I Incentive Disbursements]]/'[1]1.) CLM Reference'!$B$5</f>
        <v>0</v>
      </c>
      <c r="Q829">
        <f>VLOOKUP(Table3[[#This Row],[Census Tract]],'Population and Diversity Data'!$B$2:$K$823,10,FALSE)</f>
        <v>5</v>
      </c>
      <c r="R829" t="str">
        <f>VLOOKUP(Table3[[#This Row],[Census Tract]],'ES Energy Burden'!$B$2:$E$914,4,FALSE)</f>
        <v>No</v>
      </c>
    </row>
    <row r="830" spans="1:18" x14ac:dyDescent="0.2">
      <c r="A830" s="100">
        <v>9005342100</v>
      </c>
      <c r="B830" s="38" t="s">
        <v>2860</v>
      </c>
      <c r="C830" s="38" t="s">
        <v>944</v>
      </c>
      <c r="D830" s="40">
        <f>[1]!Table3[[#This Row],[Residential CLM $ Collected]]+[1]!Table3[[#This Row],[C&amp;I CLM $ Collected]]</f>
        <v>335.5998912</v>
      </c>
      <c r="E830" s="36">
        <f>[1]!Table3[[#This Row],[CLM $ Collected ]]/'[1]1.) CLM Reference'!$B$4</f>
        <v>2.9773219482139629E-6</v>
      </c>
      <c r="F830" s="40">
        <f>[1]!Table3[[#This Row],[Residential Incentive Disbursements]]+[1]!Table3[[#This Row],[C&amp;I Incentive Disbursements]]</f>
        <v>0</v>
      </c>
      <c r="G830" s="36">
        <f>[1]!Table3[[#This Row],[Incentive Disbursements]]/'[1]1.) CLM Reference'!$B$5</f>
        <v>0</v>
      </c>
      <c r="H830" s="40">
        <v>335.5998912</v>
      </c>
      <c r="I830" s="36">
        <f>[1]!Table3[[#This Row],[Residential CLM $ Collected]]/'[1]1.) CLM Reference'!$B$4</f>
        <v>2.9773219482139629E-6</v>
      </c>
      <c r="J830" s="43">
        <v>0</v>
      </c>
      <c r="K830" s="36">
        <f>[1]!Table3[[#This Row],[Residential Incentive Disbursements]]/'[1]1.) CLM Reference'!$B$5</f>
        <v>0</v>
      </c>
      <c r="L830" s="37">
        <v>0</v>
      </c>
      <c r="M830" s="36">
        <f>[1]!Table3[[#This Row],[C&amp;I CLM $ Collected]]/'[1]1.) CLM Reference'!$B$4</f>
        <v>0</v>
      </c>
      <c r="N830" s="41">
        <v>0</v>
      </c>
      <c r="O830" s="36">
        <f>[1]!Table3[[#This Row],[C&amp;I Incentive Disbursements]]/'[1]1.) CLM Reference'!$B$5</f>
        <v>0</v>
      </c>
      <c r="Q830">
        <f>VLOOKUP(Table3[[#This Row],[Census Tract]],'Population and Diversity Data'!$B$2:$K$823,10,FALSE)</f>
        <v>2</v>
      </c>
      <c r="R830" t="str">
        <f>VLOOKUP(Table3[[#This Row],[Census Tract]],'ES Energy Burden'!$B$2:$E$914,4,FALSE)</f>
        <v>No</v>
      </c>
    </row>
    <row r="831" spans="1:18" x14ac:dyDescent="0.2">
      <c r="A831" s="100">
        <v>9005360100</v>
      </c>
      <c r="B831" s="38" t="s">
        <v>2860</v>
      </c>
      <c r="C831" s="38" t="s">
        <v>944</v>
      </c>
      <c r="D831" s="40">
        <f>[1]!Table3[[#This Row],[Residential CLM $ Collected]]+[1]!Table3[[#This Row],[C&amp;I CLM $ Collected]]</f>
        <v>105586.70416991999</v>
      </c>
      <c r="E831" s="36">
        <f>[1]!Table3[[#This Row],[CLM $ Collected ]]/'[1]1.) CLM Reference'!$B$4</f>
        <v>9.3672739475750332E-4</v>
      </c>
      <c r="F831" s="40">
        <f>[1]!Table3[[#This Row],[Residential Incentive Disbursements]]+[1]!Table3[[#This Row],[C&amp;I Incentive Disbursements]]</f>
        <v>30575.06</v>
      </c>
      <c r="G831" s="36">
        <f>[1]!Table3[[#This Row],[Incentive Disbursements]]/'[1]1.) CLM Reference'!$B$5</f>
        <v>3.7407522155682315E-4</v>
      </c>
      <c r="H831" s="40">
        <v>105586.70416991999</v>
      </c>
      <c r="I831" s="36">
        <f>[1]!Table3[[#This Row],[Residential CLM $ Collected]]/'[1]1.) CLM Reference'!$B$4</f>
        <v>9.3672739475750332E-4</v>
      </c>
      <c r="J831" s="41">
        <v>30575.06</v>
      </c>
      <c r="K831" s="36">
        <f>[1]!Table3[[#This Row],[Residential Incentive Disbursements]]/'[1]1.) CLM Reference'!$B$5</f>
        <v>3.7407522155682315E-4</v>
      </c>
      <c r="L831" s="37">
        <v>0</v>
      </c>
      <c r="M831" s="36">
        <f>[1]!Table3[[#This Row],[C&amp;I CLM $ Collected]]/'[1]1.) CLM Reference'!$B$4</f>
        <v>0</v>
      </c>
      <c r="N831" s="41">
        <v>0</v>
      </c>
      <c r="O831" s="36">
        <f>[1]!Table3[[#This Row],[C&amp;I Incentive Disbursements]]/'[1]1.) CLM Reference'!$B$5</f>
        <v>0</v>
      </c>
      <c r="Q831">
        <f>VLOOKUP(Table3[[#This Row],[Census Tract]],'Population and Diversity Data'!$B$2:$K$823,10,FALSE)</f>
        <v>3</v>
      </c>
      <c r="R831" t="str">
        <f>VLOOKUP(Table3[[#This Row],[Census Tract]],'ES Energy Burden'!$B$2:$E$914,4,FALSE)</f>
        <v>No</v>
      </c>
    </row>
    <row r="832" spans="1:18" x14ac:dyDescent="0.2">
      <c r="A832" s="100">
        <v>9005360200</v>
      </c>
      <c r="B832" s="38" t="s">
        <v>2860</v>
      </c>
      <c r="C832" s="38" t="s">
        <v>944</v>
      </c>
      <c r="D832" s="40">
        <f>[1]!Table3[[#This Row],[Residential CLM $ Collected]]+[1]!Table3[[#This Row],[C&amp;I CLM $ Collected]]</f>
        <v>331283.27392415993</v>
      </c>
      <c r="E832" s="36">
        <f>[1]!Table3[[#This Row],[CLM $ Collected ]]/'[1]1.) CLM Reference'!$B$4</f>
        <v>2.9390264669149567E-3</v>
      </c>
      <c r="F832" s="40">
        <f>[1]!Table3[[#This Row],[Residential Incentive Disbursements]]+[1]!Table3[[#This Row],[C&amp;I Incentive Disbursements]]</f>
        <v>190649.19930000001</v>
      </c>
      <c r="G832" s="36">
        <f>[1]!Table3[[#This Row],[Incentive Disbursements]]/'[1]1.) CLM Reference'!$B$5</f>
        <v>2.3325266235872779E-3</v>
      </c>
      <c r="H832" s="40">
        <v>179501.00507423998</v>
      </c>
      <c r="I832" s="36">
        <f>[1]!Table3[[#This Row],[Residential CLM $ Collected]]/'[1]1.) CLM Reference'!$B$4</f>
        <v>1.5924685798408287E-3</v>
      </c>
      <c r="J832" s="41">
        <v>167458.0411</v>
      </c>
      <c r="K832" s="36">
        <f>[1]!Table3[[#This Row],[Residential Incentive Disbursements]]/'[1]1.) CLM Reference'!$B$5</f>
        <v>2.0487908715781456E-3</v>
      </c>
      <c r="L832" s="37">
        <v>151782.26884991999</v>
      </c>
      <c r="M832" s="36">
        <f>[1]!Table3[[#This Row],[C&amp;I CLM $ Collected]]/'[1]1.) CLM Reference'!$B$4</f>
        <v>1.3465578870741281E-3</v>
      </c>
      <c r="N832" s="41">
        <v>23191.158200000002</v>
      </c>
      <c r="O832" s="36">
        <f>[1]!Table3[[#This Row],[C&amp;I Incentive Disbursements]]/'[1]1.) CLM Reference'!$B$5</f>
        <v>2.8373575200913212E-4</v>
      </c>
      <c r="Q832">
        <f>VLOOKUP(Table3[[#This Row],[Census Tract]],'Population and Diversity Data'!$B$2:$K$823,10,FALSE)</f>
        <v>2</v>
      </c>
      <c r="R832" t="str">
        <f>VLOOKUP(Table3[[#This Row],[Census Tract]],'ES Energy Burden'!$B$2:$E$914,4,FALSE)</f>
        <v>No</v>
      </c>
    </row>
    <row r="833" spans="1:18" x14ac:dyDescent="0.2">
      <c r="A833" s="100">
        <v>9005360300</v>
      </c>
      <c r="B833" s="38" t="s">
        <v>2860</v>
      </c>
      <c r="C833" s="38" t="s">
        <v>944</v>
      </c>
      <c r="D833" s="40">
        <f>[1]!Table3[[#This Row],[Residential CLM $ Collected]]+[1]!Table3[[#This Row],[C&amp;I CLM $ Collected]]</f>
        <v>58545.817234560003</v>
      </c>
      <c r="E833" s="36">
        <f>[1]!Table3[[#This Row],[CLM $ Collected ]]/'[1]1.) CLM Reference'!$B$4</f>
        <v>5.1939750637374101E-4</v>
      </c>
      <c r="F833" s="40">
        <f>[1]!Table3[[#This Row],[Residential Incentive Disbursements]]+[1]!Table3[[#This Row],[C&amp;I Incentive Disbursements]]</f>
        <v>61008.1924</v>
      </c>
      <c r="G833" s="36">
        <f>[1]!Table3[[#This Row],[Incentive Disbursements]]/'[1]1.) CLM Reference'!$B$5</f>
        <v>7.4641400830648553E-4</v>
      </c>
      <c r="H833" s="40">
        <v>58545.817234560003</v>
      </c>
      <c r="I833" s="36">
        <f>[1]!Table3[[#This Row],[Residential CLM $ Collected]]/'[1]1.) CLM Reference'!$B$4</f>
        <v>5.1939750637374101E-4</v>
      </c>
      <c r="J833" s="41">
        <v>61008.1924</v>
      </c>
      <c r="K833" s="36">
        <f>[1]!Table3[[#This Row],[Residential Incentive Disbursements]]/'[1]1.) CLM Reference'!$B$5</f>
        <v>7.4641400830648553E-4</v>
      </c>
      <c r="L833" s="37">
        <v>0</v>
      </c>
      <c r="M833" s="36">
        <f>[1]!Table3[[#This Row],[C&amp;I CLM $ Collected]]/'[1]1.) CLM Reference'!$B$4</f>
        <v>0</v>
      </c>
      <c r="N833" s="41">
        <v>0</v>
      </c>
      <c r="O833" s="36">
        <f>[1]!Table3[[#This Row],[C&amp;I Incentive Disbursements]]/'[1]1.) CLM Reference'!$B$5</f>
        <v>0</v>
      </c>
      <c r="Q833">
        <f>VLOOKUP(Table3[[#This Row],[Census Tract]],'Population and Diversity Data'!$B$2:$K$823,10,FALSE)</f>
        <v>2</v>
      </c>
      <c r="R833" t="str">
        <f>VLOOKUP(Table3[[#This Row],[Census Tract]],'ES Energy Burden'!$B$2:$E$914,4,FALSE)</f>
        <v>No</v>
      </c>
    </row>
    <row r="834" spans="1:18" x14ac:dyDescent="0.2">
      <c r="A834" s="100">
        <v>9005360400</v>
      </c>
      <c r="B834" s="38" t="s">
        <v>2860</v>
      </c>
      <c r="C834" s="38" t="s">
        <v>944</v>
      </c>
      <c r="D834" s="40">
        <f>[1]!Table3[[#This Row],[Residential CLM $ Collected]]+[1]!Table3[[#This Row],[C&amp;I CLM $ Collected]]</f>
        <v>107974.49965344</v>
      </c>
      <c r="E834" s="36">
        <f>[1]!Table3[[#This Row],[CLM $ Collected ]]/'[1]1.) CLM Reference'!$B$4</f>
        <v>9.5791106044794763E-4</v>
      </c>
      <c r="F834" s="40">
        <f>[1]!Table3[[#This Row],[Residential Incentive Disbursements]]+[1]!Table3[[#This Row],[C&amp;I Incentive Disbursements]]</f>
        <v>39579.555399999997</v>
      </c>
      <c r="G834" s="36">
        <f>[1]!Table3[[#This Row],[Incentive Disbursements]]/'[1]1.) CLM Reference'!$B$5</f>
        <v>4.8424208997056926E-4</v>
      </c>
      <c r="H834" s="40">
        <v>107974.49965344</v>
      </c>
      <c r="I834" s="36">
        <f>[1]!Table3[[#This Row],[Residential CLM $ Collected]]/'[1]1.) CLM Reference'!$B$4</f>
        <v>9.5791106044794763E-4</v>
      </c>
      <c r="J834" s="41">
        <v>39579.555399999997</v>
      </c>
      <c r="K834" s="36">
        <f>[1]!Table3[[#This Row],[Residential Incentive Disbursements]]/'[1]1.) CLM Reference'!$B$5</f>
        <v>4.8424208997056926E-4</v>
      </c>
      <c r="L834" s="37">
        <v>0</v>
      </c>
      <c r="M834" s="36">
        <f>[1]!Table3[[#This Row],[C&amp;I CLM $ Collected]]/'[1]1.) CLM Reference'!$B$4</f>
        <v>0</v>
      </c>
      <c r="N834" s="41">
        <v>0</v>
      </c>
      <c r="O834" s="36">
        <f>[1]!Table3[[#This Row],[C&amp;I Incentive Disbursements]]/'[1]1.) CLM Reference'!$B$5</f>
        <v>0</v>
      </c>
      <c r="Q834">
        <f>VLOOKUP(Table3[[#This Row],[Census Tract]],'Population and Diversity Data'!$B$2:$K$823,10,FALSE)</f>
        <v>4</v>
      </c>
      <c r="R834" t="str">
        <f>VLOOKUP(Table3[[#This Row],[Census Tract]],'ES Energy Burden'!$B$2:$E$914,4,FALSE)</f>
        <v>No</v>
      </c>
    </row>
    <row r="835" spans="1:18" x14ac:dyDescent="0.2">
      <c r="A835" s="100">
        <v>9005362102</v>
      </c>
      <c r="B835" s="38" t="s">
        <v>2860</v>
      </c>
      <c r="C835" s="38" t="s">
        <v>944</v>
      </c>
      <c r="D835" s="40">
        <f>[1]!Table3[[#This Row],[Residential CLM $ Collected]]+[1]!Table3[[#This Row],[C&amp;I CLM $ Collected]]</f>
        <v>35.062761600000002</v>
      </c>
      <c r="E835" s="36">
        <f>[1]!Table3[[#This Row],[CLM $ Collected ]]/'[1]1.) CLM Reference'!$B$4</f>
        <v>3.1106425363666427E-7</v>
      </c>
      <c r="F835" s="40">
        <f>[1]!Table3[[#This Row],[Residential Incentive Disbursements]]+[1]!Table3[[#This Row],[C&amp;I Incentive Disbursements]]</f>
        <v>0</v>
      </c>
      <c r="G835" s="36">
        <f>[1]!Table3[[#This Row],[Incentive Disbursements]]/'[1]1.) CLM Reference'!$B$5</f>
        <v>0</v>
      </c>
      <c r="H835" s="40">
        <v>35.062761600000002</v>
      </c>
      <c r="I835" s="36">
        <f>[1]!Table3[[#This Row],[Residential CLM $ Collected]]/'[1]1.) CLM Reference'!$B$4</f>
        <v>3.1106425363666427E-7</v>
      </c>
      <c r="J835" s="41">
        <v>0</v>
      </c>
      <c r="K835" s="36">
        <f>[1]!Table3[[#This Row],[Residential Incentive Disbursements]]/'[1]1.) CLM Reference'!$B$5</f>
        <v>0</v>
      </c>
      <c r="L835" s="37">
        <v>0</v>
      </c>
      <c r="M835" s="36">
        <f>[1]!Table3[[#This Row],[C&amp;I CLM $ Collected]]/'[1]1.) CLM Reference'!$B$4</f>
        <v>0</v>
      </c>
      <c r="N835" s="41">
        <v>0</v>
      </c>
      <c r="O835" s="36">
        <f>[1]!Table3[[#This Row],[C&amp;I Incentive Disbursements]]/'[1]1.) CLM Reference'!$B$5</f>
        <v>0</v>
      </c>
      <c r="Q835">
        <f>VLOOKUP(Table3[[#This Row],[Census Tract]],'Population and Diversity Data'!$B$2:$K$823,10,FALSE)</f>
        <v>1</v>
      </c>
      <c r="R835" t="str">
        <f>VLOOKUP(Table3[[#This Row],[Census Tract]],'ES Energy Burden'!$B$2:$E$914,4,FALSE)</f>
        <v>No</v>
      </c>
    </row>
    <row r="836" spans="1:18" x14ac:dyDescent="0.2">
      <c r="A836" s="100">
        <v>9009352100</v>
      </c>
      <c r="B836" s="38" t="s">
        <v>2860</v>
      </c>
      <c r="C836" s="38" t="s">
        <v>944</v>
      </c>
      <c r="D836" s="40">
        <f>[1]!Table3[[#This Row],[Residential CLM $ Collected]]+[1]!Table3[[#This Row],[C&amp;I CLM $ Collected]]</f>
        <v>96.198278399999992</v>
      </c>
      <c r="E836" s="36">
        <f>[1]!Table3[[#This Row],[CLM $ Collected ]]/'[1]1.) CLM Reference'!$B$4</f>
        <v>8.5343664634870177E-7</v>
      </c>
      <c r="F836" s="40">
        <f>[1]!Table3[[#This Row],[Residential Incentive Disbursements]]+[1]!Table3[[#This Row],[C&amp;I Incentive Disbursements]]</f>
        <v>0</v>
      </c>
      <c r="G836" s="36">
        <f>[1]!Table3[[#This Row],[Incentive Disbursements]]/'[1]1.) CLM Reference'!$B$5</f>
        <v>0</v>
      </c>
      <c r="H836" s="40">
        <v>96.198278399999992</v>
      </c>
      <c r="I836" s="36">
        <f>[1]!Table3[[#This Row],[Residential CLM $ Collected]]/'[1]1.) CLM Reference'!$B$4</f>
        <v>8.5343664634870177E-7</v>
      </c>
      <c r="J836" s="41">
        <v>0</v>
      </c>
      <c r="K836" s="36">
        <f>[1]!Table3[[#This Row],[Residential Incentive Disbursements]]/'[1]1.) CLM Reference'!$B$5</f>
        <v>0</v>
      </c>
      <c r="L836" s="37">
        <v>0</v>
      </c>
      <c r="M836" s="36">
        <f>[1]!Table3[[#This Row],[C&amp;I CLM $ Collected]]/'[1]1.) CLM Reference'!$B$4</f>
        <v>0</v>
      </c>
      <c r="N836" s="41">
        <v>0</v>
      </c>
      <c r="O836" s="36">
        <f>[1]!Table3[[#This Row],[C&amp;I Incentive Disbursements]]/'[1]1.) CLM Reference'!$B$5</f>
        <v>0</v>
      </c>
      <c r="Q836">
        <f>VLOOKUP(Table3[[#This Row],[Census Tract]],'Population and Diversity Data'!$B$2:$K$823,10,FALSE)</f>
        <v>2</v>
      </c>
      <c r="R836" t="str">
        <f>VLOOKUP(Table3[[#This Row],[Census Tract]],'ES Energy Burden'!$B$2:$E$914,4,FALSE)</f>
        <v>No</v>
      </c>
    </row>
    <row r="837" spans="1:18" x14ac:dyDescent="0.2">
      <c r="A837" s="100">
        <v>9003460100</v>
      </c>
      <c r="B837" s="38" t="s">
        <v>2861</v>
      </c>
      <c r="C837" s="38" t="s">
        <v>944</v>
      </c>
      <c r="D837" s="40">
        <f>[1]!Table3[[#This Row],[Residential CLM $ Collected]]+[1]!Table3[[#This Row],[C&amp;I CLM $ Collected]]</f>
        <v>625.74612479999996</v>
      </c>
      <c r="E837" s="36">
        <f>[1]!Table3[[#This Row],[CLM $ Collected ]]/'[1]1.) CLM Reference'!$B$4</f>
        <v>5.5513953378089582E-6</v>
      </c>
      <c r="F837" s="40">
        <f>[1]!Table3[[#This Row],[Residential Incentive Disbursements]]+[1]!Table3[[#This Row],[C&amp;I Incentive Disbursements]]</f>
        <v>1300.4000000000001</v>
      </c>
      <c r="G837" s="36">
        <f>[1]!Table3[[#This Row],[Incentive Disbursements]]/'[1]1.) CLM Reference'!$B$5</f>
        <v>1.5909941570433316E-5</v>
      </c>
      <c r="H837" s="40">
        <v>625.74612479999996</v>
      </c>
      <c r="I837" s="36">
        <f>[1]!Table3[[#This Row],[Residential CLM $ Collected]]/'[1]1.) CLM Reference'!$B$4</f>
        <v>5.5513953378089582E-6</v>
      </c>
      <c r="J837" s="41">
        <v>1300.4000000000001</v>
      </c>
      <c r="K837" s="36">
        <f>[1]!Table3[[#This Row],[Residential Incentive Disbursements]]/'[1]1.) CLM Reference'!$B$5</f>
        <v>1.5909941570433316E-5</v>
      </c>
      <c r="L837" s="37">
        <v>0</v>
      </c>
      <c r="M837" s="36">
        <f>[1]!Table3[[#This Row],[C&amp;I CLM $ Collected]]/'[1]1.) CLM Reference'!$B$4</f>
        <v>0</v>
      </c>
      <c r="N837" s="41">
        <v>0</v>
      </c>
      <c r="O837" s="36">
        <f>[1]!Table3[[#This Row],[C&amp;I Incentive Disbursements]]/'[1]1.) CLM Reference'!$B$5</f>
        <v>0</v>
      </c>
      <c r="Q837">
        <f>VLOOKUP(Table3[[#This Row],[Census Tract]],'Population and Diversity Data'!$B$2:$K$823,10,FALSE)</f>
        <v>3</v>
      </c>
      <c r="R837" t="str">
        <f>VLOOKUP(Table3[[#This Row],[Census Tract]],'ES Energy Burden'!$B$2:$E$914,4,FALSE)</f>
        <v>No</v>
      </c>
    </row>
    <row r="838" spans="1:18" x14ac:dyDescent="0.2">
      <c r="A838" s="100">
        <v>9003471400</v>
      </c>
      <c r="B838" s="38" t="s">
        <v>2861</v>
      </c>
      <c r="C838" s="38" t="s">
        <v>944</v>
      </c>
      <c r="D838" s="40">
        <f>[1]!Table3[[#This Row],[Residential CLM $ Collected]]+[1]!Table3[[#This Row],[C&amp;I CLM $ Collected]]</f>
        <v>1128.0287232000001</v>
      </c>
      <c r="E838" s="36">
        <f>[1]!Table3[[#This Row],[CLM $ Collected ]]/'[1]1.) CLM Reference'!$B$4</f>
        <v>1.0007466521488352E-5</v>
      </c>
      <c r="F838" s="40">
        <f>[1]!Table3[[#This Row],[Residential Incentive Disbursements]]+[1]!Table3[[#This Row],[C&amp;I Incentive Disbursements]]</f>
        <v>0</v>
      </c>
      <c r="G838" s="36">
        <f>[1]!Table3[[#This Row],[Incentive Disbursements]]/'[1]1.) CLM Reference'!$B$5</f>
        <v>0</v>
      </c>
      <c r="H838" s="40">
        <v>1128.0287232000001</v>
      </c>
      <c r="I838" s="36">
        <f>[1]!Table3[[#This Row],[Residential CLM $ Collected]]/'[1]1.) CLM Reference'!$B$4</f>
        <v>1.0007466521488352E-5</v>
      </c>
      <c r="J838" s="41">
        <v>0</v>
      </c>
      <c r="K838" s="36">
        <f>[1]!Table3[[#This Row],[Residential Incentive Disbursements]]/'[1]1.) CLM Reference'!$B$5</f>
        <v>0</v>
      </c>
      <c r="L838" s="37">
        <v>0</v>
      </c>
      <c r="M838" s="36">
        <f>[1]!Table3[[#This Row],[C&amp;I CLM $ Collected]]/'[1]1.) CLM Reference'!$B$4</f>
        <v>0</v>
      </c>
      <c r="N838" s="41">
        <v>0</v>
      </c>
      <c r="O838" s="36">
        <f>[1]!Table3[[#This Row],[C&amp;I Incentive Disbursements]]/'[1]1.) CLM Reference'!$B$5</f>
        <v>0</v>
      </c>
      <c r="Q838">
        <f>VLOOKUP(Table3[[#This Row],[Census Tract]],'Population and Diversity Data'!$B$2:$K$823,10,FALSE)</f>
        <v>2</v>
      </c>
      <c r="R838" t="str">
        <f>VLOOKUP(Table3[[#This Row],[Census Tract]],'ES Energy Burden'!$B$2:$E$914,4,FALSE)</f>
        <v>No</v>
      </c>
    </row>
    <row r="839" spans="1:18" x14ac:dyDescent="0.2">
      <c r="A839" s="100">
        <v>9003496100</v>
      </c>
      <c r="B839" s="38" t="s">
        <v>2861</v>
      </c>
      <c r="C839" s="38" t="s">
        <v>944</v>
      </c>
      <c r="D839" s="40">
        <f>[1]!Table3[[#This Row],[Residential CLM $ Collected]]+[1]!Table3[[#This Row],[C&amp;I CLM $ Collected]]</f>
        <v>28610.9587584</v>
      </c>
      <c r="E839" s="36">
        <f>[1]!Table3[[#This Row],[CLM $ Collected ]]/'[1]1.) CLM Reference'!$B$4</f>
        <v>2.5382617129653242E-4</v>
      </c>
      <c r="F839" s="40">
        <f>[1]!Table3[[#This Row],[Residential Incentive Disbursements]]+[1]!Table3[[#This Row],[C&amp;I Incentive Disbursements]]</f>
        <v>2101.48</v>
      </c>
      <c r="G839" s="36">
        <f>[1]!Table3[[#This Row],[Incentive Disbursements]]/'[1]1.) CLM Reference'!$B$5</f>
        <v>2.5710876662130269E-5</v>
      </c>
      <c r="H839" s="40">
        <v>28610.9587584</v>
      </c>
      <c r="I839" s="36">
        <f>[1]!Table3[[#This Row],[Residential CLM $ Collected]]/'[1]1.) CLM Reference'!$B$4</f>
        <v>2.5382617129653242E-4</v>
      </c>
      <c r="J839" s="41">
        <v>2101.48</v>
      </c>
      <c r="K839" s="36">
        <f>[1]!Table3[[#This Row],[Residential Incentive Disbursements]]/'[1]1.) CLM Reference'!$B$5</f>
        <v>2.5710876662130269E-5</v>
      </c>
      <c r="L839" s="37">
        <v>0</v>
      </c>
      <c r="M839" s="36">
        <f>[1]!Table3[[#This Row],[C&amp;I CLM $ Collected]]/'[1]1.) CLM Reference'!$B$4</f>
        <v>0</v>
      </c>
      <c r="N839" s="41">
        <v>0</v>
      </c>
      <c r="O839" s="36">
        <f>[1]!Table3[[#This Row],[C&amp;I Incentive Disbursements]]/'[1]1.) CLM Reference'!$B$5</f>
        <v>0</v>
      </c>
      <c r="Q839">
        <f>VLOOKUP(Table3[[#This Row],[Census Tract]],'Population and Diversity Data'!$B$2:$K$823,10,FALSE)</f>
        <v>5</v>
      </c>
      <c r="R839" t="str">
        <f>VLOOKUP(Table3[[#This Row],[Census Tract]],'ES Energy Burden'!$B$2:$E$914,4,FALSE)</f>
        <v>No</v>
      </c>
    </row>
    <row r="840" spans="1:18" x14ac:dyDescent="0.2">
      <c r="A840" s="100">
        <v>9003496200</v>
      </c>
      <c r="B840" s="38" t="s">
        <v>2861</v>
      </c>
      <c r="C840" s="38" t="s">
        <v>944</v>
      </c>
      <c r="D840" s="40">
        <f>[1]!Table3[[#This Row],[Residential CLM $ Collected]]+[1]!Table3[[#This Row],[C&amp;I CLM $ Collected]]</f>
        <v>377930.25849023997</v>
      </c>
      <c r="E840" s="36">
        <f>[1]!Table3[[#This Row],[CLM $ Collected ]]/'[1]1.) CLM Reference'!$B$4</f>
        <v>3.3528617946618927E-3</v>
      </c>
      <c r="F840" s="40">
        <f>[1]!Table3[[#This Row],[Residential Incentive Disbursements]]+[1]!Table3[[#This Row],[C&amp;I Incentive Disbursements]]</f>
        <v>9423.9668000000001</v>
      </c>
      <c r="G840" s="36">
        <f>[1]!Table3[[#This Row],[Incentive Disbursements]]/'[1]1.) CLM Reference'!$B$5</f>
        <v>1.1529895505206352E-4</v>
      </c>
      <c r="H840" s="40">
        <v>82021.309801919997</v>
      </c>
      <c r="I840" s="36">
        <f>[1]!Table3[[#This Row],[Residential CLM $ Collected]]/'[1]1.) CLM Reference'!$B$4</f>
        <v>7.2766366228939187E-4</v>
      </c>
      <c r="J840" s="41">
        <v>9423.9668000000001</v>
      </c>
      <c r="K840" s="36">
        <f>[1]!Table3[[#This Row],[Residential Incentive Disbursements]]/'[1]1.) CLM Reference'!$B$5</f>
        <v>1.1529895505206352E-4</v>
      </c>
      <c r="L840" s="37">
        <v>295908.94868832</v>
      </c>
      <c r="M840" s="36">
        <f>[1]!Table3[[#This Row],[C&amp;I CLM $ Collected]]/'[1]1.) CLM Reference'!$B$4</f>
        <v>2.625198132372501E-3</v>
      </c>
      <c r="N840" s="41">
        <v>0</v>
      </c>
      <c r="O840" s="36">
        <f>[1]!Table3[[#This Row],[C&amp;I Incentive Disbursements]]/'[1]1.) CLM Reference'!$B$5</f>
        <v>0</v>
      </c>
      <c r="Q840">
        <f>VLOOKUP(Table3[[#This Row],[Census Tract]],'Population and Diversity Data'!$B$2:$K$823,10,FALSE)</f>
        <v>5</v>
      </c>
      <c r="R840" t="str">
        <f>VLOOKUP(Table3[[#This Row],[Census Tract]],'ES Energy Burden'!$B$2:$E$914,4,FALSE)</f>
        <v>No</v>
      </c>
    </row>
    <row r="841" spans="1:18" x14ac:dyDescent="0.2">
      <c r="A841" s="100">
        <v>9003496300</v>
      </c>
      <c r="B841" s="38" t="s">
        <v>2861</v>
      </c>
      <c r="C841" s="38" t="s">
        <v>944</v>
      </c>
      <c r="D841" s="40">
        <f>[1]!Table3[[#This Row],[Residential CLM $ Collected]]+[1]!Table3[[#This Row],[C&amp;I CLM $ Collected]]</f>
        <v>55727.230832640002</v>
      </c>
      <c r="E841" s="36">
        <f>[1]!Table3[[#This Row],[CLM $ Collected ]]/'[1]1.) CLM Reference'!$B$4</f>
        <v>4.9439201806035916E-4</v>
      </c>
      <c r="F841" s="40">
        <f>[1]!Table3[[#This Row],[Residential Incentive Disbursements]]+[1]!Table3[[#This Row],[C&amp;I Incentive Disbursements]]</f>
        <v>8621.5300000000007</v>
      </c>
      <c r="G841" s="36">
        <f>[1]!Table3[[#This Row],[Incentive Disbursements]]/'[1]1.) CLM Reference'!$B$5</f>
        <v>1.054814199844186E-4</v>
      </c>
      <c r="H841" s="40">
        <v>55727.230832640002</v>
      </c>
      <c r="I841" s="36">
        <f>[1]!Table3[[#This Row],[Residential CLM $ Collected]]/'[1]1.) CLM Reference'!$B$4</f>
        <v>4.9439201806035916E-4</v>
      </c>
      <c r="J841" s="41">
        <v>8621.5300000000007</v>
      </c>
      <c r="K841" s="36">
        <f>[1]!Table3[[#This Row],[Residential Incentive Disbursements]]/'[1]1.) CLM Reference'!$B$5</f>
        <v>1.054814199844186E-4</v>
      </c>
      <c r="L841" s="37">
        <v>0</v>
      </c>
      <c r="M841" s="36">
        <f>[1]!Table3[[#This Row],[C&amp;I CLM $ Collected]]/'[1]1.) CLM Reference'!$B$4</f>
        <v>0</v>
      </c>
      <c r="N841" s="41">
        <v>0</v>
      </c>
      <c r="O841" s="36">
        <f>[1]!Table3[[#This Row],[C&amp;I Incentive Disbursements]]/'[1]1.) CLM Reference'!$B$5</f>
        <v>0</v>
      </c>
      <c r="Q841">
        <f>VLOOKUP(Table3[[#This Row],[Census Tract]],'Population and Diversity Data'!$B$2:$K$823,10,FALSE)</f>
        <v>3</v>
      </c>
      <c r="R841" t="str">
        <f>VLOOKUP(Table3[[#This Row],[Census Tract]],'ES Energy Burden'!$B$2:$E$914,4,FALSE)</f>
        <v>No</v>
      </c>
    </row>
    <row r="842" spans="1:18" x14ac:dyDescent="0.2">
      <c r="A842" s="100">
        <v>9003496400</v>
      </c>
      <c r="B842" s="38" t="s">
        <v>2861</v>
      </c>
      <c r="C842" s="38" t="s">
        <v>944</v>
      </c>
      <c r="D842" s="40">
        <f>[1]!Table3[[#This Row],[Residential CLM $ Collected]]+[1]!Table3[[#This Row],[C&amp;I CLM $ Collected]]</f>
        <v>48185.508096000005</v>
      </c>
      <c r="E842" s="36">
        <f>[1]!Table3[[#This Row],[CLM $ Collected ]]/'[1]1.) CLM Reference'!$B$4</f>
        <v>4.2748455706311748E-4</v>
      </c>
      <c r="F842" s="40">
        <f>[1]!Table3[[#This Row],[Residential Incentive Disbursements]]+[1]!Table3[[#This Row],[C&amp;I Incentive Disbursements]]</f>
        <v>6747.1818000000003</v>
      </c>
      <c r="G842" s="36">
        <f>[1]!Table3[[#This Row],[Incentive Disbursements]]/'[1]1.) CLM Reference'!$B$5</f>
        <v>8.2549421872570811E-5</v>
      </c>
      <c r="H842" s="40">
        <v>48185.508096000005</v>
      </c>
      <c r="I842" s="36">
        <f>[1]!Table3[[#This Row],[Residential CLM $ Collected]]/'[1]1.) CLM Reference'!$B$4</f>
        <v>4.2748455706311748E-4</v>
      </c>
      <c r="J842" s="41">
        <v>6747.1818000000003</v>
      </c>
      <c r="K842" s="36">
        <f>[1]!Table3[[#This Row],[Residential Incentive Disbursements]]/'[1]1.) CLM Reference'!$B$5</f>
        <v>8.2549421872570811E-5</v>
      </c>
      <c r="L842" s="37">
        <v>0</v>
      </c>
      <c r="M842" s="36">
        <f>[1]!Table3[[#This Row],[C&amp;I CLM $ Collected]]/'[1]1.) CLM Reference'!$B$4</f>
        <v>0</v>
      </c>
      <c r="N842" s="41">
        <v>0</v>
      </c>
      <c r="O842" s="36">
        <f>[1]!Table3[[#This Row],[C&amp;I Incentive Disbursements]]/'[1]1.) CLM Reference'!$B$5</f>
        <v>0</v>
      </c>
      <c r="Q842">
        <f>VLOOKUP(Table3[[#This Row],[Census Tract]],'Population and Diversity Data'!$B$2:$K$823,10,FALSE)</f>
        <v>2</v>
      </c>
      <c r="R842" t="str">
        <f>VLOOKUP(Table3[[#This Row],[Census Tract]],'ES Energy Burden'!$B$2:$E$914,4,FALSE)</f>
        <v>No</v>
      </c>
    </row>
    <row r="843" spans="1:18" x14ac:dyDescent="0.2">
      <c r="A843" s="100">
        <v>9003496500</v>
      </c>
      <c r="B843" s="38" t="s">
        <v>2861</v>
      </c>
      <c r="C843" s="38" t="s">
        <v>944</v>
      </c>
      <c r="D843" s="40">
        <f>[1]!Table3[[#This Row],[Residential CLM $ Collected]]+[1]!Table3[[#This Row],[C&amp;I CLM $ Collected]]</f>
        <v>43302.135461760001</v>
      </c>
      <c r="E843" s="36">
        <f>[1]!Table3[[#This Row],[CLM $ Collected ]]/'[1]1.) CLM Reference'!$B$4</f>
        <v>3.8416102536219243E-4</v>
      </c>
      <c r="F843" s="40">
        <f>[1]!Table3[[#This Row],[Residential Incentive Disbursements]]+[1]!Table3[[#This Row],[C&amp;I Incentive Disbursements]]</f>
        <v>18052.32</v>
      </c>
      <c r="G843" s="36">
        <f>[1]!Table3[[#This Row],[Incentive Disbursements]]/'[1]1.) CLM Reference'!$B$5</f>
        <v>2.2086385451458376E-4</v>
      </c>
      <c r="H843" s="40">
        <v>43302.135461760001</v>
      </c>
      <c r="I843" s="36">
        <f>[1]!Table3[[#This Row],[Residential CLM $ Collected]]/'[1]1.) CLM Reference'!$B$4</f>
        <v>3.8416102536219243E-4</v>
      </c>
      <c r="J843" s="41">
        <v>18052.32</v>
      </c>
      <c r="K843" s="36">
        <f>[1]!Table3[[#This Row],[Residential Incentive Disbursements]]/'[1]1.) CLM Reference'!$B$5</f>
        <v>2.2086385451458376E-4</v>
      </c>
      <c r="L843" s="37">
        <v>0</v>
      </c>
      <c r="M843" s="36">
        <f>[1]!Table3[[#This Row],[C&amp;I CLM $ Collected]]/'[1]1.) CLM Reference'!$B$4</f>
        <v>0</v>
      </c>
      <c r="N843" s="41">
        <v>0</v>
      </c>
      <c r="O843" s="36">
        <f>[1]!Table3[[#This Row],[C&amp;I Incentive Disbursements]]/'[1]1.) CLM Reference'!$B$5</f>
        <v>0</v>
      </c>
      <c r="Q843">
        <f>VLOOKUP(Table3[[#This Row],[Census Tract]],'Population and Diversity Data'!$B$2:$K$823,10,FALSE)</f>
        <v>3</v>
      </c>
      <c r="R843" t="str">
        <f>VLOOKUP(Table3[[#This Row],[Census Tract]],'ES Energy Burden'!$B$2:$E$914,4,FALSE)</f>
        <v>No</v>
      </c>
    </row>
    <row r="844" spans="1:18" x14ac:dyDescent="0.2">
      <c r="A844" s="100">
        <v>9003496600</v>
      </c>
      <c r="B844" s="38" t="s">
        <v>2861</v>
      </c>
      <c r="C844" s="38" t="s">
        <v>944</v>
      </c>
      <c r="D844" s="40">
        <f>[1]!Table3[[#This Row],[Residential CLM $ Collected]]+[1]!Table3[[#This Row],[C&amp;I CLM $ Collected]]</f>
        <v>55092.762144000008</v>
      </c>
      <c r="E844" s="36">
        <f>[1]!Table3[[#This Row],[CLM $ Collected ]]/'[1]1.) CLM Reference'!$B$4</f>
        <v>4.8876323926252388E-4</v>
      </c>
      <c r="F844" s="40">
        <f>[1]!Table3[[#This Row],[Residential Incentive Disbursements]]+[1]!Table3[[#This Row],[C&amp;I Incentive Disbursements]]</f>
        <v>28113.459900000002</v>
      </c>
      <c r="G844" s="36">
        <f>[1]!Table3[[#This Row],[Incentive Disbursements]]/'[1]1.) CLM Reference'!$B$5</f>
        <v>3.4395840076262692E-4</v>
      </c>
      <c r="H844" s="40">
        <v>55057.849891200007</v>
      </c>
      <c r="I844" s="36">
        <f>[1]!Table3[[#This Row],[Residential CLM $ Collected]]/'[1]1.) CLM Reference'!$B$4</f>
        <v>4.884535102690151E-4</v>
      </c>
      <c r="J844" s="41">
        <v>28113.459900000002</v>
      </c>
      <c r="K844" s="36">
        <f>[1]!Table3[[#This Row],[Residential Incentive Disbursements]]/'[1]1.) CLM Reference'!$B$5</f>
        <v>3.4395840076262692E-4</v>
      </c>
      <c r="L844" s="37">
        <v>34.912252800000005</v>
      </c>
      <c r="M844" s="36">
        <f>[1]!Table3[[#This Row],[C&amp;I CLM $ Collected]]/'[1]1.) CLM Reference'!$B$4</f>
        <v>3.0972899350878692E-7</v>
      </c>
      <c r="N844" s="41">
        <v>0</v>
      </c>
      <c r="O844" s="36">
        <f>[1]!Table3[[#This Row],[C&amp;I Incentive Disbursements]]/'[1]1.) CLM Reference'!$B$5</f>
        <v>0</v>
      </c>
      <c r="Q844">
        <f>VLOOKUP(Table3[[#This Row],[Census Tract]],'Population and Diversity Data'!$B$2:$K$823,10,FALSE)</f>
        <v>4</v>
      </c>
      <c r="R844" t="str">
        <f>VLOOKUP(Table3[[#This Row],[Census Tract]],'ES Energy Burden'!$B$2:$E$914,4,FALSE)</f>
        <v>No</v>
      </c>
    </row>
    <row r="845" spans="1:18" x14ac:dyDescent="0.2">
      <c r="A845" s="100">
        <v>9003496700</v>
      </c>
      <c r="B845" s="38" t="s">
        <v>2861</v>
      </c>
      <c r="C845" s="38" t="s">
        <v>944</v>
      </c>
      <c r="D845" s="40">
        <f>[1]!Table3[[#This Row],[Residential CLM $ Collected]]+[1]!Table3[[#This Row],[C&amp;I CLM $ Collected]]</f>
        <v>46883.065144320004</v>
      </c>
      <c r="E845" s="36">
        <f>[1]!Table3[[#This Row],[CLM $ Collected ]]/'[1]1.) CLM Reference'!$B$4</f>
        <v>4.159297500205178E-4</v>
      </c>
      <c r="F845" s="40">
        <f>[1]!Table3[[#This Row],[Residential Incentive Disbursements]]+[1]!Table3[[#This Row],[C&amp;I Incentive Disbursements]]</f>
        <v>6747.4892</v>
      </c>
      <c r="G845" s="36">
        <f>[1]!Table3[[#This Row],[Incentive Disbursements]]/'[1]1.) CLM Reference'!$B$5</f>
        <v>8.2553182804621518E-5</v>
      </c>
      <c r="H845" s="40">
        <v>46883.065144320004</v>
      </c>
      <c r="I845" s="36">
        <f>[1]!Table3[[#This Row],[Residential CLM $ Collected]]/'[1]1.) CLM Reference'!$B$4</f>
        <v>4.159297500205178E-4</v>
      </c>
      <c r="J845" s="41">
        <v>6747.4892</v>
      </c>
      <c r="K845" s="36">
        <f>[1]!Table3[[#This Row],[Residential Incentive Disbursements]]/'[1]1.) CLM Reference'!$B$5</f>
        <v>8.2553182804621518E-5</v>
      </c>
      <c r="L845" s="37">
        <v>0</v>
      </c>
      <c r="M845" s="36">
        <f>[1]!Table3[[#This Row],[C&amp;I CLM $ Collected]]/'[1]1.) CLM Reference'!$B$4</f>
        <v>0</v>
      </c>
      <c r="N845" s="41">
        <v>0</v>
      </c>
      <c r="O845" s="36">
        <f>[1]!Table3[[#This Row],[C&amp;I Incentive Disbursements]]/'[1]1.) CLM Reference'!$B$5</f>
        <v>0</v>
      </c>
      <c r="Q845">
        <f>VLOOKUP(Table3[[#This Row],[Census Tract]],'Population and Diversity Data'!$B$2:$K$823,10,FALSE)</f>
        <v>5</v>
      </c>
      <c r="R845" t="str">
        <f>VLOOKUP(Table3[[#This Row],[Census Tract]],'ES Energy Burden'!$B$2:$E$914,4,FALSE)</f>
        <v>No</v>
      </c>
    </row>
    <row r="846" spans="1:18" x14ac:dyDescent="0.2">
      <c r="A846" s="100">
        <v>9003496800</v>
      </c>
      <c r="B846" s="38" t="s">
        <v>2861</v>
      </c>
      <c r="C846" s="38" t="s">
        <v>944</v>
      </c>
      <c r="D846" s="40">
        <f>[1]!Table3[[#This Row],[Residential CLM $ Collected]]+[1]!Table3[[#This Row],[C&amp;I CLM $ Collected]]</f>
        <v>43290.247003199998</v>
      </c>
      <c r="E846" s="36">
        <f>[1]!Table3[[#This Row],[CLM $ Collected ]]/'[1]1.) CLM Reference'!$B$4</f>
        <v>3.8405555521893773E-4</v>
      </c>
      <c r="F846" s="40">
        <f>[1]!Table3[[#This Row],[Residential Incentive Disbursements]]+[1]!Table3[[#This Row],[C&amp;I Incentive Disbursements]]</f>
        <v>4929.1130000000003</v>
      </c>
      <c r="G846" s="36">
        <f>[1]!Table3[[#This Row],[Incentive Disbursements]]/'[1]1.) CLM Reference'!$B$5</f>
        <v>6.0305982639236594E-5</v>
      </c>
      <c r="H846" s="40">
        <v>43290.247003199998</v>
      </c>
      <c r="I846" s="36">
        <f>[1]!Table3[[#This Row],[Residential CLM $ Collected]]/'[1]1.) CLM Reference'!$B$4</f>
        <v>3.8405555521893773E-4</v>
      </c>
      <c r="J846" s="41">
        <v>4929.1130000000003</v>
      </c>
      <c r="K846" s="36">
        <f>[1]!Table3[[#This Row],[Residential Incentive Disbursements]]/'[1]1.) CLM Reference'!$B$5</f>
        <v>6.0305982639236594E-5</v>
      </c>
      <c r="L846" s="37">
        <v>0</v>
      </c>
      <c r="M846" s="36">
        <f>[1]!Table3[[#This Row],[C&amp;I CLM $ Collected]]/'[1]1.) CLM Reference'!$B$4</f>
        <v>0</v>
      </c>
      <c r="N846" s="41">
        <v>0</v>
      </c>
      <c r="O846" s="36">
        <f>[1]!Table3[[#This Row],[C&amp;I Incentive Disbursements]]/'[1]1.) CLM Reference'!$B$5</f>
        <v>0</v>
      </c>
      <c r="Q846">
        <f>VLOOKUP(Table3[[#This Row],[Census Tract]],'Population and Diversity Data'!$B$2:$K$823,10,FALSE)</f>
        <v>5</v>
      </c>
      <c r="R846" t="str">
        <f>VLOOKUP(Table3[[#This Row],[Census Tract]],'ES Energy Burden'!$B$2:$E$914,4,FALSE)</f>
        <v>No</v>
      </c>
    </row>
    <row r="847" spans="1:18" x14ac:dyDescent="0.2">
      <c r="A847" s="100">
        <v>9003496900</v>
      </c>
      <c r="B847" s="38" t="s">
        <v>2861</v>
      </c>
      <c r="C847" s="38" t="s">
        <v>944</v>
      </c>
      <c r="D847" s="40">
        <f>[1]!Table3[[#This Row],[Residential CLM $ Collected]]+[1]!Table3[[#This Row],[C&amp;I CLM $ Collected]]</f>
        <v>76690.901718720008</v>
      </c>
      <c r="E847" s="36">
        <f>[1]!Table3[[#This Row],[CLM $ Collected ]]/'[1]1.) CLM Reference'!$B$4</f>
        <v>6.8037419231280433E-4</v>
      </c>
      <c r="F847" s="40">
        <f>[1]!Table3[[#This Row],[Residential Incentive Disbursements]]+[1]!Table3[[#This Row],[C&amp;I Incentive Disbursements]]</f>
        <v>8861.1478999999999</v>
      </c>
      <c r="G847" s="36">
        <f>[1]!Table3[[#This Row],[Incentive Disbursements]]/'[1]1.) CLM Reference'!$B$5</f>
        <v>1.0841306162409094E-4</v>
      </c>
      <c r="H847" s="40">
        <v>76690.901718720008</v>
      </c>
      <c r="I847" s="36">
        <f>[1]!Table3[[#This Row],[Residential CLM $ Collected]]/'[1]1.) CLM Reference'!$B$4</f>
        <v>6.8037419231280433E-4</v>
      </c>
      <c r="J847" s="41">
        <v>8861.1478999999999</v>
      </c>
      <c r="K847" s="36">
        <f>[1]!Table3[[#This Row],[Residential Incentive Disbursements]]/'[1]1.) CLM Reference'!$B$5</f>
        <v>1.0841306162409094E-4</v>
      </c>
      <c r="L847" s="37">
        <v>0</v>
      </c>
      <c r="M847" s="36">
        <f>[1]!Table3[[#This Row],[C&amp;I CLM $ Collected]]/'[1]1.) CLM Reference'!$B$4</f>
        <v>0</v>
      </c>
      <c r="N847" s="41">
        <v>0</v>
      </c>
      <c r="O847" s="36">
        <f>[1]!Table3[[#This Row],[C&amp;I Incentive Disbursements]]/'[1]1.) CLM Reference'!$B$5</f>
        <v>0</v>
      </c>
      <c r="Q847">
        <f>VLOOKUP(Table3[[#This Row],[Census Tract]],'Population and Diversity Data'!$B$2:$K$823,10,FALSE)</f>
        <v>3</v>
      </c>
      <c r="R847" t="str">
        <f>VLOOKUP(Table3[[#This Row],[Census Tract]],'ES Energy Burden'!$B$2:$E$914,4,FALSE)</f>
        <v>No</v>
      </c>
    </row>
    <row r="848" spans="1:18" x14ac:dyDescent="0.2">
      <c r="A848" s="100">
        <v>9003497000</v>
      </c>
      <c r="B848" s="38" t="s">
        <v>2861</v>
      </c>
      <c r="C848" s="38" t="s">
        <v>944</v>
      </c>
      <c r="D848" s="40">
        <f>[1]!Table3[[#This Row],[Residential CLM $ Collected]]+[1]!Table3[[#This Row],[C&amp;I CLM $ Collected]]</f>
        <v>74511.301584960005</v>
      </c>
      <c r="E848" s="36">
        <f>[1]!Table3[[#This Row],[CLM $ Collected ]]/'[1]1.) CLM Reference'!$B$4</f>
        <v>6.6103756114355757E-4</v>
      </c>
      <c r="F848" s="40">
        <f>[1]!Table3[[#This Row],[Residential Incentive Disbursements]]+[1]!Table3[[#This Row],[C&amp;I Incentive Disbursements]]</f>
        <v>10418.5515</v>
      </c>
      <c r="G848" s="36">
        <f>[1]!Table3[[#This Row],[Incentive Disbursements]]/'[1]1.) CLM Reference'!$B$5</f>
        <v>1.2746735282493876E-4</v>
      </c>
      <c r="H848" s="40">
        <v>74474.39798496</v>
      </c>
      <c r="I848" s="36">
        <f>[1]!Table3[[#This Row],[Residential CLM $ Collected]]/'[1]1.) CLM Reference'!$B$4</f>
        <v>6.6071016563143382E-4</v>
      </c>
      <c r="J848" s="41">
        <v>10418.5515</v>
      </c>
      <c r="K848" s="36">
        <f>[1]!Table3[[#This Row],[Residential Incentive Disbursements]]/'[1]1.) CLM Reference'!$B$5</f>
        <v>1.2746735282493876E-4</v>
      </c>
      <c r="L848" s="37">
        <v>36.903599999999997</v>
      </c>
      <c r="M848" s="36">
        <f>[1]!Table3[[#This Row],[C&amp;I CLM $ Collected]]/'[1]1.) CLM Reference'!$B$4</f>
        <v>3.2739551212377984E-7</v>
      </c>
      <c r="N848" s="41">
        <v>0</v>
      </c>
      <c r="O848" s="36">
        <f>[1]!Table3[[#This Row],[C&amp;I Incentive Disbursements]]/'[1]1.) CLM Reference'!$B$5</f>
        <v>0</v>
      </c>
      <c r="Q848">
        <f>VLOOKUP(Table3[[#This Row],[Census Tract]],'Population and Diversity Data'!$B$2:$K$823,10,FALSE)</f>
        <v>2</v>
      </c>
      <c r="R848" t="str">
        <f>VLOOKUP(Table3[[#This Row],[Census Tract]],'ES Energy Burden'!$B$2:$E$914,4,FALSE)</f>
        <v>No</v>
      </c>
    </row>
    <row r="849" spans="1:18" x14ac:dyDescent="0.2">
      <c r="A849" s="100">
        <v>9003497100</v>
      </c>
      <c r="B849" s="38" t="s">
        <v>2861</v>
      </c>
      <c r="C849" s="38" t="s">
        <v>944</v>
      </c>
      <c r="D849" s="40">
        <f>[1]!Table3[[#This Row],[Residential CLM $ Collected]]+[1]!Table3[[#This Row],[C&amp;I CLM $ Collected]]</f>
        <v>49008.924374399998</v>
      </c>
      <c r="E849" s="36">
        <f>[1]!Table3[[#This Row],[CLM $ Collected ]]/'[1]1.) CLM Reference'!$B$4</f>
        <v>4.3478961115425826E-4</v>
      </c>
      <c r="F849" s="40">
        <f>[1]!Table3[[#This Row],[Residential Incentive Disbursements]]+[1]!Table3[[#This Row],[C&amp;I Incentive Disbursements]]</f>
        <v>4881.03</v>
      </c>
      <c r="G849" s="36">
        <f>[1]!Table3[[#This Row],[Incentive Disbursements]]/'[1]1.) CLM Reference'!$B$5</f>
        <v>5.9717703863066834E-5</v>
      </c>
      <c r="H849" s="40">
        <v>49008.924374399998</v>
      </c>
      <c r="I849" s="36">
        <f>[1]!Table3[[#This Row],[Residential CLM $ Collected]]/'[1]1.) CLM Reference'!$B$4</f>
        <v>4.3478961115425826E-4</v>
      </c>
      <c r="J849" s="41">
        <v>4881.03</v>
      </c>
      <c r="K849" s="36">
        <f>[1]!Table3[[#This Row],[Residential Incentive Disbursements]]/'[1]1.) CLM Reference'!$B$5</f>
        <v>5.9717703863066834E-5</v>
      </c>
      <c r="L849" s="37">
        <v>0</v>
      </c>
      <c r="M849" s="36">
        <f>[1]!Table3[[#This Row],[C&amp;I CLM $ Collected]]/'[1]1.) CLM Reference'!$B$4</f>
        <v>0</v>
      </c>
      <c r="N849" s="41">
        <v>0</v>
      </c>
      <c r="O849" s="36">
        <f>[1]!Table3[[#This Row],[C&amp;I Incentive Disbursements]]/'[1]1.) CLM Reference'!$B$5</f>
        <v>0</v>
      </c>
      <c r="Q849">
        <f>VLOOKUP(Table3[[#This Row],[Census Tract]],'Population and Diversity Data'!$B$2:$K$823,10,FALSE)</f>
        <v>2</v>
      </c>
      <c r="R849" t="str">
        <f>VLOOKUP(Table3[[#This Row],[Census Tract]],'ES Energy Burden'!$B$2:$E$914,4,FALSE)</f>
        <v>No</v>
      </c>
    </row>
    <row r="850" spans="1:18" x14ac:dyDescent="0.2">
      <c r="A850" s="100">
        <v>9003497200</v>
      </c>
      <c r="B850" s="38" t="s">
        <v>2861</v>
      </c>
      <c r="C850" s="38" t="s">
        <v>944</v>
      </c>
      <c r="D850" s="40">
        <f>[1]!Table3[[#This Row],[Residential CLM $ Collected]]+[1]!Table3[[#This Row],[C&amp;I CLM $ Collected]]</f>
        <v>32413.523068800001</v>
      </c>
      <c r="E850" s="36">
        <f>[1]!Table3[[#This Row],[CLM $ Collected ]]/'[1]1.) CLM Reference'!$B$4</f>
        <v>2.8756115893424297E-4</v>
      </c>
      <c r="F850" s="40">
        <f>[1]!Table3[[#This Row],[Residential Incentive Disbursements]]+[1]!Table3[[#This Row],[C&amp;I Incentive Disbursements]]</f>
        <v>16865.05</v>
      </c>
      <c r="G850" s="36">
        <f>[1]!Table3[[#This Row],[Incentive Disbursements]]/'[1]1.) CLM Reference'!$B$5</f>
        <v>2.0633801913444812E-4</v>
      </c>
      <c r="H850" s="40">
        <v>32413.523068800001</v>
      </c>
      <c r="I850" s="36">
        <f>[1]!Table3[[#This Row],[Residential CLM $ Collected]]/'[1]1.) CLM Reference'!$B$4</f>
        <v>2.8756115893424297E-4</v>
      </c>
      <c r="J850" s="41">
        <v>16865.05</v>
      </c>
      <c r="K850" s="36">
        <f>[1]!Table3[[#This Row],[Residential Incentive Disbursements]]/'[1]1.) CLM Reference'!$B$5</f>
        <v>2.0633801913444812E-4</v>
      </c>
      <c r="L850" s="37">
        <v>0</v>
      </c>
      <c r="M850" s="36">
        <f>[1]!Table3[[#This Row],[C&amp;I CLM $ Collected]]/'[1]1.) CLM Reference'!$B$4</f>
        <v>0</v>
      </c>
      <c r="N850" s="41">
        <v>0</v>
      </c>
      <c r="O850" s="36">
        <f>[1]!Table3[[#This Row],[C&amp;I Incentive Disbursements]]/'[1]1.) CLM Reference'!$B$5</f>
        <v>0</v>
      </c>
      <c r="Q850">
        <f>VLOOKUP(Table3[[#This Row],[Census Tract]],'Population and Diversity Data'!$B$2:$K$823,10,FALSE)</f>
        <v>2</v>
      </c>
      <c r="R850" t="str">
        <f>VLOOKUP(Table3[[#This Row],[Census Tract]],'ES Energy Burden'!$B$2:$E$914,4,FALSE)</f>
        <v>No</v>
      </c>
    </row>
    <row r="851" spans="1:18" x14ac:dyDescent="0.2">
      <c r="A851" s="100">
        <v>9003497300</v>
      </c>
      <c r="B851" s="38" t="s">
        <v>2861</v>
      </c>
      <c r="C851" s="38" t="s">
        <v>944</v>
      </c>
      <c r="D851" s="40">
        <f>[1]!Table3[[#This Row],[Residential CLM $ Collected]]+[1]!Table3[[#This Row],[C&amp;I CLM $ Collected]]</f>
        <v>80343.415123200015</v>
      </c>
      <c r="E851" s="36">
        <f>[1]!Table3[[#This Row],[CLM $ Collected ]]/'[1]1.) CLM Reference'!$B$4</f>
        <v>7.1277798209479595E-4</v>
      </c>
      <c r="F851" s="40">
        <f>[1]!Table3[[#This Row],[Residential Incentive Disbursements]]+[1]!Table3[[#This Row],[C&amp;I Incentive Disbursements]]</f>
        <v>18040.036100000001</v>
      </c>
      <c r="G851" s="36">
        <f>[1]!Table3[[#This Row],[Incentive Disbursements]]/'[1]1.) CLM Reference'!$B$5</f>
        <v>2.2071356527184535E-4</v>
      </c>
      <c r="H851" s="40">
        <v>80343.415123200015</v>
      </c>
      <c r="I851" s="36">
        <f>[1]!Table3[[#This Row],[Residential CLM $ Collected]]/'[1]1.) CLM Reference'!$B$4</f>
        <v>7.1277798209479595E-4</v>
      </c>
      <c r="J851" s="41">
        <v>18040.036100000001</v>
      </c>
      <c r="K851" s="36">
        <f>[1]!Table3[[#This Row],[Residential Incentive Disbursements]]/'[1]1.) CLM Reference'!$B$5</f>
        <v>2.2071356527184535E-4</v>
      </c>
      <c r="L851" s="37">
        <v>0</v>
      </c>
      <c r="M851" s="36">
        <f>[1]!Table3[[#This Row],[C&amp;I CLM $ Collected]]/'[1]1.) CLM Reference'!$B$4</f>
        <v>0</v>
      </c>
      <c r="N851" s="41">
        <v>0</v>
      </c>
      <c r="O851" s="36">
        <f>[1]!Table3[[#This Row],[C&amp;I Incentive Disbursements]]/'[1]1.) CLM Reference'!$B$5</f>
        <v>0</v>
      </c>
      <c r="Q851">
        <f>VLOOKUP(Table3[[#This Row],[Census Tract]],'Population and Diversity Data'!$B$2:$K$823,10,FALSE)</f>
        <v>4</v>
      </c>
      <c r="R851" t="str">
        <f>VLOOKUP(Table3[[#This Row],[Census Tract]],'ES Energy Burden'!$B$2:$E$914,4,FALSE)</f>
        <v>No</v>
      </c>
    </row>
    <row r="852" spans="1:18" x14ac:dyDescent="0.2">
      <c r="A852" s="100">
        <v>9003497400</v>
      </c>
      <c r="B852" s="38" t="s">
        <v>2861</v>
      </c>
      <c r="C852" s="38" t="s">
        <v>944</v>
      </c>
      <c r="D852" s="40">
        <f>[1]!Table3[[#This Row],[Residential CLM $ Collected]]+[1]!Table3[[#This Row],[C&amp;I CLM $ Collected]]</f>
        <v>76001.059105919994</v>
      </c>
      <c r="E852" s="36">
        <f>[1]!Table3[[#This Row],[CLM $ Collected ]]/'[1]1.) CLM Reference'!$B$4</f>
        <v>6.7425415590707523E-4</v>
      </c>
      <c r="F852" s="40">
        <f>[1]!Table3[[#This Row],[Residential Incentive Disbursements]]+[1]!Table3[[#This Row],[C&amp;I Incentive Disbursements]]</f>
        <v>13016.7014</v>
      </c>
      <c r="G852" s="36">
        <f>[1]!Table3[[#This Row],[Incentive Disbursements]]/'[1]1.) CLM Reference'!$B$5</f>
        <v>1.5925481291431676E-4</v>
      </c>
      <c r="H852" s="40">
        <v>76001.059105919994</v>
      </c>
      <c r="I852" s="36">
        <f>[1]!Table3[[#This Row],[Residential CLM $ Collected]]/'[1]1.) CLM Reference'!$B$4</f>
        <v>6.7425415590707523E-4</v>
      </c>
      <c r="J852" s="41">
        <v>13016.7014</v>
      </c>
      <c r="K852" s="36">
        <f>[1]!Table3[[#This Row],[Residential Incentive Disbursements]]/'[1]1.) CLM Reference'!$B$5</f>
        <v>1.5925481291431676E-4</v>
      </c>
      <c r="L852" s="37">
        <v>0</v>
      </c>
      <c r="M852" s="36">
        <f>[1]!Table3[[#This Row],[C&amp;I CLM $ Collected]]/'[1]1.) CLM Reference'!$B$4</f>
        <v>0</v>
      </c>
      <c r="N852" s="41">
        <v>0</v>
      </c>
      <c r="O852" s="36">
        <f>[1]!Table3[[#This Row],[C&amp;I Incentive Disbursements]]/'[1]1.) CLM Reference'!$B$5</f>
        <v>0</v>
      </c>
      <c r="Q852">
        <f>VLOOKUP(Table3[[#This Row],[Census Tract]],'Population and Diversity Data'!$B$2:$K$823,10,FALSE)</f>
        <v>2</v>
      </c>
      <c r="R852" t="str">
        <f>VLOOKUP(Table3[[#This Row],[Census Tract]],'ES Energy Burden'!$B$2:$E$914,4,FALSE)</f>
        <v>No</v>
      </c>
    </row>
    <row r="853" spans="1:18" x14ac:dyDescent="0.2">
      <c r="A853" s="100">
        <v>9003497500</v>
      </c>
      <c r="B853" s="38" t="s">
        <v>2861</v>
      </c>
      <c r="C853" s="38" t="s">
        <v>944</v>
      </c>
      <c r="D853" s="40">
        <f>[1]!Table3[[#This Row],[Residential CLM $ Collected]]+[1]!Table3[[#This Row],[C&amp;I CLM $ Collected]]</f>
        <v>74873.673518400014</v>
      </c>
      <c r="E853" s="36">
        <f>[1]!Table3[[#This Row],[CLM $ Collected ]]/'[1]1.) CLM Reference'!$B$4</f>
        <v>6.6425239505482571E-4</v>
      </c>
      <c r="F853" s="40">
        <f>[1]!Table3[[#This Row],[Residential Incentive Disbursements]]+[1]!Table3[[#This Row],[C&amp;I Incentive Disbursements]]</f>
        <v>52438</v>
      </c>
      <c r="G853" s="36">
        <f>[1]!Table3[[#This Row],[Incentive Disbursements]]/'[1]1.) CLM Reference'!$B$5</f>
        <v>6.4156068599691021E-4</v>
      </c>
      <c r="H853" s="40">
        <v>74846.761387200007</v>
      </c>
      <c r="I853" s="36">
        <f>[1]!Table3[[#This Row],[Residential CLM $ Collected]]/'[1]1.) CLM Reference'!$B$4</f>
        <v>6.6401364027272945E-4</v>
      </c>
      <c r="J853" s="41">
        <v>52438</v>
      </c>
      <c r="K853" s="36">
        <f>[1]!Table3[[#This Row],[Residential Incentive Disbursements]]/'[1]1.) CLM Reference'!$B$5</f>
        <v>6.4156068599691021E-4</v>
      </c>
      <c r="L853" s="37">
        <v>26.912131200000001</v>
      </c>
      <c r="M853" s="36">
        <f>[1]!Table3[[#This Row],[C&amp;I CLM $ Collected]]/'[1]1.) CLM Reference'!$B$4</f>
        <v>2.3875478209622789E-7</v>
      </c>
      <c r="N853" s="41">
        <v>0</v>
      </c>
      <c r="O853" s="36">
        <f>[1]!Table3[[#This Row],[C&amp;I Incentive Disbursements]]/'[1]1.) CLM Reference'!$B$5</f>
        <v>0</v>
      </c>
      <c r="Q853">
        <f>VLOOKUP(Table3[[#This Row],[Census Tract]],'Population and Diversity Data'!$B$2:$K$823,10,FALSE)</f>
        <v>5</v>
      </c>
      <c r="R853" t="str">
        <f>VLOOKUP(Table3[[#This Row],[Census Tract]],'ES Energy Burden'!$B$2:$E$914,4,FALSE)</f>
        <v>No</v>
      </c>
    </row>
    <row r="854" spans="1:18" x14ac:dyDescent="0.2">
      <c r="A854" s="100">
        <v>9003497600</v>
      </c>
      <c r="B854" s="38" t="s">
        <v>2861</v>
      </c>
      <c r="C854" s="38" t="s">
        <v>944</v>
      </c>
      <c r="D854" s="40">
        <f>[1]!Table3[[#This Row],[Residential CLM $ Collected]]+[1]!Table3[[#This Row],[C&amp;I CLM $ Collected]]</f>
        <v>35446.190293439999</v>
      </c>
      <c r="E854" s="36">
        <f>[1]!Table3[[#This Row],[CLM $ Collected ]]/'[1]1.) CLM Reference'!$B$4</f>
        <v>3.1446589557543829E-4</v>
      </c>
      <c r="F854" s="40">
        <f>[1]!Table3[[#This Row],[Residential Incentive Disbursements]]+[1]!Table3[[#This Row],[C&amp;I Incentive Disbursements]]</f>
        <v>2038.99</v>
      </c>
      <c r="G854" s="36">
        <f>[1]!Table3[[#This Row],[Incentive Disbursements]]/'[1]1.) CLM Reference'!$B$5</f>
        <v>2.4946333253381899E-5</v>
      </c>
      <c r="H854" s="40">
        <v>35446.190293439999</v>
      </c>
      <c r="I854" s="36">
        <f>[1]!Table3[[#This Row],[Residential CLM $ Collected]]/'[1]1.) CLM Reference'!$B$4</f>
        <v>3.1446589557543829E-4</v>
      </c>
      <c r="J854" s="41">
        <v>2038.99</v>
      </c>
      <c r="K854" s="36">
        <f>[1]!Table3[[#This Row],[Residential Incentive Disbursements]]/'[1]1.) CLM Reference'!$B$5</f>
        <v>2.4946333253381899E-5</v>
      </c>
      <c r="L854" s="37">
        <v>0</v>
      </c>
      <c r="M854" s="36">
        <f>[1]!Table3[[#This Row],[C&amp;I CLM $ Collected]]/'[1]1.) CLM Reference'!$B$4</f>
        <v>0</v>
      </c>
      <c r="N854" s="41">
        <v>0</v>
      </c>
      <c r="O854" s="36">
        <f>[1]!Table3[[#This Row],[C&amp;I Incentive Disbursements]]/'[1]1.) CLM Reference'!$B$5</f>
        <v>0</v>
      </c>
      <c r="Q854">
        <f>VLOOKUP(Table3[[#This Row],[Census Tract]],'Population and Diversity Data'!$B$2:$K$823,10,FALSE)</f>
        <v>3</v>
      </c>
      <c r="R854" t="str">
        <f>VLOOKUP(Table3[[#This Row],[Census Tract]],'ES Energy Burden'!$B$2:$E$914,4,FALSE)</f>
        <v>No</v>
      </c>
    </row>
    <row r="855" spans="1:18" x14ac:dyDescent="0.2">
      <c r="A855" s="100">
        <v>9003497700</v>
      </c>
      <c r="B855" s="38" t="s">
        <v>2861</v>
      </c>
      <c r="C855" s="38" t="s">
        <v>944</v>
      </c>
      <c r="D855" s="40">
        <f>[1]!Table3[[#This Row],[Residential CLM $ Collected]]+[1]!Table3[[#This Row],[C&amp;I CLM $ Collected]]</f>
        <v>253494.14654016</v>
      </c>
      <c r="E855" s="36">
        <f>[1]!Table3[[#This Row],[CLM $ Collected ]]/'[1]1.) CLM Reference'!$B$4</f>
        <v>2.248909210128448E-3</v>
      </c>
      <c r="F855" s="40">
        <f>[1]!Table3[[#This Row],[Residential Incentive Disbursements]]+[1]!Table3[[#This Row],[C&amp;I Incentive Disbursements]]</f>
        <v>457020.29220000003</v>
      </c>
      <c r="G855" s="36">
        <f>[1]!Table3[[#This Row],[Incentive Disbursements]]/'[1]1.) CLM Reference'!$B$5</f>
        <v>5.5914842705354966E-3</v>
      </c>
      <c r="H855" s="40">
        <v>140466.29598143999</v>
      </c>
      <c r="I855" s="36">
        <f>[1]!Table3[[#This Row],[Residential CLM $ Collected]]/'[1]1.) CLM Reference'!$B$4</f>
        <v>1.2461666316829249E-3</v>
      </c>
      <c r="J855" s="41">
        <v>408944.72220000002</v>
      </c>
      <c r="K855" s="36">
        <f>[1]!Table3[[#This Row],[Residential Incentive Disbursements]]/'[1]1.) CLM Reference'!$B$5</f>
        <v>5.0032963978307319E-3</v>
      </c>
      <c r="L855" s="37">
        <v>113027.85055872001</v>
      </c>
      <c r="M855" s="36">
        <f>[1]!Table3[[#This Row],[C&amp;I CLM $ Collected]]/'[1]1.) CLM Reference'!$B$4</f>
        <v>1.0027425784455229E-3</v>
      </c>
      <c r="N855" s="41">
        <v>48075.57</v>
      </c>
      <c r="O855" s="36">
        <f>[1]!Table3[[#This Row],[C&amp;I Incentive Disbursements]]/'[1]1.) CLM Reference'!$B$5</f>
        <v>5.8818787270476522E-4</v>
      </c>
      <c r="Q855">
        <f>VLOOKUP(Table3[[#This Row],[Census Tract]],'Population and Diversity Data'!$B$2:$K$823,10,FALSE)</f>
        <v>3</v>
      </c>
      <c r="R855" t="str">
        <f>VLOOKUP(Table3[[#This Row],[Census Tract]],'ES Energy Burden'!$B$2:$E$914,4,FALSE)</f>
        <v>No</v>
      </c>
    </row>
    <row r="856" spans="1:18" x14ac:dyDescent="0.2">
      <c r="A856" s="100">
        <v>9007620100</v>
      </c>
      <c r="B856" s="38" t="s">
        <v>2862</v>
      </c>
      <c r="C856" s="38" t="s">
        <v>944</v>
      </c>
      <c r="D856" s="40">
        <f>[1]!Table3[[#This Row],[Residential CLM $ Collected]]+[1]!Table3[[#This Row],[C&amp;I CLM $ Collected]]</f>
        <v>98.137526400000013</v>
      </c>
      <c r="E856" s="36">
        <f>[1]!Table3[[#This Row],[CLM $ Collected ]]/'[1]1.) CLM Reference'!$B$4</f>
        <v>8.7064095953481428E-7</v>
      </c>
      <c r="F856" s="40">
        <f>[1]!Table3[[#This Row],[Residential Incentive Disbursements]]+[1]!Table3[[#This Row],[C&amp;I Incentive Disbursements]]</f>
        <v>0</v>
      </c>
      <c r="G856" s="36">
        <f>[1]!Table3[[#This Row],[Incentive Disbursements]]/'[1]1.) CLM Reference'!$B$5</f>
        <v>0</v>
      </c>
      <c r="H856" s="40">
        <v>98.137526400000013</v>
      </c>
      <c r="I856" s="36">
        <f>[1]!Table3[[#This Row],[Residential CLM $ Collected]]/'[1]1.) CLM Reference'!$B$4</f>
        <v>8.7064095953481428E-7</v>
      </c>
      <c r="J856" s="41">
        <v>0</v>
      </c>
      <c r="K856" s="36">
        <f>[1]!Table3[[#This Row],[Residential Incentive Disbursements]]/'[1]1.) CLM Reference'!$B$5</f>
        <v>0</v>
      </c>
      <c r="L856" s="37">
        <v>0</v>
      </c>
      <c r="M856" s="36">
        <f>[1]!Table3[[#This Row],[C&amp;I CLM $ Collected]]/'[1]1.) CLM Reference'!$B$4</f>
        <v>0</v>
      </c>
      <c r="N856" s="41">
        <v>0</v>
      </c>
      <c r="O856" s="36">
        <f>[1]!Table3[[#This Row],[C&amp;I Incentive Disbursements]]/'[1]1.) CLM Reference'!$B$5</f>
        <v>0</v>
      </c>
      <c r="Q856">
        <f>VLOOKUP(Table3[[#This Row],[Census Tract]],'Population and Diversity Data'!$B$2:$K$823,10,FALSE)</f>
        <v>1</v>
      </c>
      <c r="R856" t="str">
        <f>VLOOKUP(Table3[[#This Row],[Census Tract]],'ES Energy Burden'!$B$2:$E$914,4,FALSE)</f>
        <v>No</v>
      </c>
    </row>
    <row r="857" spans="1:18" x14ac:dyDescent="0.2">
      <c r="A857" s="100">
        <v>9007680100</v>
      </c>
      <c r="B857" s="38" t="s">
        <v>2862</v>
      </c>
      <c r="C857" s="38" t="s">
        <v>944</v>
      </c>
      <c r="D857" s="40">
        <f>[1]!Table3[[#This Row],[Residential CLM $ Collected]]+[1]!Table3[[#This Row],[C&amp;I CLM $ Collected]]</f>
        <v>254015.70005376</v>
      </c>
      <c r="E857" s="36">
        <f>[1]!Table3[[#This Row],[CLM $ Collected ]]/'[1]1.) CLM Reference'!$B$4</f>
        <v>2.253536245964654E-3</v>
      </c>
      <c r="F857" s="40">
        <f>[1]!Table3[[#This Row],[Residential Incentive Disbursements]]+[1]!Table3[[#This Row],[C&amp;I Incentive Disbursements]]</f>
        <v>98737.813800000004</v>
      </c>
      <c r="G857" s="36">
        <f>[1]!Table3[[#This Row],[Incentive Disbursements]]/'[1]1.) CLM Reference'!$B$5</f>
        <v>1.2080227994081237E-3</v>
      </c>
      <c r="H857" s="40">
        <v>182266.88039999999</v>
      </c>
      <c r="I857" s="36">
        <f>[1]!Table3[[#This Row],[Residential CLM $ Collected]]/'[1]1.) CLM Reference'!$B$4</f>
        <v>1.6170064343793487E-3</v>
      </c>
      <c r="J857" s="41">
        <v>75057.263800000001</v>
      </c>
      <c r="K857" s="36">
        <f>[1]!Table3[[#This Row],[Residential Incentive Disbursements]]/'[1]1.) CLM Reference'!$B$5</f>
        <v>9.1829950899307872E-4</v>
      </c>
      <c r="L857" s="37">
        <v>71748.819653760002</v>
      </c>
      <c r="M857" s="36">
        <f>[1]!Table3[[#This Row],[C&amp;I CLM $ Collected]]/'[1]1.) CLM Reference'!$B$4</f>
        <v>6.3652981158530541E-4</v>
      </c>
      <c r="N857" s="41">
        <v>23680.55</v>
      </c>
      <c r="O857" s="36">
        <f>[1]!Table3[[#This Row],[C&amp;I Incentive Disbursements]]/'[1]1.) CLM Reference'!$B$5</f>
        <v>2.8972329041504507E-4</v>
      </c>
      <c r="Q857">
        <f>VLOOKUP(Table3[[#This Row],[Census Tract]],'Population and Diversity Data'!$B$2:$K$823,10,FALSE)</f>
        <v>2</v>
      </c>
      <c r="R857" t="str">
        <f>VLOOKUP(Table3[[#This Row],[Census Tract]],'ES Energy Burden'!$B$2:$E$914,4,FALSE)</f>
        <v>No</v>
      </c>
    </row>
    <row r="858" spans="1:18" x14ac:dyDescent="0.2">
      <c r="A858" s="100">
        <v>9001050100</v>
      </c>
      <c r="B858" s="38" t="s">
        <v>2863</v>
      </c>
      <c r="C858" s="38" t="s">
        <v>944</v>
      </c>
      <c r="D858" s="40">
        <f>[1]!Table3[[#This Row],[Residential CLM $ Collected]]+[1]!Table3[[#This Row],[C&amp;I CLM $ Collected]]</f>
        <v>538.72309440000004</v>
      </c>
      <c r="E858" s="36">
        <f>[1]!Table3[[#This Row],[CLM $ Collected ]]/'[1]1.) CLM Reference'!$B$4</f>
        <v>4.779358203102012E-6</v>
      </c>
      <c r="F858" s="40">
        <f>[1]!Table3[[#This Row],[Residential Incentive Disbursements]]+[1]!Table3[[#This Row],[C&amp;I Incentive Disbursements]]</f>
        <v>0</v>
      </c>
      <c r="G858" s="36">
        <f>[1]!Table3[[#This Row],[Incentive Disbursements]]/'[1]1.) CLM Reference'!$B$5</f>
        <v>0</v>
      </c>
      <c r="H858" s="40">
        <v>538.72309440000004</v>
      </c>
      <c r="I858" s="36">
        <f>[1]!Table3[[#This Row],[Residential CLM $ Collected]]/'[1]1.) CLM Reference'!$B$4</f>
        <v>4.779358203102012E-6</v>
      </c>
      <c r="J858" s="41">
        <v>0</v>
      </c>
      <c r="K858" s="36">
        <f>[1]!Table3[[#This Row],[Residential Incentive Disbursements]]/'[1]1.) CLM Reference'!$B$5</f>
        <v>0</v>
      </c>
      <c r="L858" s="37">
        <v>0</v>
      </c>
      <c r="M858" s="36">
        <f>[1]!Table3[[#This Row],[C&amp;I CLM $ Collected]]/'[1]1.) CLM Reference'!$B$4</f>
        <v>0</v>
      </c>
      <c r="N858" s="41">
        <v>0</v>
      </c>
      <c r="O858" s="36">
        <f>[1]!Table3[[#This Row],[C&amp;I Incentive Disbursements]]/'[1]1.) CLM Reference'!$B$5</f>
        <v>0</v>
      </c>
      <c r="Q858">
        <f>VLOOKUP(Table3[[#This Row],[Census Tract]],'Population and Diversity Data'!$B$2:$K$823,10,FALSE)</f>
        <v>2</v>
      </c>
      <c r="R858" t="str">
        <f>VLOOKUP(Table3[[#This Row],[Census Tract]],'ES Energy Burden'!$B$2:$E$914,4,FALSE)</f>
        <v>No</v>
      </c>
    </row>
    <row r="859" spans="1:18" x14ac:dyDescent="0.2">
      <c r="A859" s="100">
        <v>9001050300</v>
      </c>
      <c r="B859" s="38" t="s">
        <v>2863</v>
      </c>
      <c r="C859" s="38" t="s">
        <v>944</v>
      </c>
      <c r="D859" s="40">
        <f>[1]!Table3[[#This Row],[Residential CLM $ Collected]]+[1]!Table3[[#This Row],[C&amp;I CLM $ Collected]]</f>
        <v>413.52292799999998</v>
      </c>
      <c r="E859" s="36">
        <f>[1]!Table3[[#This Row],[CLM $ Collected ]]/'[1]1.) CLM Reference'!$B$4</f>
        <v>3.6686272013430926E-6</v>
      </c>
      <c r="F859" s="40">
        <f>[1]!Table3[[#This Row],[Residential Incentive Disbursements]]+[1]!Table3[[#This Row],[C&amp;I Incentive Disbursements]]</f>
        <v>0</v>
      </c>
      <c r="G859" s="36">
        <f>[1]!Table3[[#This Row],[Incentive Disbursements]]/'[1]1.) CLM Reference'!$B$5</f>
        <v>0</v>
      </c>
      <c r="H859" s="40">
        <v>413.52292799999998</v>
      </c>
      <c r="I859" s="36">
        <f>[1]!Table3[[#This Row],[Residential CLM $ Collected]]/'[1]1.) CLM Reference'!$B$4</f>
        <v>3.6686272013430926E-6</v>
      </c>
      <c r="J859" s="41">
        <v>0</v>
      </c>
      <c r="K859" s="36">
        <f>[1]!Table3[[#This Row],[Residential Incentive Disbursements]]/'[1]1.) CLM Reference'!$B$5</f>
        <v>0</v>
      </c>
      <c r="L859" s="37">
        <v>0</v>
      </c>
      <c r="M859" s="36">
        <f>[1]!Table3[[#This Row],[C&amp;I CLM $ Collected]]/'[1]1.) CLM Reference'!$B$4</f>
        <v>0</v>
      </c>
      <c r="N859" s="41">
        <v>0</v>
      </c>
      <c r="O859" s="36">
        <f>[1]!Table3[[#This Row],[C&amp;I Incentive Disbursements]]/'[1]1.) CLM Reference'!$B$5</f>
        <v>0</v>
      </c>
      <c r="Q859">
        <f>VLOOKUP(Table3[[#This Row],[Census Tract]],'Population and Diversity Data'!$B$2:$K$823,10,FALSE)</f>
        <v>3</v>
      </c>
      <c r="R859" t="str">
        <f>VLOOKUP(Table3[[#This Row],[Census Tract]],'ES Energy Burden'!$B$2:$E$914,4,FALSE)</f>
        <v>No</v>
      </c>
    </row>
    <row r="860" spans="1:18" x14ac:dyDescent="0.2">
      <c r="A860" s="100">
        <v>9001055100</v>
      </c>
      <c r="B860" s="38" t="s">
        <v>2863</v>
      </c>
      <c r="C860" s="38" t="s">
        <v>944</v>
      </c>
      <c r="D860" s="40">
        <f>[1]!Table3[[#This Row],[Residential CLM $ Collected]]+[1]!Table3[[#This Row],[C&amp;I CLM $ Collected]]</f>
        <v>208785.52544544</v>
      </c>
      <c r="E860" s="36">
        <f>[1]!Table3[[#This Row],[CLM $ Collected ]]/'[1]1.) CLM Reference'!$B$4</f>
        <v>1.8522703483465652E-3</v>
      </c>
      <c r="F860" s="40">
        <f>[1]!Table3[[#This Row],[Residential Incentive Disbursements]]+[1]!Table3[[#This Row],[C&amp;I Incentive Disbursements]]</f>
        <v>77275.853000000003</v>
      </c>
      <c r="G860" s="36">
        <f>[1]!Table3[[#This Row],[Incentive Disbursements]]/'[1]1.) CLM Reference'!$B$5</f>
        <v>9.4544317597308053E-4</v>
      </c>
      <c r="H860" s="40">
        <v>193190.98392576</v>
      </c>
      <c r="I860" s="36">
        <f>[1]!Table3[[#This Row],[Residential CLM $ Collected]]/'[1]1.) CLM Reference'!$B$4</f>
        <v>1.7139211654166834E-3</v>
      </c>
      <c r="J860" s="41">
        <v>77275.853000000003</v>
      </c>
      <c r="K860" s="36">
        <f>[1]!Table3[[#This Row],[Residential Incentive Disbursements]]/'[1]1.) CLM Reference'!$B$5</f>
        <v>9.4544317597308053E-4</v>
      </c>
      <c r="L860" s="37">
        <v>15594.54151968</v>
      </c>
      <c r="M860" s="36">
        <f>[1]!Table3[[#This Row],[C&amp;I CLM $ Collected]]/'[1]1.) CLM Reference'!$B$4</f>
        <v>1.383491829298817E-4</v>
      </c>
      <c r="N860" s="41">
        <v>0</v>
      </c>
      <c r="O860" s="36">
        <f>[1]!Table3[[#This Row],[C&amp;I Incentive Disbursements]]/'[1]1.) CLM Reference'!$B$5</f>
        <v>0</v>
      </c>
      <c r="Q860">
        <f>VLOOKUP(Table3[[#This Row],[Census Tract]],'Population and Diversity Data'!$B$2:$K$823,10,FALSE)</f>
        <v>4</v>
      </c>
      <c r="R860" t="str">
        <f>VLOOKUP(Table3[[#This Row],[Census Tract]],'ES Energy Burden'!$B$2:$E$914,4,FALSE)</f>
        <v>No</v>
      </c>
    </row>
    <row r="861" spans="1:18" x14ac:dyDescent="0.2">
      <c r="A861" s="100">
        <v>9001055200</v>
      </c>
      <c r="B861" s="38" t="s">
        <v>2863</v>
      </c>
      <c r="C861" s="38" t="s">
        <v>944</v>
      </c>
      <c r="D861" s="40">
        <f>[1]!Table3[[#This Row],[Residential CLM $ Collected]]+[1]!Table3[[#This Row],[C&amp;I CLM $ Collected]]</f>
        <v>153141.29732160002</v>
      </c>
      <c r="E861" s="36">
        <f>[1]!Table3[[#This Row],[CLM $ Collected ]]/'[1]1.) CLM Reference'!$B$4</f>
        <v>1.3586147005686512E-3</v>
      </c>
      <c r="F861" s="40">
        <f>[1]!Table3[[#This Row],[Residential Incentive Disbursements]]+[1]!Table3[[#This Row],[C&amp;I Incentive Disbursements]]</f>
        <v>30830.174299999999</v>
      </c>
      <c r="G861" s="36">
        <f>[1]!Table3[[#This Row],[Incentive Disbursements]]/'[1]1.) CLM Reference'!$B$5</f>
        <v>3.7719645625905473E-4</v>
      </c>
      <c r="H861" s="40">
        <v>153141.29732160002</v>
      </c>
      <c r="I861" s="36">
        <f>[1]!Table3[[#This Row],[Residential CLM $ Collected]]/'[1]1.) CLM Reference'!$B$4</f>
        <v>1.3586147005686512E-3</v>
      </c>
      <c r="J861" s="41">
        <v>30830.174299999999</v>
      </c>
      <c r="K861" s="36">
        <f>[1]!Table3[[#This Row],[Residential Incentive Disbursements]]/'[1]1.) CLM Reference'!$B$5</f>
        <v>3.7719645625905473E-4</v>
      </c>
      <c r="L861" s="37">
        <v>0</v>
      </c>
      <c r="M861" s="36">
        <f>[1]!Table3[[#This Row],[C&amp;I CLM $ Collected]]/'[1]1.) CLM Reference'!$B$4</f>
        <v>0</v>
      </c>
      <c r="N861" s="41">
        <v>0</v>
      </c>
      <c r="O861" s="36">
        <f>[1]!Table3[[#This Row],[C&amp;I Incentive Disbursements]]/'[1]1.) CLM Reference'!$B$5</f>
        <v>0</v>
      </c>
      <c r="Q861">
        <f>VLOOKUP(Table3[[#This Row],[Census Tract]],'Population and Diversity Data'!$B$2:$K$823,10,FALSE)</f>
        <v>1</v>
      </c>
      <c r="R861" t="str">
        <f>VLOOKUP(Table3[[#This Row],[Census Tract]],'ES Energy Burden'!$B$2:$E$914,4,FALSE)</f>
        <v>No</v>
      </c>
    </row>
    <row r="862" spans="1:18" x14ac:dyDescent="0.2">
      <c r="A862" s="100">
        <v>9001105100</v>
      </c>
      <c r="B862" s="38" t="s">
        <v>2863</v>
      </c>
      <c r="C862" s="38" t="s">
        <v>944</v>
      </c>
      <c r="D862" s="40">
        <f>[1]!Table3[[#This Row],[Residential CLM $ Collected]]+[1]!Table3[[#This Row],[C&amp;I CLM $ Collected]]</f>
        <v>932.56989120000003</v>
      </c>
      <c r="E862" s="36">
        <f>[1]!Table3[[#This Row],[CLM $ Collected ]]/'[1]1.) CLM Reference'!$B$4</f>
        <v>8.2734258208045207E-6</v>
      </c>
      <c r="F862" s="40">
        <f>[1]!Table3[[#This Row],[Residential Incentive Disbursements]]+[1]!Table3[[#This Row],[C&amp;I Incentive Disbursements]]</f>
        <v>0</v>
      </c>
      <c r="G862" s="36">
        <f>[1]!Table3[[#This Row],[Incentive Disbursements]]/'[1]1.) CLM Reference'!$B$5</f>
        <v>0</v>
      </c>
      <c r="H862" s="40">
        <v>932.56989120000003</v>
      </c>
      <c r="I862" s="36">
        <f>[1]!Table3[[#This Row],[Residential CLM $ Collected]]/'[1]1.) CLM Reference'!$B$4</f>
        <v>8.2734258208045207E-6</v>
      </c>
      <c r="J862" s="41">
        <v>0</v>
      </c>
      <c r="K862" s="36">
        <f>[1]!Table3[[#This Row],[Residential Incentive Disbursements]]/'[1]1.) CLM Reference'!$B$5</f>
        <v>0</v>
      </c>
      <c r="L862" s="37">
        <v>0</v>
      </c>
      <c r="M862" s="36">
        <f>[1]!Table3[[#This Row],[C&amp;I CLM $ Collected]]/'[1]1.) CLM Reference'!$B$4</f>
        <v>0</v>
      </c>
      <c r="N862" s="41">
        <v>0</v>
      </c>
      <c r="O862" s="36">
        <f>[1]!Table3[[#This Row],[C&amp;I Incentive Disbursements]]/'[1]1.) CLM Reference'!$B$5</f>
        <v>0</v>
      </c>
      <c r="Q862">
        <f>VLOOKUP(Table3[[#This Row],[Census Tract]],'Population and Diversity Data'!$B$2:$K$823,10,FALSE)</f>
        <v>1</v>
      </c>
      <c r="R862" t="str">
        <f>VLOOKUP(Table3[[#This Row],[Census Tract]],'ES Energy Burden'!$B$2:$E$914,4,FALSE)</f>
        <v>No</v>
      </c>
    </row>
    <row r="863" spans="1:18" x14ac:dyDescent="0.2">
      <c r="A863" s="100">
        <v>9001042500</v>
      </c>
      <c r="B863" s="38" t="s">
        <v>2864</v>
      </c>
      <c r="C863" s="38" t="s">
        <v>944</v>
      </c>
      <c r="D863" s="40">
        <f>[1]!Table3[[#This Row],[Residential CLM $ Collected]]+[1]!Table3[[#This Row],[C&amp;I CLM $ Collected]]</f>
        <v>74.606054400000005</v>
      </c>
      <c r="E863" s="36">
        <f>[1]!Table3[[#This Row],[CLM $ Collected ]]/'[1]1.) CLM Reference'!$B$4</f>
        <v>6.6187817415706277E-7</v>
      </c>
      <c r="F863" s="40">
        <f>[1]!Table3[[#This Row],[Residential Incentive Disbursements]]+[1]!Table3[[#This Row],[C&amp;I Incentive Disbursements]]</f>
        <v>0</v>
      </c>
      <c r="G863" s="36">
        <f>[1]!Table3[[#This Row],[Incentive Disbursements]]/'[1]1.) CLM Reference'!$B$5</f>
        <v>0</v>
      </c>
      <c r="H863" s="40">
        <v>74.606054400000005</v>
      </c>
      <c r="I863" s="36">
        <f>[1]!Table3[[#This Row],[Residential CLM $ Collected]]/'[1]1.) CLM Reference'!$B$4</f>
        <v>6.6187817415706277E-7</v>
      </c>
      <c r="J863" s="41">
        <v>0</v>
      </c>
      <c r="K863" s="36">
        <f>[1]!Table3[[#This Row],[Residential Incentive Disbursements]]/'[1]1.) CLM Reference'!$B$5</f>
        <v>0</v>
      </c>
      <c r="L863" s="37">
        <v>0</v>
      </c>
      <c r="M863" s="36">
        <f>[1]!Table3[[#This Row],[C&amp;I CLM $ Collected]]/'[1]1.) CLM Reference'!$B$4</f>
        <v>0</v>
      </c>
      <c r="N863" s="41">
        <v>0</v>
      </c>
      <c r="O863" s="36">
        <f>[1]!Table3[[#This Row],[C&amp;I Incentive Disbursements]]/'[1]1.) CLM Reference'!$B$5</f>
        <v>0</v>
      </c>
      <c r="Q863">
        <f>VLOOKUP(Table3[[#This Row],[Census Tract]],'Population and Diversity Data'!$B$2:$K$823,10,FALSE)</f>
        <v>1</v>
      </c>
      <c r="R863" t="str">
        <f>VLOOKUP(Table3[[#This Row],[Census Tract]],'ES Energy Burden'!$B$2:$E$914,4,FALSE)</f>
        <v>No</v>
      </c>
    </row>
    <row r="864" spans="1:18" x14ac:dyDescent="0.2">
      <c r="A864" s="100">
        <v>9001042600</v>
      </c>
      <c r="B864" s="38" t="s">
        <v>2864</v>
      </c>
      <c r="C864" s="38" t="s">
        <v>944</v>
      </c>
      <c r="D864" s="40">
        <f>[1]!Table3[[#This Row],[Residential CLM $ Collected]]+[1]!Table3[[#This Row],[C&amp;I CLM $ Collected]]</f>
        <v>1610.4267936000001</v>
      </c>
      <c r="E864" s="36">
        <f>[1]!Table3[[#This Row],[CLM $ Collected ]]/'[1]1.) CLM Reference'!$B$4</f>
        <v>1.4287129299811638E-5</v>
      </c>
      <c r="F864" s="40">
        <f>[1]!Table3[[#This Row],[Residential Incentive Disbursements]]+[1]!Table3[[#This Row],[C&amp;I Incentive Disbursements]]</f>
        <v>0</v>
      </c>
      <c r="G864" s="36">
        <f>[1]!Table3[[#This Row],[Incentive Disbursements]]/'[1]1.) CLM Reference'!$B$5</f>
        <v>0</v>
      </c>
      <c r="H864" s="40">
        <v>1610.4267936000001</v>
      </c>
      <c r="I864" s="36">
        <f>[1]!Table3[[#This Row],[Residential CLM $ Collected]]/'[1]1.) CLM Reference'!$B$4</f>
        <v>1.4287129299811638E-5</v>
      </c>
      <c r="J864" s="41">
        <v>0</v>
      </c>
      <c r="K864" s="36">
        <f>[1]!Table3[[#This Row],[Residential Incentive Disbursements]]/'[1]1.) CLM Reference'!$B$5</f>
        <v>0</v>
      </c>
      <c r="L864" s="37">
        <v>0</v>
      </c>
      <c r="M864" s="36">
        <f>[1]!Table3[[#This Row],[C&amp;I CLM $ Collected]]/'[1]1.) CLM Reference'!$B$4</f>
        <v>0</v>
      </c>
      <c r="N864" s="41">
        <v>0</v>
      </c>
      <c r="O864" s="36">
        <f>[1]!Table3[[#This Row],[C&amp;I Incentive Disbursements]]/'[1]1.) CLM Reference'!$B$5</f>
        <v>0</v>
      </c>
      <c r="Q864">
        <f>VLOOKUP(Table3[[#This Row],[Census Tract]],'Population and Diversity Data'!$B$2:$K$823,10,FALSE)</f>
        <v>3</v>
      </c>
      <c r="R864" t="str">
        <f>VLOOKUP(Table3[[#This Row],[Census Tract]],'ES Energy Burden'!$B$2:$E$914,4,FALSE)</f>
        <v>No</v>
      </c>
    </row>
    <row r="865" spans="1:18" x14ac:dyDescent="0.2">
      <c r="A865" s="100">
        <v>9001043500</v>
      </c>
      <c r="B865" s="38" t="s">
        <v>2864</v>
      </c>
      <c r="C865" s="38" t="s">
        <v>944</v>
      </c>
      <c r="D865" s="40">
        <f>[1]!Table3[[#This Row],[Residential CLM $ Collected]]+[1]!Table3[[#This Row],[C&amp;I CLM $ Collected]]</f>
        <v>1005.7692671999999</v>
      </c>
      <c r="E865" s="36">
        <f>[1]!Table3[[#This Row],[CLM $ Collected ]]/'[1]1.) CLM Reference'!$B$4</f>
        <v>8.9228244483818044E-6</v>
      </c>
      <c r="F865" s="40">
        <f>[1]!Table3[[#This Row],[Residential Incentive Disbursements]]+[1]!Table3[[#This Row],[C&amp;I Incentive Disbursements]]</f>
        <v>1424.72</v>
      </c>
      <c r="G865" s="36">
        <f>[1]!Table3[[#This Row],[Incentive Disbursements]]/'[1]1.) CLM Reference'!$B$5</f>
        <v>1.7430953517554408E-5</v>
      </c>
      <c r="H865" s="40">
        <v>1005.7692671999999</v>
      </c>
      <c r="I865" s="36">
        <f>[1]!Table3[[#This Row],[Residential CLM $ Collected]]/'[1]1.) CLM Reference'!$B$4</f>
        <v>8.9228244483818044E-6</v>
      </c>
      <c r="J865" s="41">
        <v>1424.72</v>
      </c>
      <c r="K865" s="36">
        <f>[1]!Table3[[#This Row],[Residential Incentive Disbursements]]/'[1]1.) CLM Reference'!$B$5</f>
        <v>1.7430953517554408E-5</v>
      </c>
      <c r="L865" s="37">
        <v>0</v>
      </c>
      <c r="M865" s="36">
        <f>[1]!Table3[[#This Row],[C&amp;I CLM $ Collected]]/'[1]1.) CLM Reference'!$B$4</f>
        <v>0</v>
      </c>
      <c r="N865" s="41">
        <v>0</v>
      </c>
      <c r="O865" s="36">
        <f>[1]!Table3[[#This Row],[C&amp;I Incentive Disbursements]]/'[1]1.) CLM Reference'!$B$5</f>
        <v>0</v>
      </c>
      <c r="Q865">
        <f>VLOOKUP(Table3[[#This Row],[Census Tract]],'Population and Diversity Data'!$B$2:$K$823,10,FALSE)</f>
        <v>1</v>
      </c>
      <c r="R865" t="str">
        <f>VLOOKUP(Table3[[#This Row],[Census Tract]],'ES Energy Burden'!$B$2:$E$914,4,FALSE)</f>
        <v>No</v>
      </c>
    </row>
    <row r="866" spans="1:18" x14ac:dyDescent="0.2">
      <c r="A866" s="100">
        <v>9001044300</v>
      </c>
      <c r="B866" s="38" t="s">
        <v>2864</v>
      </c>
      <c r="C866" s="38" t="s">
        <v>944</v>
      </c>
      <c r="D866" s="40">
        <f>[1]!Table3[[#This Row],[Residential CLM $ Collected]]+[1]!Table3[[#This Row],[C&amp;I CLM $ Collected]]</f>
        <v>2160.7506432</v>
      </c>
      <c r="E866" s="36">
        <f>[1]!Table3[[#This Row],[CLM $ Collected ]]/'[1]1.) CLM Reference'!$B$4</f>
        <v>1.9169405245077738E-5</v>
      </c>
      <c r="F866" s="40">
        <f>[1]!Table3[[#This Row],[Residential Incentive Disbursements]]+[1]!Table3[[#This Row],[C&amp;I Incentive Disbursements]]</f>
        <v>1007.24</v>
      </c>
      <c r="G866" s="36">
        <f>[1]!Table3[[#This Row],[Incentive Disbursements]]/'[1]1.) CLM Reference'!$B$5</f>
        <v>1.2323230965397763E-5</v>
      </c>
      <c r="H866" s="40">
        <v>2160.7506432</v>
      </c>
      <c r="I866" s="36">
        <f>[1]!Table3[[#This Row],[Residential CLM $ Collected]]/'[1]1.) CLM Reference'!$B$4</f>
        <v>1.9169405245077738E-5</v>
      </c>
      <c r="J866" s="41">
        <v>1007.24</v>
      </c>
      <c r="K866" s="36">
        <f>[1]!Table3[[#This Row],[Residential Incentive Disbursements]]/'[1]1.) CLM Reference'!$B$5</f>
        <v>1.2323230965397763E-5</v>
      </c>
      <c r="L866" s="37">
        <v>0</v>
      </c>
      <c r="M866" s="36">
        <f>[1]!Table3[[#This Row],[C&amp;I CLM $ Collected]]/'[1]1.) CLM Reference'!$B$4</f>
        <v>0</v>
      </c>
      <c r="N866" s="41">
        <v>0</v>
      </c>
      <c r="O866" s="36">
        <f>[1]!Table3[[#This Row],[C&amp;I Incentive Disbursements]]/'[1]1.) CLM Reference'!$B$5</f>
        <v>0</v>
      </c>
      <c r="Q866">
        <f>VLOOKUP(Table3[[#This Row],[Census Tract]],'Population and Diversity Data'!$B$2:$K$823,10,FALSE)</f>
        <v>3</v>
      </c>
      <c r="R866" t="str">
        <f>VLOOKUP(Table3[[#This Row],[Census Tract]],'ES Energy Burden'!$B$2:$E$914,4,FALSE)</f>
        <v>No</v>
      </c>
    </row>
    <row r="867" spans="1:18" x14ac:dyDescent="0.2">
      <c r="A867" s="100">
        <v>9001045400</v>
      </c>
      <c r="B867" s="38" t="s">
        <v>2864</v>
      </c>
      <c r="C867" s="38" t="s">
        <v>944</v>
      </c>
      <c r="D867" s="40">
        <f>[1]!Table3[[#This Row],[Residential CLM $ Collected]]+[1]!Table3[[#This Row],[C&amp;I CLM $ Collected]]</f>
        <v>668.84374079999998</v>
      </c>
      <c r="E867" s="36">
        <f>[1]!Table3[[#This Row],[CLM $ Collected ]]/'[1]1.) CLM Reference'!$B$4</f>
        <v>5.9337419398107683E-6</v>
      </c>
      <c r="F867" s="40">
        <f>[1]!Table3[[#This Row],[Residential Incentive Disbursements]]+[1]!Table3[[#This Row],[C&amp;I Incentive Disbursements]]</f>
        <v>0</v>
      </c>
      <c r="G867" s="36">
        <f>[1]!Table3[[#This Row],[Incentive Disbursements]]/'[1]1.) CLM Reference'!$B$5</f>
        <v>0</v>
      </c>
      <c r="H867" s="40">
        <v>668.84374079999998</v>
      </c>
      <c r="I867" s="36">
        <f>[1]!Table3[[#This Row],[Residential CLM $ Collected]]/'[1]1.) CLM Reference'!$B$4</f>
        <v>5.9337419398107683E-6</v>
      </c>
      <c r="J867" s="41">
        <v>0</v>
      </c>
      <c r="K867" s="36">
        <f>[1]!Table3[[#This Row],[Residential Incentive Disbursements]]/'[1]1.) CLM Reference'!$B$5</f>
        <v>0</v>
      </c>
      <c r="L867" s="37">
        <v>0</v>
      </c>
      <c r="M867" s="36">
        <f>[1]!Table3[[#This Row],[C&amp;I CLM $ Collected]]/'[1]1.) CLM Reference'!$B$4</f>
        <v>0</v>
      </c>
      <c r="N867" s="41">
        <v>0</v>
      </c>
      <c r="O867" s="36">
        <f>[1]!Table3[[#This Row],[C&amp;I Incentive Disbursements]]/'[1]1.) CLM Reference'!$B$5</f>
        <v>0</v>
      </c>
      <c r="Q867">
        <f>VLOOKUP(Table3[[#This Row],[Census Tract]],'Population and Diversity Data'!$B$2:$K$823,10,FALSE)</f>
        <v>4</v>
      </c>
      <c r="R867" t="str">
        <f>VLOOKUP(Table3[[#This Row],[Census Tract]],'ES Energy Burden'!$B$2:$E$914,4,FALSE)</f>
        <v>No</v>
      </c>
    </row>
    <row r="868" spans="1:18" x14ac:dyDescent="0.2">
      <c r="A868" s="100">
        <v>9001050100</v>
      </c>
      <c r="B868" s="38" t="s">
        <v>2864</v>
      </c>
      <c r="C868" s="38" t="s">
        <v>944</v>
      </c>
      <c r="D868" s="40">
        <f>[1]!Table3[[#This Row],[Residential CLM $ Collected]]+[1]!Table3[[#This Row],[C&amp;I CLM $ Collected]]</f>
        <v>130976.70803711998</v>
      </c>
      <c r="E868" s="36">
        <f>[1]!Table3[[#This Row],[CLM $ Collected ]]/'[1]1.) CLM Reference'!$B$4</f>
        <v>1.1619784087216339E-3</v>
      </c>
      <c r="F868" s="40">
        <f>[1]!Table3[[#This Row],[Residential Incentive Disbursements]]+[1]!Table3[[#This Row],[C&amp;I Incentive Disbursements]]</f>
        <v>20756.725299999998</v>
      </c>
      <c r="G868" s="36">
        <f>[1]!Table3[[#This Row],[Incentive Disbursements]]/'[1]1.) CLM Reference'!$B$5</f>
        <v>2.5395131245504066E-4</v>
      </c>
      <c r="H868" s="40">
        <v>130976.70803711998</v>
      </c>
      <c r="I868" s="36">
        <f>[1]!Table3[[#This Row],[Residential CLM $ Collected]]/'[1]1.) CLM Reference'!$B$4</f>
        <v>1.1619784087216339E-3</v>
      </c>
      <c r="J868" s="41">
        <v>20756.725299999998</v>
      </c>
      <c r="K868" s="36">
        <f>[1]!Table3[[#This Row],[Residential Incentive Disbursements]]/'[1]1.) CLM Reference'!$B$5</f>
        <v>2.5395131245504066E-4</v>
      </c>
      <c r="L868" s="37">
        <v>0</v>
      </c>
      <c r="M868" s="36">
        <f>[1]!Table3[[#This Row],[C&amp;I CLM $ Collected]]/'[1]1.) CLM Reference'!$B$4</f>
        <v>0</v>
      </c>
      <c r="N868" s="41">
        <v>0</v>
      </c>
      <c r="O868" s="36">
        <f>[1]!Table3[[#This Row],[C&amp;I Incentive Disbursements]]/'[1]1.) CLM Reference'!$B$5</f>
        <v>0</v>
      </c>
      <c r="Q868">
        <f>VLOOKUP(Table3[[#This Row],[Census Tract]],'Population and Diversity Data'!$B$2:$K$823,10,FALSE)</f>
        <v>2</v>
      </c>
      <c r="R868" t="str">
        <f>VLOOKUP(Table3[[#This Row],[Census Tract]],'ES Energy Burden'!$B$2:$E$914,4,FALSE)</f>
        <v>No</v>
      </c>
    </row>
    <row r="869" spans="1:18" x14ac:dyDescent="0.2">
      <c r="A869" s="100">
        <v>9001050200</v>
      </c>
      <c r="B869" s="38" t="s">
        <v>2864</v>
      </c>
      <c r="C869" s="38" t="s">
        <v>944</v>
      </c>
      <c r="D869" s="40">
        <f>[1]!Table3[[#This Row],[Residential CLM $ Collected]]+[1]!Table3[[#This Row],[C&amp;I CLM $ Collected]]</f>
        <v>121173.53558688</v>
      </c>
      <c r="E869" s="36">
        <f>[1]!Table3[[#This Row],[CLM $ Collected ]]/'[1]1.) CLM Reference'!$B$4</f>
        <v>1.0750081764195267E-3</v>
      </c>
      <c r="F869" s="40">
        <f>[1]!Table3[[#This Row],[Residential Incentive Disbursements]]+[1]!Table3[[#This Row],[C&amp;I Incentive Disbursements]]</f>
        <v>21742.54</v>
      </c>
      <c r="G869" s="36">
        <f>[1]!Table3[[#This Row],[Incentive Disbursements]]/'[1]1.) CLM Reference'!$B$5</f>
        <v>2.6601241232913653E-4</v>
      </c>
      <c r="H869" s="40">
        <v>121173.53558688</v>
      </c>
      <c r="I869" s="36">
        <f>[1]!Table3[[#This Row],[Residential CLM $ Collected]]/'[1]1.) CLM Reference'!$B$4</f>
        <v>1.0750081764195267E-3</v>
      </c>
      <c r="J869" s="41">
        <v>21742.54</v>
      </c>
      <c r="K869" s="36">
        <f>[1]!Table3[[#This Row],[Residential Incentive Disbursements]]/'[1]1.) CLM Reference'!$B$5</f>
        <v>2.6601241232913653E-4</v>
      </c>
      <c r="L869" s="37">
        <v>0</v>
      </c>
      <c r="M869" s="36">
        <f>[1]!Table3[[#This Row],[C&amp;I CLM $ Collected]]/'[1]1.) CLM Reference'!$B$4</f>
        <v>0</v>
      </c>
      <c r="N869" s="41">
        <v>0</v>
      </c>
      <c r="O869" s="36">
        <f>[1]!Table3[[#This Row],[C&amp;I Incentive Disbursements]]/'[1]1.) CLM Reference'!$B$5</f>
        <v>0</v>
      </c>
      <c r="Q869">
        <f>VLOOKUP(Table3[[#This Row],[Census Tract]],'Population and Diversity Data'!$B$2:$K$823,10,FALSE)</f>
        <v>4</v>
      </c>
      <c r="R869" t="str">
        <f>VLOOKUP(Table3[[#This Row],[Census Tract]],'ES Energy Burden'!$B$2:$E$914,4,FALSE)</f>
        <v>No</v>
      </c>
    </row>
    <row r="870" spans="1:18" x14ac:dyDescent="0.2">
      <c r="A870" s="100">
        <v>9001050300</v>
      </c>
      <c r="B870" s="38" t="s">
        <v>2864</v>
      </c>
      <c r="C870" s="38" t="s">
        <v>944</v>
      </c>
      <c r="D870" s="40">
        <f>[1]!Table3[[#This Row],[Residential CLM $ Collected]]+[1]!Table3[[#This Row],[C&amp;I CLM $ Collected]]</f>
        <v>563836.21070112009</v>
      </c>
      <c r="E870" s="36">
        <f>[1]!Table3[[#This Row],[CLM $ Collected ]]/'[1]1.) CLM Reference'!$B$4</f>
        <v>5.0021527698225826E-3</v>
      </c>
      <c r="F870" s="40">
        <f>[1]!Table3[[#This Row],[Residential Incentive Disbursements]]+[1]!Table3[[#This Row],[C&amp;I Incentive Disbursements]]</f>
        <v>203794.64620000002</v>
      </c>
      <c r="G870" s="36">
        <f>[1]!Table3[[#This Row],[Incentive Disbursements]]/'[1]1.) CLM Reference'!$B$5</f>
        <v>2.4933565929015147E-3</v>
      </c>
      <c r="H870" s="40">
        <v>279717.85917216004</v>
      </c>
      <c r="I870" s="36">
        <f>[1]!Table3[[#This Row],[Residential CLM $ Collected]]/'[1]1.) CLM Reference'!$B$4</f>
        <v>2.4815565894340031E-3</v>
      </c>
      <c r="J870" s="41">
        <v>126459.8762</v>
      </c>
      <c r="K870" s="36">
        <f>[1]!Table3[[#This Row],[Residential Incentive Disbursements]]/'[1]1.) CLM Reference'!$B$5</f>
        <v>1.5471925879315829E-3</v>
      </c>
      <c r="L870" s="37">
        <v>284118.35152896005</v>
      </c>
      <c r="M870" s="36">
        <f>[1]!Table3[[#This Row],[C&amp;I CLM $ Collected]]/'[1]1.) CLM Reference'!$B$4</f>
        <v>2.5205961803885799E-3</v>
      </c>
      <c r="N870" s="41">
        <v>77334.77</v>
      </c>
      <c r="O870" s="36">
        <f>[1]!Table3[[#This Row],[C&amp;I Incentive Disbursements]]/'[1]1.) CLM Reference'!$B$5</f>
        <v>9.4616400496993168E-4</v>
      </c>
      <c r="Q870">
        <f>VLOOKUP(Table3[[#This Row],[Census Tract]],'Population and Diversity Data'!$B$2:$K$823,10,FALSE)</f>
        <v>3</v>
      </c>
      <c r="R870" t="str">
        <f>VLOOKUP(Table3[[#This Row],[Census Tract]],'ES Energy Burden'!$B$2:$E$914,4,FALSE)</f>
        <v>No</v>
      </c>
    </row>
    <row r="871" spans="1:18" x14ac:dyDescent="0.2">
      <c r="A871" s="100">
        <v>9001050400</v>
      </c>
      <c r="B871" s="38" t="s">
        <v>2864</v>
      </c>
      <c r="C871" s="38" t="s">
        <v>944</v>
      </c>
      <c r="D871" s="40">
        <f>[1]!Table3[[#This Row],[Residential CLM $ Collected]]+[1]!Table3[[#This Row],[C&amp;I CLM $ Collected]]</f>
        <v>74558.667283200004</v>
      </c>
      <c r="E871" s="36">
        <f>[1]!Table3[[#This Row],[CLM $ Collected ]]/'[1]1.) CLM Reference'!$B$4</f>
        <v>6.6145777264141651E-4</v>
      </c>
      <c r="F871" s="40">
        <f>[1]!Table3[[#This Row],[Residential Incentive Disbursements]]+[1]!Table3[[#This Row],[C&amp;I Incentive Disbursements]]</f>
        <v>7135.08</v>
      </c>
      <c r="G871" s="36">
        <f>[1]!Table3[[#This Row],[Incentive Disbursements]]/'[1]1.) CLM Reference'!$B$5</f>
        <v>8.7295221393699879E-5</v>
      </c>
      <c r="H871" s="40">
        <v>74558.667283200004</v>
      </c>
      <c r="I871" s="36">
        <f>[1]!Table3[[#This Row],[Residential CLM $ Collected]]/'[1]1.) CLM Reference'!$B$4</f>
        <v>6.6145777264141651E-4</v>
      </c>
      <c r="J871" s="41">
        <v>7135.08</v>
      </c>
      <c r="K871" s="36">
        <f>[1]!Table3[[#This Row],[Residential Incentive Disbursements]]/'[1]1.) CLM Reference'!$B$5</f>
        <v>8.7295221393699879E-5</v>
      </c>
      <c r="L871" s="37">
        <v>0</v>
      </c>
      <c r="M871" s="36">
        <f>[1]!Table3[[#This Row],[C&amp;I CLM $ Collected]]/'[1]1.) CLM Reference'!$B$4</f>
        <v>0</v>
      </c>
      <c r="N871" s="41">
        <v>0</v>
      </c>
      <c r="O871" s="36">
        <f>[1]!Table3[[#This Row],[C&amp;I Incentive Disbursements]]/'[1]1.) CLM Reference'!$B$5</f>
        <v>0</v>
      </c>
      <c r="Q871">
        <f>VLOOKUP(Table3[[#This Row],[Census Tract]],'Population and Diversity Data'!$B$2:$K$823,10,FALSE)</f>
        <v>3</v>
      </c>
      <c r="R871" t="str">
        <f>VLOOKUP(Table3[[#This Row],[Census Tract]],'ES Energy Burden'!$B$2:$E$914,4,FALSE)</f>
        <v>No</v>
      </c>
    </row>
    <row r="872" spans="1:18" x14ac:dyDescent="0.2">
      <c r="A872" s="100">
        <v>9001050500</v>
      </c>
      <c r="B872" s="38" t="s">
        <v>2864</v>
      </c>
      <c r="C872" s="38" t="s">
        <v>944</v>
      </c>
      <c r="D872" s="40">
        <f>[1]!Table3[[#This Row],[Residential CLM $ Collected]]+[1]!Table3[[#This Row],[C&amp;I CLM $ Collected]]</f>
        <v>146978.52289631998</v>
      </c>
      <c r="E872" s="36">
        <f>[1]!Table3[[#This Row],[CLM $ Collected ]]/'[1]1.) CLM Reference'!$B$4</f>
        <v>1.3039407747438565E-3</v>
      </c>
      <c r="F872" s="40">
        <f>[1]!Table3[[#This Row],[Residential Incentive Disbursements]]+[1]!Table3[[#This Row],[C&amp;I Incentive Disbursements]]</f>
        <v>32140.67</v>
      </c>
      <c r="G872" s="36">
        <f>[1]!Table3[[#This Row],[Incentive Disbursements]]/'[1]1.) CLM Reference'!$B$5</f>
        <v>3.932299152065356E-4</v>
      </c>
      <c r="H872" s="40">
        <v>146823.64934111998</v>
      </c>
      <c r="I872" s="36">
        <f>[1]!Table3[[#This Row],[Residential CLM $ Collected]]/'[1]1.) CLM Reference'!$B$4</f>
        <v>1.3025667920722708E-3</v>
      </c>
      <c r="J872" s="41">
        <v>32140.67</v>
      </c>
      <c r="K872" s="36">
        <f>[1]!Table3[[#This Row],[Residential Incentive Disbursements]]/'[1]1.) CLM Reference'!$B$5</f>
        <v>3.932299152065356E-4</v>
      </c>
      <c r="L872" s="37">
        <v>154.8735552</v>
      </c>
      <c r="M872" s="36">
        <f>[1]!Table3[[#This Row],[C&amp;I CLM $ Collected]]/'[1]1.) CLM Reference'!$B$4</f>
        <v>1.3739826715858207E-6</v>
      </c>
      <c r="N872" s="41">
        <v>0</v>
      </c>
      <c r="O872" s="36">
        <f>[1]!Table3[[#This Row],[C&amp;I Incentive Disbursements]]/'[1]1.) CLM Reference'!$B$5</f>
        <v>0</v>
      </c>
      <c r="Q872">
        <f>VLOOKUP(Table3[[#This Row],[Census Tract]],'Population and Diversity Data'!$B$2:$K$823,10,FALSE)</f>
        <v>1</v>
      </c>
      <c r="R872" t="str">
        <f>VLOOKUP(Table3[[#This Row],[Census Tract]],'ES Energy Burden'!$B$2:$E$914,4,FALSE)</f>
        <v>No</v>
      </c>
    </row>
    <row r="873" spans="1:18" x14ac:dyDescent="0.2">
      <c r="A873" s="100">
        <v>9001050600</v>
      </c>
      <c r="B873" s="38" t="s">
        <v>2864</v>
      </c>
      <c r="C873" s="38" t="s">
        <v>944</v>
      </c>
      <c r="D873" s="40">
        <f>[1]!Table3[[#This Row],[Residential CLM $ Collected]]+[1]!Table3[[#This Row],[C&amp;I CLM $ Collected]]</f>
        <v>125849.61476639999</v>
      </c>
      <c r="E873" s="36">
        <f>[1]!Table3[[#This Row],[CLM $ Collected ]]/'[1]1.) CLM Reference'!$B$4</f>
        <v>1.1164926748887896E-3</v>
      </c>
      <c r="F873" s="40">
        <f>[1]!Table3[[#This Row],[Residential Incentive Disbursements]]+[1]!Table3[[#This Row],[C&amp;I Incentive Disbursements]]</f>
        <v>10952.81</v>
      </c>
      <c r="G873" s="36">
        <f>[1]!Table3[[#This Row],[Incentive Disbursements]]/'[1]1.) CLM Reference'!$B$5</f>
        <v>1.3400381969552269E-4</v>
      </c>
      <c r="H873" s="40">
        <v>125849.61476639999</v>
      </c>
      <c r="I873" s="36">
        <f>[1]!Table3[[#This Row],[Residential CLM $ Collected]]/'[1]1.) CLM Reference'!$B$4</f>
        <v>1.1164926748887896E-3</v>
      </c>
      <c r="J873" s="43">
        <v>10952.81</v>
      </c>
      <c r="K873" s="36">
        <f>[1]!Table3[[#This Row],[Residential Incentive Disbursements]]/'[1]1.) CLM Reference'!$B$5</f>
        <v>1.3400381969552269E-4</v>
      </c>
      <c r="L873" s="37">
        <v>0</v>
      </c>
      <c r="M873" s="36">
        <f>[1]!Table3[[#This Row],[C&amp;I CLM $ Collected]]/'[1]1.) CLM Reference'!$B$4</f>
        <v>0</v>
      </c>
      <c r="N873" s="41">
        <v>0</v>
      </c>
      <c r="O873" s="36">
        <f>[1]!Table3[[#This Row],[C&amp;I Incentive Disbursements]]/'[1]1.) CLM Reference'!$B$5</f>
        <v>0</v>
      </c>
      <c r="Q873">
        <f>VLOOKUP(Table3[[#This Row],[Census Tract]],'Population and Diversity Data'!$B$2:$K$823,10,FALSE)</f>
        <v>3</v>
      </c>
      <c r="R873" t="str">
        <f>VLOOKUP(Table3[[#This Row],[Census Tract]],'ES Energy Burden'!$B$2:$E$914,4,FALSE)</f>
        <v>No</v>
      </c>
    </row>
    <row r="874" spans="1:18" x14ac:dyDescent="0.2">
      <c r="A874" s="100">
        <v>9001055200</v>
      </c>
      <c r="B874" s="38" t="s">
        <v>2864</v>
      </c>
      <c r="C874" s="38" t="s">
        <v>944</v>
      </c>
      <c r="D874" s="40">
        <f>[1]!Table3[[#This Row],[Residential CLM $ Collected]]+[1]!Table3[[#This Row],[C&amp;I CLM $ Collected]]</f>
        <v>5646.9512448000005</v>
      </c>
      <c r="E874" s="36">
        <f>[1]!Table3[[#This Row],[CLM $ Collected ]]/'[1]1.) CLM Reference'!$B$4</f>
        <v>5.009772745014883E-5</v>
      </c>
      <c r="F874" s="40">
        <f>[1]!Table3[[#This Row],[Residential Incentive Disbursements]]+[1]!Table3[[#This Row],[C&amp;I Incentive Disbursements]]</f>
        <v>0</v>
      </c>
      <c r="G874" s="36">
        <f>[1]!Table3[[#This Row],[Incentive Disbursements]]/'[1]1.) CLM Reference'!$B$5</f>
        <v>0</v>
      </c>
      <c r="H874" s="40">
        <v>5646.9512448000005</v>
      </c>
      <c r="I874" s="36">
        <f>[1]!Table3[[#This Row],[Residential CLM $ Collected]]/'[1]1.) CLM Reference'!$B$4</f>
        <v>5.009772745014883E-5</v>
      </c>
      <c r="J874" s="41">
        <v>0</v>
      </c>
      <c r="K874" s="36">
        <f>[1]!Table3[[#This Row],[Residential Incentive Disbursements]]/'[1]1.) CLM Reference'!$B$5</f>
        <v>0</v>
      </c>
      <c r="L874" s="37">
        <v>0</v>
      </c>
      <c r="M874" s="36">
        <f>[1]!Table3[[#This Row],[C&amp;I CLM $ Collected]]/'[1]1.) CLM Reference'!$B$4</f>
        <v>0</v>
      </c>
      <c r="N874" s="41">
        <v>0</v>
      </c>
      <c r="O874" s="36">
        <f>[1]!Table3[[#This Row],[C&amp;I Incentive Disbursements]]/'[1]1.) CLM Reference'!$B$5</f>
        <v>0</v>
      </c>
      <c r="Q874">
        <f>VLOOKUP(Table3[[#This Row],[Census Tract]],'Population and Diversity Data'!$B$2:$K$823,10,FALSE)</f>
        <v>1</v>
      </c>
      <c r="R874" t="str">
        <f>VLOOKUP(Table3[[#This Row],[Census Tract]],'ES Energy Burden'!$B$2:$E$914,4,FALSE)</f>
        <v>No</v>
      </c>
    </row>
    <row r="875" spans="1:18" x14ac:dyDescent="0.2">
      <c r="A875" s="100">
        <v>9001060400</v>
      </c>
      <c r="B875" s="38" t="s">
        <v>2864</v>
      </c>
      <c r="C875" s="38" t="s">
        <v>944</v>
      </c>
      <c r="D875" s="40">
        <f>[1]!Table3[[#This Row],[Residential CLM $ Collected]]+[1]!Table3[[#This Row],[C&amp;I CLM $ Collected]]</f>
        <v>4359.446870400001</v>
      </c>
      <c r="E875" s="36">
        <f>[1]!Table3[[#This Row],[CLM $ Collected ]]/'[1]1.) CLM Reference'!$B$4</f>
        <v>3.8675450110856876E-5</v>
      </c>
      <c r="F875" s="40">
        <f>[1]!Table3[[#This Row],[Residential Incentive Disbursements]]+[1]!Table3[[#This Row],[C&amp;I Incentive Disbursements]]</f>
        <v>1373.72</v>
      </c>
      <c r="G875" s="36">
        <f>[1]!Table3[[#This Row],[Incentive Disbursements]]/'[1]1.) CLM Reference'!$B$5</f>
        <v>1.6806986261254731E-5</v>
      </c>
      <c r="H875" s="40">
        <v>4359.446870400001</v>
      </c>
      <c r="I875" s="36">
        <f>[1]!Table3[[#This Row],[Residential CLM $ Collected]]/'[1]1.) CLM Reference'!$B$4</f>
        <v>3.8675450110856876E-5</v>
      </c>
      <c r="J875" s="41">
        <v>1373.72</v>
      </c>
      <c r="K875" s="36">
        <f>[1]!Table3[[#This Row],[Residential Incentive Disbursements]]/'[1]1.) CLM Reference'!$B$5</f>
        <v>1.6806986261254731E-5</v>
      </c>
      <c r="L875" s="37">
        <v>0</v>
      </c>
      <c r="M875" s="36">
        <f>[1]!Table3[[#This Row],[C&amp;I CLM $ Collected]]/'[1]1.) CLM Reference'!$B$4</f>
        <v>0</v>
      </c>
      <c r="N875" s="41">
        <v>0</v>
      </c>
      <c r="O875" s="36">
        <f>[1]!Table3[[#This Row],[C&amp;I Incentive Disbursements]]/'[1]1.) CLM Reference'!$B$5</f>
        <v>0</v>
      </c>
      <c r="Q875">
        <f>VLOOKUP(Table3[[#This Row],[Census Tract]],'Population and Diversity Data'!$B$2:$K$823,10,FALSE)</f>
        <v>1</v>
      </c>
      <c r="R875" t="str">
        <f>VLOOKUP(Table3[[#This Row],[Census Tract]],'ES Energy Burden'!$B$2:$E$914,4,FALSE)</f>
        <v>No</v>
      </c>
    </row>
    <row r="876" spans="1:18" x14ac:dyDescent="0.2">
      <c r="A876" s="100">
        <v>9003492100</v>
      </c>
      <c r="B876" s="38" t="s">
        <v>2865</v>
      </c>
      <c r="C876" s="38" t="s">
        <v>944</v>
      </c>
      <c r="D876" s="40">
        <f>[1]!Table3[[#This Row],[Residential CLM $ Collected]]+[1]!Table3[[#This Row],[C&amp;I CLM $ Collected]]</f>
        <v>57899.365729919999</v>
      </c>
      <c r="E876" s="36">
        <f>[1]!Table3[[#This Row],[CLM $ Collected ]]/'[1]1.) CLM Reference'!$B$4</f>
        <v>5.1366242032726314E-4</v>
      </c>
      <c r="F876" s="40">
        <f>[1]!Table3[[#This Row],[Residential Incentive Disbursements]]+[1]!Table3[[#This Row],[C&amp;I Incentive Disbursements]]</f>
        <v>7088.3504999999996</v>
      </c>
      <c r="G876" s="36">
        <f>[1]!Table3[[#This Row],[Incentive Disbursements]]/'[1]1.) CLM Reference'!$B$5</f>
        <v>8.6723502219126234E-5</v>
      </c>
      <c r="H876" s="40">
        <v>57897.0131616</v>
      </c>
      <c r="I876" s="36">
        <f>[1]!Table3[[#This Row],[Residential CLM $ Collected]]/'[1]1.) CLM Reference'!$B$4</f>
        <v>5.1364154918434124E-4</v>
      </c>
      <c r="J876" s="41">
        <v>7088.3504999999996</v>
      </c>
      <c r="K876" s="36">
        <f>[1]!Table3[[#This Row],[Residential Incentive Disbursements]]/'[1]1.) CLM Reference'!$B$5</f>
        <v>8.6723502219126234E-5</v>
      </c>
      <c r="L876" s="37">
        <v>2.35256832</v>
      </c>
      <c r="M876" s="36">
        <f>[1]!Table3[[#This Row],[C&amp;I CLM $ Collected]]/'[1]1.) CLM Reference'!$B$4</f>
        <v>2.087114292189869E-8</v>
      </c>
      <c r="N876" s="41">
        <v>0</v>
      </c>
      <c r="O876" s="36">
        <f>[1]!Table3[[#This Row],[C&amp;I Incentive Disbursements]]/'[1]1.) CLM Reference'!$B$5</f>
        <v>0</v>
      </c>
      <c r="Q876">
        <f>VLOOKUP(Table3[[#This Row],[Census Tract]],'Population and Diversity Data'!$B$2:$K$823,10,FALSE)</f>
        <v>1</v>
      </c>
      <c r="R876" t="str">
        <f>VLOOKUP(Table3[[#This Row],[Census Tract]],'ES Energy Burden'!$B$2:$E$914,4,FALSE)</f>
        <v>No</v>
      </c>
    </row>
    <row r="877" spans="1:18" x14ac:dyDescent="0.2">
      <c r="A877" s="100">
        <v>9003492200</v>
      </c>
      <c r="B877" s="38" t="s">
        <v>2865</v>
      </c>
      <c r="C877" s="38" t="s">
        <v>944</v>
      </c>
      <c r="D877" s="40">
        <f>[1]!Table3[[#This Row],[Residential CLM $ Collected]]+[1]!Table3[[#This Row],[C&amp;I CLM $ Collected]]</f>
        <v>60830.6149152</v>
      </c>
      <c r="E877" s="36">
        <f>[1]!Table3[[#This Row],[CLM $ Collected ]]/'[1]1.) CLM Reference'!$B$4</f>
        <v>5.3966741247375174E-4</v>
      </c>
      <c r="F877" s="40">
        <f>[1]!Table3[[#This Row],[Residential Incentive Disbursements]]+[1]!Table3[[#This Row],[C&amp;I Incentive Disbursements]]</f>
        <v>12981.8608</v>
      </c>
      <c r="G877" s="36">
        <f>[1]!Table3[[#This Row],[Incentive Disbursements]]/'[1]1.) CLM Reference'!$B$5</f>
        <v>1.5882855029490824E-4</v>
      </c>
      <c r="H877" s="40">
        <v>60830.6149152</v>
      </c>
      <c r="I877" s="36">
        <f>[1]!Table3[[#This Row],[Residential CLM $ Collected]]/'[1]1.) CLM Reference'!$B$4</f>
        <v>5.3966741247375174E-4</v>
      </c>
      <c r="J877" s="41">
        <v>12981.8608</v>
      </c>
      <c r="K877" s="36">
        <f>[1]!Table3[[#This Row],[Residential Incentive Disbursements]]/'[1]1.) CLM Reference'!$B$5</f>
        <v>1.5882855029490824E-4</v>
      </c>
      <c r="L877" s="37">
        <v>0</v>
      </c>
      <c r="M877" s="36">
        <f>[1]!Table3[[#This Row],[C&amp;I CLM $ Collected]]/'[1]1.) CLM Reference'!$B$4</f>
        <v>0</v>
      </c>
      <c r="N877" s="41">
        <v>0</v>
      </c>
      <c r="O877" s="36">
        <f>[1]!Table3[[#This Row],[C&amp;I Incentive Disbursements]]/'[1]1.) CLM Reference'!$B$5</f>
        <v>0</v>
      </c>
      <c r="Q877">
        <f>VLOOKUP(Table3[[#This Row],[Census Tract]],'Population and Diversity Data'!$B$2:$K$823,10,FALSE)</f>
        <v>3</v>
      </c>
      <c r="R877" t="str">
        <f>VLOOKUP(Table3[[#This Row],[Census Tract]],'ES Energy Burden'!$B$2:$E$914,4,FALSE)</f>
        <v>No</v>
      </c>
    </row>
    <row r="878" spans="1:18" x14ac:dyDescent="0.2">
      <c r="A878" s="100">
        <v>9003492300</v>
      </c>
      <c r="B878" s="38" t="s">
        <v>2865</v>
      </c>
      <c r="C878" s="38" t="s">
        <v>944</v>
      </c>
      <c r="D878" s="40">
        <f>[1]!Table3[[#This Row],[Residential CLM $ Collected]]+[1]!Table3[[#This Row],[C&amp;I CLM $ Collected]]</f>
        <v>86123.850307199988</v>
      </c>
      <c r="E878" s="36">
        <f>[1]!Table3[[#This Row],[CLM $ Collected ]]/'[1]1.) CLM Reference'!$B$4</f>
        <v>7.6405993120989542E-4</v>
      </c>
      <c r="F878" s="40">
        <f>[1]!Table3[[#This Row],[Residential Incentive Disbursements]]+[1]!Table3[[#This Row],[C&amp;I Incentive Disbursements]]</f>
        <v>9848.5290999999997</v>
      </c>
      <c r="G878" s="36">
        <f>[1]!Table3[[#This Row],[Incentive Disbursements]]/'[1]1.) CLM Reference'!$B$5</f>
        <v>1.2049332708067686E-4</v>
      </c>
      <c r="H878" s="40">
        <v>86123.850307199988</v>
      </c>
      <c r="I878" s="36">
        <f>[1]!Table3[[#This Row],[Residential CLM $ Collected]]/'[1]1.) CLM Reference'!$B$4</f>
        <v>7.6405993120989542E-4</v>
      </c>
      <c r="J878" s="41">
        <v>9848.5290999999997</v>
      </c>
      <c r="K878" s="36">
        <f>[1]!Table3[[#This Row],[Residential Incentive Disbursements]]/'[1]1.) CLM Reference'!$B$5</f>
        <v>1.2049332708067686E-4</v>
      </c>
      <c r="L878" s="37">
        <v>0</v>
      </c>
      <c r="M878" s="36">
        <f>[1]!Table3[[#This Row],[C&amp;I CLM $ Collected]]/'[1]1.) CLM Reference'!$B$4</f>
        <v>0</v>
      </c>
      <c r="N878" s="41">
        <v>0</v>
      </c>
      <c r="O878" s="36">
        <f>[1]!Table3[[#This Row],[C&amp;I Incentive Disbursements]]/'[1]1.) CLM Reference'!$B$5</f>
        <v>0</v>
      </c>
      <c r="Q878">
        <f>VLOOKUP(Table3[[#This Row],[Census Tract]],'Population and Diversity Data'!$B$2:$K$823,10,FALSE)</f>
        <v>5</v>
      </c>
      <c r="R878" t="str">
        <f>VLOOKUP(Table3[[#This Row],[Census Tract]],'ES Energy Burden'!$B$2:$E$914,4,FALSE)</f>
        <v>No</v>
      </c>
    </row>
    <row r="879" spans="1:18" x14ac:dyDescent="0.2">
      <c r="A879" s="100">
        <v>9003492400</v>
      </c>
      <c r="B879" s="38" t="s">
        <v>2865</v>
      </c>
      <c r="C879" s="38" t="s">
        <v>944</v>
      </c>
      <c r="D879" s="40">
        <f>[1]!Table3[[#This Row],[Residential CLM $ Collected]]+[1]!Table3[[#This Row],[C&amp;I CLM $ Collected]]</f>
        <v>49411.587513600003</v>
      </c>
      <c r="E879" s="36">
        <f>[1]!Table3[[#This Row],[CLM $ Collected ]]/'[1]1.) CLM Reference'!$B$4</f>
        <v>4.383618942017592E-4</v>
      </c>
      <c r="F879" s="40">
        <f>[1]!Table3[[#This Row],[Residential Incentive Disbursements]]+[1]!Table3[[#This Row],[C&amp;I Incentive Disbursements]]</f>
        <v>6725.7366000000002</v>
      </c>
      <c r="G879" s="36">
        <f>[1]!Table3[[#This Row],[Incentive Disbursements]]/'[1]1.) CLM Reference'!$B$5</f>
        <v>8.2287047311692412E-5</v>
      </c>
      <c r="H879" s="40">
        <v>49411.587513600003</v>
      </c>
      <c r="I879" s="36">
        <f>[1]!Table3[[#This Row],[Residential CLM $ Collected]]/'[1]1.) CLM Reference'!$B$4</f>
        <v>4.383618942017592E-4</v>
      </c>
      <c r="J879" s="41">
        <v>6725.7366000000002</v>
      </c>
      <c r="K879" s="36">
        <f>[1]!Table3[[#This Row],[Residential Incentive Disbursements]]/'[1]1.) CLM Reference'!$B$5</f>
        <v>8.2287047311692412E-5</v>
      </c>
      <c r="L879" s="37">
        <v>0</v>
      </c>
      <c r="M879" s="36">
        <f>[1]!Table3[[#This Row],[C&amp;I CLM $ Collected]]/'[1]1.) CLM Reference'!$B$4</f>
        <v>0</v>
      </c>
      <c r="N879" s="41">
        <v>0</v>
      </c>
      <c r="O879" s="36">
        <f>[1]!Table3[[#This Row],[C&amp;I Incentive Disbursements]]/'[1]1.) CLM Reference'!$B$5</f>
        <v>0</v>
      </c>
      <c r="Q879">
        <f>VLOOKUP(Table3[[#This Row],[Census Tract]],'Population and Diversity Data'!$B$2:$K$823,10,FALSE)</f>
        <v>4</v>
      </c>
      <c r="R879" t="str">
        <f>VLOOKUP(Table3[[#This Row],[Census Tract]],'ES Energy Burden'!$B$2:$E$914,4,FALSE)</f>
        <v>No</v>
      </c>
    </row>
    <row r="880" spans="1:18" x14ac:dyDescent="0.2">
      <c r="A880" s="100">
        <v>9003492500</v>
      </c>
      <c r="B880" s="38" t="s">
        <v>2865</v>
      </c>
      <c r="C880" s="38" t="s">
        <v>944</v>
      </c>
      <c r="D880" s="40">
        <f>[1]!Table3[[#This Row],[Residential CLM $ Collected]]+[1]!Table3[[#This Row],[C&amp;I CLM $ Collected]]</f>
        <v>59729.9845824</v>
      </c>
      <c r="E880" s="36">
        <f>[1]!Table3[[#This Row],[CLM $ Collected ]]/'[1]1.) CLM Reference'!$B$4</f>
        <v>5.2990301465169584E-4</v>
      </c>
      <c r="F880" s="40">
        <f>[1]!Table3[[#This Row],[Residential Incentive Disbursements]]+[1]!Table3[[#This Row],[C&amp;I Incentive Disbursements]]</f>
        <v>10869.7922</v>
      </c>
      <c r="G880" s="36">
        <f>[1]!Table3[[#This Row],[Incentive Disbursements]]/'[1]1.) CLM Reference'!$B$5</f>
        <v>1.3298812579571806E-4</v>
      </c>
      <c r="H880" s="40">
        <v>59729.9845824</v>
      </c>
      <c r="I880" s="36">
        <f>[1]!Table3[[#This Row],[Residential CLM $ Collected]]/'[1]1.) CLM Reference'!$B$4</f>
        <v>5.2990301465169584E-4</v>
      </c>
      <c r="J880" s="41">
        <v>10869.7922</v>
      </c>
      <c r="K880" s="36">
        <f>[1]!Table3[[#This Row],[Residential Incentive Disbursements]]/'[1]1.) CLM Reference'!$B$5</f>
        <v>1.3298812579571806E-4</v>
      </c>
      <c r="L880" s="37">
        <v>0</v>
      </c>
      <c r="M880" s="36">
        <f>[1]!Table3[[#This Row],[C&amp;I CLM $ Collected]]/'[1]1.) CLM Reference'!$B$4</f>
        <v>0</v>
      </c>
      <c r="N880" s="41">
        <v>0</v>
      </c>
      <c r="O880" s="36">
        <f>[1]!Table3[[#This Row],[C&amp;I Incentive Disbursements]]/'[1]1.) CLM Reference'!$B$5</f>
        <v>0</v>
      </c>
      <c r="Q880">
        <f>VLOOKUP(Table3[[#This Row],[Census Tract]],'Population and Diversity Data'!$B$2:$K$823,10,FALSE)</f>
        <v>2</v>
      </c>
      <c r="R880" t="str">
        <f>VLOOKUP(Table3[[#This Row],[Census Tract]],'ES Energy Burden'!$B$2:$E$914,4,FALSE)</f>
        <v>No</v>
      </c>
    </row>
    <row r="881" spans="1:18" x14ac:dyDescent="0.2">
      <c r="A881" s="100">
        <v>9003492600</v>
      </c>
      <c r="B881" s="38" t="s">
        <v>2865</v>
      </c>
      <c r="C881" s="38" t="s">
        <v>944</v>
      </c>
      <c r="D881" s="40">
        <f>[1]!Table3[[#This Row],[Residential CLM $ Collected]]+[1]!Table3[[#This Row],[C&amp;I CLM $ Collected]]</f>
        <v>289574.33547167998</v>
      </c>
      <c r="E881" s="36">
        <f>[1]!Table3[[#This Row],[CLM $ Collected ]]/'[1]1.) CLM Reference'!$B$4</f>
        <v>2.5689997143816296E-3</v>
      </c>
      <c r="F881" s="40">
        <f>[1]!Table3[[#This Row],[Residential Incentive Disbursements]]+[1]!Table3[[#This Row],[C&amp;I Incentive Disbursements]]</f>
        <v>121493.1286</v>
      </c>
      <c r="G881" s="36">
        <f>[1]!Table3[[#This Row],[Incentive Disbursements]]/'[1]1.) CLM Reference'!$B$5</f>
        <v>1.4864261590550143E-3</v>
      </c>
      <c r="H881" s="40">
        <v>142356.53831615997</v>
      </c>
      <c r="I881" s="36">
        <f>[1]!Table3[[#This Row],[Residential CLM $ Collected]]/'[1]1.) CLM Reference'!$B$4</f>
        <v>1.2629361841714002E-3</v>
      </c>
      <c r="J881" s="41">
        <v>85449.179099999994</v>
      </c>
      <c r="K881" s="36">
        <f>[1]!Table3[[#This Row],[Residential Incentive Disbursements]]/'[1]1.) CLM Reference'!$B$5</f>
        <v>1.0454409771781692E-3</v>
      </c>
      <c r="L881" s="37">
        <v>147217.79715552001</v>
      </c>
      <c r="M881" s="36">
        <f>[1]!Table3[[#This Row],[C&amp;I CLM $ Collected]]/'[1]1.) CLM Reference'!$B$4</f>
        <v>1.3060635302102293E-3</v>
      </c>
      <c r="N881" s="41">
        <v>36043.949500000002</v>
      </c>
      <c r="O881" s="36">
        <f>[1]!Table3[[#This Row],[C&amp;I Incentive Disbursements]]/'[1]1.) CLM Reference'!$B$5</f>
        <v>4.4098518187684488E-4</v>
      </c>
      <c r="Q881">
        <f>VLOOKUP(Table3[[#This Row],[Census Tract]],'Population and Diversity Data'!$B$2:$K$823,10,FALSE)</f>
        <v>1</v>
      </c>
      <c r="R881" t="str">
        <f>VLOOKUP(Table3[[#This Row],[Census Tract]],'ES Energy Burden'!$B$2:$E$914,4,FALSE)</f>
        <v>No</v>
      </c>
    </row>
    <row r="882" spans="1:18" x14ac:dyDescent="0.2">
      <c r="A882" s="100">
        <v>9003494100</v>
      </c>
      <c r="B882" s="38" t="s">
        <v>2865</v>
      </c>
      <c r="C882" s="38" t="s">
        <v>944</v>
      </c>
      <c r="D882" s="40">
        <f>[1]!Table3[[#This Row],[Residential CLM $ Collected]]+[1]!Table3[[#This Row],[C&amp;I CLM $ Collected]]</f>
        <v>1420.2241919999999</v>
      </c>
      <c r="E882" s="36">
        <f>[1]!Table3[[#This Row],[CLM $ Collected ]]/'[1]1.) CLM Reference'!$B$4</f>
        <v>1.2599719991285985E-5</v>
      </c>
      <c r="F882" s="40">
        <f>[1]!Table3[[#This Row],[Residential Incentive Disbursements]]+[1]!Table3[[#This Row],[C&amp;I Incentive Disbursements]]</f>
        <v>0</v>
      </c>
      <c r="G882" s="36">
        <f>[1]!Table3[[#This Row],[Incentive Disbursements]]/'[1]1.) CLM Reference'!$B$5</f>
        <v>0</v>
      </c>
      <c r="H882" s="40">
        <v>1420.2241919999999</v>
      </c>
      <c r="I882" s="36">
        <f>[1]!Table3[[#This Row],[Residential CLM $ Collected]]/'[1]1.) CLM Reference'!$B$4</f>
        <v>1.2599719991285985E-5</v>
      </c>
      <c r="J882" s="41">
        <v>0</v>
      </c>
      <c r="K882" s="36">
        <f>[1]!Table3[[#This Row],[Residential Incentive Disbursements]]/'[1]1.) CLM Reference'!$B$5</f>
        <v>0</v>
      </c>
      <c r="L882" s="37">
        <v>0</v>
      </c>
      <c r="M882" s="36">
        <f>[1]!Table3[[#This Row],[C&amp;I CLM $ Collected]]/'[1]1.) CLM Reference'!$B$4</f>
        <v>0</v>
      </c>
      <c r="N882" s="41">
        <v>0</v>
      </c>
      <c r="O882" s="36">
        <f>[1]!Table3[[#This Row],[C&amp;I Incentive Disbursements]]/'[1]1.) CLM Reference'!$B$5</f>
        <v>0</v>
      </c>
      <c r="Q882">
        <f>VLOOKUP(Table3[[#This Row],[Census Tract]],'Population and Diversity Data'!$B$2:$K$823,10,FALSE)</f>
        <v>4</v>
      </c>
      <c r="R882" t="str">
        <f>VLOOKUP(Table3[[#This Row],[Census Tract]],'ES Energy Burden'!$B$2:$E$914,4,FALSE)</f>
        <v>No</v>
      </c>
    </row>
    <row r="883" spans="1:18" x14ac:dyDescent="0.2">
      <c r="A883" s="100">
        <v>9013840100</v>
      </c>
      <c r="B883" s="38" t="s">
        <v>2866</v>
      </c>
      <c r="C883" s="38" t="s">
        <v>944</v>
      </c>
      <c r="D883" s="40">
        <f>[1]!Table3[[#This Row],[Residential CLM $ Collected]]+[1]!Table3[[#This Row],[C&amp;I CLM $ Collected]]</f>
        <v>138559.72344192001</v>
      </c>
      <c r="E883" s="36">
        <f>[1]!Table3[[#This Row],[CLM $ Collected ]]/'[1]1.) CLM Reference'!$B$4</f>
        <v>1.2292522034705749E-3</v>
      </c>
      <c r="F883" s="40">
        <f>[1]!Table3[[#This Row],[Residential Incentive Disbursements]]+[1]!Table3[[#This Row],[C&amp;I Incentive Disbursements]]</f>
        <v>60554.824200000003</v>
      </c>
      <c r="G883" s="36">
        <f>[1]!Table3[[#This Row],[Incentive Disbursements]]/'[1]1.) CLM Reference'!$B$5</f>
        <v>7.4086720611339684E-4</v>
      </c>
      <c r="H883" s="40">
        <v>112402.66594752</v>
      </c>
      <c r="I883" s="36">
        <f>[1]!Table3[[#This Row],[Residential CLM $ Collected]]/'[1]1.) CLM Reference'!$B$4</f>
        <v>9.9719616465511387E-4</v>
      </c>
      <c r="J883" s="41">
        <v>38610.5</v>
      </c>
      <c r="K883" s="36">
        <f>[1]!Table3[[#This Row],[Residential Incentive Disbursements]]/'[1]1.) CLM Reference'!$B$5</f>
        <v>4.7238603430115001E-4</v>
      </c>
      <c r="L883" s="37">
        <v>26157.0574944</v>
      </c>
      <c r="M883" s="36">
        <f>[1]!Table3[[#This Row],[C&amp;I CLM $ Collected]]/'[1]1.) CLM Reference'!$B$4</f>
        <v>2.320560388154609E-4</v>
      </c>
      <c r="N883" s="41">
        <v>21944.324199999999</v>
      </c>
      <c r="O883" s="36">
        <f>[1]!Table3[[#This Row],[C&amp;I Incentive Disbursements]]/'[1]1.) CLM Reference'!$B$5</f>
        <v>2.6848117181224682E-4</v>
      </c>
      <c r="Q883">
        <f>VLOOKUP(Table3[[#This Row],[Census Tract]],'Population and Diversity Data'!$B$2:$K$823,10,FALSE)</f>
        <v>4</v>
      </c>
      <c r="R883" t="str">
        <f>VLOOKUP(Table3[[#This Row],[Census Tract]],'ES Energy Burden'!$B$2:$E$914,4,FALSE)</f>
        <v>No</v>
      </c>
    </row>
    <row r="884" spans="1:18" x14ac:dyDescent="0.2">
      <c r="A884" s="100">
        <v>9013890201</v>
      </c>
      <c r="B884" s="38" t="s">
        <v>2866</v>
      </c>
      <c r="C884" s="38" t="s">
        <v>944</v>
      </c>
      <c r="D884" s="40">
        <f>[1]!Table3[[#This Row],[Residential CLM $ Collected]]+[1]!Table3[[#This Row],[C&amp;I CLM $ Collected]]</f>
        <v>219.38394240000002</v>
      </c>
      <c r="E884" s="36">
        <f>[1]!Table3[[#This Row],[CLM $ Collected ]]/'[1]1.) CLM Reference'!$B$4</f>
        <v>1.9462957048575704E-6</v>
      </c>
      <c r="F884" s="40">
        <f>[1]!Table3[[#This Row],[Residential Incentive Disbursements]]+[1]!Table3[[#This Row],[C&amp;I Incentive Disbursements]]</f>
        <v>0</v>
      </c>
      <c r="G884" s="36">
        <f>[1]!Table3[[#This Row],[Incentive Disbursements]]/'[1]1.) CLM Reference'!$B$5</f>
        <v>0</v>
      </c>
      <c r="H884" s="40">
        <v>219.38394240000002</v>
      </c>
      <c r="I884" s="36">
        <f>[1]!Table3[[#This Row],[Residential CLM $ Collected]]/'[1]1.) CLM Reference'!$B$4</f>
        <v>1.9462957048575704E-6</v>
      </c>
      <c r="J884" s="41">
        <v>0</v>
      </c>
      <c r="K884" s="36">
        <f>[1]!Table3[[#This Row],[Residential Incentive Disbursements]]/'[1]1.) CLM Reference'!$B$5</f>
        <v>0</v>
      </c>
      <c r="L884" s="37">
        <v>0</v>
      </c>
      <c r="M884" s="36">
        <f>[1]!Table3[[#This Row],[C&amp;I CLM $ Collected]]/'[1]1.) CLM Reference'!$B$4</f>
        <v>0</v>
      </c>
      <c r="N884" s="41">
        <v>0</v>
      </c>
      <c r="O884" s="36">
        <f>[1]!Table3[[#This Row],[C&amp;I Incentive Disbursements]]/'[1]1.) CLM Reference'!$B$5</f>
        <v>0</v>
      </c>
      <c r="Q884">
        <f>VLOOKUP(Table3[[#This Row],[Census Tract]],'Population and Diversity Data'!$B$2:$K$823,10,FALSE)</f>
        <v>4</v>
      </c>
      <c r="R884" t="str">
        <f>VLOOKUP(Table3[[#This Row],[Census Tract]],'ES Energy Burden'!$B$2:$E$914,4,FALSE)</f>
        <v>No</v>
      </c>
    </row>
    <row r="885" spans="1:18" x14ac:dyDescent="0.2">
      <c r="A885" s="100">
        <v>9015830100</v>
      </c>
      <c r="B885" s="38" t="s">
        <v>2866</v>
      </c>
      <c r="C885" s="38" t="s">
        <v>944</v>
      </c>
      <c r="D885" s="40">
        <f>[1]!Table3[[#This Row],[Residential CLM $ Collected]]+[1]!Table3[[#This Row],[C&amp;I CLM $ Collected]]</f>
        <v>663.49488960000008</v>
      </c>
      <c r="E885" s="36">
        <f>[1]!Table3[[#This Row],[CLM $ Collected ]]/'[1]1.) CLM Reference'!$B$4</f>
        <v>5.8862888491123576E-6</v>
      </c>
      <c r="F885" s="40">
        <f>[1]!Table3[[#This Row],[Residential Incentive Disbursements]]+[1]!Table3[[#This Row],[C&amp;I Incentive Disbursements]]</f>
        <v>0</v>
      </c>
      <c r="G885" s="36">
        <f>[1]!Table3[[#This Row],[Incentive Disbursements]]/'[1]1.) CLM Reference'!$B$5</f>
        <v>0</v>
      </c>
      <c r="H885" s="40">
        <v>663.49488960000008</v>
      </c>
      <c r="I885" s="36">
        <f>[1]!Table3[[#This Row],[Residential CLM $ Collected]]/'[1]1.) CLM Reference'!$B$4</f>
        <v>5.8862888491123576E-6</v>
      </c>
      <c r="J885" s="41">
        <v>0</v>
      </c>
      <c r="K885" s="36">
        <f>[1]!Table3[[#This Row],[Residential Incentive Disbursements]]/'[1]1.) CLM Reference'!$B$5</f>
        <v>0</v>
      </c>
      <c r="L885" s="37">
        <v>0</v>
      </c>
      <c r="M885" s="36">
        <f>[1]!Table3[[#This Row],[C&amp;I CLM $ Collected]]/'[1]1.) CLM Reference'!$B$4</f>
        <v>0</v>
      </c>
      <c r="N885" s="41">
        <v>0</v>
      </c>
      <c r="O885" s="36">
        <f>[1]!Table3[[#This Row],[C&amp;I Incentive Disbursements]]/'[1]1.) CLM Reference'!$B$5</f>
        <v>0</v>
      </c>
      <c r="Q885">
        <f>VLOOKUP(Table3[[#This Row],[Census Tract]],'Population and Diversity Data'!$B$2:$K$823,10,FALSE)</f>
        <v>4</v>
      </c>
      <c r="R885" t="str">
        <f>VLOOKUP(Table3[[#This Row],[Census Tract]],'ES Energy Burden'!$B$2:$E$914,4,FALSE)</f>
        <v>No</v>
      </c>
    </row>
    <row r="886" spans="1:18" x14ac:dyDescent="0.2">
      <c r="A886" s="100">
        <v>9001035400</v>
      </c>
      <c r="B886" s="38" t="s">
        <v>2867</v>
      </c>
      <c r="C886" s="38" t="s">
        <v>944</v>
      </c>
      <c r="D886" s="40">
        <f>[1]!Table3[[#This Row],[Residential CLM $ Collected]]+[1]!Table3[[#This Row],[C&amp;I CLM $ Collected]]</f>
        <v>213.86721600000001</v>
      </c>
      <c r="E886" s="36">
        <f>[1]!Table3[[#This Row],[CLM $ Collected ]]/'[1]1.) CLM Reference'!$B$4</f>
        <v>1.8973532855549879E-6</v>
      </c>
      <c r="F886" s="40">
        <f>[1]!Table3[[#This Row],[Residential Incentive Disbursements]]+[1]!Table3[[#This Row],[C&amp;I Incentive Disbursements]]</f>
        <v>0</v>
      </c>
      <c r="G886" s="36">
        <f>[1]!Table3[[#This Row],[Incentive Disbursements]]/'[1]1.) CLM Reference'!$B$5</f>
        <v>0</v>
      </c>
      <c r="H886" s="40">
        <v>213.86721600000001</v>
      </c>
      <c r="I886" s="36">
        <f>[1]!Table3[[#This Row],[Residential CLM $ Collected]]/'[1]1.) CLM Reference'!$B$4</f>
        <v>1.8973532855549879E-6</v>
      </c>
      <c r="J886" s="41">
        <v>0</v>
      </c>
      <c r="K886" s="36">
        <f>[1]!Table3[[#This Row],[Residential Incentive Disbursements]]/'[1]1.) CLM Reference'!$B$5</f>
        <v>0</v>
      </c>
      <c r="L886" s="37">
        <v>0</v>
      </c>
      <c r="M886" s="36">
        <f>[1]!Table3[[#This Row],[C&amp;I CLM $ Collected]]/'[1]1.) CLM Reference'!$B$4</f>
        <v>0</v>
      </c>
      <c r="N886" s="41">
        <v>0</v>
      </c>
      <c r="O886" s="36">
        <f>[1]!Table3[[#This Row],[C&amp;I Incentive Disbursements]]/'[1]1.) CLM Reference'!$B$5</f>
        <v>0</v>
      </c>
      <c r="Q886">
        <f>VLOOKUP(Table3[[#This Row],[Census Tract]],'Population and Diversity Data'!$B$2:$K$823,10,FALSE)</f>
        <v>2</v>
      </c>
      <c r="R886" t="str">
        <f>VLOOKUP(Table3[[#This Row],[Census Tract]],'ES Energy Burden'!$B$2:$E$914,4,FALSE)</f>
        <v>No</v>
      </c>
    </row>
    <row r="887" spans="1:18" x14ac:dyDescent="0.2">
      <c r="A887" s="100">
        <v>9001042900</v>
      </c>
      <c r="B887" s="38" t="s">
        <v>2867</v>
      </c>
      <c r="C887" s="38" t="s">
        <v>944</v>
      </c>
      <c r="D887" s="40">
        <f>[1]!Table3[[#This Row],[Residential CLM $ Collected]]+[1]!Table3[[#This Row],[C&amp;I CLM $ Collected]]</f>
        <v>355.58282880000002</v>
      </c>
      <c r="E887" s="36">
        <f>[1]!Table3[[#This Row],[CLM $ Collected ]]/'[1]1.) CLM Reference'!$B$4</f>
        <v>3.1546034082690671E-6</v>
      </c>
      <c r="F887" s="40">
        <f>[1]!Table3[[#This Row],[Residential Incentive Disbursements]]+[1]!Table3[[#This Row],[C&amp;I Incentive Disbursements]]</f>
        <v>0</v>
      </c>
      <c r="G887" s="36">
        <f>[1]!Table3[[#This Row],[Incentive Disbursements]]/'[1]1.) CLM Reference'!$B$5</f>
        <v>0</v>
      </c>
      <c r="H887" s="40">
        <v>355.58282880000002</v>
      </c>
      <c r="I887" s="36">
        <f>[1]!Table3[[#This Row],[Residential CLM $ Collected]]/'[1]1.) CLM Reference'!$B$4</f>
        <v>3.1546034082690671E-6</v>
      </c>
      <c r="J887" s="41">
        <v>0</v>
      </c>
      <c r="K887" s="36">
        <f>[1]!Table3[[#This Row],[Residential Incentive Disbursements]]/'[1]1.) CLM Reference'!$B$5</f>
        <v>0</v>
      </c>
      <c r="L887" s="37">
        <v>0</v>
      </c>
      <c r="M887" s="36">
        <f>[1]!Table3[[#This Row],[C&amp;I CLM $ Collected]]/'[1]1.) CLM Reference'!$B$4</f>
        <v>0</v>
      </c>
      <c r="N887" s="41">
        <v>0</v>
      </c>
      <c r="O887" s="36">
        <f>[1]!Table3[[#This Row],[C&amp;I Incentive Disbursements]]/'[1]1.) CLM Reference'!$B$5</f>
        <v>0</v>
      </c>
      <c r="Q887">
        <f>VLOOKUP(Table3[[#This Row],[Census Tract]],'Population and Diversity Data'!$B$2:$K$823,10,FALSE)</f>
        <v>1</v>
      </c>
      <c r="R887" t="str">
        <f>VLOOKUP(Table3[[#This Row],[Census Tract]],'ES Energy Burden'!$B$2:$E$914,4,FALSE)</f>
        <v>No</v>
      </c>
    </row>
    <row r="888" spans="1:18" x14ac:dyDescent="0.2">
      <c r="A888" s="100">
        <v>9001045101</v>
      </c>
      <c r="B888" s="38" t="s">
        <v>2867</v>
      </c>
      <c r="C888" s="38" t="s">
        <v>944</v>
      </c>
      <c r="D888" s="40">
        <f>[1]!Table3[[#This Row],[Residential CLM $ Collected]]+[1]!Table3[[#This Row],[C&amp;I CLM $ Collected]]</f>
        <v>121792.58059679999</v>
      </c>
      <c r="E888" s="36">
        <f>[1]!Table3[[#This Row],[CLM $ Collected ]]/'[1]1.) CLM Reference'!$B$4</f>
        <v>1.0805001218679496E-3</v>
      </c>
      <c r="F888" s="40">
        <f>[1]!Table3[[#This Row],[Residential Incentive Disbursements]]+[1]!Table3[[#This Row],[C&amp;I Incentive Disbursements]]</f>
        <v>26942.549299999999</v>
      </c>
      <c r="G888" s="36">
        <f>[1]!Table3[[#This Row],[Incentive Disbursements]]/'[1]1.) CLM Reference'!$B$5</f>
        <v>3.2963271694979928E-4</v>
      </c>
      <c r="H888" s="40">
        <v>121792.58059679999</v>
      </c>
      <c r="I888" s="36">
        <f>[1]!Table3[[#This Row],[Residential CLM $ Collected]]/'[1]1.) CLM Reference'!$B$4</f>
        <v>1.0805001218679496E-3</v>
      </c>
      <c r="J888" s="41">
        <v>26942.549299999999</v>
      </c>
      <c r="K888" s="36">
        <f>[1]!Table3[[#This Row],[Residential Incentive Disbursements]]/'[1]1.) CLM Reference'!$B$5</f>
        <v>3.2963271694979928E-4</v>
      </c>
      <c r="L888" s="37">
        <v>0</v>
      </c>
      <c r="M888" s="36">
        <f>[1]!Table3[[#This Row],[C&amp;I CLM $ Collected]]/'[1]1.) CLM Reference'!$B$4</f>
        <v>0</v>
      </c>
      <c r="N888" s="41">
        <v>0</v>
      </c>
      <c r="O888" s="36">
        <f>[1]!Table3[[#This Row],[C&amp;I Incentive Disbursements]]/'[1]1.) CLM Reference'!$B$5</f>
        <v>0</v>
      </c>
      <c r="Q888">
        <f>VLOOKUP(Table3[[#This Row],[Census Tract]],'Population and Diversity Data'!$B$2:$K$823,10,FALSE)</f>
        <v>3</v>
      </c>
      <c r="R888" t="str">
        <f>VLOOKUP(Table3[[#This Row],[Census Tract]],'ES Energy Burden'!$B$2:$E$914,4,FALSE)</f>
        <v>No</v>
      </c>
    </row>
    <row r="889" spans="1:18" x14ac:dyDescent="0.2">
      <c r="A889" s="100">
        <v>9001045102</v>
      </c>
      <c r="B889" s="38" t="s">
        <v>2867</v>
      </c>
      <c r="C889" s="38" t="s">
        <v>944</v>
      </c>
      <c r="D889" s="40">
        <f>[1]!Table3[[#This Row],[Residential CLM $ Collected]]+[1]!Table3[[#This Row],[C&amp;I CLM $ Collected]]</f>
        <v>280850.70244032005</v>
      </c>
      <c r="E889" s="36">
        <f>[1]!Table3[[#This Row],[CLM $ Collected ]]/'[1]1.) CLM Reference'!$B$4</f>
        <v>2.4916067688727358E-3</v>
      </c>
      <c r="F889" s="40">
        <f>[1]!Table3[[#This Row],[Residential Incentive Disbursements]]+[1]!Table3[[#This Row],[C&amp;I Incentive Disbursements]]</f>
        <v>98164.801600000108</v>
      </c>
      <c r="G889" s="36">
        <f>[1]!Table3[[#This Row],[Incentive Disbursements]]/'[1]1.) CLM Reference'!$B$5</f>
        <v>1.2010121945010615E-3</v>
      </c>
      <c r="H889" s="40">
        <v>164794.82669568001</v>
      </c>
      <c r="I889" s="36">
        <f>[1]!Table3[[#This Row],[Residential CLM $ Collected]]/'[1]1.) CLM Reference'!$B$4</f>
        <v>1.4620006362897307E-3</v>
      </c>
      <c r="J889" s="41">
        <v>80385.501600000105</v>
      </c>
      <c r="K889" s="36">
        <f>[1]!Table3[[#This Row],[Residential Incentive Disbursements]]/'[1]1.) CLM Reference'!$B$5</f>
        <v>9.8348864469853525E-4</v>
      </c>
      <c r="L889" s="37">
        <v>116055.87574464001</v>
      </c>
      <c r="M889" s="36">
        <f>[1]!Table3[[#This Row],[C&amp;I CLM $ Collected]]/'[1]1.) CLM Reference'!$B$4</f>
        <v>1.0296061325830049E-3</v>
      </c>
      <c r="N889" s="41">
        <v>17779.3</v>
      </c>
      <c r="O889" s="36">
        <f>[1]!Table3[[#This Row],[C&amp;I Incentive Disbursements]]/'[1]1.) CLM Reference'!$B$5</f>
        <v>2.1752354980252614E-4</v>
      </c>
      <c r="Q889">
        <f>VLOOKUP(Table3[[#This Row],[Census Tract]],'Population and Diversity Data'!$B$2:$K$823,10,FALSE)</f>
        <v>3</v>
      </c>
      <c r="R889" t="str">
        <f>VLOOKUP(Table3[[#This Row],[Census Tract]],'ES Energy Burden'!$B$2:$E$914,4,FALSE)</f>
        <v>No</v>
      </c>
    </row>
    <row r="890" spans="1:18" x14ac:dyDescent="0.2">
      <c r="A890" s="100">
        <v>9001045200</v>
      </c>
      <c r="B890" s="38" t="s">
        <v>2867</v>
      </c>
      <c r="C890" s="38" t="s">
        <v>944</v>
      </c>
      <c r="D890" s="40">
        <f>[1]!Table3[[#This Row],[Residential CLM $ Collected]]+[1]!Table3[[#This Row],[C&amp;I CLM $ Collected]]</f>
        <v>79552.867651200009</v>
      </c>
      <c r="E890" s="36">
        <f>[1]!Table3[[#This Row],[CLM $ Collected ]]/'[1]1.) CLM Reference'!$B$4</f>
        <v>7.0576452827311991E-4</v>
      </c>
      <c r="F890" s="40">
        <f>[1]!Table3[[#This Row],[Residential Incentive Disbursements]]+[1]!Table3[[#This Row],[C&amp;I Incentive Disbursements]]</f>
        <v>17456.605100000001</v>
      </c>
      <c r="G890" s="36">
        <f>[1]!Table3[[#This Row],[Incentive Disbursements]]/'[1]1.) CLM Reference'!$B$5</f>
        <v>2.135754899716458E-4</v>
      </c>
      <c r="H890" s="40">
        <v>79552.867651200009</v>
      </c>
      <c r="I890" s="36">
        <f>[1]!Table3[[#This Row],[Residential CLM $ Collected]]/'[1]1.) CLM Reference'!$B$4</f>
        <v>7.0576452827311991E-4</v>
      </c>
      <c r="J890" s="41">
        <v>17456.605100000001</v>
      </c>
      <c r="K890" s="36">
        <f>[1]!Table3[[#This Row],[Residential Incentive Disbursements]]/'[1]1.) CLM Reference'!$B$5</f>
        <v>2.135754899716458E-4</v>
      </c>
      <c r="L890" s="37">
        <v>0</v>
      </c>
      <c r="M890" s="36">
        <f>[1]!Table3[[#This Row],[C&amp;I CLM $ Collected]]/'[1]1.) CLM Reference'!$B$4</f>
        <v>0</v>
      </c>
      <c r="N890" s="41">
        <v>0</v>
      </c>
      <c r="O890" s="36">
        <f>[1]!Table3[[#This Row],[C&amp;I Incentive Disbursements]]/'[1]1.) CLM Reference'!$B$5</f>
        <v>0</v>
      </c>
      <c r="Q890">
        <f>VLOOKUP(Table3[[#This Row],[Census Tract]],'Population and Diversity Data'!$B$2:$K$823,10,FALSE)</f>
        <v>3</v>
      </c>
      <c r="R890" t="str">
        <f>VLOOKUP(Table3[[#This Row],[Census Tract]],'ES Energy Burden'!$B$2:$E$914,4,FALSE)</f>
        <v>No</v>
      </c>
    </row>
    <row r="891" spans="1:18" x14ac:dyDescent="0.2">
      <c r="A891" s="100">
        <v>9001045300</v>
      </c>
      <c r="B891" s="38" t="s">
        <v>2867</v>
      </c>
      <c r="C891" s="38" t="s">
        <v>944</v>
      </c>
      <c r="D891" s="40">
        <f>[1]!Table3[[#This Row],[Residential CLM $ Collected]]+[1]!Table3[[#This Row],[C&amp;I CLM $ Collected]]</f>
        <v>59936.719996799999</v>
      </c>
      <c r="E891" s="36">
        <f>[1]!Table3[[#This Row],[CLM $ Collected ]]/'[1]1.) CLM Reference'!$B$4</f>
        <v>5.3173709714965302E-4</v>
      </c>
      <c r="F891" s="40">
        <f>[1]!Table3[[#This Row],[Residential Incentive Disbursements]]+[1]!Table3[[#This Row],[C&amp;I Incentive Disbursements]]</f>
        <v>10246.200000000001</v>
      </c>
      <c r="G891" s="36">
        <f>[1]!Table3[[#This Row],[Incentive Disbursements]]/'[1]1.) CLM Reference'!$B$5</f>
        <v>1.2535869218623026E-4</v>
      </c>
      <c r="H891" s="40">
        <v>59936.719996799999</v>
      </c>
      <c r="I891" s="36">
        <f>[1]!Table3[[#This Row],[Residential CLM $ Collected]]/'[1]1.) CLM Reference'!$B$4</f>
        <v>5.3173709714965302E-4</v>
      </c>
      <c r="J891" s="41">
        <v>10246.200000000001</v>
      </c>
      <c r="K891" s="36">
        <f>[1]!Table3[[#This Row],[Residential Incentive Disbursements]]/'[1]1.) CLM Reference'!$B$5</f>
        <v>1.2535869218623026E-4</v>
      </c>
      <c r="L891" s="37">
        <v>0</v>
      </c>
      <c r="M891" s="36">
        <f>[1]!Table3[[#This Row],[C&amp;I CLM $ Collected]]/'[1]1.) CLM Reference'!$B$4</f>
        <v>0</v>
      </c>
      <c r="N891" s="41">
        <v>0</v>
      </c>
      <c r="O891" s="36">
        <f>[1]!Table3[[#This Row],[C&amp;I Incentive Disbursements]]/'[1]1.) CLM Reference'!$B$5</f>
        <v>0</v>
      </c>
      <c r="Q891">
        <f>VLOOKUP(Table3[[#This Row],[Census Tract]],'Population and Diversity Data'!$B$2:$K$823,10,FALSE)</f>
        <v>4</v>
      </c>
      <c r="R891" t="str">
        <f>VLOOKUP(Table3[[#This Row],[Census Tract]],'ES Energy Burden'!$B$2:$E$914,4,FALSE)</f>
        <v>No</v>
      </c>
    </row>
    <row r="892" spans="1:18" x14ac:dyDescent="0.2">
      <c r="A892" s="100">
        <v>9001045400</v>
      </c>
      <c r="B892" s="38" t="s">
        <v>2867</v>
      </c>
      <c r="C892" s="38" t="s">
        <v>944</v>
      </c>
      <c r="D892" s="40">
        <f>[1]!Table3[[#This Row],[Residential CLM $ Collected]]+[1]!Table3[[#This Row],[C&amp;I CLM $ Collected]]</f>
        <v>84004.02648</v>
      </c>
      <c r="E892" s="36">
        <f>[1]!Table3[[#This Row],[CLM $ Collected ]]/'[1]1.) CLM Reference'!$B$4</f>
        <v>7.4525361400728293E-4</v>
      </c>
      <c r="F892" s="40">
        <f>[1]!Table3[[#This Row],[Residential Incentive Disbursements]]+[1]!Table3[[#This Row],[C&amp;I Incentive Disbursements]]</f>
        <v>24622.080000000002</v>
      </c>
      <c r="G892" s="36">
        <f>[1]!Table3[[#This Row],[Incentive Disbursements]]/'[1]1.) CLM Reference'!$B$5</f>
        <v>3.0124258239198301E-4</v>
      </c>
      <c r="H892" s="40">
        <v>84004.02648</v>
      </c>
      <c r="I892" s="36">
        <f>[1]!Table3[[#This Row],[Residential CLM $ Collected]]/'[1]1.) CLM Reference'!$B$4</f>
        <v>7.4525361400728293E-4</v>
      </c>
      <c r="J892" s="41">
        <v>24622.080000000002</v>
      </c>
      <c r="K892" s="36">
        <f>[1]!Table3[[#This Row],[Residential Incentive Disbursements]]/'[1]1.) CLM Reference'!$B$5</f>
        <v>3.0124258239198301E-4</v>
      </c>
      <c r="L892" s="37">
        <v>0</v>
      </c>
      <c r="M892" s="36">
        <f>[1]!Table3[[#This Row],[C&amp;I CLM $ Collected]]/'[1]1.) CLM Reference'!$B$4</f>
        <v>0</v>
      </c>
      <c r="N892" s="41">
        <v>0</v>
      </c>
      <c r="O892" s="36">
        <f>[1]!Table3[[#This Row],[C&amp;I Incentive Disbursements]]/'[1]1.) CLM Reference'!$B$5</f>
        <v>0</v>
      </c>
      <c r="Q892">
        <f>VLOOKUP(Table3[[#This Row],[Census Tract]],'Population and Diversity Data'!$B$2:$K$823,10,FALSE)</f>
        <v>4</v>
      </c>
      <c r="R892" t="str">
        <f>VLOOKUP(Table3[[#This Row],[Census Tract]],'ES Energy Burden'!$B$2:$E$914,4,FALSE)</f>
        <v>No</v>
      </c>
    </row>
    <row r="893" spans="1:18" x14ac:dyDescent="0.2">
      <c r="A893" s="100">
        <v>9001055100</v>
      </c>
      <c r="B893" s="38" t="s">
        <v>2867</v>
      </c>
      <c r="C893" s="38" t="s">
        <v>944</v>
      </c>
      <c r="D893" s="40">
        <f>[1]!Table3[[#This Row],[Residential CLM $ Collected]]+[1]!Table3[[#This Row],[C&amp;I CLM $ Collected]]</f>
        <v>581.2128864</v>
      </c>
      <c r="E893" s="36">
        <f>[1]!Table3[[#This Row],[CLM $ Collected ]]/'[1]1.) CLM Reference'!$B$4</f>
        <v>5.1563124084335481E-6</v>
      </c>
      <c r="F893" s="40">
        <f>[1]!Table3[[#This Row],[Residential Incentive Disbursements]]+[1]!Table3[[#This Row],[C&amp;I Incentive Disbursements]]</f>
        <v>0</v>
      </c>
      <c r="G893" s="36">
        <f>[1]!Table3[[#This Row],[Incentive Disbursements]]/'[1]1.) CLM Reference'!$B$5</f>
        <v>0</v>
      </c>
      <c r="H893" s="40">
        <v>581.2128864</v>
      </c>
      <c r="I893" s="36">
        <f>[1]!Table3[[#This Row],[Residential CLM $ Collected]]/'[1]1.) CLM Reference'!$B$4</f>
        <v>5.1563124084335481E-6</v>
      </c>
      <c r="J893" s="41">
        <v>0</v>
      </c>
      <c r="K893" s="36">
        <f>[1]!Table3[[#This Row],[Residential Incentive Disbursements]]/'[1]1.) CLM Reference'!$B$5</f>
        <v>0</v>
      </c>
      <c r="L893" s="37">
        <v>0</v>
      </c>
      <c r="M893" s="36">
        <f>[1]!Table3[[#This Row],[C&amp;I CLM $ Collected]]/'[1]1.) CLM Reference'!$B$4</f>
        <v>0</v>
      </c>
      <c r="N893" s="41">
        <v>0</v>
      </c>
      <c r="O893" s="36">
        <f>[1]!Table3[[#This Row],[C&amp;I Incentive Disbursements]]/'[1]1.) CLM Reference'!$B$5</f>
        <v>0</v>
      </c>
      <c r="Q893">
        <f>VLOOKUP(Table3[[#This Row],[Census Tract]],'Population and Diversity Data'!$B$2:$K$823,10,FALSE)</f>
        <v>4</v>
      </c>
      <c r="R893" t="str">
        <f>VLOOKUP(Table3[[#This Row],[Census Tract]],'ES Energy Burden'!$B$2:$E$914,4,FALSE)</f>
        <v>No</v>
      </c>
    </row>
    <row r="894" spans="1:18" x14ac:dyDescent="0.2">
      <c r="A894" s="100">
        <v>9001240100</v>
      </c>
      <c r="B894" s="38" t="s">
        <v>2867</v>
      </c>
      <c r="C894" s="38" t="s">
        <v>944</v>
      </c>
      <c r="D894" s="40">
        <f>[1]!Table3[[#This Row],[Residential CLM $ Collected]]+[1]!Table3[[#This Row],[C&amp;I CLM $ Collected]]</f>
        <v>504.25079040000003</v>
      </c>
      <c r="E894" s="36">
        <f>[1]!Table3[[#This Row],[CLM $ Collected ]]/'[1]1.) CLM Reference'!$B$4</f>
        <v>4.4735322776593284E-6</v>
      </c>
      <c r="F894" s="40">
        <f>[1]!Table3[[#This Row],[Residential Incentive Disbursements]]+[1]!Table3[[#This Row],[C&amp;I Incentive Disbursements]]</f>
        <v>0</v>
      </c>
      <c r="G894" s="36">
        <f>[1]!Table3[[#This Row],[Incentive Disbursements]]/'[1]1.) CLM Reference'!$B$5</f>
        <v>0</v>
      </c>
      <c r="H894" s="40">
        <v>504.25079040000003</v>
      </c>
      <c r="I894" s="36">
        <f>[1]!Table3[[#This Row],[Residential CLM $ Collected]]/'[1]1.) CLM Reference'!$B$4</f>
        <v>4.4735322776593284E-6</v>
      </c>
      <c r="J894" s="43">
        <v>0</v>
      </c>
      <c r="K894" s="36">
        <f>[1]!Table3[[#This Row],[Residential Incentive Disbursements]]/'[1]1.) CLM Reference'!$B$5</f>
        <v>0</v>
      </c>
      <c r="L894" s="37">
        <v>0</v>
      </c>
      <c r="M894" s="36">
        <f>[1]!Table3[[#This Row],[C&amp;I CLM $ Collected]]/'[1]1.) CLM Reference'!$B$4</f>
        <v>0</v>
      </c>
      <c r="N894" s="41">
        <v>0</v>
      </c>
      <c r="O894" s="36">
        <f>[1]!Table3[[#This Row],[C&amp;I Incentive Disbursements]]/'[1]1.) CLM Reference'!$B$5</f>
        <v>0</v>
      </c>
      <c r="Q894">
        <f>VLOOKUP(Table3[[#This Row],[Census Tract]],'Population and Diversity Data'!$B$2:$K$823,10,FALSE)</f>
        <v>1</v>
      </c>
      <c r="R894" t="str">
        <f>VLOOKUP(Table3[[#This Row],[Census Tract]],'ES Energy Burden'!$B$2:$E$914,4,FALSE)</f>
        <v>No</v>
      </c>
    </row>
    <row r="895" spans="1:18" x14ac:dyDescent="0.2">
      <c r="A895" s="100">
        <v>9001245400</v>
      </c>
      <c r="B895" s="38" t="s">
        <v>2867</v>
      </c>
      <c r="C895" s="38" t="s">
        <v>944</v>
      </c>
      <c r="D895" s="40">
        <f>[1]!Table3[[#This Row],[Residential CLM $ Collected]]+[1]!Table3[[#This Row],[C&amp;I CLM $ Collected]]</f>
        <v>431.873424</v>
      </c>
      <c r="E895" s="36">
        <f>[1]!Table3[[#This Row],[CLM $ Collected ]]/'[1]1.) CLM Reference'!$B$4</f>
        <v>3.8314262246266033E-6</v>
      </c>
      <c r="F895" s="40">
        <f>[1]!Table3[[#This Row],[Residential Incentive Disbursements]]+[1]!Table3[[#This Row],[C&amp;I Incentive Disbursements]]</f>
        <v>0</v>
      </c>
      <c r="G895" s="36">
        <f>[1]!Table3[[#This Row],[Incentive Disbursements]]/'[1]1.) CLM Reference'!$B$5</f>
        <v>0</v>
      </c>
      <c r="H895" s="40">
        <v>431.873424</v>
      </c>
      <c r="I895" s="36">
        <f>[1]!Table3[[#This Row],[Residential CLM $ Collected]]/'[1]1.) CLM Reference'!$B$4</f>
        <v>3.8314262246266033E-6</v>
      </c>
      <c r="J895" s="41">
        <v>0</v>
      </c>
      <c r="K895" s="36">
        <f>[1]!Table3[[#This Row],[Residential Incentive Disbursements]]/'[1]1.) CLM Reference'!$B$5</f>
        <v>0</v>
      </c>
      <c r="L895" s="37">
        <v>0</v>
      </c>
      <c r="M895" s="36">
        <f>[1]!Table3[[#This Row],[C&amp;I CLM $ Collected]]/'[1]1.) CLM Reference'!$B$4</f>
        <v>0</v>
      </c>
      <c r="N895" s="41">
        <v>0</v>
      </c>
      <c r="O895" s="36">
        <f>[1]!Table3[[#This Row],[C&amp;I Incentive Disbursements]]/'[1]1.) CLM Reference'!$B$5</f>
        <v>0</v>
      </c>
      <c r="Q895">
        <f>VLOOKUP(Table3[[#This Row],[Census Tract]],'Population and Diversity Data'!$B$2:$K$823,10,FALSE)</f>
        <v>1</v>
      </c>
      <c r="R895" t="str">
        <f>VLOOKUP(Table3[[#This Row],[Census Tract]],'ES Energy Burden'!$B$2:$E$914,4,FALSE)</f>
        <v>No</v>
      </c>
    </row>
    <row r="896" spans="1:18" x14ac:dyDescent="0.2">
      <c r="A896" s="100">
        <v>9005290100</v>
      </c>
      <c r="B896" s="38" t="s">
        <v>2868</v>
      </c>
      <c r="C896" s="38" t="s">
        <v>944</v>
      </c>
      <c r="D896" s="40">
        <f>[1]!Table3[[#This Row],[Residential CLM $ Collected]]+[1]!Table3[[#This Row],[C&amp;I CLM $ Collected]]</f>
        <v>2422.8848736</v>
      </c>
      <c r="E896" s="36">
        <f>[1]!Table3[[#This Row],[CLM $ Collected ]]/'[1]1.) CLM Reference'!$B$4</f>
        <v>2.1494966182411246E-5</v>
      </c>
      <c r="F896" s="40">
        <f>[1]!Table3[[#This Row],[Residential Incentive Disbursements]]+[1]!Table3[[#This Row],[C&amp;I Incentive Disbursements]]</f>
        <v>0</v>
      </c>
      <c r="G896" s="36">
        <f>[1]!Table3[[#This Row],[Incentive Disbursements]]/'[1]1.) CLM Reference'!$B$5</f>
        <v>0</v>
      </c>
      <c r="H896" s="40">
        <v>2422.8848736</v>
      </c>
      <c r="I896" s="36">
        <f>[1]!Table3[[#This Row],[Residential CLM $ Collected]]/'[1]1.) CLM Reference'!$B$4</f>
        <v>2.1494966182411246E-5</v>
      </c>
      <c r="J896" s="41">
        <v>0</v>
      </c>
      <c r="K896" s="36">
        <f>[1]!Table3[[#This Row],[Residential Incentive Disbursements]]/'[1]1.) CLM Reference'!$B$5</f>
        <v>0</v>
      </c>
      <c r="L896" s="37">
        <v>0</v>
      </c>
      <c r="M896" s="36">
        <f>[1]!Table3[[#This Row],[C&amp;I CLM $ Collected]]/'[1]1.) CLM Reference'!$B$4</f>
        <v>0</v>
      </c>
      <c r="N896" s="41">
        <v>0</v>
      </c>
      <c r="O896" s="36">
        <f>[1]!Table3[[#This Row],[C&amp;I Incentive Disbursements]]/'[1]1.) CLM Reference'!$B$5</f>
        <v>0</v>
      </c>
      <c r="Q896">
        <f>VLOOKUP(Table3[[#This Row],[Census Tract]],'Population and Diversity Data'!$B$2:$K$823,10,FALSE)</f>
        <v>2</v>
      </c>
      <c r="R896" t="str">
        <f>VLOOKUP(Table3[[#This Row],[Census Tract]],'ES Energy Burden'!$B$2:$E$914,4,FALSE)</f>
        <v>No</v>
      </c>
    </row>
    <row r="897" spans="1:18" x14ac:dyDescent="0.2">
      <c r="A897" s="100">
        <v>9005293100</v>
      </c>
      <c r="B897" s="38" t="s">
        <v>2868</v>
      </c>
      <c r="C897" s="38" t="s">
        <v>944</v>
      </c>
      <c r="D897" s="40">
        <f>[1]!Table3[[#This Row],[Residential CLM $ Collected]]+[1]!Table3[[#This Row],[C&amp;I CLM $ Collected]]</f>
        <v>6067.4323103999996</v>
      </c>
      <c r="E897" s="36">
        <f>[1]!Table3[[#This Row],[CLM $ Collected ]]/'[1]1.) CLM Reference'!$B$4</f>
        <v>5.3828084754326862E-5</v>
      </c>
      <c r="F897" s="40">
        <f>[1]!Table3[[#This Row],[Residential Incentive Disbursements]]+[1]!Table3[[#This Row],[C&amp;I Incentive Disbursements]]</f>
        <v>1576.65</v>
      </c>
      <c r="G897" s="36">
        <f>[1]!Table3[[#This Row],[Incentive Disbursements]]/'[1]1.) CLM Reference'!$B$5</f>
        <v>1.9289764208723227E-5</v>
      </c>
      <c r="H897" s="40">
        <v>6067.4323103999996</v>
      </c>
      <c r="I897" s="36">
        <f>[1]!Table3[[#This Row],[Residential CLM $ Collected]]/'[1]1.) CLM Reference'!$B$4</f>
        <v>5.3828084754326862E-5</v>
      </c>
      <c r="J897" s="41">
        <v>1576.65</v>
      </c>
      <c r="K897" s="36">
        <f>[1]!Table3[[#This Row],[Residential Incentive Disbursements]]/'[1]1.) CLM Reference'!$B$5</f>
        <v>1.9289764208723227E-5</v>
      </c>
      <c r="L897" s="37">
        <v>0</v>
      </c>
      <c r="M897" s="36">
        <f>[1]!Table3[[#This Row],[C&amp;I CLM $ Collected]]/'[1]1.) CLM Reference'!$B$4</f>
        <v>0</v>
      </c>
      <c r="N897" s="41">
        <v>0</v>
      </c>
      <c r="O897" s="36">
        <f>[1]!Table3[[#This Row],[C&amp;I Incentive Disbursements]]/'[1]1.) CLM Reference'!$B$5</f>
        <v>0</v>
      </c>
      <c r="Q897">
        <f>VLOOKUP(Table3[[#This Row],[Census Tract]],'Population and Diversity Data'!$B$2:$K$823,10,FALSE)</f>
        <v>1</v>
      </c>
      <c r="R897" t="str">
        <f>VLOOKUP(Table3[[#This Row],[Census Tract]],'ES Energy Burden'!$B$2:$E$914,4,FALSE)</f>
        <v>No</v>
      </c>
    </row>
    <row r="898" spans="1:18" x14ac:dyDescent="0.2">
      <c r="A898" s="100">
        <v>9005310700</v>
      </c>
      <c r="B898" s="38" t="s">
        <v>2868</v>
      </c>
      <c r="C898" s="38" t="s">
        <v>944</v>
      </c>
      <c r="D898" s="40">
        <f>[1]!Table3[[#This Row],[Residential CLM $ Collected]]+[1]!Table3[[#This Row],[C&amp;I CLM $ Collected]]</f>
        <v>515.61999360000004</v>
      </c>
      <c r="E898" s="36">
        <f>[1]!Table3[[#This Row],[CLM $ Collected ]]/'[1]1.) CLM Reference'!$B$4</f>
        <v>4.5743957734728354E-6</v>
      </c>
      <c r="F898" s="40">
        <f>[1]!Table3[[#This Row],[Residential Incentive Disbursements]]+[1]!Table3[[#This Row],[C&amp;I Incentive Disbursements]]</f>
        <v>0</v>
      </c>
      <c r="G898" s="36">
        <f>[1]!Table3[[#This Row],[Incentive Disbursements]]/'[1]1.) CLM Reference'!$B$5</f>
        <v>0</v>
      </c>
      <c r="H898" s="40">
        <v>515.61999360000004</v>
      </c>
      <c r="I898" s="36">
        <f>[1]!Table3[[#This Row],[Residential CLM $ Collected]]/'[1]1.) CLM Reference'!$B$4</f>
        <v>4.5743957734728354E-6</v>
      </c>
      <c r="J898" s="41">
        <v>0</v>
      </c>
      <c r="K898" s="36">
        <f>[1]!Table3[[#This Row],[Residential Incentive Disbursements]]/'[1]1.) CLM Reference'!$B$5</f>
        <v>0</v>
      </c>
      <c r="L898" s="37">
        <v>0</v>
      </c>
      <c r="M898" s="36">
        <f>[1]!Table3[[#This Row],[C&amp;I CLM $ Collected]]/'[1]1.) CLM Reference'!$B$4</f>
        <v>0</v>
      </c>
      <c r="N898" s="41">
        <v>0</v>
      </c>
      <c r="O898" s="36">
        <f>[1]!Table3[[#This Row],[C&amp;I Incentive Disbursements]]/'[1]1.) CLM Reference'!$B$5</f>
        <v>0</v>
      </c>
      <c r="Q898">
        <f>VLOOKUP(Table3[[#This Row],[Census Tract]],'Population and Diversity Data'!$B$2:$K$823,10,FALSE)</f>
        <v>1</v>
      </c>
      <c r="R898" t="str">
        <f>VLOOKUP(Table3[[#This Row],[Census Tract]],'ES Energy Burden'!$B$2:$E$914,4,FALSE)</f>
        <v>No</v>
      </c>
    </row>
    <row r="899" spans="1:18" x14ac:dyDescent="0.2">
      <c r="A899" s="100">
        <v>9005320100</v>
      </c>
      <c r="B899" s="38" t="s">
        <v>2868</v>
      </c>
      <c r="C899" s="38" t="s">
        <v>944</v>
      </c>
      <c r="D899" s="40">
        <f>[1]!Table3[[#This Row],[Residential CLM $ Collected]]+[1]!Table3[[#This Row],[C&amp;I CLM $ Collected]]</f>
        <v>180682.43084640004</v>
      </c>
      <c r="E899" s="36">
        <f>[1]!Table3[[#This Row],[CLM $ Collected ]]/'[1]1.) CLM Reference'!$B$4</f>
        <v>1.6029497658419933E-3</v>
      </c>
      <c r="F899" s="40">
        <f>[1]!Table3[[#This Row],[Residential Incentive Disbursements]]+[1]!Table3[[#This Row],[C&amp;I Incentive Disbursements]]</f>
        <v>114368.24100000001</v>
      </c>
      <c r="G899" s="36">
        <f>[1]!Table3[[#This Row],[Incentive Disbursements]]/'[1]1.) CLM Reference'!$B$5</f>
        <v>1.3992556381292186E-3</v>
      </c>
      <c r="H899" s="40">
        <v>112367.13834528001</v>
      </c>
      <c r="I899" s="36">
        <f>[1]!Table3[[#This Row],[Residential CLM $ Collected]]/'[1]1.) CLM Reference'!$B$4</f>
        <v>9.9688097650192848E-4</v>
      </c>
      <c r="J899" s="41">
        <v>28255.501</v>
      </c>
      <c r="K899" s="36">
        <f>[1]!Table3[[#This Row],[Residential Incentive Disbursements]]/'[1]1.) CLM Reference'!$B$5</f>
        <v>3.4569622420279917E-4</v>
      </c>
      <c r="L899" s="37">
        <v>68315.292501120013</v>
      </c>
      <c r="M899" s="36">
        <f>[1]!Table3[[#This Row],[C&amp;I CLM $ Collected]]/'[1]1.) CLM Reference'!$B$4</f>
        <v>6.0606878934006453E-4</v>
      </c>
      <c r="N899" s="41">
        <v>86112.74</v>
      </c>
      <c r="O899" s="36">
        <f>[1]!Table3[[#This Row],[C&amp;I Incentive Disbursements]]/'[1]1.) CLM Reference'!$B$5</f>
        <v>1.0535594139264193E-3</v>
      </c>
      <c r="Q899">
        <f>VLOOKUP(Table3[[#This Row],[Census Tract]],'Population and Diversity Data'!$B$2:$K$823,10,FALSE)</f>
        <v>1</v>
      </c>
      <c r="R899" t="str">
        <f>VLOOKUP(Table3[[#This Row],[Census Tract]],'ES Energy Burden'!$B$2:$E$914,4,FALSE)</f>
        <v>No</v>
      </c>
    </row>
    <row r="900" spans="1:18" x14ac:dyDescent="0.2">
      <c r="A900" s="100">
        <v>9005320200</v>
      </c>
      <c r="B900" s="38" t="s">
        <v>2868</v>
      </c>
      <c r="C900" s="38" t="s">
        <v>944</v>
      </c>
      <c r="D900" s="40">
        <f>[1]!Table3[[#This Row],[Residential CLM $ Collected]]+[1]!Table3[[#This Row],[C&amp;I CLM $ Collected]]</f>
        <v>83128.746026879991</v>
      </c>
      <c r="E900" s="36">
        <f>[1]!Table3[[#This Row],[CLM $ Collected ]]/'[1]1.) CLM Reference'!$B$4</f>
        <v>7.374884395473072E-4</v>
      </c>
      <c r="F900" s="40">
        <f>[1]!Table3[[#This Row],[Residential Incentive Disbursements]]+[1]!Table3[[#This Row],[C&amp;I Incentive Disbursements]]</f>
        <v>13461.21</v>
      </c>
      <c r="G900" s="36">
        <f>[1]!Table3[[#This Row],[Incentive Disbursements]]/'[1]1.) CLM Reference'!$B$5</f>
        <v>1.6469322098379931E-4</v>
      </c>
      <c r="H900" s="40">
        <v>83128.746026879991</v>
      </c>
      <c r="I900" s="36">
        <f>[1]!Table3[[#This Row],[Residential CLM $ Collected]]/'[1]1.) CLM Reference'!$B$4</f>
        <v>7.374884395473072E-4</v>
      </c>
      <c r="J900" s="41">
        <v>13461.21</v>
      </c>
      <c r="K900" s="36">
        <f>[1]!Table3[[#This Row],[Residential Incentive Disbursements]]/'[1]1.) CLM Reference'!$B$5</f>
        <v>1.6469322098379931E-4</v>
      </c>
      <c r="L900" s="37">
        <v>0</v>
      </c>
      <c r="M900" s="36">
        <f>[1]!Table3[[#This Row],[C&amp;I CLM $ Collected]]/'[1]1.) CLM Reference'!$B$4</f>
        <v>0</v>
      </c>
      <c r="N900" s="41">
        <v>0</v>
      </c>
      <c r="O900" s="36">
        <f>[1]!Table3[[#This Row],[C&amp;I Incentive Disbursements]]/'[1]1.) CLM Reference'!$B$5</f>
        <v>0</v>
      </c>
      <c r="Q900">
        <f>VLOOKUP(Table3[[#This Row],[Census Tract]],'Population and Diversity Data'!$B$2:$K$823,10,FALSE)</f>
        <v>3</v>
      </c>
      <c r="R900" t="str">
        <f>VLOOKUP(Table3[[#This Row],[Census Tract]],'ES Energy Burden'!$B$2:$E$914,4,FALSE)</f>
        <v>No</v>
      </c>
    </row>
    <row r="901" spans="1:18" x14ac:dyDescent="0.2">
      <c r="A901" s="100">
        <v>9013881500</v>
      </c>
      <c r="B901" s="38" t="s">
        <v>2869</v>
      </c>
      <c r="C901" s="38" t="s">
        <v>944</v>
      </c>
      <c r="D901" s="40">
        <f>[1]!Table3[[#This Row],[Residential CLM $ Collected]]+[1]!Table3[[#This Row],[C&amp;I CLM $ Collected]]</f>
        <v>3206.7462816000002</v>
      </c>
      <c r="E901" s="36">
        <f>[1]!Table3[[#This Row],[CLM $ Collected ]]/'[1]1.) CLM Reference'!$B$4</f>
        <v>2.8449103640714156E-5</v>
      </c>
      <c r="F901" s="40">
        <f>[1]!Table3[[#This Row],[Residential Incentive Disbursements]]+[1]!Table3[[#This Row],[C&amp;I Incentive Disbursements]]</f>
        <v>0</v>
      </c>
      <c r="G901" s="36">
        <f>[1]!Table3[[#This Row],[Incentive Disbursements]]/'[1]1.) CLM Reference'!$B$5</f>
        <v>0</v>
      </c>
      <c r="H901" s="40">
        <v>3206.7462816000002</v>
      </c>
      <c r="I901" s="36">
        <f>[1]!Table3[[#This Row],[Residential CLM $ Collected]]/'[1]1.) CLM Reference'!$B$4</f>
        <v>2.8449103640714156E-5</v>
      </c>
      <c r="J901" s="41">
        <v>0</v>
      </c>
      <c r="K901" s="36">
        <f>[1]!Table3[[#This Row],[Residential Incentive Disbursements]]/'[1]1.) CLM Reference'!$B$5</f>
        <v>0</v>
      </c>
      <c r="L901" s="37">
        <v>0</v>
      </c>
      <c r="M901" s="36">
        <f>[1]!Table3[[#This Row],[C&amp;I CLM $ Collected]]/'[1]1.) CLM Reference'!$B$4</f>
        <v>0</v>
      </c>
      <c r="N901" s="41">
        <v>0</v>
      </c>
      <c r="O901" s="36">
        <f>[1]!Table3[[#This Row],[C&amp;I Incentive Disbursements]]/'[1]1.) CLM Reference'!$B$5</f>
        <v>0</v>
      </c>
      <c r="Q901">
        <f>VLOOKUP(Table3[[#This Row],[Census Tract]],'Population and Diversity Data'!$B$2:$K$823,10,FALSE)</f>
        <v>4</v>
      </c>
      <c r="R901" t="str">
        <f>VLOOKUP(Table3[[#This Row],[Census Tract]],'ES Energy Burden'!$B$2:$E$914,4,FALSE)</f>
        <v>No</v>
      </c>
    </row>
    <row r="902" spans="1:18" x14ac:dyDescent="0.2">
      <c r="A902" s="100">
        <v>9015800300</v>
      </c>
      <c r="B902" s="38" t="s">
        <v>2869</v>
      </c>
      <c r="C902" s="38" t="s">
        <v>944</v>
      </c>
      <c r="D902" s="40">
        <f>[1]!Table3[[#This Row],[Residential CLM $ Collected]]+[1]!Table3[[#This Row],[C&amp;I CLM $ Collected]]</f>
        <v>46300.286966400003</v>
      </c>
      <c r="E902" s="36">
        <f>[1]!Table3[[#This Row],[CLM $ Collected ]]/'[1]1.) CLM Reference'!$B$4</f>
        <v>4.1075955090675437E-4</v>
      </c>
      <c r="F902" s="40">
        <f>[1]!Table3[[#This Row],[Residential Incentive Disbursements]]+[1]!Table3[[#This Row],[C&amp;I Incentive Disbursements]]</f>
        <v>43359.29</v>
      </c>
      <c r="G902" s="36">
        <f>[1]!Table3[[#This Row],[Incentive Disbursements]]/'[1]1.) CLM Reference'!$B$5</f>
        <v>5.3048582777258802E-4</v>
      </c>
      <c r="H902" s="40">
        <v>46300.286966400003</v>
      </c>
      <c r="I902" s="36">
        <f>[1]!Table3[[#This Row],[Residential CLM $ Collected]]/'[1]1.) CLM Reference'!$B$4</f>
        <v>4.1075955090675437E-4</v>
      </c>
      <c r="J902" s="41">
        <v>43359.29</v>
      </c>
      <c r="K902" s="36">
        <f>[1]!Table3[[#This Row],[Residential Incentive Disbursements]]/'[1]1.) CLM Reference'!$B$5</f>
        <v>5.3048582777258802E-4</v>
      </c>
      <c r="L902" s="37">
        <v>0</v>
      </c>
      <c r="M902" s="36">
        <f>[1]!Table3[[#This Row],[C&amp;I CLM $ Collected]]/'[1]1.) CLM Reference'!$B$4</f>
        <v>0</v>
      </c>
      <c r="N902" s="41">
        <v>0</v>
      </c>
      <c r="O902" s="36">
        <f>[1]!Table3[[#This Row],[C&amp;I Incentive Disbursements]]/'[1]1.) CLM Reference'!$B$5</f>
        <v>0</v>
      </c>
      <c r="Q902">
        <f>VLOOKUP(Table3[[#This Row],[Census Tract]],'Population and Diversity Data'!$B$2:$K$823,10,FALSE)</f>
        <v>5</v>
      </c>
      <c r="R902" t="str">
        <f>VLOOKUP(Table3[[#This Row],[Census Tract]],'ES Energy Burden'!$B$2:$E$914,4,FALSE)</f>
        <v>Yes</v>
      </c>
    </row>
    <row r="903" spans="1:18" x14ac:dyDescent="0.2">
      <c r="A903" s="100">
        <v>9015800400</v>
      </c>
      <c r="B903" s="38" t="s">
        <v>2869</v>
      </c>
      <c r="C903" s="38" t="s">
        <v>944</v>
      </c>
      <c r="D903" s="40">
        <f>[1]!Table3[[#This Row],[Residential CLM $ Collected]]+[1]!Table3[[#This Row],[C&amp;I CLM $ Collected]]</f>
        <v>60159.073014720001</v>
      </c>
      <c r="E903" s="36">
        <f>[1]!Table3[[#This Row],[CLM $ Collected ]]/'[1]1.) CLM Reference'!$B$4</f>
        <v>5.337097334283409E-4</v>
      </c>
      <c r="F903" s="40">
        <f>[1]!Table3[[#This Row],[Residential Incentive Disbursements]]+[1]!Table3[[#This Row],[C&amp;I Incentive Disbursements]]</f>
        <v>17243.333500000001</v>
      </c>
      <c r="G903" s="36">
        <f>[1]!Table3[[#This Row],[Incentive Disbursements]]/'[1]1.) CLM Reference'!$B$5</f>
        <v>2.1096618614618222E-4</v>
      </c>
      <c r="H903" s="40">
        <v>60159.073014720001</v>
      </c>
      <c r="I903" s="36">
        <f>[1]!Table3[[#This Row],[Residential CLM $ Collected]]/'[1]1.) CLM Reference'!$B$4</f>
        <v>5.337097334283409E-4</v>
      </c>
      <c r="J903" s="41">
        <v>17243.333500000001</v>
      </c>
      <c r="K903" s="36">
        <f>[1]!Table3[[#This Row],[Residential Incentive Disbursements]]/'[1]1.) CLM Reference'!$B$5</f>
        <v>2.1096618614618222E-4</v>
      </c>
      <c r="L903" s="37">
        <v>0</v>
      </c>
      <c r="M903" s="36">
        <f>[1]!Table3[[#This Row],[C&amp;I CLM $ Collected]]/'[1]1.) CLM Reference'!$B$4</f>
        <v>0</v>
      </c>
      <c r="N903" s="41">
        <v>0</v>
      </c>
      <c r="O903" s="36">
        <f>[1]!Table3[[#This Row],[C&amp;I Incentive Disbursements]]/'[1]1.) CLM Reference'!$B$5</f>
        <v>0</v>
      </c>
      <c r="Q903">
        <f>VLOOKUP(Table3[[#This Row],[Census Tract]],'Population and Diversity Data'!$B$2:$K$823,10,FALSE)</f>
        <v>5</v>
      </c>
      <c r="R903" t="str">
        <f>VLOOKUP(Table3[[#This Row],[Census Tract]],'ES Energy Burden'!$B$2:$E$914,4,FALSE)</f>
        <v>No</v>
      </c>
    </row>
    <row r="904" spans="1:18" x14ac:dyDescent="0.2">
      <c r="A904" s="100">
        <v>9015800500</v>
      </c>
      <c r="B904" s="38" t="s">
        <v>2869</v>
      </c>
      <c r="C904" s="38" t="s">
        <v>944</v>
      </c>
      <c r="D904" s="40">
        <f>[1]!Table3[[#This Row],[Residential CLM $ Collected]]+[1]!Table3[[#This Row],[C&amp;I CLM $ Collected]]</f>
        <v>292503.24829727999</v>
      </c>
      <c r="E904" s="36">
        <f>[1]!Table3[[#This Row],[CLM $ Collected ]]/'[1]1.) CLM Reference'!$B$4</f>
        <v>2.5949839791824408E-3</v>
      </c>
      <c r="F904" s="40">
        <f>[1]!Table3[[#This Row],[Residential Incentive Disbursements]]+[1]!Table3[[#This Row],[C&amp;I Incentive Disbursements]]</f>
        <v>489387.0355</v>
      </c>
      <c r="G904" s="36">
        <f>[1]!Table3[[#This Row],[Incentive Disbursements]]/'[1]1.) CLM Reference'!$B$5</f>
        <v>5.9874801139130837E-3</v>
      </c>
      <c r="H904" s="40">
        <v>129961.80809568001</v>
      </c>
      <c r="I904" s="36">
        <f>[1]!Table3[[#This Row],[Residential CLM $ Collected]]/'[1]1.) CLM Reference'!$B$4</f>
        <v>1.1529745802040332E-3</v>
      </c>
      <c r="J904" s="41">
        <v>408720.65419999999</v>
      </c>
      <c r="K904" s="36">
        <f>[1]!Table3[[#This Row],[Residential Incentive Disbursements]]/'[1]1.) CLM Reference'!$B$5</f>
        <v>5.0005550038075049E-3</v>
      </c>
      <c r="L904" s="37">
        <v>162541.44020159999</v>
      </c>
      <c r="M904" s="36">
        <f>[1]!Table3[[#This Row],[C&amp;I CLM $ Collected]]/'[1]1.) CLM Reference'!$B$4</f>
        <v>1.4420093989784078E-3</v>
      </c>
      <c r="N904" s="41">
        <v>80666.381299999994</v>
      </c>
      <c r="O904" s="36">
        <f>[1]!Table3[[#This Row],[C&amp;I Incentive Disbursements]]/'[1]1.) CLM Reference'!$B$5</f>
        <v>9.8692511010557856E-4</v>
      </c>
      <c r="Q904">
        <f>VLOOKUP(Table3[[#This Row],[Census Tract]],'Population and Diversity Data'!$B$2:$K$823,10,FALSE)</f>
        <v>5</v>
      </c>
      <c r="R904" t="str">
        <f>VLOOKUP(Table3[[#This Row],[Census Tract]],'ES Energy Burden'!$B$2:$E$914,4,FALSE)</f>
        <v>No</v>
      </c>
    </row>
    <row r="905" spans="1:18" x14ac:dyDescent="0.2">
      <c r="A905" s="100">
        <v>9015800600</v>
      </c>
      <c r="B905" s="38" t="s">
        <v>2869</v>
      </c>
      <c r="C905" s="38" t="s">
        <v>944</v>
      </c>
      <c r="D905" s="40">
        <f>[1]!Table3[[#This Row],[Residential CLM $ Collected]]+[1]!Table3[[#This Row],[C&amp;I CLM $ Collected]]</f>
        <v>64791.193204800002</v>
      </c>
      <c r="E905" s="36">
        <f>[1]!Table3[[#This Row],[CLM $ Collected ]]/'[1]1.) CLM Reference'!$B$4</f>
        <v>5.748042434991779E-4</v>
      </c>
      <c r="F905" s="40">
        <f>[1]!Table3[[#This Row],[Residential Incentive Disbursements]]+[1]!Table3[[#This Row],[C&amp;I Incentive Disbursements]]</f>
        <v>890.52359999999999</v>
      </c>
      <c r="G905" s="36">
        <f>[1]!Table3[[#This Row],[Incentive Disbursements]]/'[1]1.) CLM Reference'!$B$5</f>
        <v>1.0895246418864909E-5</v>
      </c>
      <c r="H905" s="40">
        <v>64791.193204800002</v>
      </c>
      <c r="I905" s="36">
        <f>[1]!Table3[[#This Row],[Residential CLM $ Collected]]/'[1]1.) CLM Reference'!$B$4</f>
        <v>5.748042434991779E-4</v>
      </c>
      <c r="J905" s="41">
        <v>890.52359999999999</v>
      </c>
      <c r="K905" s="36">
        <f>[1]!Table3[[#This Row],[Residential Incentive Disbursements]]/'[1]1.) CLM Reference'!$B$5</f>
        <v>1.0895246418864909E-5</v>
      </c>
      <c r="L905" s="37">
        <v>0</v>
      </c>
      <c r="M905" s="36">
        <f>[1]!Table3[[#This Row],[C&amp;I CLM $ Collected]]/'[1]1.) CLM Reference'!$B$4</f>
        <v>0</v>
      </c>
      <c r="N905" s="41">
        <v>0</v>
      </c>
      <c r="O905" s="36">
        <f>[1]!Table3[[#This Row],[C&amp;I Incentive Disbursements]]/'[1]1.) CLM Reference'!$B$5</f>
        <v>0</v>
      </c>
      <c r="Q905">
        <f>VLOOKUP(Table3[[#This Row],[Census Tract]],'Population and Diversity Data'!$B$2:$K$823,10,FALSE)</f>
        <v>5</v>
      </c>
      <c r="R905" t="str">
        <f>VLOOKUP(Table3[[#This Row],[Census Tract]],'ES Energy Burden'!$B$2:$E$914,4,FALSE)</f>
        <v>Yes</v>
      </c>
    </row>
    <row r="906" spans="1:18" x14ac:dyDescent="0.2">
      <c r="A906" s="100">
        <v>9015800700</v>
      </c>
      <c r="B906" s="38" t="s">
        <v>2869</v>
      </c>
      <c r="C906" s="38" t="s">
        <v>944</v>
      </c>
      <c r="D906" s="40">
        <f>[1]!Table3[[#This Row],[Residential CLM $ Collected]]+[1]!Table3[[#This Row],[C&amp;I CLM $ Collected]]</f>
        <v>41272.490139839996</v>
      </c>
      <c r="E906" s="36">
        <f>[1]!Table3[[#This Row],[CLM $ Collected ]]/'[1]1.) CLM Reference'!$B$4</f>
        <v>3.6615473953642927E-4</v>
      </c>
      <c r="F906" s="40">
        <f>[1]!Table3[[#This Row],[Residential Incentive Disbursements]]+[1]!Table3[[#This Row],[C&amp;I Incentive Disbursements]]</f>
        <v>41619.35</v>
      </c>
      <c r="G906" s="36">
        <f>[1]!Table3[[#This Row],[Incentive Disbursements]]/'[1]1.) CLM Reference'!$B$5</f>
        <v>5.0919826722501825E-4</v>
      </c>
      <c r="H906" s="40">
        <v>41272.490139839996</v>
      </c>
      <c r="I906" s="36">
        <f>[1]!Table3[[#This Row],[Residential CLM $ Collected]]/'[1]1.) CLM Reference'!$B$4</f>
        <v>3.6615473953642927E-4</v>
      </c>
      <c r="J906" s="41">
        <v>41619.35</v>
      </c>
      <c r="K906" s="36">
        <f>[1]!Table3[[#This Row],[Residential Incentive Disbursements]]/'[1]1.) CLM Reference'!$B$5</f>
        <v>5.0919826722501825E-4</v>
      </c>
      <c r="L906" s="37">
        <v>0</v>
      </c>
      <c r="M906" s="36">
        <f>[1]!Table3[[#This Row],[C&amp;I CLM $ Collected]]/'[1]1.) CLM Reference'!$B$4</f>
        <v>0</v>
      </c>
      <c r="N906" s="41">
        <v>0</v>
      </c>
      <c r="O906" s="36">
        <f>[1]!Table3[[#This Row],[C&amp;I Incentive Disbursements]]/'[1]1.) CLM Reference'!$B$5</f>
        <v>0</v>
      </c>
      <c r="Q906">
        <f>VLOOKUP(Table3[[#This Row],[Census Tract]],'Population and Diversity Data'!$B$2:$K$823,10,FALSE)</f>
        <v>5</v>
      </c>
      <c r="R906" t="str">
        <f>VLOOKUP(Table3[[#This Row],[Census Tract]],'ES Energy Burden'!$B$2:$E$914,4,FALSE)</f>
        <v>Yes</v>
      </c>
    </row>
    <row r="907" spans="1:18" x14ac:dyDescent="0.2">
      <c r="A907" s="100">
        <v>9015815000</v>
      </c>
      <c r="B907" s="38" t="s">
        <v>2869</v>
      </c>
      <c r="C907" s="38" t="s">
        <v>944</v>
      </c>
      <c r="D907" s="40">
        <f>[1]!Table3[[#This Row],[Residential CLM $ Collected]]+[1]!Table3[[#This Row],[C&amp;I CLM $ Collected]]</f>
        <v>265.50331199999999</v>
      </c>
      <c r="E907" s="36">
        <f>[1]!Table3[[#This Row],[CLM $ Collected ]]/'[1]1.) CLM Reference'!$B$4</f>
        <v>2.3554502217344571E-6</v>
      </c>
      <c r="F907" s="40">
        <f>[1]!Table3[[#This Row],[Residential Incentive Disbursements]]+[1]!Table3[[#This Row],[C&amp;I Incentive Disbursements]]</f>
        <v>0</v>
      </c>
      <c r="G907" s="36">
        <f>[1]!Table3[[#This Row],[Incentive Disbursements]]/'[1]1.) CLM Reference'!$B$5</f>
        <v>0</v>
      </c>
      <c r="H907" s="40">
        <v>265.50331199999999</v>
      </c>
      <c r="I907" s="36">
        <f>[1]!Table3[[#This Row],[Residential CLM $ Collected]]/'[1]1.) CLM Reference'!$B$4</f>
        <v>2.3554502217344571E-6</v>
      </c>
      <c r="J907" s="41">
        <v>0</v>
      </c>
      <c r="K907" s="36">
        <f>[1]!Table3[[#This Row],[Residential Incentive Disbursements]]/'[1]1.) CLM Reference'!$B$5</f>
        <v>0</v>
      </c>
      <c r="L907" s="37">
        <v>0</v>
      </c>
      <c r="M907" s="36">
        <f>[1]!Table3[[#This Row],[C&amp;I CLM $ Collected]]/'[1]1.) CLM Reference'!$B$4</f>
        <v>0</v>
      </c>
      <c r="N907" s="41">
        <v>0</v>
      </c>
      <c r="O907" s="36">
        <f>[1]!Table3[[#This Row],[C&amp;I Incentive Disbursements]]/'[1]1.) CLM Reference'!$B$5</f>
        <v>0</v>
      </c>
      <c r="Q907">
        <f>VLOOKUP(Table3[[#This Row],[Census Tract]],'Population and Diversity Data'!$B$2:$K$823,10,FALSE)</f>
        <v>5</v>
      </c>
      <c r="R907" t="str">
        <f>VLOOKUP(Table3[[#This Row],[Census Tract]],'ES Energy Burden'!$B$2:$E$914,4,FALSE)</f>
        <v>No</v>
      </c>
    </row>
    <row r="908" spans="1:18" x14ac:dyDescent="0.2">
      <c r="A908" s="100">
        <v>9015825000</v>
      </c>
      <c r="B908" s="38" t="s">
        <v>2869</v>
      </c>
      <c r="C908" s="38" t="s">
        <v>944</v>
      </c>
      <c r="D908" s="40">
        <f>[1]!Table3[[#This Row],[Residential CLM $ Collected]]+[1]!Table3[[#This Row],[C&amp;I CLM $ Collected]]</f>
        <v>399.06829440000001</v>
      </c>
      <c r="E908" s="36">
        <f>[1]!Table3[[#This Row],[CLM $ Collected ]]/'[1]1.) CLM Reference'!$B$4</f>
        <v>3.5403908729081002E-6</v>
      </c>
      <c r="F908" s="40">
        <f>[1]!Table3[[#This Row],[Residential Incentive Disbursements]]+[1]!Table3[[#This Row],[C&amp;I Incentive Disbursements]]</f>
        <v>0</v>
      </c>
      <c r="G908" s="36">
        <f>[1]!Table3[[#This Row],[Incentive Disbursements]]/'[1]1.) CLM Reference'!$B$5</f>
        <v>0</v>
      </c>
      <c r="H908" s="40">
        <v>399.06829440000001</v>
      </c>
      <c r="I908" s="36">
        <f>[1]!Table3[[#This Row],[Residential CLM $ Collected]]/'[1]1.) CLM Reference'!$B$4</f>
        <v>3.5403908729081002E-6</v>
      </c>
      <c r="J908" s="41">
        <v>0</v>
      </c>
      <c r="K908" s="36">
        <f>[1]!Table3[[#This Row],[Residential Incentive Disbursements]]/'[1]1.) CLM Reference'!$B$5</f>
        <v>0</v>
      </c>
      <c r="L908" s="37">
        <v>0</v>
      </c>
      <c r="M908" s="36">
        <f>[1]!Table3[[#This Row],[C&amp;I CLM $ Collected]]/'[1]1.) CLM Reference'!$B$4</f>
        <v>0</v>
      </c>
      <c r="N908" s="41">
        <v>0</v>
      </c>
      <c r="O908" s="36">
        <f>[1]!Table3[[#This Row],[C&amp;I Incentive Disbursements]]/'[1]1.) CLM Reference'!$B$5</f>
        <v>0</v>
      </c>
      <c r="Q908">
        <f>VLOOKUP(Table3[[#This Row],[Census Tract]],'Population and Diversity Data'!$B$2:$K$823,10,FALSE)</f>
        <v>2</v>
      </c>
      <c r="R908" t="str">
        <f>VLOOKUP(Table3[[#This Row],[Census Tract]],'ES Energy Burden'!$B$2:$E$914,4,FALSE)</f>
        <v>No</v>
      </c>
    </row>
    <row r="909" spans="1:18" x14ac:dyDescent="0.2">
      <c r="A909" s="100">
        <v>9003470100</v>
      </c>
      <c r="B909" s="38" t="s">
        <v>2870</v>
      </c>
      <c r="C909" s="38" t="s">
        <v>944</v>
      </c>
      <c r="D909" s="40">
        <f>[1]!Table3[[#This Row],[Residential CLM $ Collected]]+[1]!Table3[[#This Row],[C&amp;I CLM $ Collected]]</f>
        <v>284.12588160000001</v>
      </c>
      <c r="E909" s="36">
        <f>[1]!Table3[[#This Row],[CLM $ Collected ]]/'[1]1.) CLM Reference'!$B$4</f>
        <v>2.5206629844799003E-6</v>
      </c>
      <c r="F909" s="40">
        <f>[1]!Table3[[#This Row],[Residential Incentive Disbursements]]+[1]!Table3[[#This Row],[C&amp;I Incentive Disbursements]]</f>
        <v>0</v>
      </c>
      <c r="G909" s="36">
        <f>[1]!Table3[[#This Row],[Incentive Disbursements]]/'[1]1.) CLM Reference'!$B$5</f>
        <v>0</v>
      </c>
      <c r="H909" s="40">
        <v>284.12588160000001</v>
      </c>
      <c r="I909" s="36">
        <f>[1]!Table3[[#This Row],[Residential CLM $ Collected]]/'[1]1.) CLM Reference'!$B$4</f>
        <v>2.5206629844799003E-6</v>
      </c>
      <c r="J909" s="41">
        <v>0</v>
      </c>
      <c r="K909" s="36">
        <f>[1]!Table3[[#This Row],[Residential Incentive Disbursements]]/'[1]1.) CLM Reference'!$B$5</f>
        <v>0</v>
      </c>
      <c r="L909" s="37">
        <v>0</v>
      </c>
      <c r="M909" s="36">
        <f>[1]!Table3[[#This Row],[C&amp;I CLM $ Collected]]/'[1]1.) CLM Reference'!$B$4</f>
        <v>0</v>
      </c>
      <c r="N909" s="41">
        <v>0</v>
      </c>
      <c r="O909" s="36">
        <f>[1]!Table3[[#This Row],[C&amp;I Incentive Disbursements]]/'[1]1.) CLM Reference'!$B$5</f>
        <v>0</v>
      </c>
      <c r="Q909">
        <f>VLOOKUP(Table3[[#This Row],[Census Tract]],'Population and Diversity Data'!$B$2:$K$823,10,FALSE)</f>
        <v>3</v>
      </c>
      <c r="R909" t="str">
        <f>VLOOKUP(Table3[[#This Row],[Census Tract]],'ES Energy Burden'!$B$2:$E$914,4,FALSE)</f>
        <v>No</v>
      </c>
    </row>
    <row r="910" spans="1:18" x14ac:dyDescent="0.2">
      <c r="A910" s="100">
        <v>9003471400</v>
      </c>
      <c r="B910" s="38" t="s">
        <v>2870</v>
      </c>
      <c r="C910" s="38" t="s">
        <v>944</v>
      </c>
      <c r="D910" s="40">
        <f>[1]!Table3[[#This Row],[Residential CLM $ Collected]]+[1]!Table3[[#This Row],[C&amp;I CLM $ Collected]]</f>
        <v>152.0659872</v>
      </c>
      <c r="E910" s="36">
        <f>[1]!Table3[[#This Row],[CLM $ Collected ]]/'[1]1.) CLM Reference'!$B$4</f>
        <v>1.3490749345850311E-6</v>
      </c>
      <c r="F910" s="40">
        <f>[1]!Table3[[#This Row],[Residential Incentive Disbursements]]+[1]!Table3[[#This Row],[C&amp;I Incentive Disbursements]]</f>
        <v>0</v>
      </c>
      <c r="G910" s="36">
        <f>[1]!Table3[[#This Row],[Incentive Disbursements]]/'[1]1.) CLM Reference'!$B$5</f>
        <v>0</v>
      </c>
      <c r="H910" s="40">
        <v>152.0659872</v>
      </c>
      <c r="I910" s="36">
        <f>[1]!Table3[[#This Row],[Residential CLM $ Collected]]/'[1]1.) CLM Reference'!$B$4</f>
        <v>1.3490749345850311E-6</v>
      </c>
      <c r="J910" s="41">
        <v>0</v>
      </c>
      <c r="K910" s="36">
        <f>[1]!Table3[[#This Row],[Residential Incentive Disbursements]]/'[1]1.) CLM Reference'!$B$5</f>
        <v>0</v>
      </c>
      <c r="L910" s="37">
        <v>0</v>
      </c>
      <c r="M910" s="36">
        <f>[1]!Table3[[#This Row],[C&amp;I CLM $ Collected]]/'[1]1.) CLM Reference'!$B$4</f>
        <v>0</v>
      </c>
      <c r="N910" s="41">
        <v>0</v>
      </c>
      <c r="O910" s="36">
        <f>[1]!Table3[[#This Row],[C&amp;I Incentive Disbursements]]/'[1]1.) CLM Reference'!$B$5</f>
        <v>0</v>
      </c>
      <c r="Q910">
        <f>VLOOKUP(Table3[[#This Row],[Census Tract]],'Population and Diversity Data'!$B$2:$K$823,10,FALSE)</f>
        <v>2</v>
      </c>
      <c r="R910" t="str">
        <f>VLOOKUP(Table3[[#This Row],[Census Tract]],'ES Energy Burden'!$B$2:$E$914,4,FALSE)</f>
        <v>No</v>
      </c>
    </row>
    <row r="911" spans="1:18" x14ac:dyDescent="0.2">
      <c r="A911" s="100">
        <v>9003473100</v>
      </c>
      <c r="B911" s="38" t="s">
        <v>2870</v>
      </c>
      <c r="C911" s="38" t="s">
        <v>944</v>
      </c>
      <c r="D911" s="40">
        <f>[1]!Table3[[#This Row],[Residential CLM $ Collected]]+[1]!Table3[[#This Row],[C&amp;I CLM $ Collected]]</f>
        <v>324073.84451615997</v>
      </c>
      <c r="E911" s="36">
        <f>[1]!Table3[[#This Row],[CLM $ Collected ]]/'[1]1.) CLM Reference'!$B$4</f>
        <v>2.8750669932280431E-3</v>
      </c>
      <c r="F911" s="40">
        <f>[1]!Table3[[#This Row],[Residential Incentive Disbursements]]+[1]!Table3[[#This Row],[C&amp;I Incentive Disbursements]]</f>
        <v>305315.0306</v>
      </c>
      <c r="G911" s="36">
        <f>[1]!Table3[[#This Row],[Incentive Disbursements]]/'[1]1.) CLM Reference'!$B$5</f>
        <v>3.7354231755006607E-3</v>
      </c>
      <c r="H911" s="40">
        <v>118829.27187935999</v>
      </c>
      <c r="I911" s="36">
        <f>[1]!Table3[[#This Row],[Residential CLM $ Collected]]/'[1]1.) CLM Reference'!$B$4</f>
        <v>1.0542107090429915E-3</v>
      </c>
      <c r="J911" s="41">
        <v>227525.2506</v>
      </c>
      <c r="K911" s="36">
        <f>[1]!Table3[[#This Row],[Residential Incentive Disbursements]]/'[1]1.) CLM Reference'!$B$5</f>
        <v>2.7836922814858485E-3</v>
      </c>
      <c r="L911" s="37">
        <v>205244.5726368</v>
      </c>
      <c r="M911" s="36">
        <f>[1]!Table3[[#This Row],[C&amp;I CLM $ Collected]]/'[1]1.) CLM Reference'!$B$4</f>
        <v>1.8208562841850518E-3</v>
      </c>
      <c r="N911" s="41">
        <v>77789.78</v>
      </c>
      <c r="O911" s="36">
        <f>[1]!Table3[[#This Row],[C&amp;I Incentive Disbursements]]/'[1]1.) CLM Reference'!$B$5</f>
        <v>9.5173089401481229E-4</v>
      </c>
      <c r="Q911">
        <f>VLOOKUP(Table3[[#This Row],[Census Tract]],'Population and Diversity Data'!$B$2:$K$823,10,FALSE)</f>
        <v>1</v>
      </c>
      <c r="R911" t="str">
        <f>VLOOKUP(Table3[[#This Row],[Census Tract]],'ES Energy Burden'!$B$2:$E$914,4,FALSE)</f>
        <v>No</v>
      </c>
    </row>
    <row r="912" spans="1:18" x14ac:dyDescent="0.2">
      <c r="A912" s="100">
        <v>9003473400</v>
      </c>
      <c r="B912" s="38" t="s">
        <v>2870</v>
      </c>
      <c r="C912" s="38" t="s">
        <v>944</v>
      </c>
      <c r="D912" s="40">
        <f>[1]!Table3[[#This Row],[Residential CLM $ Collected]]+[1]!Table3[[#This Row],[C&amp;I CLM $ Collected]]</f>
        <v>31967.588649600002</v>
      </c>
      <c r="E912" s="36">
        <f>[1]!Table3[[#This Row],[CLM $ Collected ]]/'[1]1.) CLM Reference'!$B$4</f>
        <v>2.836049885999774E-4</v>
      </c>
      <c r="F912" s="40">
        <f>[1]!Table3[[#This Row],[Residential Incentive Disbursements]]+[1]!Table3[[#This Row],[C&amp;I Incentive Disbursements]]</f>
        <v>52940.47</v>
      </c>
      <c r="G912" s="36">
        <f>[1]!Table3[[#This Row],[Incentive Disbursements]]/'[1]1.) CLM Reference'!$B$5</f>
        <v>6.4770823162971225E-4</v>
      </c>
      <c r="H912" s="40">
        <v>31967.588649600002</v>
      </c>
      <c r="I912" s="36">
        <f>[1]!Table3[[#This Row],[Residential CLM $ Collected]]/'[1]1.) CLM Reference'!$B$4</f>
        <v>2.836049885999774E-4</v>
      </c>
      <c r="J912" s="41">
        <v>52940.47</v>
      </c>
      <c r="K912" s="36">
        <f>[1]!Table3[[#This Row],[Residential Incentive Disbursements]]/'[1]1.) CLM Reference'!$B$5</f>
        <v>6.4770823162971225E-4</v>
      </c>
      <c r="L912" s="37">
        <v>0</v>
      </c>
      <c r="M912" s="36">
        <f>[1]!Table3[[#This Row],[C&amp;I CLM $ Collected]]/'[1]1.) CLM Reference'!$B$4</f>
        <v>0</v>
      </c>
      <c r="N912" s="41">
        <v>0</v>
      </c>
      <c r="O912" s="36">
        <f>[1]!Table3[[#This Row],[C&amp;I Incentive Disbursements]]/'[1]1.) CLM Reference'!$B$5</f>
        <v>0</v>
      </c>
      <c r="Q912">
        <f>VLOOKUP(Table3[[#This Row],[Census Tract]],'Population and Diversity Data'!$B$2:$K$823,10,FALSE)</f>
        <v>2</v>
      </c>
      <c r="R912" t="str">
        <f>VLOOKUP(Table3[[#This Row],[Census Tract]],'ES Energy Burden'!$B$2:$E$914,4,FALSE)</f>
        <v>No</v>
      </c>
    </row>
    <row r="913" spans="1:18" x14ac:dyDescent="0.2">
      <c r="A913" s="100">
        <v>9003473501</v>
      </c>
      <c r="B913" s="38" t="s">
        <v>2870</v>
      </c>
      <c r="C913" s="38" t="s">
        <v>944</v>
      </c>
      <c r="D913" s="40">
        <f>[1]!Table3[[#This Row],[Residential CLM $ Collected]]+[1]!Table3[[#This Row],[C&amp;I CLM $ Collected]]</f>
        <v>82433.349060479988</v>
      </c>
      <c r="E913" s="36">
        <f>[1]!Table3[[#This Row],[CLM $ Collected ]]/'[1]1.) CLM Reference'!$B$4</f>
        <v>7.3131912690724363E-4</v>
      </c>
      <c r="F913" s="40">
        <f>[1]!Table3[[#This Row],[Residential Incentive Disbursements]]+[1]!Table3[[#This Row],[C&amp;I Incentive Disbursements]]</f>
        <v>20406.150000000001</v>
      </c>
      <c r="G913" s="36">
        <f>[1]!Table3[[#This Row],[Incentive Disbursements]]/'[1]1.) CLM Reference'!$B$5</f>
        <v>2.49662145630189E-4</v>
      </c>
      <c r="H913" s="40">
        <v>82414.184659199993</v>
      </c>
      <c r="I913" s="36">
        <f>[1]!Table3[[#This Row],[Residential CLM $ Collected]]/'[1]1.) CLM Reference'!$B$4</f>
        <v>7.3114910720803786E-4</v>
      </c>
      <c r="J913" s="41">
        <v>20406.150000000001</v>
      </c>
      <c r="K913" s="36">
        <f>[1]!Table3[[#This Row],[Residential Incentive Disbursements]]/'[1]1.) CLM Reference'!$B$5</f>
        <v>2.49662145630189E-4</v>
      </c>
      <c r="L913" s="37">
        <v>19.16440128</v>
      </c>
      <c r="M913" s="36">
        <f>[1]!Table3[[#This Row],[C&amp;I CLM $ Collected]]/'[1]1.) CLM Reference'!$B$4</f>
        <v>1.7001969920580167E-7</v>
      </c>
      <c r="N913" s="41">
        <v>0</v>
      </c>
      <c r="O913" s="36">
        <f>[1]!Table3[[#This Row],[C&amp;I Incentive Disbursements]]/'[1]1.) CLM Reference'!$B$5</f>
        <v>0</v>
      </c>
      <c r="Q913">
        <f>VLOOKUP(Table3[[#This Row],[Census Tract]],'Population and Diversity Data'!$B$2:$K$823,10,FALSE)</f>
        <v>3</v>
      </c>
      <c r="R913" t="str">
        <f>VLOOKUP(Table3[[#This Row],[Census Tract]],'ES Energy Burden'!$B$2:$E$914,4,FALSE)</f>
        <v>No</v>
      </c>
    </row>
    <row r="914" spans="1:18" x14ac:dyDescent="0.2">
      <c r="A914" s="100">
        <v>9003473502</v>
      </c>
      <c r="B914" s="38" t="s">
        <v>2870</v>
      </c>
      <c r="C914" s="38" t="s">
        <v>944</v>
      </c>
      <c r="D914" s="40">
        <f>[1]!Table3[[#This Row],[Residential CLM $ Collected]]+[1]!Table3[[#This Row],[C&amp;I CLM $ Collected]]</f>
        <v>54612.039352320004</v>
      </c>
      <c r="E914" s="36">
        <f>[1]!Table3[[#This Row],[CLM $ Collected ]]/'[1]1.) CLM Reference'!$B$4</f>
        <v>4.8449843895654698E-4</v>
      </c>
      <c r="F914" s="40">
        <f>[1]!Table3[[#This Row],[Residential Incentive Disbursements]]+[1]!Table3[[#This Row],[C&amp;I Incentive Disbursements]]</f>
        <v>15242.11</v>
      </c>
      <c r="G914" s="36">
        <f>[1]!Table3[[#This Row],[Incentive Disbursements]]/'[1]1.) CLM Reference'!$B$5</f>
        <v>1.8648191288074233E-4</v>
      </c>
      <c r="H914" s="40">
        <v>54612.039352320004</v>
      </c>
      <c r="I914" s="36">
        <f>[1]!Table3[[#This Row],[Residential CLM $ Collected]]/'[1]1.) CLM Reference'!$B$4</f>
        <v>4.8449843895654698E-4</v>
      </c>
      <c r="J914" s="41">
        <v>15242.11</v>
      </c>
      <c r="K914" s="36">
        <f>[1]!Table3[[#This Row],[Residential Incentive Disbursements]]/'[1]1.) CLM Reference'!$B$5</f>
        <v>1.8648191288074233E-4</v>
      </c>
      <c r="L914" s="37">
        <v>0</v>
      </c>
      <c r="M914" s="36">
        <f>[1]!Table3[[#This Row],[C&amp;I CLM $ Collected]]/'[1]1.) CLM Reference'!$B$4</f>
        <v>0</v>
      </c>
      <c r="N914" s="41">
        <v>0</v>
      </c>
      <c r="O914" s="36">
        <f>[1]!Table3[[#This Row],[C&amp;I Incentive Disbursements]]/'[1]1.) CLM Reference'!$B$5</f>
        <v>0</v>
      </c>
      <c r="Q914">
        <f>VLOOKUP(Table3[[#This Row],[Census Tract]],'Population and Diversity Data'!$B$2:$K$823,10,FALSE)</f>
        <v>2</v>
      </c>
      <c r="R914" t="str">
        <f>VLOOKUP(Table3[[#This Row],[Census Tract]],'ES Energy Burden'!$B$2:$E$914,4,FALSE)</f>
        <v>No</v>
      </c>
    </row>
    <row r="915" spans="1:18" x14ac:dyDescent="0.2">
      <c r="A915" s="100">
        <v>9003473601</v>
      </c>
      <c r="B915" s="38" t="s">
        <v>2870</v>
      </c>
      <c r="C915" s="38" t="s">
        <v>944</v>
      </c>
      <c r="D915" s="40">
        <f>[1]!Table3[[#This Row],[Residential CLM $ Collected]]+[1]!Table3[[#This Row],[C&amp;I CLM $ Collected]]</f>
        <v>56273.828431679998</v>
      </c>
      <c r="E915" s="36">
        <f>[1]!Table3[[#This Row],[CLM $ Collected ]]/'[1]1.) CLM Reference'!$B$4</f>
        <v>4.9924123604622845E-4</v>
      </c>
      <c r="F915" s="40">
        <f>[1]!Table3[[#This Row],[Residential Incentive Disbursements]]+[1]!Table3[[#This Row],[C&amp;I Incentive Disbursements]]</f>
        <v>30001.8174</v>
      </c>
      <c r="G915" s="36">
        <f>[1]!Table3[[#This Row],[Incentive Disbursements]]/'[1]1.) CLM Reference'!$B$5</f>
        <v>3.6706179778591932E-4</v>
      </c>
      <c r="H915" s="40">
        <v>56273.828431679998</v>
      </c>
      <c r="I915" s="36">
        <f>[1]!Table3[[#This Row],[Residential CLM $ Collected]]/'[1]1.) CLM Reference'!$B$4</f>
        <v>4.9924123604622845E-4</v>
      </c>
      <c r="J915" s="41">
        <v>30001.8174</v>
      </c>
      <c r="K915" s="36">
        <f>[1]!Table3[[#This Row],[Residential Incentive Disbursements]]/'[1]1.) CLM Reference'!$B$5</f>
        <v>3.6706179778591932E-4</v>
      </c>
      <c r="L915" s="37">
        <v>0</v>
      </c>
      <c r="M915" s="36">
        <f>[1]!Table3[[#This Row],[C&amp;I CLM $ Collected]]/'[1]1.) CLM Reference'!$B$4</f>
        <v>0</v>
      </c>
      <c r="N915" s="41">
        <v>0</v>
      </c>
      <c r="O915" s="36">
        <f>[1]!Table3[[#This Row],[C&amp;I Incentive Disbursements]]/'[1]1.) CLM Reference'!$B$5</f>
        <v>0</v>
      </c>
      <c r="Q915">
        <f>VLOOKUP(Table3[[#This Row],[Census Tract]],'Population and Diversity Data'!$B$2:$K$823,10,FALSE)</f>
        <v>3</v>
      </c>
      <c r="R915" t="str">
        <f>VLOOKUP(Table3[[#This Row],[Census Tract]],'ES Energy Burden'!$B$2:$E$914,4,FALSE)</f>
        <v>No</v>
      </c>
    </row>
    <row r="916" spans="1:18" x14ac:dyDescent="0.2">
      <c r="A916" s="100">
        <v>9003473602</v>
      </c>
      <c r="B916" s="38" t="s">
        <v>2870</v>
      </c>
      <c r="C916" s="38" t="s">
        <v>944</v>
      </c>
      <c r="D916" s="40">
        <f>[1]!Table3[[#This Row],[Residential CLM $ Collected]]+[1]!Table3[[#This Row],[C&amp;I CLM $ Collected]]</f>
        <v>40136.663324160007</v>
      </c>
      <c r="E916" s="36">
        <f>[1]!Table3[[#This Row],[CLM $ Collected ]]/'[1]1.) CLM Reference'!$B$4</f>
        <v>3.5607809113346933E-4</v>
      </c>
      <c r="F916" s="40">
        <f>[1]!Table3[[#This Row],[Residential Incentive Disbursements]]+[1]!Table3[[#This Row],[C&amp;I Incentive Disbursements]]</f>
        <v>7232.82</v>
      </c>
      <c r="G916" s="36">
        <f>[1]!Table3[[#This Row],[Incentive Disbursements]]/'[1]1.) CLM Reference'!$B$5</f>
        <v>8.8491036288420081E-5</v>
      </c>
      <c r="H916" s="40">
        <v>40136.663324160007</v>
      </c>
      <c r="I916" s="36">
        <f>[1]!Table3[[#This Row],[Residential CLM $ Collected]]/'[1]1.) CLM Reference'!$B$4</f>
        <v>3.5607809113346933E-4</v>
      </c>
      <c r="J916" s="41">
        <v>7232.82</v>
      </c>
      <c r="K916" s="36">
        <f>[1]!Table3[[#This Row],[Residential Incentive Disbursements]]/'[1]1.) CLM Reference'!$B$5</f>
        <v>8.8491036288420081E-5</v>
      </c>
      <c r="L916" s="37">
        <v>0</v>
      </c>
      <c r="M916" s="36">
        <f>[1]!Table3[[#This Row],[C&amp;I CLM $ Collected]]/'[1]1.) CLM Reference'!$B$4</f>
        <v>0</v>
      </c>
      <c r="N916" s="41">
        <v>0</v>
      </c>
      <c r="O916" s="36">
        <f>[1]!Table3[[#This Row],[C&amp;I Incentive Disbursements]]/'[1]1.) CLM Reference'!$B$5</f>
        <v>0</v>
      </c>
      <c r="Q916">
        <f>VLOOKUP(Table3[[#This Row],[Census Tract]],'Population and Diversity Data'!$B$2:$K$823,10,FALSE)</f>
        <v>5</v>
      </c>
      <c r="R916" t="str">
        <f>VLOOKUP(Table3[[#This Row],[Census Tract]],'ES Energy Burden'!$B$2:$E$914,4,FALSE)</f>
        <v>No</v>
      </c>
    </row>
    <row r="917" spans="1:18" x14ac:dyDescent="0.2">
      <c r="A917" s="100">
        <v>9003473700</v>
      </c>
      <c r="B917" s="38" t="s">
        <v>2870</v>
      </c>
      <c r="C917" s="38" t="s">
        <v>944</v>
      </c>
      <c r="D917" s="40">
        <f>[1]!Table3[[#This Row],[Residential CLM $ Collected]]+[1]!Table3[[#This Row],[C&amp;I CLM $ Collected]]</f>
        <v>82475.239132800009</v>
      </c>
      <c r="E917" s="36">
        <f>[1]!Table3[[#This Row],[CLM $ Collected ]]/'[1]1.) CLM Reference'!$B$4</f>
        <v>7.3169076061452732E-4</v>
      </c>
      <c r="F917" s="40">
        <f>[1]!Table3[[#This Row],[Residential Incentive Disbursements]]+[1]!Table3[[#This Row],[C&amp;I Incentive Disbursements]]</f>
        <v>115028.0877</v>
      </c>
      <c r="G917" s="36">
        <f>[1]!Table3[[#This Row],[Incentive Disbursements]]/'[1]1.) CLM Reference'!$B$5</f>
        <v>1.4073286329326969E-3</v>
      </c>
      <c r="H917" s="40">
        <v>82475.239132800009</v>
      </c>
      <c r="I917" s="36">
        <f>[1]!Table3[[#This Row],[Residential CLM $ Collected]]/'[1]1.) CLM Reference'!$B$4</f>
        <v>7.3169076061452732E-4</v>
      </c>
      <c r="J917" s="41">
        <v>115028.0877</v>
      </c>
      <c r="K917" s="36">
        <f>[1]!Table3[[#This Row],[Residential Incentive Disbursements]]/'[1]1.) CLM Reference'!$B$5</f>
        <v>1.4073286329326969E-3</v>
      </c>
      <c r="L917" s="37">
        <v>0</v>
      </c>
      <c r="M917" s="36">
        <f>[1]!Table3[[#This Row],[C&amp;I CLM $ Collected]]/'[1]1.) CLM Reference'!$B$4</f>
        <v>0</v>
      </c>
      <c r="N917" s="41">
        <v>0</v>
      </c>
      <c r="O917" s="36">
        <f>[1]!Table3[[#This Row],[C&amp;I Incentive Disbursements]]/'[1]1.) CLM Reference'!$B$5</f>
        <v>0</v>
      </c>
      <c r="Q917">
        <f>VLOOKUP(Table3[[#This Row],[Census Tract]],'Population and Diversity Data'!$B$2:$K$823,10,FALSE)</f>
        <v>3</v>
      </c>
      <c r="R917" t="str">
        <f>VLOOKUP(Table3[[#This Row],[Census Tract]],'ES Energy Burden'!$B$2:$E$914,4,FALSE)</f>
        <v>No</v>
      </c>
    </row>
    <row r="918" spans="1:18" x14ac:dyDescent="0.2">
      <c r="A918" s="100">
        <v>9003473800</v>
      </c>
      <c r="B918" s="38" t="s">
        <v>2870</v>
      </c>
      <c r="C918" s="38" t="s">
        <v>944</v>
      </c>
      <c r="D918" s="40">
        <f>[1]!Table3[[#This Row],[Residential CLM $ Collected]]+[1]!Table3[[#This Row],[C&amp;I CLM $ Collected]]</f>
        <v>25234.275885120005</v>
      </c>
      <c r="E918" s="36">
        <f>[1]!Table3[[#This Row],[CLM $ Collected ]]/'[1]1.) CLM Reference'!$B$4</f>
        <v>2.2386945112351134E-4</v>
      </c>
      <c r="F918" s="40">
        <f>[1]!Table3[[#This Row],[Residential Incentive Disbursements]]+[1]!Table3[[#This Row],[C&amp;I Incentive Disbursements]]</f>
        <v>23928.34</v>
      </c>
      <c r="G918" s="36">
        <f>[1]!Table3[[#This Row],[Incentive Disbursements]]/'[1]1.) CLM Reference'!$B$5</f>
        <v>2.9275491485501558E-4</v>
      </c>
      <c r="H918" s="40">
        <v>25234.275885120005</v>
      </c>
      <c r="I918" s="36">
        <f>[1]!Table3[[#This Row],[Residential CLM $ Collected]]/'[1]1.) CLM Reference'!$B$4</f>
        <v>2.2386945112351134E-4</v>
      </c>
      <c r="J918" s="41">
        <v>23928.34</v>
      </c>
      <c r="K918" s="36">
        <f>[1]!Table3[[#This Row],[Residential Incentive Disbursements]]/'[1]1.) CLM Reference'!$B$5</f>
        <v>2.9275491485501558E-4</v>
      </c>
      <c r="L918" s="37">
        <v>0</v>
      </c>
      <c r="M918" s="36">
        <f>[1]!Table3[[#This Row],[C&amp;I CLM $ Collected]]/'[1]1.) CLM Reference'!$B$4</f>
        <v>0</v>
      </c>
      <c r="N918" s="41">
        <v>0</v>
      </c>
      <c r="O918" s="36">
        <f>[1]!Table3[[#This Row],[C&amp;I Incentive Disbursements]]/'[1]1.) CLM Reference'!$B$5</f>
        <v>0</v>
      </c>
      <c r="Q918">
        <f>VLOOKUP(Table3[[#This Row],[Census Tract]],'Population and Diversity Data'!$B$2:$K$823,10,FALSE)</f>
        <v>5</v>
      </c>
      <c r="R918" t="str">
        <f>VLOOKUP(Table3[[#This Row],[Census Tract]],'ES Energy Burden'!$B$2:$E$914,4,FALSE)</f>
        <v>No</v>
      </c>
    </row>
    <row r="919" spans="1:18" x14ac:dyDescent="0.2">
      <c r="A919" s="100">
        <v>9003524400</v>
      </c>
      <c r="B919" s="38" t="s">
        <v>2870</v>
      </c>
      <c r="C919" s="38" t="s">
        <v>944</v>
      </c>
      <c r="D919" s="40">
        <f>[1]!Table3[[#This Row],[Residential CLM $ Collected]]+[1]!Table3[[#This Row],[C&amp;I CLM $ Collected]]</f>
        <v>500.29877664000003</v>
      </c>
      <c r="E919" s="36">
        <f>[1]!Table3[[#This Row],[CLM $ Collected ]]/'[1]1.) CLM Reference'!$B$4</f>
        <v>4.4384714280707942E-6</v>
      </c>
      <c r="F919" s="40">
        <f>[1]!Table3[[#This Row],[Residential Incentive Disbursements]]+[1]!Table3[[#This Row],[C&amp;I Incentive Disbursements]]</f>
        <v>0</v>
      </c>
      <c r="G919" s="36">
        <f>[1]!Table3[[#This Row],[Incentive Disbursements]]/'[1]1.) CLM Reference'!$B$5</f>
        <v>0</v>
      </c>
      <c r="H919" s="40">
        <v>500.29877664000003</v>
      </c>
      <c r="I919" s="36">
        <f>[1]!Table3[[#This Row],[Residential CLM $ Collected]]/'[1]1.) CLM Reference'!$B$4</f>
        <v>4.4384714280707942E-6</v>
      </c>
      <c r="J919" s="41">
        <v>0</v>
      </c>
      <c r="K919" s="36">
        <f>[1]!Table3[[#This Row],[Residential Incentive Disbursements]]/'[1]1.) CLM Reference'!$B$5</f>
        <v>0</v>
      </c>
      <c r="L919" s="37">
        <v>0</v>
      </c>
      <c r="M919" s="36">
        <f>[1]!Table3[[#This Row],[C&amp;I CLM $ Collected]]/'[1]1.) CLM Reference'!$B$4</f>
        <v>0</v>
      </c>
      <c r="N919" s="41">
        <v>0</v>
      </c>
      <c r="O919" s="36">
        <f>[1]!Table3[[#This Row],[C&amp;I Incentive Disbursements]]/'[1]1.) CLM Reference'!$B$5</f>
        <v>0</v>
      </c>
      <c r="Q919">
        <f>VLOOKUP(Table3[[#This Row],[Census Tract]],'Population and Diversity Data'!$B$2:$K$823,10,FALSE)</f>
        <v>5</v>
      </c>
      <c r="R919" t="str">
        <f>VLOOKUP(Table3[[#This Row],[Census Tract]],'ES Energy Burden'!$B$2:$E$914,4,FALSE)</f>
        <v>Yes</v>
      </c>
    </row>
    <row r="920" spans="1:18" x14ac:dyDescent="0.2">
      <c r="A920" s="100">
        <v>9003476100</v>
      </c>
      <c r="B920" s="38" t="s">
        <v>2871</v>
      </c>
      <c r="C920" s="38" t="s">
        <v>944</v>
      </c>
      <c r="D920" s="40">
        <f>[1]!Table3[[#This Row],[Residential CLM $ Collected]]+[1]!Table3[[#This Row],[C&amp;I CLM $ Collected]]</f>
        <v>70373.131015680003</v>
      </c>
      <c r="E920" s="36">
        <f>[1]!Table3[[#This Row],[CLM $ Collected ]]/'[1]1.) CLM Reference'!$B$4</f>
        <v>6.2432519506585844E-4</v>
      </c>
      <c r="F920" s="40">
        <f>[1]!Table3[[#This Row],[Residential Incentive Disbursements]]+[1]!Table3[[#This Row],[C&amp;I Incentive Disbursements]]</f>
        <v>22750.9817</v>
      </c>
      <c r="G920" s="36">
        <f>[1]!Table3[[#This Row],[Incentive Disbursements]]/'[1]1.) CLM Reference'!$B$5</f>
        <v>2.7835034567594399E-4</v>
      </c>
      <c r="H920" s="42">
        <v>70373.131015680003</v>
      </c>
      <c r="I920" s="36">
        <f>[1]!Table3[[#This Row],[Residential CLM $ Collected]]/'[1]1.) CLM Reference'!$B$4</f>
        <v>6.2432519506585844E-4</v>
      </c>
      <c r="J920" s="41">
        <v>22750.9817</v>
      </c>
      <c r="K920" s="36">
        <f>[1]!Table3[[#This Row],[Residential Incentive Disbursements]]/'[1]1.) CLM Reference'!$B$5</f>
        <v>2.7835034567594399E-4</v>
      </c>
      <c r="L920" s="37">
        <v>0</v>
      </c>
      <c r="M920" s="36">
        <f>[1]!Table3[[#This Row],[C&amp;I CLM $ Collected]]/'[1]1.) CLM Reference'!$B$4</f>
        <v>0</v>
      </c>
      <c r="N920" s="41">
        <v>0</v>
      </c>
      <c r="O920" s="36">
        <f>[1]!Table3[[#This Row],[C&amp;I Incentive Disbursements]]/'[1]1.) CLM Reference'!$B$5</f>
        <v>0</v>
      </c>
      <c r="Q920">
        <f>VLOOKUP(Table3[[#This Row],[Census Tract]],'Population and Diversity Data'!$B$2:$K$823,10,FALSE)</f>
        <v>2</v>
      </c>
      <c r="R920" t="str">
        <f>VLOOKUP(Table3[[#This Row],[Census Tract]],'ES Energy Burden'!$B$2:$E$914,4,FALSE)</f>
        <v>No</v>
      </c>
    </row>
    <row r="921" spans="1:18" x14ac:dyDescent="0.2">
      <c r="A921" s="100">
        <v>9003476200</v>
      </c>
      <c r="B921" s="38" t="s">
        <v>2871</v>
      </c>
      <c r="C921" s="38" t="s">
        <v>944</v>
      </c>
      <c r="D921" s="40">
        <f>[1]!Table3[[#This Row],[Residential CLM $ Collected]]+[1]!Table3[[#This Row],[C&amp;I CLM $ Collected]]</f>
        <v>41918.246409600004</v>
      </c>
      <c r="E921" s="36">
        <f>[1]!Table3[[#This Row],[CLM $ Collected ]]/'[1]1.) CLM Reference'!$B$4</f>
        <v>3.7188365770823959E-4</v>
      </c>
      <c r="F921" s="40">
        <f>[1]!Table3[[#This Row],[Residential Incentive Disbursements]]+[1]!Table3[[#This Row],[C&amp;I Incentive Disbursements]]</f>
        <v>14140.3282</v>
      </c>
      <c r="G921" s="36">
        <f>[1]!Table3[[#This Row],[Incentive Disbursements]]/'[1]1.) CLM Reference'!$B$5</f>
        <v>1.7300199588492039E-4</v>
      </c>
      <c r="H921" s="40">
        <v>41918.246409600004</v>
      </c>
      <c r="I921" s="36">
        <f>[1]!Table3[[#This Row],[Residential CLM $ Collected]]/'[1]1.) CLM Reference'!$B$4</f>
        <v>3.7188365770823959E-4</v>
      </c>
      <c r="J921" s="41">
        <v>14140.3282</v>
      </c>
      <c r="K921" s="36">
        <f>[1]!Table3[[#This Row],[Residential Incentive Disbursements]]/'[1]1.) CLM Reference'!$B$5</f>
        <v>1.7300199588492039E-4</v>
      </c>
      <c r="L921" s="37">
        <v>0</v>
      </c>
      <c r="M921" s="36">
        <f>[1]!Table3[[#This Row],[C&amp;I CLM $ Collected]]/'[1]1.) CLM Reference'!$B$4</f>
        <v>0</v>
      </c>
      <c r="N921" s="41">
        <v>0</v>
      </c>
      <c r="O921" s="39">
        <f>[1]!Table3[[#This Row],[C&amp;I Incentive Disbursements]]/'[1]1.) CLM Reference'!$B$5</f>
        <v>0</v>
      </c>
      <c r="Q921">
        <f>VLOOKUP(Table3[[#This Row],[Census Tract]],'Population and Diversity Data'!$B$2:$K$823,10,FALSE)</f>
        <v>2</v>
      </c>
      <c r="R921" t="str">
        <f>VLOOKUP(Table3[[#This Row],[Census Tract]],'ES Energy Burden'!$B$2:$E$914,4,FALSE)</f>
        <v>No</v>
      </c>
    </row>
    <row r="922" spans="1:18" x14ac:dyDescent="0.2">
      <c r="A922" s="100">
        <v>9003476300</v>
      </c>
      <c r="B922" s="38" t="s">
        <v>2871</v>
      </c>
      <c r="C922" s="38" t="s">
        <v>944</v>
      </c>
      <c r="D922" s="40">
        <f>[1]!Table3[[#This Row],[Residential CLM $ Collected]]+[1]!Table3[[#This Row],[C&amp;I CLM $ Collected]]</f>
        <v>217921.13174303999</v>
      </c>
      <c r="E922" s="36">
        <f>[1]!Table3[[#This Row],[CLM $ Collected ]]/'[1]1.) CLM Reference'!$B$4</f>
        <v>1.9333181730131013E-3</v>
      </c>
      <c r="F922" s="40">
        <f>[1]!Table3[[#This Row],[Residential Incentive Disbursements]]+[1]!Table3[[#This Row],[C&amp;I Incentive Disbursements]]</f>
        <v>395528.42539999995</v>
      </c>
      <c r="G922" s="36">
        <f>[1]!Table3[[#This Row],[Incentive Disbursements]]/'[1]1.) CLM Reference'!$B$5</f>
        <v>4.8391526742229242E-3</v>
      </c>
      <c r="H922" s="40">
        <v>94845.801692159992</v>
      </c>
      <c r="I922" s="36">
        <f>[1]!Table3[[#This Row],[Residential CLM $ Collected]]/'[1]1.) CLM Reference'!$B$4</f>
        <v>8.4143795775466865E-4</v>
      </c>
      <c r="J922" s="41">
        <v>363957.26539999997</v>
      </c>
      <c r="K922" s="36">
        <f>[1]!Table3[[#This Row],[Residential Incentive Disbursements]]/'[1]1.) CLM Reference'!$B$5</f>
        <v>4.452890515724923E-3</v>
      </c>
      <c r="L922" s="37">
        <v>123075.33005088002</v>
      </c>
      <c r="M922" s="36">
        <f>[1]!Table3[[#This Row],[C&amp;I CLM $ Collected]]/'[1]1.) CLM Reference'!$B$4</f>
        <v>1.0918802152584328E-3</v>
      </c>
      <c r="N922" s="41">
        <v>31571.16</v>
      </c>
      <c r="O922" s="39">
        <f>[1]!Table3[[#This Row],[C&amp;I Incentive Disbursements]]/'[1]1.) CLM Reference'!$B$5</f>
        <v>3.8626215849800168E-4</v>
      </c>
      <c r="Q922">
        <f>VLOOKUP(Table3[[#This Row],[Census Tract]],'Population and Diversity Data'!$B$2:$K$823,10,FALSE)</f>
        <v>4</v>
      </c>
      <c r="R922" t="str">
        <f>VLOOKUP(Table3[[#This Row],[Census Tract]],'ES Energy Burden'!$B$2:$E$914,4,FALSE)</f>
        <v>No</v>
      </c>
    </row>
    <row r="923" spans="1:18" x14ac:dyDescent="0.2">
      <c r="A923" s="100">
        <v>9009352600</v>
      </c>
      <c r="B923" s="38" t="s">
        <v>2872</v>
      </c>
      <c r="C923" s="38" t="s">
        <v>944</v>
      </c>
      <c r="D923" s="165">
        <f>[1]!Table3[[#This Row],[Residential CLM $ Collected]]+[1]!Table3[[#This Row],[C&amp;I CLM $ Collected]]</f>
        <v>260.68703039999997</v>
      </c>
      <c r="E923" s="166">
        <f>[1]!Table3[[#This Row],[CLM $ Collected ]]/'[1]1.) CLM Reference'!$B$4</f>
        <v>2.3127218976423809E-6</v>
      </c>
      <c r="F923" s="165">
        <f>[1]!Table3[[#This Row],[Residential Incentive Disbursements]]+[1]!Table3[[#This Row],[C&amp;I Incentive Disbursements]]</f>
        <v>0</v>
      </c>
      <c r="G923" s="166">
        <f>[1]!Table3[[#This Row],[Incentive Disbursements]]/'[1]1.) CLM Reference'!$B$5</f>
        <v>0</v>
      </c>
      <c r="H923" s="165">
        <v>260.68703039999997</v>
      </c>
      <c r="I923" s="166">
        <f>[1]!Table3[[#This Row],[Residential CLM $ Collected]]/'[1]1.) CLM Reference'!$B$4</f>
        <v>2.3127218976423809E-6</v>
      </c>
      <c r="J923" s="167">
        <v>0</v>
      </c>
      <c r="K923" s="166">
        <f>[1]!Table3[[#This Row],[Residential Incentive Disbursements]]/'[1]1.) CLM Reference'!$B$5</f>
        <v>0</v>
      </c>
      <c r="L923" s="167">
        <v>0</v>
      </c>
      <c r="M923" s="166">
        <f>[1]!Table3[[#This Row],[C&amp;I CLM $ Collected]]/'[1]1.) CLM Reference'!$B$4</f>
        <v>0</v>
      </c>
      <c r="N923" s="167">
        <v>0</v>
      </c>
      <c r="O923" s="168">
        <f>[1]!Table3[[#This Row],[C&amp;I Incentive Disbursements]]/'[1]1.) CLM Reference'!$B$5</f>
        <v>0</v>
      </c>
      <c r="Q923">
        <f>VLOOKUP(Table3[[#This Row],[Census Tract]],'Population and Diversity Data'!$B$2:$K$823,10,FALSE)</f>
        <v>3</v>
      </c>
      <c r="R923" t="str">
        <f>VLOOKUP(Table3[[#This Row],[Census Tract]],'ES Energy Burden'!$B$2:$E$914,4,FALSE)</f>
        <v>Yes</v>
      </c>
    </row>
    <row r="924" spans="1:18" x14ac:dyDescent="0.2">
      <c r="A924" s="100">
        <v>9009352701</v>
      </c>
      <c r="B924" s="38" t="s">
        <v>2872</v>
      </c>
      <c r="C924" s="38" t="s">
        <v>944</v>
      </c>
      <c r="D924" s="165">
        <f>[1]!Table3[[#This Row],[Residential CLM $ Collected]]+[1]!Table3[[#This Row],[C&amp;I CLM $ Collected]]</f>
        <v>82.195171200000004</v>
      </c>
      <c r="E924" s="166">
        <f>[1]!Table3[[#This Row],[CLM $ Collected ]]/'[1]1.) CLM Reference'!$B$4</f>
        <v>7.2920609829734132E-7</v>
      </c>
      <c r="F924" s="165">
        <f>[1]!Table3[[#This Row],[Residential Incentive Disbursements]]+[1]!Table3[[#This Row],[C&amp;I Incentive Disbursements]]</f>
        <v>0</v>
      </c>
      <c r="G924" s="166">
        <f>[1]!Table3[[#This Row],[Incentive Disbursements]]/'[1]1.) CLM Reference'!$B$5</f>
        <v>0</v>
      </c>
      <c r="H924" s="165">
        <v>82.195171200000004</v>
      </c>
      <c r="I924" s="166">
        <f>[1]!Table3[[#This Row],[Residential CLM $ Collected]]/'[1]1.) CLM Reference'!$B$4</f>
        <v>7.2920609829734132E-7</v>
      </c>
      <c r="J924" s="167">
        <v>0</v>
      </c>
      <c r="K924" s="166">
        <f>[1]!Table3[[#This Row],[Residential Incentive Disbursements]]/'[1]1.) CLM Reference'!$B$5</f>
        <v>0</v>
      </c>
      <c r="L924" s="167">
        <v>0</v>
      </c>
      <c r="M924" s="166">
        <f>[1]!Table3[[#This Row],[C&amp;I CLM $ Collected]]/'[1]1.) CLM Reference'!$B$4</f>
        <v>0</v>
      </c>
      <c r="N924" s="167">
        <v>0</v>
      </c>
      <c r="O924" s="168">
        <f>[1]!Table3[[#This Row],[C&amp;I Incentive Disbursements]]/'[1]1.) CLM Reference'!$B$5</f>
        <v>0</v>
      </c>
      <c r="Q924">
        <f>VLOOKUP(Table3[[#This Row],[Census Tract]],'Population and Diversity Data'!$B$2:$K$823,10,FALSE)</f>
        <v>4</v>
      </c>
      <c r="R924" t="str">
        <f>VLOOKUP(Table3[[#This Row],[Census Tract]],'ES Energy Burden'!$B$2:$E$914,4,FALSE)</f>
        <v>Yes</v>
      </c>
    </row>
    <row r="925" spans="1:18" x14ac:dyDescent="0.2">
      <c r="A925" s="100">
        <v>9009352800</v>
      </c>
      <c r="B925" s="38" t="s">
        <v>2872</v>
      </c>
      <c r="C925" s="38" t="s">
        <v>944</v>
      </c>
      <c r="D925" s="165">
        <f>[1]!Table3[[#This Row],[Residential CLM $ Collected]]+[1]!Table3[[#This Row],[C&amp;I CLM $ Collected]]</f>
        <v>1097.1107423999999</v>
      </c>
      <c r="E925" s="166">
        <f>[1]!Table3[[#This Row],[CLM $ Collected ]]/'[1]1.) CLM Reference'!$B$4</f>
        <v>9.7331732775270787E-6</v>
      </c>
      <c r="F925" s="165">
        <f>[1]!Table3[[#This Row],[Residential Incentive Disbursements]]+[1]!Table3[[#This Row],[C&amp;I Incentive Disbursements]]</f>
        <v>213.16</v>
      </c>
      <c r="G925" s="166">
        <f>[1]!Table3[[#This Row],[Incentive Disbursements]]/'[1]1.) CLM Reference'!$B$5</f>
        <v>2.6079384382909604E-6</v>
      </c>
      <c r="H925" s="165">
        <v>1097.1107423999999</v>
      </c>
      <c r="I925" s="166">
        <f>[1]!Table3[[#This Row],[Residential CLM $ Collected]]/'[1]1.) CLM Reference'!$B$4</f>
        <v>9.7331732775270787E-6</v>
      </c>
      <c r="J925" s="167">
        <v>213.16</v>
      </c>
      <c r="K925" s="166">
        <f>[1]!Table3[[#This Row],[Residential Incentive Disbursements]]/'[1]1.) CLM Reference'!$B$5</f>
        <v>2.6079384382909604E-6</v>
      </c>
      <c r="L925" s="167">
        <v>0</v>
      </c>
      <c r="M925" s="166">
        <f>[1]!Table3[[#This Row],[C&amp;I CLM $ Collected]]/'[1]1.) CLM Reference'!$B$4</f>
        <v>0</v>
      </c>
      <c r="N925" s="167">
        <v>0</v>
      </c>
      <c r="O925" s="168">
        <f>[1]!Table3[[#This Row],[C&amp;I Incentive Disbursements]]/'[1]1.) CLM Reference'!$B$5</f>
        <v>0</v>
      </c>
      <c r="Q925">
        <f>VLOOKUP(Table3[[#This Row],[Census Tract]],'Population and Diversity Data'!$B$2:$K$823,10,FALSE)</f>
        <v>5</v>
      </c>
      <c r="R925" t="str">
        <f>VLOOKUP(Table3[[#This Row],[Census Tract]],'ES Energy Burden'!$B$2:$E$914,4,FALSE)</f>
        <v>No</v>
      </c>
    </row>
    <row r="926" spans="1:18" x14ac:dyDescent="0.2">
      <c r="A926" s="100">
        <v>9009361100</v>
      </c>
      <c r="B926" s="38" t="s">
        <v>2872</v>
      </c>
      <c r="C926" s="38" t="s">
        <v>944</v>
      </c>
      <c r="D926" s="165">
        <f>[1]!Table3[[#This Row],[Residential CLM $ Collected]]+[1]!Table3[[#This Row],[C&amp;I CLM $ Collected]]</f>
        <v>219378.10555295998</v>
      </c>
      <c r="E926" s="166">
        <f>[1]!Table3[[#This Row],[CLM $ Collected ]]/'[1]1.) CLM Reference'!$B$4</f>
        <v>1.9462439224426878E-3</v>
      </c>
      <c r="F926" s="165">
        <f>[1]!Table3[[#This Row],[Residential Incentive Disbursements]]+[1]!Table3[[#This Row],[C&amp;I Incentive Disbursements]]</f>
        <v>257118.53869999998</v>
      </c>
      <c r="G926" s="166">
        <f>[1]!Table3[[#This Row],[Incentive Disbursements]]/'[1]1.) CLM Reference'!$B$5</f>
        <v>3.1457558654200217E-3</v>
      </c>
      <c r="H926" s="165">
        <v>148173.57724031998</v>
      </c>
      <c r="I926" s="166">
        <f>[1]!Table3[[#This Row],[Residential CLM $ Collected]]/'[1]1.) CLM Reference'!$B$4</f>
        <v>1.3145428685495998E-3</v>
      </c>
      <c r="J926" s="167">
        <v>252065.73869999999</v>
      </c>
      <c r="K926" s="166">
        <f>[1]!Table3[[#This Row],[Residential Incentive Disbursements]]/'[1]1.) CLM Reference'!$B$5</f>
        <v>3.0839366153684335E-3</v>
      </c>
      <c r="L926" s="167">
        <v>71204.528312640003</v>
      </c>
      <c r="M926" s="166">
        <f>[1]!Table3[[#This Row],[C&amp;I CLM $ Collected]]/'[1]1.) CLM Reference'!$B$4</f>
        <v>6.3170105389308783E-4</v>
      </c>
      <c r="N926" s="167">
        <v>5052.8</v>
      </c>
      <c r="O926" s="168">
        <f>[1]!Table3[[#This Row],[C&amp;I Incentive Disbursements]]/'[1]1.) CLM Reference'!$B$5</f>
        <v>6.1819250051588321E-5</v>
      </c>
      <c r="Q926">
        <f>VLOOKUP(Table3[[#This Row],[Census Tract]],'Population and Diversity Data'!$B$2:$K$823,10,FALSE)</f>
        <v>2</v>
      </c>
      <c r="R926" t="str">
        <f>VLOOKUP(Table3[[#This Row],[Census Tract]],'ES Energy Burden'!$B$2:$E$914,4,FALSE)</f>
        <v>No</v>
      </c>
    </row>
    <row r="927" spans="1:18" x14ac:dyDescent="0.2">
      <c r="A927" s="100">
        <v>9009361200</v>
      </c>
      <c r="B927" s="38" t="s">
        <v>2872</v>
      </c>
      <c r="C927" s="38" t="s">
        <v>944</v>
      </c>
      <c r="D927" s="165">
        <f>[1]!Table3[[#This Row],[Residential CLM $ Collected]]+[1]!Table3[[#This Row],[C&amp;I CLM $ Collected]]</f>
        <v>114930.85025088002</v>
      </c>
      <c r="E927" s="166">
        <f>[1]!Table3[[#This Row],[CLM $ Collected ]]/'[1]1.) CLM Reference'!$B$4</f>
        <v>1.0196253096366836E-3</v>
      </c>
      <c r="F927" s="165">
        <f>[1]!Table3[[#This Row],[Residential Incentive Disbursements]]+[1]!Table3[[#This Row],[C&amp;I Incentive Disbursements]]</f>
        <v>58843.71</v>
      </c>
      <c r="G927" s="166">
        <f>[1]!Table3[[#This Row],[Incentive Disbursements]]/'[1]1.) CLM Reference'!$B$5</f>
        <v>7.1993231919987883E-4</v>
      </c>
      <c r="H927" s="165">
        <v>114930.85025088002</v>
      </c>
      <c r="I927" s="166">
        <f>[1]!Table3[[#This Row],[Residential CLM $ Collected]]/'[1]1.) CLM Reference'!$B$4</f>
        <v>1.0196253096366836E-3</v>
      </c>
      <c r="J927" s="167">
        <v>58843.71</v>
      </c>
      <c r="K927" s="166">
        <f>[1]!Table3[[#This Row],[Residential Incentive Disbursements]]/'[1]1.) CLM Reference'!$B$5</f>
        <v>7.1993231919987883E-4</v>
      </c>
      <c r="L927" s="167">
        <v>0</v>
      </c>
      <c r="M927" s="166">
        <f>[1]!Table3[[#This Row],[C&amp;I CLM $ Collected]]/'[1]1.) CLM Reference'!$B$4</f>
        <v>0</v>
      </c>
      <c r="N927" s="167">
        <v>0</v>
      </c>
      <c r="O927" s="168">
        <f>[1]!Table3[[#This Row],[C&amp;I Incentive Disbursements]]/'[1]1.) CLM Reference'!$B$5</f>
        <v>0</v>
      </c>
      <c r="Q927">
        <f>VLOOKUP(Table3[[#This Row],[Census Tract]],'Population and Diversity Data'!$B$2:$K$823,10,FALSE)</f>
        <v>2</v>
      </c>
      <c r="R927" t="str">
        <f>VLOOKUP(Table3[[#This Row],[Census Tract]],'ES Energy Burden'!$B$2:$E$914,4,FALSE)</f>
        <v>No</v>
      </c>
    </row>
    <row r="928" spans="1:18" x14ac:dyDescent="0.2">
      <c r="A928" s="100">
        <v>9009361300</v>
      </c>
      <c r="B928" s="38" t="s">
        <v>2872</v>
      </c>
      <c r="C928" s="38" t="s">
        <v>944</v>
      </c>
      <c r="D928" s="165">
        <f>[1]!Table3[[#This Row],[Residential CLM $ Collected]]+[1]!Table3[[#This Row],[C&amp;I CLM $ Collected]]</f>
        <v>84377.259360000011</v>
      </c>
      <c r="E928" s="166">
        <f>[1]!Table3[[#This Row],[CLM $ Collected ]]/'[1]1.) CLM Reference'!$B$4</f>
        <v>7.4856480234362509E-4</v>
      </c>
      <c r="F928" s="165">
        <f>[1]!Table3[[#This Row],[Residential Incentive Disbursements]]+[1]!Table3[[#This Row],[C&amp;I Incentive Disbursements]]</f>
        <v>68011.649999999994</v>
      </c>
      <c r="G928" s="166">
        <f>[1]!Table3[[#This Row],[Incentive Disbursements]]/'[1]1.) CLM Reference'!$B$5</f>
        <v>8.320988754296838E-4</v>
      </c>
      <c r="H928" s="165">
        <v>84091.987296000007</v>
      </c>
      <c r="I928" s="166">
        <f>[1]!Table3[[#This Row],[Residential CLM $ Collected]]/'[1]1.) CLM Reference'!$B$4</f>
        <v>7.4603397083970974E-4</v>
      </c>
      <c r="J928" s="167">
        <v>68011.649999999994</v>
      </c>
      <c r="K928" s="166">
        <f>[1]!Table3[[#This Row],[Residential Incentive Disbursements]]/'[1]1.) CLM Reference'!$B$5</f>
        <v>8.320988754296838E-4</v>
      </c>
      <c r="L928" s="167">
        <v>285.272064</v>
      </c>
      <c r="M928" s="166">
        <f>[1]!Table3[[#This Row],[C&amp;I CLM $ Collected]]/'[1]1.) CLM Reference'!$B$4</f>
        <v>2.5308315039152742E-6</v>
      </c>
      <c r="N928" s="167">
        <v>0</v>
      </c>
      <c r="O928" s="168">
        <f>[1]!Table3[[#This Row],[C&amp;I Incentive Disbursements]]/'[1]1.) CLM Reference'!$B$5</f>
        <v>0</v>
      </c>
      <c r="Q928">
        <f>VLOOKUP(Table3[[#This Row],[Census Tract]],'Population and Diversity Data'!$B$2:$K$823,10,FALSE)</f>
        <v>1</v>
      </c>
      <c r="R928" t="str">
        <f>VLOOKUP(Table3[[#This Row],[Census Tract]],'ES Energy Burden'!$B$2:$E$914,4,FALSE)</f>
        <v>No</v>
      </c>
    </row>
    <row r="929" spans="1:18" x14ac:dyDescent="0.2">
      <c r="A929" s="100">
        <v>9005342100</v>
      </c>
      <c r="B929" s="38" t="s">
        <v>2873</v>
      </c>
      <c r="C929" s="38" t="s">
        <v>944</v>
      </c>
      <c r="D929" s="165">
        <f>[1]!Table3[[#This Row],[Residential CLM $ Collected]]+[1]!Table3[[#This Row],[C&amp;I CLM $ Collected]]</f>
        <v>65.123999999999995</v>
      </c>
      <c r="E929" s="166">
        <f>[1]!Table3[[#This Row],[CLM $ Collected ]]/'[1]1.) CLM Reference'!$B$4</f>
        <v>5.7775678610078797E-7</v>
      </c>
      <c r="F929" s="165">
        <f>[1]!Table3[[#This Row],[Residential Incentive Disbursements]]+[1]!Table3[[#This Row],[C&amp;I Incentive Disbursements]]</f>
        <v>0</v>
      </c>
      <c r="G929" s="166">
        <f>[1]!Table3[[#This Row],[Incentive Disbursements]]/'[1]1.) CLM Reference'!$B$5</f>
        <v>0</v>
      </c>
      <c r="H929" s="165">
        <v>65.123999999999995</v>
      </c>
      <c r="I929" s="166">
        <f>[1]!Table3[[#This Row],[Residential CLM $ Collected]]/'[1]1.) CLM Reference'!$B$4</f>
        <v>5.7775678610078797E-7</v>
      </c>
      <c r="J929" s="167">
        <v>0</v>
      </c>
      <c r="K929" s="166">
        <f>[1]!Table3[[#This Row],[Residential Incentive Disbursements]]/'[1]1.) CLM Reference'!$B$5</f>
        <v>0</v>
      </c>
      <c r="L929" s="167">
        <v>0</v>
      </c>
      <c r="M929" s="166">
        <f>[1]!Table3[[#This Row],[C&amp;I CLM $ Collected]]/'[1]1.) CLM Reference'!$B$4</f>
        <v>0</v>
      </c>
      <c r="N929" s="167">
        <v>0</v>
      </c>
      <c r="O929" s="168">
        <f>[1]!Table3[[#This Row],[C&amp;I Incentive Disbursements]]/'[1]1.) CLM Reference'!$B$5</f>
        <v>0</v>
      </c>
      <c r="Q929">
        <f>VLOOKUP(Table3[[#This Row],[Census Tract]],'Population and Diversity Data'!$B$2:$K$823,10,FALSE)</f>
        <v>2</v>
      </c>
      <c r="R929" t="str">
        <f>VLOOKUP(Table3[[#This Row],[Census Tract]],'ES Energy Burden'!$B$2:$E$914,4,FALSE)</f>
        <v>No</v>
      </c>
    </row>
    <row r="930" spans="1:18" x14ac:dyDescent="0.2">
      <c r="A930" s="100">
        <v>9005360200</v>
      </c>
      <c r="B930" s="38" t="s">
        <v>2873</v>
      </c>
      <c r="C930" s="38" t="s">
        <v>944</v>
      </c>
      <c r="D930" s="165">
        <f>[1]!Table3[[#This Row],[Residential CLM $ Collected]]+[1]!Table3[[#This Row],[C&amp;I CLM $ Collected]]</f>
        <v>58.432147200000003</v>
      </c>
      <c r="E930" s="166">
        <f>[1]!Table3[[#This Row],[CLM $ Collected ]]/'[1]1.) CLM Reference'!$B$4</f>
        <v>5.1838906656900934E-7</v>
      </c>
      <c r="F930" s="165">
        <f>[1]!Table3[[#This Row],[Residential Incentive Disbursements]]+[1]!Table3[[#This Row],[C&amp;I Incentive Disbursements]]</f>
        <v>0</v>
      </c>
      <c r="G930" s="166">
        <f>[1]!Table3[[#This Row],[Incentive Disbursements]]/'[1]1.) CLM Reference'!$B$5</f>
        <v>0</v>
      </c>
      <c r="H930" s="165">
        <v>58.432147200000003</v>
      </c>
      <c r="I930" s="166">
        <f>[1]!Table3[[#This Row],[Residential CLM $ Collected]]/'[1]1.) CLM Reference'!$B$4</f>
        <v>5.1838906656900934E-7</v>
      </c>
      <c r="J930" s="167">
        <v>0</v>
      </c>
      <c r="K930" s="166">
        <f>[1]!Table3[[#This Row],[Residential Incentive Disbursements]]/'[1]1.) CLM Reference'!$B$5</f>
        <v>0</v>
      </c>
      <c r="L930" s="167">
        <v>0</v>
      </c>
      <c r="M930" s="166">
        <f>[1]!Table3[[#This Row],[C&amp;I CLM $ Collected]]/'[1]1.) CLM Reference'!$B$4</f>
        <v>0</v>
      </c>
      <c r="N930" s="167">
        <v>0</v>
      </c>
      <c r="O930" s="168">
        <f>[1]!Table3[[#This Row],[C&amp;I Incentive Disbursements]]/'[1]1.) CLM Reference'!$B$5</f>
        <v>0</v>
      </c>
      <c r="Q930">
        <f>VLOOKUP(Table3[[#This Row],[Census Tract]],'Population and Diversity Data'!$B$2:$K$823,10,FALSE)</f>
        <v>2</v>
      </c>
      <c r="R930" t="str">
        <f>VLOOKUP(Table3[[#This Row],[Census Tract]],'ES Energy Burden'!$B$2:$E$914,4,FALSE)</f>
        <v>No</v>
      </c>
    </row>
    <row r="931" spans="1:18" x14ac:dyDescent="0.2">
      <c r="A931" s="100">
        <v>9005362101</v>
      </c>
      <c r="B931" s="38" t="s">
        <v>2873</v>
      </c>
      <c r="C931" s="38" t="s">
        <v>944</v>
      </c>
      <c r="D931" s="165">
        <f>[1]!Table3[[#This Row],[Residential CLM $ Collected]]+[1]!Table3[[#This Row],[C&amp;I CLM $ Collected]]</f>
        <v>121304.12917823999</v>
      </c>
      <c r="E931" s="166">
        <f>[1]!Table3[[#This Row],[CLM $ Collected ]]/'[1]1.) CLM Reference'!$B$4</f>
        <v>1.0761667559544064E-3</v>
      </c>
      <c r="F931" s="165">
        <f>[1]!Table3[[#This Row],[Residential Incentive Disbursements]]+[1]!Table3[[#This Row],[C&amp;I Incentive Disbursements]]</f>
        <v>26145.79</v>
      </c>
      <c r="G931" s="166">
        <f>[1]!Table3[[#This Row],[Incentive Disbursements]]/'[1]1.) CLM Reference'!$B$5</f>
        <v>3.1988464411936298E-4</v>
      </c>
      <c r="H931" s="165">
        <v>121303.913256</v>
      </c>
      <c r="I931" s="166">
        <f>[1]!Table3[[#This Row],[Residential CLM $ Collected]]/'[1]1.) CLM Reference'!$B$4</f>
        <v>1.0761648403696845E-3</v>
      </c>
      <c r="J931" s="167">
        <v>26145.79</v>
      </c>
      <c r="K931" s="166">
        <f>[1]!Table3[[#This Row],[Residential Incentive Disbursements]]/'[1]1.) CLM Reference'!$B$5</f>
        <v>3.1988464411936298E-4</v>
      </c>
      <c r="L931" s="167">
        <v>0.21592223999999999</v>
      </c>
      <c r="M931" s="166">
        <f>[1]!Table3[[#This Row],[C&amp;I CLM $ Collected]]/'[1]1.) CLM Reference'!$B$4</f>
        <v>1.9155847219163902E-9</v>
      </c>
      <c r="N931" s="167">
        <v>0</v>
      </c>
      <c r="O931" s="168">
        <f>[1]!Table3[[#This Row],[C&amp;I Incentive Disbursements]]/'[1]1.) CLM Reference'!$B$5</f>
        <v>0</v>
      </c>
      <c r="Q931">
        <f>VLOOKUP(Table3[[#This Row],[Census Tract]],'Population and Diversity Data'!$B$2:$K$823,10,FALSE)</f>
        <v>2</v>
      </c>
      <c r="R931" t="str">
        <f>VLOOKUP(Table3[[#This Row],[Census Tract]],'ES Energy Burden'!$B$2:$E$914,4,FALSE)</f>
        <v>No</v>
      </c>
    </row>
    <row r="932" spans="1:18" x14ac:dyDescent="0.2">
      <c r="A932" s="100">
        <v>9005362102</v>
      </c>
      <c r="B932" s="38" t="s">
        <v>2873</v>
      </c>
      <c r="C932" s="38" t="s">
        <v>944</v>
      </c>
      <c r="D932" s="165">
        <f>[1]!Table3[[#This Row],[Residential CLM $ Collected]]+[1]!Table3[[#This Row],[C&amp;I CLM $ Collected]]</f>
        <v>200979.21518495999</v>
      </c>
      <c r="E932" s="166">
        <f>[1]!Table3[[#This Row],[CLM $ Collected ]]/'[1]1.) CLM Reference'!$B$4</f>
        <v>1.7830155616719056E-3</v>
      </c>
      <c r="F932" s="165">
        <f>[1]!Table3[[#This Row],[Residential Incentive Disbursements]]+[1]!Table3[[#This Row],[C&amp;I Incentive Disbursements]]</f>
        <v>151431.49799999999</v>
      </c>
      <c r="G932" s="166">
        <f>[1]!Table3[[#This Row],[Incentive Disbursements]]/'[1]1.) CLM Reference'!$B$5</f>
        <v>1.8527116926354884E-3</v>
      </c>
      <c r="H932" s="165">
        <v>148869.85294655999</v>
      </c>
      <c r="I932" s="166">
        <f>[1]!Table3[[#This Row],[Residential CLM $ Collected]]/'[1]1.) CLM Reference'!$B$4</f>
        <v>1.3207199770545639E-3</v>
      </c>
      <c r="J932" s="167">
        <v>147193.30799999999</v>
      </c>
      <c r="K932" s="166">
        <f>[1]!Table3[[#This Row],[Residential Incentive Disbursements]]/'[1]1.) CLM Reference'!$B$5</f>
        <v>1.8008589125182977E-3</v>
      </c>
      <c r="L932" s="167">
        <v>52109.362238400005</v>
      </c>
      <c r="M932" s="166">
        <f>[1]!Table3[[#This Row],[C&amp;I CLM $ Collected]]/'[1]1.) CLM Reference'!$B$4</f>
        <v>4.6229558461734156E-4</v>
      </c>
      <c r="N932" s="167">
        <v>4238.1899999999996</v>
      </c>
      <c r="O932" s="168">
        <f>[1]!Table3[[#This Row],[C&amp;I Incentive Disbursements]]/'[1]1.) CLM Reference'!$B$5</f>
        <v>5.1852780117190679E-5</v>
      </c>
      <c r="Q932">
        <f>VLOOKUP(Table3[[#This Row],[Census Tract]],'Population and Diversity Data'!$B$2:$K$823,10,FALSE)</f>
        <v>1</v>
      </c>
      <c r="R932" t="str">
        <f>VLOOKUP(Table3[[#This Row],[Census Tract]],'ES Energy Burden'!$B$2:$E$914,4,FALSE)</f>
        <v>No</v>
      </c>
    </row>
    <row r="933" spans="1:18" x14ac:dyDescent="0.2">
      <c r="A933" s="100">
        <v>9015900200</v>
      </c>
      <c r="B933" s="38" t="s">
        <v>2874</v>
      </c>
      <c r="C933" s="38" t="s">
        <v>944</v>
      </c>
      <c r="D933" s="165">
        <f>[1]!Table3[[#This Row],[Residential CLM $ Collected]]+[1]!Table3[[#This Row],[C&amp;I CLM $ Collected]]</f>
        <v>326.09468160000006</v>
      </c>
      <c r="E933" s="166">
        <f>[1]!Table3[[#This Row],[CLM $ Collected ]]/'[1]1.) CLM Reference'!$B$4</f>
        <v>2.8929951355226307E-6</v>
      </c>
      <c r="F933" s="165">
        <f>[1]!Table3[[#This Row],[Residential Incentive Disbursements]]+[1]!Table3[[#This Row],[C&amp;I Incentive Disbursements]]</f>
        <v>0</v>
      </c>
      <c r="G933" s="166">
        <f>[1]!Table3[[#This Row],[Incentive Disbursements]]/'[1]1.) CLM Reference'!$B$5</f>
        <v>0</v>
      </c>
      <c r="H933" s="165">
        <v>326.09468160000006</v>
      </c>
      <c r="I933" s="166">
        <f>[1]!Table3[[#This Row],[Residential CLM $ Collected]]/'[1]1.) CLM Reference'!$B$4</f>
        <v>2.8929951355226307E-6</v>
      </c>
      <c r="J933" s="167">
        <v>0</v>
      </c>
      <c r="K933" s="166">
        <f>[1]!Table3[[#This Row],[Residential Incentive Disbursements]]/'[1]1.) CLM Reference'!$B$5</f>
        <v>0</v>
      </c>
      <c r="L933" s="167">
        <v>0</v>
      </c>
      <c r="M933" s="166">
        <f>[1]!Table3[[#This Row],[C&amp;I CLM $ Collected]]/'[1]1.) CLM Reference'!$B$4</f>
        <v>0</v>
      </c>
      <c r="N933" s="167">
        <v>0</v>
      </c>
      <c r="O933" s="168">
        <f>[1]!Table3[[#This Row],[C&amp;I Incentive Disbursements]]/'[1]1.) CLM Reference'!$B$5</f>
        <v>0</v>
      </c>
      <c r="Q933">
        <f>VLOOKUP(Table3[[#This Row],[Census Tract]],'Population and Diversity Data'!$B$2:$K$823,10,FALSE)</f>
        <v>2</v>
      </c>
      <c r="R933" t="str">
        <f>VLOOKUP(Table3[[#This Row],[Census Tract]],'ES Energy Burden'!$B$2:$E$914,4,FALSE)</f>
        <v>No</v>
      </c>
    </row>
    <row r="934" spans="1:18" x14ac:dyDescent="0.2">
      <c r="A934" s="100">
        <v>9015901100</v>
      </c>
      <c r="B934" s="38" t="s">
        <v>2874</v>
      </c>
      <c r="C934" s="38" t="s">
        <v>944</v>
      </c>
      <c r="D934" s="165">
        <f>[1]!Table3[[#This Row],[Residential CLM $ Collected]]+[1]!Table3[[#This Row],[C&amp;I CLM $ Collected]]</f>
        <v>212848.39530432</v>
      </c>
      <c r="E934" s="166">
        <f>[1]!Table3[[#This Row],[CLM $ Collected ]]/'[1]1.) CLM Reference'!$B$4</f>
        <v>1.8883146735110556E-3</v>
      </c>
      <c r="F934" s="165">
        <f>[1]!Table3[[#This Row],[Residential Incentive Disbursements]]+[1]!Table3[[#This Row],[C&amp;I Incentive Disbursements]]</f>
        <v>106399.69559999999</v>
      </c>
      <c r="G934" s="166">
        <f>[1]!Table3[[#This Row],[Incentive Disbursements]]/'[1]1.) CLM Reference'!$B$5</f>
        <v>1.3017632575422105E-3</v>
      </c>
      <c r="H934" s="165">
        <v>184113.15969311999</v>
      </c>
      <c r="I934" s="166">
        <f>[1]!Table3[[#This Row],[Residential CLM $ Collected]]/'[1]1.) CLM Reference'!$B$4</f>
        <v>1.6333859625200871E-3</v>
      </c>
      <c r="J934" s="167">
        <v>95417.545599999998</v>
      </c>
      <c r="K934" s="166">
        <f>[1]!Table3[[#This Row],[Residential Incentive Disbursements]]/'[1]1.) CLM Reference'!$B$5</f>
        <v>1.1674004731545343E-3</v>
      </c>
      <c r="L934" s="167">
        <v>28735.235611200002</v>
      </c>
      <c r="M934" s="166">
        <f>[1]!Table3[[#This Row],[C&amp;I CLM $ Collected]]/'[1]1.) CLM Reference'!$B$4</f>
        <v>2.5492871099096838E-4</v>
      </c>
      <c r="N934" s="167">
        <v>10982.15</v>
      </c>
      <c r="O934" s="168">
        <f>[1]!Table3[[#This Row],[C&amp;I Incentive Disbursements]]/'[1]1.) CLM Reference'!$B$5</f>
        <v>1.3436278438767627E-4</v>
      </c>
      <c r="Q934">
        <f>VLOOKUP(Table3[[#This Row],[Census Tract]],'Population and Diversity Data'!$B$2:$K$823,10,FALSE)</f>
        <v>1</v>
      </c>
      <c r="R934" t="str">
        <f>VLOOKUP(Table3[[#This Row],[Census Tract]],'ES Energy Burden'!$B$2:$E$914,4,FALSE)</f>
        <v>No</v>
      </c>
    </row>
    <row r="935" spans="1:18" x14ac:dyDescent="0.2">
      <c r="A935" s="100">
        <v>9015902200</v>
      </c>
      <c r="B935" s="38" t="s">
        <v>2874</v>
      </c>
      <c r="C935" s="38" t="s">
        <v>944</v>
      </c>
      <c r="D935" s="165">
        <f>[1]!Table3[[#This Row],[Residential CLM $ Collected]]+[1]!Table3[[#This Row],[C&amp;I CLM $ Collected]]</f>
        <v>989.16698880000013</v>
      </c>
      <c r="E935" s="166">
        <f>[1]!Table3[[#This Row],[CLM $ Collected ]]/'[1]1.) CLM Reference'!$B$4</f>
        <v>8.7755349850451793E-6</v>
      </c>
      <c r="F935" s="165">
        <f>[1]!Table3[[#This Row],[Residential Incentive Disbursements]]+[1]!Table3[[#This Row],[C&amp;I Incentive Disbursements]]</f>
        <v>107.52</v>
      </c>
      <c r="G935" s="166">
        <f>[1]!Table3[[#This Row],[Incentive Disbursements]]/'[1]1.) CLM Reference'!$B$5</f>
        <v>1.3154697921047291E-6</v>
      </c>
      <c r="H935" s="165">
        <v>989.16698880000013</v>
      </c>
      <c r="I935" s="166">
        <f>[1]!Table3[[#This Row],[Residential CLM $ Collected]]/'[1]1.) CLM Reference'!$B$4</f>
        <v>8.7755349850451793E-6</v>
      </c>
      <c r="J935" s="167">
        <v>107.52</v>
      </c>
      <c r="K935" s="166">
        <f>[1]!Table3[[#This Row],[Residential Incentive Disbursements]]/'[1]1.) CLM Reference'!$B$5</f>
        <v>1.3154697921047291E-6</v>
      </c>
      <c r="L935" s="167">
        <v>0</v>
      </c>
      <c r="M935" s="166">
        <f>[1]!Table3[[#This Row],[C&amp;I CLM $ Collected]]/'[1]1.) CLM Reference'!$B$4</f>
        <v>0</v>
      </c>
      <c r="N935" s="167">
        <v>0</v>
      </c>
      <c r="O935" s="168">
        <f>[1]!Table3[[#This Row],[C&amp;I Incentive Disbursements]]/'[1]1.) CLM Reference'!$B$5</f>
        <v>0</v>
      </c>
      <c r="Q935">
        <f>VLOOKUP(Table3[[#This Row],[Census Tract]],'Population and Diversity Data'!$B$2:$K$823,10,FALSE)</f>
        <v>2</v>
      </c>
      <c r="R935" t="str">
        <f>VLOOKUP(Table3[[#This Row],[Census Tract]],'ES Energy Burden'!$B$2:$E$914,4,FALSE)</f>
        <v>No</v>
      </c>
    </row>
    <row r="936" spans="1:18" x14ac:dyDescent="0.2">
      <c r="A936" s="100">
        <v>9015902500</v>
      </c>
      <c r="B936" s="38" t="s">
        <v>2874</v>
      </c>
      <c r="C936" s="38" t="s">
        <v>944</v>
      </c>
      <c r="D936" s="165">
        <f>[1]!Table3[[#This Row],[Residential CLM $ Collected]]+[1]!Table3[[#This Row],[C&amp;I CLM $ Collected]]</f>
        <v>2271.4498656000001</v>
      </c>
      <c r="E936" s="166">
        <f>[1]!Table3[[#This Row],[CLM $ Collected ]]/'[1]1.) CLM Reference'!$B$4</f>
        <v>2.0151489069131548E-5</v>
      </c>
      <c r="F936" s="165">
        <f>[1]!Table3[[#This Row],[Residential Incentive Disbursements]]+[1]!Table3[[#This Row],[C&amp;I Incentive Disbursements]]</f>
        <v>121.98</v>
      </c>
      <c r="G936" s="166">
        <f>[1]!Table3[[#This Row],[Incentive Disbursements]]/'[1]1.) CLM Reference'!$B$5</f>
        <v>1.4923828612438139E-6</v>
      </c>
      <c r="H936" s="165">
        <v>2271.4498656000001</v>
      </c>
      <c r="I936" s="166">
        <f>[1]!Table3[[#This Row],[Residential CLM $ Collected]]/'[1]1.) CLM Reference'!$B$4</f>
        <v>2.0151489069131548E-5</v>
      </c>
      <c r="J936" s="167">
        <v>121.98</v>
      </c>
      <c r="K936" s="166">
        <f>[1]!Table3[[#This Row],[Residential Incentive Disbursements]]/'[1]1.) CLM Reference'!$B$5</f>
        <v>1.4923828612438139E-6</v>
      </c>
      <c r="L936" s="167">
        <v>0</v>
      </c>
      <c r="M936" s="166">
        <f>[1]!Table3[[#This Row],[C&amp;I CLM $ Collected]]/'[1]1.) CLM Reference'!$B$4</f>
        <v>0</v>
      </c>
      <c r="N936" s="167">
        <v>0</v>
      </c>
      <c r="O936" s="168">
        <f>[1]!Table3[[#This Row],[C&amp;I Incentive Disbursements]]/'[1]1.) CLM Reference'!$B$5</f>
        <v>0</v>
      </c>
      <c r="Q936">
        <f>VLOOKUP(Table3[[#This Row],[Census Tract]],'Population and Diversity Data'!$B$2:$K$823,10,FALSE)</f>
        <v>2</v>
      </c>
      <c r="R936" t="str">
        <f>VLOOKUP(Table3[[#This Row],[Census Tract]],'ES Energy Burden'!$B$2:$E$914,4,FALSE)</f>
        <v>No</v>
      </c>
    </row>
    <row r="937" spans="1:18" x14ac:dyDescent="0.2">
      <c r="A937" s="169"/>
      <c r="B937" s="170"/>
      <c r="C937" s="171"/>
      <c r="D937" s="165">
        <f>[1]!Table3[[#This Row],[Residential CLM $ Collected]]+[1]!Table3[[#This Row],[C&amp;I CLM $ Collected]]</f>
        <v>0</v>
      </c>
      <c r="E937" s="166">
        <f>[1]!Table3[[#This Row],[CLM $ Collected ]]/'[1]1.) CLM Reference'!$B$4</f>
        <v>0</v>
      </c>
      <c r="F937" s="165">
        <f>[1]!Table3[[#This Row],[Residential Incentive Disbursements]]+[1]!Table3[[#This Row],[C&amp;I Incentive Disbursements]]</f>
        <v>0</v>
      </c>
      <c r="G937" s="166">
        <f>[1]!Table3[[#This Row],[Incentive Disbursements]]/'[1]1.) CLM Reference'!$B$5</f>
        <v>0</v>
      </c>
      <c r="H937" s="165"/>
      <c r="I937" s="166">
        <f>[1]!Table3[[#This Row],[Residential CLM $ Collected]]/'[1]1.) CLM Reference'!$B$4</f>
        <v>0</v>
      </c>
      <c r="J937" s="167"/>
      <c r="K937" s="166">
        <f>[1]!Table3[[#This Row],[Residential Incentive Disbursements]]/'[1]1.) CLM Reference'!$B$5</f>
        <v>0</v>
      </c>
      <c r="L937" s="167"/>
      <c r="M937" s="166">
        <f>[1]!Table3[[#This Row],[C&amp;I CLM $ Collected]]/'[1]1.) CLM Reference'!$B$4</f>
        <v>0</v>
      </c>
      <c r="N937" s="167"/>
      <c r="O937" s="168">
        <f>[1]!Table3[[#This Row],[C&amp;I Incentive Disbursements]]/'[1]1.) CLM Reference'!$B$5</f>
        <v>0</v>
      </c>
      <c r="Q937" t="e">
        <f>VLOOKUP(Table3[[#This Row],[Census Tract]],'Population and Diversity Data'!$B$2:$K$823,10,FALSE)</f>
        <v>#N/A</v>
      </c>
      <c r="R937" t="e">
        <f>VLOOKUP(Table3[[#This Row],[Census Tract]],'ES Energy Burden'!$B$2:$E$914,4,FALSE)</f>
        <v>#N/A</v>
      </c>
    </row>
    <row r="938" spans="1:18" x14ac:dyDescent="0.2">
      <c r="A938" s="125"/>
      <c r="B938" s="38"/>
      <c r="C938" s="172" t="s">
        <v>2696</v>
      </c>
      <c r="D938" s="37">
        <f>SUBTOTAL(109,[1]!Table3[CLM $ Collected ])</f>
        <v>70659148.926617205</v>
      </c>
      <c r="E938" s="36">
        <f>D938/'[1]1.) CLM Reference'!B4</f>
        <v>0.62686264345647225</v>
      </c>
      <c r="F938" s="37">
        <f>SUBTOTAL(109,[1]!Table3[Incentive Disbursements])</f>
        <v>44405301.081499971</v>
      </c>
      <c r="G938" s="36">
        <f>F938/'[1]1.) CLM Reference'!B5</f>
        <v>0.54328340943107023</v>
      </c>
      <c r="H938" s="173">
        <f>SUBTOTAL(109,[1]!Table3[Residential CLM $ Collected])</f>
        <v>52629786.815592907</v>
      </c>
      <c r="I938" s="36">
        <f>H938/'[1]1.) CLM Reference'!B4</f>
        <v>0.4669126049343803</v>
      </c>
      <c r="J938" s="173">
        <f>SUBTOTAL(109,[1]!Table3[Residential Incentive Disbursements])</f>
        <v>36999853.3169</v>
      </c>
      <c r="K938" s="36">
        <f>J938/'[1]1.) CLM Reference'!B5</f>
        <v>0.45268033250267781</v>
      </c>
      <c r="L938" s="37">
        <f>SUBTOTAL(109,[1]!Table3[C&amp;I CLM $ Collected])</f>
        <v>18029362.111024335</v>
      </c>
      <c r="M938" s="36">
        <f>L938/'[1]1.) CLM Reference'!B4</f>
        <v>0.1599500385220923</v>
      </c>
      <c r="N938" s="37">
        <f>SUBTOTAL(109,[1]!Table3[C&amp;I Incentive Disbursements])</f>
        <v>7405447.7646000003</v>
      </c>
      <c r="O938" s="36">
        <f>N938/'[1]1.) CLM Reference'!B5</f>
        <v>9.0603076928392798E-2</v>
      </c>
    </row>
    <row r="939" spans="1:18" s="30" customFormat="1" x14ac:dyDescent="0.2">
      <c r="A939"/>
      <c r="B939"/>
      <c r="C939"/>
      <c r="D939" s="35"/>
      <c r="E939" s="34"/>
      <c r="F939" s="35"/>
      <c r="G939" s="34"/>
      <c r="H939" s="33"/>
      <c r="I939" s="28"/>
      <c r="J939"/>
      <c r="K939" s="28"/>
      <c r="L939"/>
      <c r="M939" s="28"/>
      <c r="N939"/>
      <c r="O939" s="28"/>
      <c r="P939" s="32"/>
    </row>
    <row r="940" spans="1:18" s="30" customFormat="1" x14ac:dyDescent="0.2">
      <c r="A940" s="29" t="s">
        <v>2707</v>
      </c>
      <c r="C940" s="31"/>
      <c r="D940" s="31"/>
      <c r="E940" s="32"/>
      <c r="F940" s="32"/>
      <c r="G940" s="32"/>
      <c r="H940" s="32"/>
      <c r="I940" s="32"/>
      <c r="J940" s="32"/>
      <c r="K940" s="32"/>
      <c r="L940" s="32"/>
      <c r="M940" s="32"/>
      <c r="N940" s="32"/>
      <c r="O940" s="32"/>
      <c r="P940" s="32"/>
    </row>
    <row r="941" spans="1:18" x14ac:dyDescent="0.2">
      <c r="A941" s="29" t="s">
        <v>3879</v>
      </c>
      <c r="B941" s="30"/>
      <c r="C941" s="31"/>
      <c r="D941" s="31"/>
      <c r="E941" s="32"/>
      <c r="F941" s="32"/>
      <c r="G941" s="32"/>
      <c r="H941" s="32"/>
      <c r="I941" s="32"/>
      <c r="J941" s="32"/>
      <c r="K941" s="32"/>
      <c r="L941" s="32"/>
      <c r="M941" s="32"/>
      <c r="N941" s="32"/>
      <c r="O941" s="32"/>
    </row>
    <row r="942" spans="1:18" x14ac:dyDescent="0.2">
      <c r="A942" t="s">
        <v>3878</v>
      </c>
      <c r="D942"/>
      <c r="E942"/>
      <c r="F942"/>
      <c r="G942"/>
      <c r="H942"/>
      <c r="I942"/>
      <c r="K942"/>
      <c r="M942"/>
      <c r="O942"/>
    </row>
  </sheetData>
  <mergeCells count="7">
    <mergeCell ref="D3:O3"/>
    <mergeCell ref="A1:O2"/>
    <mergeCell ref="L4:O4"/>
    <mergeCell ref="D4:G4"/>
    <mergeCell ref="H4:K4"/>
    <mergeCell ref="A3:C3"/>
    <mergeCell ref="A4:C4"/>
  </mergeCells>
  <pageMargins left="0.7" right="0.7" top="0.75" bottom="0.75" header="0.3" footer="0.3"/>
  <pageSetup paperSize="5" scale="52" fitToHeight="25" orientation="landscape"/>
  <rowBreaks count="1" manualBreakCount="1">
    <brk id="78" max="16383" man="1"/>
  </rowBreaks>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3fa969c-ac95-4033-87e0-78467e37564b">
      <Terms xmlns="http://schemas.microsoft.com/office/infopath/2007/PartnerControls"/>
    </lcf76f155ced4ddcb4097134ff3c332f>
    <_ip_UnifiedCompliancePolicyProperties xmlns="http://schemas.microsoft.com/sharepoint/v3" xsi:nil="true"/>
    <TaxCatchAll xmlns="92309ddc-3b1e-489e-97ba-af20c2443f26" xsi:nil="true"/>
  </documentManagement>
</p:properties>
</file>

<file path=customXml/item2.xml>��< ? x m l   v e r s i o n = " 1 . 0 "   e n c o d i n g = " u t f - 1 6 " ? > < D a t a M a s h u p   x m l n s = " h t t p : / / s c h e m a s . m i c r o s o f t . c o m / D a t a M a s h u p " > A A A A A B Q D A A B Q S w M E F A A C A A g A H G f b 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H G f b 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n 2 1 Q o i k e 4 D g A A A B E A A A A T A B w A R m 9 y b X V s Y X M v U 2 V j d G l v b j E u b S C i G A A o o B Q A A A A A A A A A A A A A A A A A A A A A A A A A A A A r T k 0 u y c z P U w i G 0 I b W A F B L A Q I t A B Q A A g A I A B x n 2 1 S H I L 8 k p A A A A P U A A A A S A A A A A A A A A A A A A A A A A A A A A A B D b 2 5 m a W c v U G F j a 2 F n Z S 5 4 b W x Q S w E C L Q A U A A I A C A A c Z 9 t U D 8 r p q 6 Q A A A D p A A A A E w A A A A A A A A A A A A A A A A D w A A A A W 0 N v b n R l b n R f V H l w Z X N d L n h t b F B L A Q I t A B Q A A g A I A B x n 2 1 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O p H 8 d O U J / T Z b 3 0 d j o 4 1 o W A A A A A A I A A A A A A A N m A A D A A A A A E A A A A M 4 Q y 0 K n G t B R 8 T 2 j l T w U d J g A A A A A B I A A A K A A A A A Q A A A A B K 8 h / P 1 D n k L K r e g D N v j + A F A A A A A e N d V v D 6 o Q S l u j T s r m G 1 y J / x a c E U x 7 7 6 J S r J P g v 3 k a z J 7 5 u j S K 0 E y p w k G E c 1 g / T G p f b j O r a / z J D R / b o 1 + v W 1 Z 9 C 6 9 9 V 7 b l 1 y F I 8 G P R L J z n S h Q A A A A u M C 6 Y s C o W N L E Q X m A K 4 l j Q j s Z O D 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B2F7BD22DB32E54A9D444E2614F545ED" ma:contentTypeVersion="18" ma:contentTypeDescription="Create a new document." ma:contentTypeScope="" ma:versionID="079b1958f8586cef283cdfc34696fbdf">
  <xsd:schema xmlns:xsd="http://www.w3.org/2001/XMLSchema" xmlns:xs="http://www.w3.org/2001/XMLSchema" xmlns:p="http://schemas.microsoft.com/office/2006/metadata/properties" xmlns:ns1="http://schemas.microsoft.com/sharepoint/v3" xmlns:ns2="92309ddc-3b1e-489e-97ba-af20c2443f26" xmlns:ns3="63fa969c-ac95-4033-87e0-78467e37564b" targetNamespace="http://schemas.microsoft.com/office/2006/metadata/properties" ma:root="true" ma:fieldsID="b9dc8fb8e1d3e7c1995295ba292d657f" ns1:_="" ns2:_="" ns3:_="">
    <xsd:import namespace="http://schemas.microsoft.com/sharepoint/v3"/>
    <xsd:import namespace="92309ddc-3b1e-489e-97ba-af20c2443f26"/>
    <xsd:import namespace="63fa969c-ac95-4033-87e0-78467e37564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1:_ip_UnifiedCompliancePolicyProperties" minOccurs="0"/>
                <xsd:element ref="ns1:_ip_UnifiedCompliancePolicyUIAction"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9ddc-3b1e-489e-97ba-af20c2443f2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8fafc10-690a-41e8-a9a2-4112e8089110}" ma:internalName="TaxCatchAll" ma:showField="CatchAllData" ma:web="92309ddc-3b1e-489e-97ba-af20c2443f2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3fa969c-ac95-4033-87e0-78467e37564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737439-8ED8-4C7C-8533-25CE3907819A}">
  <ds:schemaRefs>
    <ds:schemaRef ds:uri="http://schemas.openxmlformats.org/package/2006/metadata/core-properties"/>
    <ds:schemaRef ds:uri="http://purl.org/dc/elements/1.1/"/>
    <ds:schemaRef ds:uri="http://purl.org/dc/dcmitype/"/>
    <ds:schemaRef ds:uri="http://purl.org/dc/terms/"/>
    <ds:schemaRef ds:uri="92309ddc-3b1e-489e-97ba-af20c2443f26"/>
    <ds:schemaRef ds:uri="http://schemas.microsoft.com/office/2006/documentManagement/types"/>
    <ds:schemaRef ds:uri="http://schemas.microsoft.com/office/infopath/2007/PartnerControls"/>
    <ds:schemaRef ds:uri="63fa969c-ac95-4033-87e0-78467e37564b"/>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7662504-4680-46B0-A053-1A7E0E566DC8}">
  <ds:schemaRefs>
    <ds:schemaRef ds:uri="http://schemas.microsoft.com/DataMashup"/>
  </ds:schemaRefs>
</ds:datastoreItem>
</file>

<file path=customXml/itemProps3.xml><?xml version="1.0" encoding="utf-8"?>
<ds:datastoreItem xmlns:ds="http://schemas.openxmlformats.org/officeDocument/2006/customXml" ds:itemID="{9B190657-A7F2-43EF-85DB-98ADCCBB50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2309ddc-3b1e-489e-97ba-af20c2443f26"/>
    <ds:schemaRef ds:uri="63fa969c-ac95-4033-87e0-78467e375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0E0F6A8-1889-40F4-9B7F-4FBD62322D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Information</vt:lpstr>
      <vt:lpstr>Tables</vt:lpstr>
      <vt:lpstr>Income and Housing Data</vt:lpstr>
      <vt:lpstr>Population and Diversity Data</vt:lpstr>
      <vt:lpstr>Eversource&gt;&gt;</vt:lpstr>
      <vt:lpstr>ES Energy Burden</vt:lpstr>
      <vt:lpstr>CLM From Eversource</vt:lpstr>
      <vt:lpstr>ESSmallLoadPivot</vt:lpstr>
      <vt:lpstr>2.) Small Load</vt:lpstr>
      <vt:lpstr>3.) Large Load</vt:lpstr>
      <vt:lpstr>HES Report ES</vt:lpstr>
      <vt:lpstr>ES shutoff</vt:lpstr>
      <vt:lpstr>UI &gt;&gt;&gt;</vt:lpstr>
      <vt:lpstr>CLM from UI</vt:lpstr>
      <vt:lpstr>UI EnergyBurden</vt:lpstr>
      <vt:lpstr>Small Load</vt:lpstr>
      <vt:lpstr>Large Load</vt:lpstr>
      <vt:lpstr>HES Report UI</vt:lpstr>
      <vt:lpstr>Shutoff Data</vt:lpstr>
      <vt:lpstr>Calculation Sheets &gt;&gt;&gt;</vt:lpstr>
      <vt:lpstr>Housing Cost Calc</vt:lpstr>
      <vt:lpstr>Income Percentile Calc</vt:lpstr>
      <vt:lpstr>Energy Burden Calc</vt:lpstr>
      <vt:lpstr>Income and Housing Calcs</vt:lpstr>
      <vt:lpstr>'2.) Small Load'!Print_Area</vt:lpstr>
      <vt:lpstr>'3.) Large Load'!Print_Area</vt:lpstr>
      <vt:lpstr>'HES Report ES'!Print_Area</vt:lpstr>
      <vt:lpstr>'2.) Small Load'!Print_Titles</vt:lpstr>
      <vt:lpstr>'3.) Large Load'!Print_Titles</vt:lpstr>
      <vt:lpstr>'HES Report 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2022-06-27T15:19:19Z</dcterms:created>
  <dcterms:modified xsi:type="dcterms:W3CDTF">2024-03-21T15:48:43Z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0x010100B2F7BD22DB32E54A9D444E2614F545ED</vt:lpwstr>
  </property>
  <property fmtid="{D5CDD505-2E9C-101B-9397-08002B2CF9AE}" pid="3" name="MediaServiceImageTags">
    <vt:lpwstr/>
  </property>
</Properties>
</file>